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uriercloud-my.sharepoint.com/personal/qiux6300_mylaurier_ca/Documents/Documents/Study material/753 financial econometrics/Assignment/"/>
    </mc:Choice>
  </mc:AlternateContent>
  <xr:revisionPtr revIDLastSave="9008" documentId="8_{9E40EC0A-4F9D-419A-8C26-7993F5D3DA21}" xr6:coauthVersionLast="47" xr6:coauthVersionMax="47" xr10:uidLastSave="{075FE17C-B713-482D-9669-226DADF363C5}"/>
  <bookViews>
    <workbookView xWindow="-98" yWindow="-98" windowWidth="28996" windowHeight="15675" firstSheet="1" activeTab="1" xr2:uid="{9F3B659F-101A-4871-B72B-C50957021D13}"/>
  </bookViews>
  <sheets>
    <sheet name="_CIQHiddenCacheSheet" sheetId="265" state="veryHidden" r:id="rId1"/>
    <sheet name="Data" sheetId="2" r:id="rId2"/>
    <sheet name="Financials" sheetId="5" r:id="rId3"/>
    <sheet name="Macro" sheetId="42" r:id="rId4"/>
    <sheet name="Fama3" sheetId="136" r:id="rId5"/>
    <sheet name="1-W" sheetId="73" r:id="rId6"/>
    <sheet name="1-M" sheetId="126" r:id="rId7"/>
    <sheet name="2" sheetId="133" r:id="rId8"/>
    <sheet name="2-result" sheetId="151" r:id="rId9"/>
    <sheet name="5" sheetId="251" r:id="rId10"/>
  </sheets>
  <externalReferences>
    <externalReference r:id="rId11"/>
  </externalReferences>
  <definedNames>
    <definedName name="_xlnm._FilterDatabase" localSheetId="4" hidden="1">Fama3!$A$4:$E$4</definedName>
    <definedName name="CIQWBGuid" hidden="1">"194d1009-a981-4005-a7f8-85d90bb8428d"</definedName>
    <definedName name="CIQWBInfo" hidden="1">"{ ""CIQVersion"":""9.52.4409.4666""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45655.8048958333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QR1E9" hidden="1">#REF!</definedName>
    <definedName name="IQR1F9" hidden="1">#REF!</definedName>
    <definedName name="IQR1M9" hidden="1">#REF!</definedName>
    <definedName name="IQR1N9" hidden="1">#REF!</definedName>
    <definedName name="IQRDataA8" hidden="1">Data!$A$9:$A$68</definedName>
    <definedName name="IQRDataAA8" hidden="1">Data!$AF$9:$AF$791</definedName>
    <definedName name="IQRDataAB8" hidden="1">Data!$AG$9:$AG$791</definedName>
    <definedName name="IQRDataAC8" hidden="1">Data!$AH$9:$AH$791</definedName>
    <definedName name="IQRDataAD8" hidden="1">Data!$AI$9:$AI$791</definedName>
    <definedName name="IQRDataAF8" hidden="1">Data!$AF$9:$AF$68</definedName>
    <definedName name="IQRDataAG8" hidden="1">Data!$AG$9:$AG$68</definedName>
    <definedName name="IQRDataAH8" hidden="1">Data!$AH$9:$AH$68</definedName>
    <definedName name="IQRDataAI8" hidden="1">Data!$AI$9:$AI$68</definedName>
    <definedName name="IQRDataAJ8" hidden="1">Data!$AI$9:$AI$791</definedName>
    <definedName name="IQRDataB5" hidden="1">Data!$B$6:$B$266</definedName>
    <definedName name="IQRDataB8" hidden="1">Data!$B$9:$B$68</definedName>
    <definedName name="IQRDataC8" hidden="1">Data!$C$9:$C$68</definedName>
    <definedName name="IQRDataD236" hidden="1">Data!$D$237:$D$497</definedName>
    <definedName name="IQRDataD8" hidden="1">Data!$D$9:$D$68</definedName>
    <definedName name="IQRDataE8" hidden="1">Data!$E$9:$E$68</definedName>
    <definedName name="IQRDataF8" hidden="1">Data!$F$9:$F$68</definedName>
    <definedName name="IQRDataG140" hidden="1">Data!$G$141:$G$401</definedName>
    <definedName name="IQRDataG8" hidden="1">Data!$G$9:$G$68</definedName>
    <definedName name="IQRDataH8" hidden="1">Data!#REF!</definedName>
    <definedName name="IQRDataI8" hidden="1">Data!#REF!</definedName>
    <definedName name="IQRDataJ8" hidden="1">Data!#REF!</definedName>
    <definedName name="IQRDataK8" hidden="1">Data!#REF!</definedName>
    <definedName name="IQRDataL8" hidden="1">Data!#REF!</definedName>
    <definedName name="IQRDataM8" hidden="1">Data!#REF!</definedName>
    <definedName name="IQRDataN8" hidden="1">Data!#REF!</definedName>
    <definedName name="IQRDataQ8" hidden="1">Data!$H$9:$H$1012</definedName>
    <definedName name="IQRDataT8" hidden="1">Data!$AF$9:$AF$791</definedName>
    <definedName name="IQRDataU8" hidden="1">Data!$AG$9:$AG$791</definedName>
    <definedName name="IQRDataV8" hidden="1">Data!$AH$9:$AH$791</definedName>
    <definedName name="IQRDataW8" hidden="1">Data!$AI$9:$AI$791</definedName>
    <definedName name="IQRFinancialsAO67" hidden="1">Financials!$AO$68:$AO$127</definedName>
    <definedName name="IQRFinancialsAP67" hidden="1">Financials!$AP$68:$AP$127</definedName>
    <definedName name="IQRFinancialsAQ67" hidden="1">Financials!$AQ$68:$AQ$127</definedName>
    <definedName name="IQRFinancialsAV67" hidden="1">Financials!$AV$68:$AV$127</definedName>
    <definedName name="IQRFinancialsAW67" hidden="1">Financials!$AW$68:$AW$127</definedName>
    <definedName name="IQRFinancialsBG12" hidden="1">Financials!$BG$13:$BG$273</definedName>
    <definedName name="IQRFinancialsBV67" hidden="1">Financials!$BV$68:$BV$127</definedName>
    <definedName name="IQRFinancialsBW67" hidden="1">Financials!$BW$68:$BW$127</definedName>
    <definedName name="IQRFinancialsBX67" hidden="1">Financials!$BX$68:$BX$127</definedName>
    <definedName name="IQRFinancialsBY67" hidden="1">Financials!$BY$68:$BY$127</definedName>
    <definedName name="IQRFinancialsBZ67" hidden="1">Financials!$BZ$68:$BZ$127</definedName>
    <definedName name="IQRFinancialsCG67" hidden="1">Financials!$CG$68:$CG$127</definedName>
    <definedName name="IQRFinancialsT11" hidden="1">Financials!$T$12:$T$272</definedName>
    <definedName name="IQRFinancialsT15" hidden="1">Financials!$T$16:$T$276</definedName>
    <definedName name="IQRFinancialsT17" hidden="1">Financials!$T$18:$T$278</definedName>
    <definedName name="IQRFinancialsT20" hidden="1">Financials!$T$21:$T$281</definedName>
    <definedName name="IQRFinancialsT30" hidden="1">Financials!$T$31:$T$291</definedName>
    <definedName name="IQRFinancialsT36" hidden="1">Financials!$T$37:$T$297</definedName>
    <definedName name="IQRFinancialsT50" hidden="1">Financials!$T$51:$T$311</definedName>
    <definedName name="IQRFinancialsT59" hidden="1">Financials!$T$60:$T$320</definedName>
    <definedName name="IQRFinancialsT63" hidden="1">Financials!$T$64:$T$324</definedName>
    <definedName name="IQRFinancialsT65" hidden="1">Financials!$T$66:$T$326</definedName>
    <definedName name="IQRFinancialsT67" hidden="1">Financials!$T$68:$T$328</definedName>
    <definedName name="IQRSheet2A7" hidden="1">Data!$A$9:$A$269</definedName>
    <definedName name="IQRSheet2A8" hidden="1">Data!$A$9:$A$188</definedName>
    <definedName name="IQRSheet2B7" hidden="1">Data!$B$9:$B$269</definedName>
    <definedName name="IQRSheet2B8" hidden="1">Data!$B$9:$B$188</definedName>
    <definedName name="IQRSheet2C8" hidden="1">Data!$C$9:$C$188</definedName>
    <definedName name="IQRSheet2D8" hidden="1">Data!$D$9:$D$188</definedName>
    <definedName name="IQRSheet2E8" hidden="1">Data!$E$9:$E$188</definedName>
    <definedName name="IQRSheet2F8" hidden="1">Data!$F$9:$F$188</definedName>
    <definedName name="IQRSheet2G8" hidden="1">Data!$G$9:$G$188</definedName>
    <definedName name="IQRSheet4A8" localSheetId="6" hidden="1">'1-M'!$A$9:$A$68</definedName>
    <definedName name="IQRSheet4A8" hidden="1">'1-W'!$A$9:$A$269</definedName>
    <definedName name="IQRSheet4B8" localSheetId="6" hidden="1">'1-M'!$B$9:$B$68</definedName>
    <definedName name="IQRSheet4B8" hidden="1">'1-W'!$B$9:$B$269</definedName>
    <definedName name="IQRSheet4C8" localSheetId="6" hidden="1">'1-M'!$C$9:$C$68</definedName>
    <definedName name="IQRSheet4C8" hidden="1">'1-W'!$C$9:$C$269</definedName>
    <definedName name="IQRSheet4D8" localSheetId="6" hidden="1">'1-M'!$D$9:$D$68</definedName>
    <definedName name="IQRSheet4D8" hidden="1">'1-W'!$D$9:$D$269</definedName>
    <definedName name="IQRSheet4E8" localSheetId="6" hidden="1">'1-M'!$E$9:$E$68</definedName>
    <definedName name="IQRSheet4E8" hidden="1">'1-W'!$E$9:$E$269</definedName>
    <definedName name="IQRSheet4F8" localSheetId="6" hidden="1">'1-M'!$F$9:$F$68</definedName>
    <definedName name="IQRSheet4F8" hidden="1">'1-W'!$F$9:$F$269</definedName>
    <definedName name="IQRSheet4G8" localSheetId="6" hidden="1">'1-M'!$G$9:$G$68</definedName>
    <definedName name="IQRSheet4G8" hidden="1">'1-W'!$G$9:$G$269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2" l="1"/>
  <c r="H6" i="42"/>
  <c r="V7" i="133" a="1"/>
  <c r="V7" i="133" l="1"/>
  <c r="M7" i="133" a="1"/>
  <c r="M7" i="133" l="1"/>
  <c r="N7" i="133" a="1"/>
  <c r="N7" i="133" l="1"/>
  <c r="O7" i="133" a="1"/>
  <c r="O7" i="133" l="1"/>
  <c r="P7" i="133" a="1"/>
  <c r="P7" i="133" l="1"/>
  <c r="Q7" i="133" a="1"/>
  <c r="Q7" i="133" l="1"/>
  <c r="R7" i="133" a="1"/>
  <c r="R7" i="133" l="1"/>
  <c r="S7" i="133" a="1"/>
  <c r="S7" i="133" l="1"/>
  <c r="T7" i="133" a="1"/>
  <c r="T7" i="133" l="1"/>
  <c r="U7" i="133" a="1"/>
  <c r="U7" i="133" l="1"/>
  <c r="BG269" i="5"/>
  <c r="BG270" i="5"/>
  <c r="BG271" i="5"/>
  <c r="BG272" i="5"/>
  <c r="BG273" i="5"/>
  <c r="BG263" i="5"/>
  <c r="BG264" i="5"/>
  <c r="BG265" i="5"/>
  <c r="BG266" i="5"/>
  <c r="BG267" i="5"/>
  <c r="BG268" i="5"/>
  <c r="BG257" i="5"/>
  <c r="BG258" i="5"/>
  <c r="BG259" i="5"/>
  <c r="BG260" i="5"/>
  <c r="BG261" i="5"/>
  <c r="BG262" i="5"/>
  <c r="BG251" i="5"/>
  <c r="BG252" i="5"/>
  <c r="BG253" i="5"/>
  <c r="BG254" i="5"/>
  <c r="BG255" i="5"/>
  <c r="BG256" i="5"/>
  <c r="BG245" i="5"/>
  <c r="BG246" i="5"/>
  <c r="BG247" i="5"/>
  <c r="BG248" i="5"/>
  <c r="BG249" i="5"/>
  <c r="BG250" i="5"/>
  <c r="BG239" i="5"/>
  <c r="BG240" i="5"/>
  <c r="BG241" i="5"/>
  <c r="BG242" i="5"/>
  <c r="BG243" i="5"/>
  <c r="BG244" i="5"/>
  <c r="BG233" i="5"/>
  <c r="BG234" i="5"/>
  <c r="BG235" i="5"/>
  <c r="BG236" i="5"/>
  <c r="BG237" i="5"/>
  <c r="BG238" i="5"/>
  <c r="BG227" i="5"/>
  <c r="BG228" i="5"/>
  <c r="BG229" i="5"/>
  <c r="BG230" i="5"/>
  <c r="BG231" i="5"/>
  <c r="BG232" i="5"/>
  <c r="BG221" i="5"/>
  <c r="BG222" i="5"/>
  <c r="BG223" i="5"/>
  <c r="BG224" i="5"/>
  <c r="BG225" i="5"/>
  <c r="BG226" i="5"/>
  <c r="BG215" i="5"/>
  <c r="BG216" i="5"/>
  <c r="BG217" i="5"/>
  <c r="BG218" i="5"/>
  <c r="BG219" i="5"/>
  <c r="BG220" i="5"/>
  <c r="BG209" i="5"/>
  <c r="BG210" i="5"/>
  <c r="BG211" i="5"/>
  <c r="BG212" i="5"/>
  <c r="BG213" i="5"/>
  <c r="BG214" i="5"/>
  <c r="BG203" i="5"/>
  <c r="BG204" i="5"/>
  <c r="BG205" i="5"/>
  <c r="BG206" i="5"/>
  <c r="BG207" i="5"/>
  <c r="BG208" i="5"/>
  <c r="BG197" i="5"/>
  <c r="BG198" i="5"/>
  <c r="BG199" i="5"/>
  <c r="BG200" i="5"/>
  <c r="BG201" i="5"/>
  <c r="BG202" i="5"/>
  <c r="BG191" i="5"/>
  <c r="BG192" i="5"/>
  <c r="BG193" i="5"/>
  <c r="BG194" i="5"/>
  <c r="BG195" i="5"/>
  <c r="BG196" i="5"/>
  <c r="BG185" i="5"/>
  <c r="BG186" i="5"/>
  <c r="BG187" i="5"/>
  <c r="BG188" i="5"/>
  <c r="BG189" i="5"/>
  <c r="BG190" i="5"/>
  <c r="BG179" i="5"/>
  <c r="BG180" i="5"/>
  <c r="BG181" i="5"/>
  <c r="BG182" i="5"/>
  <c r="BG183" i="5"/>
  <c r="BG184" i="5"/>
  <c r="BG173" i="5"/>
  <c r="BG174" i="5"/>
  <c r="BG175" i="5"/>
  <c r="BG176" i="5"/>
  <c r="BG177" i="5"/>
  <c r="BG178" i="5"/>
  <c r="BG167" i="5"/>
  <c r="BG168" i="5"/>
  <c r="BG169" i="5"/>
  <c r="BG170" i="5"/>
  <c r="BG171" i="5"/>
  <c r="BG172" i="5"/>
  <c r="BG161" i="5"/>
  <c r="BG162" i="5"/>
  <c r="BG163" i="5"/>
  <c r="BG164" i="5"/>
  <c r="BG165" i="5"/>
  <c r="BG166" i="5"/>
  <c r="BG155" i="5"/>
  <c r="BG156" i="5"/>
  <c r="BG157" i="5"/>
  <c r="BG158" i="5"/>
  <c r="BG159" i="5"/>
  <c r="BG160" i="5"/>
  <c r="BG149" i="5"/>
  <c r="BG150" i="5"/>
  <c r="BG151" i="5"/>
  <c r="BG152" i="5"/>
  <c r="BG153" i="5"/>
  <c r="BG154" i="5"/>
  <c r="BG143" i="5"/>
  <c r="BG144" i="5"/>
  <c r="BG145" i="5"/>
  <c r="BG146" i="5"/>
  <c r="BG147" i="5"/>
  <c r="BG148" i="5"/>
  <c r="BG137" i="5"/>
  <c r="BG138" i="5"/>
  <c r="BG139" i="5"/>
  <c r="BG140" i="5"/>
  <c r="BG141" i="5"/>
  <c r="BG142" i="5"/>
  <c r="BG131" i="5"/>
  <c r="BG132" i="5"/>
  <c r="BG133" i="5"/>
  <c r="BG134" i="5"/>
  <c r="BG135" i="5"/>
  <c r="BG136" i="5"/>
  <c r="CG126" i="5"/>
  <c r="BG127" i="5"/>
  <c r="CG127" i="5"/>
  <c r="BG128" i="5"/>
  <c r="BG129" i="5"/>
  <c r="BG130" i="5"/>
  <c r="CG123" i="5"/>
  <c r="BG124" i="5"/>
  <c r="CG124" i="5"/>
  <c r="BG125" i="5"/>
  <c r="CG125" i="5"/>
  <c r="BG126" i="5"/>
  <c r="CG120" i="5"/>
  <c r="BG121" i="5"/>
  <c r="CG121" i="5"/>
  <c r="BG122" i="5"/>
  <c r="CG122" i="5"/>
  <c r="BG123" i="5"/>
  <c r="CG117" i="5"/>
  <c r="BG118" i="5"/>
  <c r="CG118" i="5"/>
  <c r="BG119" i="5"/>
  <c r="CG119" i="5"/>
  <c r="BG120" i="5"/>
  <c r="CG114" i="5"/>
  <c r="BG115" i="5"/>
  <c r="CG115" i="5"/>
  <c r="BG116" i="5"/>
  <c r="CG116" i="5"/>
  <c r="BG117" i="5"/>
  <c r="CG111" i="5"/>
  <c r="BG112" i="5"/>
  <c r="CG112" i="5"/>
  <c r="BG113" i="5"/>
  <c r="CG113" i="5"/>
  <c r="BG114" i="5"/>
  <c r="CG108" i="5"/>
  <c r="BG109" i="5"/>
  <c r="CG109" i="5"/>
  <c r="BG110" i="5"/>
  <c r="CG110" i="5"/>
  <c r="BG111" i="5"/>
  <c r="CG105" i="5"/>
  <c r="BG106" i="5"/>
  <c r="CG106" i="5"/>
  <c r="BG107" i="5"/>
  <c r="CG107" i="5"/>
  <c r="BG108" i="5"/>
  <c r="CG102" i="5"/>
  <c r="BG103" i="5"/>
  <c r="CG103" i="5"/>
  <c r="BG104" i="5"/>
  <c r="CG104" i="5"/>
  <c r="BG105" i="5"/>
  <c r="CG99" i="5"/>
  <c r="BG100" i="5"/>
  <c r="CG100" i="5"/>
  <c r="BG101" i="5"/>
  <c r="CG101" i="5"/>
  <c r="BG102" i="5"/>
  <c r="BG96" i="5"/>
  <c r="CG96" i="5"/>
  <c r="BG97" i="5"/>
  <c r="CG97" i="5"/>
  <c r="BG98" i="5"/>
  <c r="CG98" i="5"/>
  <c r="BG99" i="5"/>
  <c r="CG92" i="5"/>
  <c r="BG93" i="5"/>
  <c r="CG93" i="5"/>
  <c r="BG94" i="5"/>
  <c r="CG94" i="5"/>
  <c r="BG95" i="5"/>
  <c r="CG95" i="5"/>
  <c r="BG89" i="5"/>
  <c r="CG89" i="5"/>
  <c r="BG90" i="5"/>
  <c r="CG90" i="5"/>
  <c r="BG91" i="5"/>
  <c r="CG91" i="5"/>
  <c r="BG92" i="5"/>
  <c r="CG85" i="5"/>
  <c r="BG86" i="5"/>
  <c r="CG86" i="5"/>
  <c r="BG87" i="5"/>
  <c r="CG87" i="5"/>
  <c r="BG88" i="5"/>
  <c r="CG88" i="5"/>
  <c r="BG82" i="5"/>
  <c r="CG82" i="5"/>
  <c r="BG83" i="5"/>
  <c r="CG83" i="5"/>
  <c r="BG84" i="5"/>
  <c r="CG84" i="5"/>
  <c r="BG85" i="5"/>
  <c r="CG78" i="5"/>
  <c r="BG79" i="5"/>
  <c r="CG79" i="5"/>
  <c r="BG80" i="5"/>
  <c r="CG80" i="5"/>
  <c r="BG81" i="5"/>
  <c r="CG81" i="5"/>
  <c r="BG75" i="5"/>
  <c r="CG75" i="5"/>
  <c r="BG76" i="5"/>
  <c r="CG76" i="5"/>
  <c r="BG77" i="5"/>
  <c r="CG77" i="5"/>
  <c r="BG78" i="5"/>
  <c r="CG71" i="5"/>
  <c r="BG72" i="5"/>
  <c r="CG72" i="5"/>
  <c r="BG73" i="5"/>
  <c r="CG73" i="5"/>
  <c r="BG74" i="5"/>
  <c r="CG74" i="5"/>
  <c r="BG68" i="5"/>
  <c r="CG68" i="5"/>
  <c r="BG69" i="5"/>
  <c r="CG69" i="5"/>
  <c r="BG70" i="5"/>
  <c r="CG70" i="5"/>
  <c r="BG71" i="5"/>
  <c r="CA67" i="5" a="1"/>
  <c r="CA67" i="5" l="1"/>
  <c r="CB67" i="5" a="1"/>
  <c r="CB67" i="5" l="1"/>
  <c r="CC67" i="5" a="1"/>
  <c r="CC67" i="5" l="1"/>
  <c r="CD67" i="5" a="1"/>
  <c r="CD67" i="5" l="1"/>
  <c r="CE67" i="5" a="1"/>
  <c r="CE67" i="5" l="1"/>
  <c r="CF67" i="5" a="1"/>
  <c r="CF67" i="5" l="1"/>
  <c r="CG67" i="5" a="1"/>
  <c r="CG67" i="5" l="1"/>
  <c r="AV67" i="5" a="1"/>
  <c r="AV67" i="5" l="1"/>
  <c r="AW67" i="5" a="1"/>
  <c r="AW67" i="5" l="1"/>
  <c r="BV67" i="5" a="1"/>
  <c r="BV67" i="5" l="1"/>
  <c r="BW67" i="5" a="1"/>
  <c r="BW67" i="5" l="1"/>
  <c r="BX67" i="5" a="1"/>
  <c r="BX67" i="5" l="1"/>
  <c r="BY67" i="5" a="1"/>
  <c r="BY67" i="5" l="1"/>
  <c r="BZ67" i="5" a="1"/>
  <c r="BZ67" i="5" l="1"/>
  <c r="AO67" i="5" a="1"/>
  <c r="AO67" i="5" l="1"/>
  <c r="AP67" i="5" a="1"/>
  <c r="AP67" i="5" l="1"/>
  <c r="AQ67" i="5" a="1"/>
  <c r="AQ67" i="5" l="1"/>
  <c r="AR67" i="5" a="1"/>
  <c r="AR67" i="5" l="1"/>
  <c r="AS67" i="5" a="1"/>
  <c r="AS67" i="5" l="1"/>
  <c r="AT67" i="5" a="1"/>
  <c r="AT67" i="5" l="1"/>
  <c r="AU67" i="5" a="1"/>
  <c r="AU67" i="5" l="1"/>
  <c r="AH67" i="5" a="1"/>
  <c r="AH67" i="5" l="1"/>
  <c r="AI67" i="5" a="1"/>
  <c r="AI67" i="5" l="1"/>
  <c r="AJ67" i="5" a="1"/>
  <c r="AJ67" i="5" l="1"/>
  <c r="AK67" i="5" a="1"/>
  <c r="AK67" i="5" l="1"/>
  <c r="AL67" i="5" a="1"/>
  <c r="AL67" i="5" l="1"/>
  <c r="AM67" i="5" a="1"/>
  <c r="AM67" i="5" l="1"/>
  <c r="AN67" i="5" a="1"/>
  <c r="AN67" i="5" l="1"/>
  <c r="AA67" i="5" a="1"/>
  <c r="AA67" i="5" l="1"/>
  <c r="AB67" i="5" a="1"/>
  <c r="AB67" i="5" l="1"/>
  <c r="AC67" i="5" a="1"/>
  <c r="AC67" i="5" l="1"/>
  <c r="AD67" i="5" a="1"/>
  <c r="AD67" i="5" l="1"/>
  <c r="AE67" i="5" a="1"/>
  <c r="AE67" i="5" l="1"/>
  <c r="AF67" i="5" a="1"/>
  <c r="AF67" i="5" l="1"/>
  <c r="AG67" i="5" a="1"/>
  <c r="AG67" i="5" l="1"/>
  <c r="S67" i="5" a="1"/>
  <c r="S67" i="5" l="1"/>
  <c r="U67" i="5" a="1"/>
  <c r="U67" i="5" l="1"/>
  <c r="V67" i="5" a="1"/>
  <c r="V67" i="5" l="1"/>
  <c r="W67" i="5" a="1"/>
  <c r="W67" i="5" l="1"/>
  <c r="X67" i="5" a="1"/>
  <c r="X67" i="5" l="1"/>
  <c r="Y67" i="5" a="1"/>
  <c r="Y67" i="5" l="1"/>
  <c r="Z67" i="5" a="1"/>
  <c r="Z67" i="5" l="1"/>
  <c r="L67" i="5" a="1"/>
  <c r="L67" i="5" l="1"/>
  <c r="M67" i="5" a="1"/>
  <c r="M67" i="5" l="1"/>
  <c r="N67" i="5" a="1"/>
  <c r="N67" i="5" l="1"/>
  <c r="O67" i="5" a="1"/>
  <c r="O67" i="5" l="1"/>
  <c r="P67" i="5" a="1"/>
  <c r="P67" i="5" l="1"/>
  <c r="Q67" i="5" a="1"/>
  <c r="Q67" i="5" l="1"/>
  <c r="R67" i="5" a="1"/>
  <c r="R67" i="5" l="1"/>
  <c r="E67" i="5" a="1"/>
  <c r="E67" i="5" l="1"/>
  <c r="F67" i="5" a="1"/>
  <c r="F67" i="5" l="1"/>
  <c r="G67" i="5" a="1"/>
  <c r="G67" i="5" l="1"/>
  <c r="H67" i="5" a="1"/>
  <c r="H67" i="5" l="1"/>
  <c r="I67" i="5" a="1"/>
  <c r="I67" i="5" l="1"/>
  <c r="J67" i="5" a="1"/>
  <c r="J67" i="5" l="1"/>
  <c r="K67" i="5" a="1"/>
  <c r="K67" i="5" l="1"/>
  <c r="CC66" i="5" a="1"/>
  <c r="CC66" i="5" l="1"/>
  <c r="CD66" i="5" a="1"/>
  <c r="CD66" i="5" l="1"/>
  <c r="CE66" i="5" a="1"/>
  <c r="CE66" i="5" l="1"/>
  <c r="CF66" i="5" a="1"/>
  <c r="CF66" i="5" l="1"/>
  <c r="CG66" i="5" a="1"/>
  <c r="CG66" i="5" l="1"/>
  <c r="B67" i="5" a="1"/>
  <c r="B67" i="5" l="1"/>
  <c r="C67" i="5" a="1"/>
  <c r="C67" i="5" l="1"/>
  <c r="BV66" i="5" a="1"/>
  <c r="BV66" i="5" l="1"/>
  <c r="BW66" i="5" a="1"/>
  <c r="BW66" i="5" l="1"/>
  <c r="BX66" i="5" a="1"/>
  <c r="BX66" i="5" l="1"/>
  <c r="BY66" i="5" a="1"/>
  <c r="BY66" i="5" l="1"/>
  <c r="BZ66" i="5" a="1"/>
  <c r="BZ66" i="5" l="1"/>
  <c r="CA66" i="5" a="1"/>
  <c r="CA66" i="5" l="1"/>
  <c r="CB66" i="5" a="1"/>
  <c r="CB66" i="5" l="1"/>
  <c r="AQ66" i="5" a="1"/>
  <c r="AQ66" i="5" l="1"/>
  <c r="AR66" i="5" a="1"/>
  <c r="AR66" i="5" l="1"/>
  <c r="AS66" i="5" a="1"/>
  <c r="AS66" i="5" l="1"/>
  <c r="AT66" i="5" a="1"/>
  <c r="AT66" i="5" l="1"/>
  <c r="AU66" i="5" a="1"/>
  <c r="AU66" i="5" l="1"/>
  <c r="AV66" i="5" a="1"/>
  <c r="AV66" i="5" l="1"/>
  <c r="AW66" i="5" a="1"/>
  <c r="AW66" i="5" l="1"/>
  <c r="AJ66" i="5" a="1"/>
  <c r="AJ66" i="5" l="1"/>
  <c r="AK66" i="5" a="1"/>
  <c r="AK66" i="5" l="1"/>
  <c r="AL66" i="5" a="1"/>
  <c r="AL66" i="5" l="1"/>
  <c r="AM66" i="5" a="1"/>
  <c r="AM66" i="5" l="1"/>
  <c r="AN66" i="5" a="1"/>
  <c r="AN66" i="5" l="1"/>
  <c r="AO66" i="5" a="1"/>
  <c r="AO66" i="5" l="1"/>
  <c r="AP66" i="5" a="1"/>
  <c r="AP66" i="5" l="1"/>
  <c r="AC66" i="5" a="1"/>
  <c r="AC66" i="5" l="1"/>
  <c r="AD66" i="5" a="1"/>
  <c r="AD66" i="5" l="1"/>
  <c r="AE66" i="5" a="1"/>
  <c r="AE66" i="5" l="1"/>
  <c r="AF66" i="5" a="1"/>
  <c r="AF66" i="5" l="1"/>
  <c r="AG66" i="5" a="1"/>
  <c r="AG66" i="5" l="1"/>
  <c r="AH66" i="5" a="1"/>
  <c r="AH66" i="5" l="1"/>
  <c r="AI66" i="5" a="1"/>
  <c r="AI66" i="5" l="1"/>
  <c r="V66" i="5" a="1"/>
  <c r="V66" i="5" l="1"/>
  <c r="W66" i="5" a="1"/>
  <c r="W66" i="5" l="1"/>
  <c r="X66" i="5" a="1"/>
  <c r="X66" i="5" l="1"/>
  <c r="Y66" i="5" a="1"/>
  <c r="Y66" i="5" l="1"/>
  <c r="Z66" i="5" a="1"/>
  <c r="Z66" i="5" l="1"/>
  <c r="AA66" i="5" a="1"/>
  <c r="AA66" i="5" l="1"/>
  <c r="AB66" i="5" a="1"/>
  <c r="AB66" i="5" l="1"/>
  <c r="N66" i="5" a="1"/>
  <c r="N66" i="5" l="1"/>
  <c r="O66" i="5" a="1"/>
  <c r="O66" i="5" l="1"/>
  <c r="P66" i="5" a="1"/>
  <c r="P66" i="5" l="1"/>
  <c r="Q66" i="5" a="1"/>
  <c r="Q66" i="5" l="1"/>
  <c r="R66" i="5" a="1"/>
  <c r="R66" i="5" l="1"/>
  <c r="S66" i="5" a="1"/>
  <c r="S66" i="5" l="1"/>
  <c r="U66" i="5" a="1"/>
  <c r="U66" i="5" l="1"/>
  <c r="G66" i="5" a="1"/>
  <c r="G66" i="5" l="1"/>
  <c r="H66" i="5" a="1"/>
  <c r="H66" i="5" l="1"/>
  <c r="I66" i="5" a="1"/>
  <c r="I66" i="5" l="1"/>
  <c r="J66" i="5" a="1"/>
  <c r="J66" i="5" l="1"/>
  <c r="K66" i="5" a="1"/>
  <c r="K66" i="5" l="1"/>
  <c r="L66" i="5" a="1"/>
  <c r="L66" i="5" l="1"/>
  <c r="M66" i="5" a="1"/>
  <c r="M66" i="5" l="1"/>
  <c r="CE65" i="5" a="1"/>
  <c r="CE65" i="5" l="1"/>
  <c r="CF65" i="5" a="1"/>
  <c r="CF65" i="5" l="1"/>
  <c r="CG65" i="5" a="1"/>
  <c r="CG65" i="5" l="1"/>
  <c r="B66" i="5" a="1"/>
  <c r="B66" i="5" l="1"/>
  <c r="C66" i="5" a="1"/>
  <c r="C66" i="5" l="1"/>
  <c r="E66" i="5" a="1"/>
  <c r="E66" i="5" l="1"/>
  <c r="F66" i="5" a="1"/>
  <c r="F66" i="5" l="1"/>
  <c r="BX65" i="5" a="1"/>
  <c r="BX65" i="5" l="1"/>
  <c r="BY65" i="5" a="1"/>
  <c r="BY65" i="5" l="1"/>
  <c r="BZ65" i="5" a="1"/>
  <c r="BZ65" i="5" l="1"/>
  <c r="CA65" i="5" a="1"/>
  <c r="CA65" i="5" l="1"/>
  <c r="CB65" i="5" a="1"/>
  <c r="CB65" i="5" l="1"/>
  <c r="CC65" i="5" a="1"/>
  <c r="CC65" i="5" l="1"/>
  <c r="CD65" i="5" a="1"/>
  <c r="CD65" i="5" l="1"/>
  <c r="AS65" i="5" a="1"/>
  <c r="AS65" i="5" l="1"/>
  <c r="AT65" i="5" a="1"/>
  <c r="AT65" i="5" l="1"/>
  <c r="AU65" i="5" a="1"/>
  <c r="AU65" i="5" l="1"/>
  <c r="AV65" i="5" a="1"/>
  <c r="AV65" i="5" l="1"/>
  <c r="AW65" i="5" a="1"/>
  <c r="AW65" i="5" l="1"/>
  <c r="BV65" i="5" a="1"/>
  <c r="BV65" i="5" l="1"/>
  <c r="BW65" i="5" a="1"/>
  <c r="BW65" i="5" l="1"/>
  <c r="AL65" i="5" a="1"/>
  <c r="AL65" i="5" l="1"/>
  <c r="AM65" i="5" a="1"/>
  <c r="AM65" i="5" l="1"/>
  <c r="AN65" i="5" a="1"/>
  <c r="AN65" i="5" l="1"/>
  <c r="AO65" i="5" a="1"/>
  <c r="AO65" i="5" l="1"/>
  <c r="AP65" i="5" a="1"/>
  <c r="AP65" i="5" l="1"/>
  <c r="AQ65" i="5" a="1"/>
  <c r="AQ65" i="5" l="1"/>
  <c r="AR65" i="5" a="1"/>
  <c r="AR65" i="5" l="1"/>
  <c r="AE65" i="5" a="1"/>
  <c r="AE65" i="5" l="1"/>
  <c r="AF65" i="5" a="1"/>
  <c r="AF65" i="5" l="1"/>
  <c r="AG65" i="5" a="1"/>
  <c r="AG65" i="5" l="1"/>
  <c r="AH65" i="5" a="1"/>
  <c r="AH65" i="5" l="1"/>
  <c r="AI65" i="5" a="1"/>
  <c r="AI65" i="5" l="1"/>
  <c r="AJ65" i="5" a="1"/>
  <c r="AJ65" i="5" l="1"/>
  <c r="AK65" i="5" a="1"/>
  <c r="AK65" i="5" l="1"/>
  <c r="X65" i="5" a="1"/>
  <c r="X65" i="5" l="1"/>
  <c r="Y65" i="5" a="1"/>
  <c r="Y65" i="5" l="1"/>
  <c r="Z65" i="5" a="1"/>
  <c r="Z65" i="5" l="1"/>
  <c r="AA65" i="5" a="1"/>
  <c r="AA65" i="5" l="1"/>
  <c r="AB65" i="5" a="1"/>
  <c r="AB65" i="5" l="1"/>
  <c r="AC65" i="5" a="1"/>
  <c r="AC65" i="5" l="1"/>
  <c r="AD65" i="5" a="1"/>
  <c r="AD65" i="5" l="1"/>
  <c r="P65" i="5" a="1"/>
  <c r="P65" i="5" l="1"/>
  <c r="Q65" i="5" a="1"/>
  <c r="Q65" i="5" l="1"/>
  <c r="R65" i="5" a="1"/>
  <c r="R65" i="5" l="1"/>
  <c r="S65" i="5" a="1"/>
  <c r="S65" i="5" l="1"/>
  <c r="U65" i="5" a="1"/>
  <c r="U65" i="5" l="1"/>
  <c r="V65" i="5" a="1"/>
  <c r="V65" i="5" l="1"/>
  <c r="W65" i="5" a="1"/>
  <c r="W65" i="5" l="1"/>
  <c r="I65" i="5" a="1"/>
  <c r="I65" i="5" l="1"/>
  <c r="J65" i="5" a="1"/>
  <c r="J65" i="5" l="1"/>
  <c r="K65" i="5" a="1"/>
  <c r="K65" i="5" l="1"/>
  <c r="L65" i="5" a="1"/>
  <c r="L65" i="5" l="1"/>
  <c r="M65" i="5" a="1"/>
  <c r="M65" i="5" l="1"/>
  <c r="N65" i="5" a="1"/>
  <c r="N65" i="5" l="1"/>
  <c r="O65" i="5" a="1"/>
  <c r="O65" i="5" l="1"/>
  <c r="CG64" i="5" a="1"/>
  <c r="CG64" i="5" l="1"/>
  <c r="B65" i="5" a="1"/>
  <c r="B65" i="5" l="1"/>
  <c r="C65" i="5" a="1"/>
  <c r="C65" i="5" l="1"/>
  <c r="E65" i="5" a="1"/>
  <c r="E65" i="5" l="1"/>
  <c r="F65" i="5" a="1"/>
  <c r="F65" i="5" l="1"/>
  <c r="G65" i="5" a="1"/>
  <c r="G65" i="5" l="1"/>
  <c r="H65" i="5" a="1"/>
  <c r="H65" i="5" l="1"/>
  <c r="BZ64" i="5" a="1"/>
  <c r="BZ64" i="5" l="1"/>
  <c r="CA64" i="5" a="1"/>
  <c r="CA64" i="5" l="1"/>
  <c r="CB64" i="5" a="1"/>
  <c r="CB64" i="5" l="1"/>
  <c r="CC64" i="5" a="1"/>
  <c r="CC64" i="5" l="1"/>
  <c r="CD64" i="5" a="1"/>
  <c r="CD64" i="5" l="1"/>
  <c r="CE64" i="5" a="1"/>
  <c r="CE64" i="5" l="1"/>
  <c r="CF64" i="5" a="1"/>
  <c r="CF64" i="5" l="1"/>
  <c r="AU64" i="5" a="1"/>
  <c r="AU64" i="5" l="1"/>
  <c r="AV64" i="5" a="1"/>
  <c r="AV64" i="5" l="1"/>
  <c r="AW64" i="5" a="1"/>
  <c r="AW64" i="5" l="1"/>
  <c r="BV64" i="5" a="1"/>
  <c r="BV64" i="5" l="1"/>
  <c r="BW64" i="5" a="1"/>
  <c r="BW64" i="5" l="1"/>
  <c r="BX64" i="5" a="1"/>
  <c r="BX64" i="5" l="1"/>
  <c r="BY64" i="5" a="1"/>
  <c r="BY64" i="5" l="1"/>
  <c r="AN64" i="5" a="1"/>
  <c r="AN64" i="5" l="1"/>
  <c r="AO64" i="5" a="1"/>
  <c r="AO64" i="5" l="1"/>
  <c r="AP64" i="5" a="1"/>
  <c r="AP64" i="5" l="1"/>
  <c r="AQ64" i="5" a="1"/>
  <c r="AQ64" i="5" l="1"/>
  <c r="AR64" i="5" a="1"/>
  <c r="AR64" i="5" l="1"/>
  <c r="AS64" i="5" a="1"/>
  <c r="AS64" i="5" l="1"/>
  <c r="AT64" i="5" a="1"/>
  <c r="AT64" i="5" l="1"/>
  <c r="AG64" i="5" a="1"/>
  <c r="AG64" i="5" l="1"/>
  <c r="AH64" i="5" a="1"/>
  <c r="AH64" i="5" l="1"/>
  <c r="AI64" i="5" a="1"/>
  <c r="AI64" i="5" l="1"/>
  <c r="AJ64" i="5" a="1"/>
  <c r="AJ64" i="5" l="1"/>
  <c r="AK64" i="5" a="1"/>
  <c r="AK64" i="5" l="1"/>
  <c r="AL64" i="5" a="1"/>
  <c r="AL64" i="5" l="1"/>
  <c r="AM64" i="5" a="1"/>
  <c r="AM64" i="5" l="1"/>
  <c r="Z64" i="5" a="1"/>
  <c r="Z64" i="5" l="1"/>
  <c r="AA64" i="5" a="1"/>
  <c r="AA64" i="5" l="1"/>
  <c r="AB64" i="5" a="1"/>
  <c r="AB64" i="5" l="1"/>
  <c r="AC64" i="5" a="1"/>
  <c r="AC64" i="5" l="1"/>
  <c r="AD64" i="5" a="1"/>
  <c r="AD64" i="5" l="1"/>
  <c r="AE64" i="5" a="1"/>
  <c r="AE64" i="5" l="1"/>
  <c r="AF64" i="5" a="1"/>
  <c r="AF64" i="5" l="1"/>
  <c r="R64" i="5" a="1"/>
  <c r="R64" i="5" l="1"/>
  <c r="S64" i="5" a="1"/>
  <c r="S64" i="5" l="1"/>
  <c r="U64" i="5" a="1"/>
  <c r="U64" i="5" l="1"/>
  <c r="V64" i="5" a="1"/>
  <c r="V64" i="5" l="1"/>
  <c r="W64" i="5" a="1"/>
  <c r="W64" i="5" l="1"/>
  <c r="X64" i="5" a="1"/>
  <c r="X64" i="5" l="1"/>
  <c r="Y64" i="5" a="1"/>
  <c r="Y64" i="5" l="1"/>
  <c r="K64" i="5" a="1"/>
  <c r="K64" i="5" l="1"/>
  <c r="L64" i="5" a="1"/>
  <c r="L64" i="5" l="1"/>
  <c r="M64" i="5" a="1"/>
  <c r="M64" i="5" l="1"/>
  <c r="N64" i="5" a="1"/>
  <c r="N64" i="5" l="1"/>
  <c r="O64" i="5" a="1"/>
  <c r="O64" i="5" l="1"/>
  <c r="P64" i="5" a="1"/>
  <c r="P64" i="5" l="1"/>
  <c r="Q64" i="5" a="1"/>
  <c r="Q64" i="5" l="1"/>
  <c r="C64" i="5" a="1"/>
  <c r="C64" i="5" l="1"/>
  <c r="E64" i="5" a="1"/>
  <c r="E64" i="5" l="1"/>
  <c r="F64" i="5" a="1"/>
  <c r="F64" i="5" l="1"/>
  <c r="G64" i="5" a="1"/>
  <c r="G64" i="5" l="1"/>
  <c r="H64" i="5" a="1"/>
  <c r="H64" i="5" l="1"/>
  <c r="I64" i="5" a="1"/>
  <c r="I64" i="5" l="1"/>
  <c r="J64" i="5" a="1"/>
  <c r="J64" i="5" l="1"/>
  <c r="CB63" i="5" a="1"/>
  <c r="CB63" i="5" l="1"/>
  <c r="CC63" i="5" a="1"/>
  <c r="CC63" i="5" l="1"/>
  <c r="CD63" i="5" a="1"/>
  <c r="CD63" i="5" l="1"/>
  <c r="CE63" i="5" a="1"/>
  <c r="CE63" i="5" l="1"/>
  <c r="CF63" i="5" a="1"/>
  <c r="CF63" i="5" l="1"/>
  <c r="CG63" i="5" a="1"/>
  <c r="CG63" i="5" l="1"/>
  <c r="B64" i="5" a="1"/>
  <c r="B64" i="5" l="1"/>
  <c r="BI67" i="5" a="1"/>
  <c r="BI67" i="5" l="1"/>
  <c r="BV63" i="5" a="1"/>
  <c r="BV63" i="5" l="1"/>
  <c r="BW63" i="5" a="1"/>
  <c r="BW63" i="5" l="1"/>
  <c r="BX63" i="5" a="1"/>
  <c r="BX63" i="5" l="1"/>
  <c r="BY63" i="5" a="1"/>
  <c r="BY63" i="5" l="1"/>
  <c r="BZ63" i="5" a="1"/>
  <c r="BZ63" i="5" l="1"/>
  <c r="CA63" i="5" a="1"/>
  <c r="CA63" i="5" l="1"/>
  <c r="BB67" i="5" a="1"/>
  <c r="BB67" i="5" l="1"/>
  <c r="BC67" i="5" a="1"/>
  <c r="BC67" i="5" l="1"/>
  <c r="BD67" i="5" a="1"/>
  <c r="BD67" i="5" l="1"/>
  <c r="BE67" i="5" a="1"/>
  <c r="BE67" i="5" l="1"/>
  <c r="BF67" i="5" a="1"/>
  <c r="BF67" i="5" l="1"/>
  <c r="BG67" i="5"/>
  <c r="BH67" i="5" a="1"/>
  <c r="BH67" i="5" l="1"/>
  <c r="AU63" i="5" a="1"/>
  <c r="AU63" i="5" l="1"/>
  <c r="AV63" i="5" a="1"/>
  <c r="AV63" i="5" l="1"/>
  <c r="AW63" i="5" a="1"/>
  <c r="AW63" i="5" l="1"/>
  <c r="AX67" i="5" a="1"/>
  <c r="AX67" i="5" l="1"/>
  <c r="AY67" i="5" a="1"/>
  <c r="AY67" i="5" l="1"/>
  <c r="AZ67" i="5" a="1"/>
  <c r="AZ67" i="5" l="1"/>
  <c r="BA67" i="5" a="1"/>
  <c r="BA67" i="5" l="1"/>
  <c r="AN63" i="5" a="1"/>
  <c r="AN63" i="5" l="1"/>
  <c r="AO63" i="5" a="1"/>
  <c r="AO63" i="5" l="1"/>
  <c r="AP63" i="5" a="1"/>
  <c r="AP63" i="5" l="1"/>
  <c r="AQ63" i="5" a="1"/>
  <c r="AQ63" i="5" l="1"/>
  <c r="AR63" i="5" a="1"/>
  <c r="AR63" i="5" l="1"/>
  <c r="AS63" i="5" a="1"/>
  <c r="AS63" i="5" l="1"/>
  <c r="AT63" i="5" a="1"/>
  <c r="AT63" i="5" l="1"/>
  <c r="AG63" i="5" a="1"/>
  <c r="AG63" i="5" l="1"/>
  <c r="AH63" i="5" a="1"/>
  <c r="AH63" i="5" l="1"/>
  <c r="AI63" i="5" a="1"/>
  <c r="AI63" i="5" l="1"/>
  <c r="AJ63" i="5" a="1"/>
  <c r="AJ63" i="5" l="1"/>
  <c r="AK63" i="5" a="1"/>
  <c r="AK63" i="5" l="1"/>
  <c r="AL63" i="5" a="1"/>
  <c r="AL63" i="5" l="1"/>
  <c r="AM63" i="5" a="1"/>
  <c r="AM63" i="5" l="1"/>
  <c r="Z63" i="5" a="1"/>
  <c r="Z63" i="5" l="1"/>
  <c r="AA63" i="5" a="1"/>
  <c r="AA63" i="5" l="1"/>
  <c r="AB63" i="5" a="1"/>
  <c r="AB63" i="5" l="1"/>
  <c r="AC63" i="5" a="1"/>
  <c r="AC63" i="5" l="1"/>
  <c r="AD63" i="5" a="1"/>
  <c r="AD63" i="5" l="1"/>
  <c r="AE63" i="5" a="1"/>
  <c r="AE63" i="5" l="1"/>
  <c r="AF63" i="5" a="1"/>
  <c r="AF63" i="5" l="1"/>
  <c r="R63" i="5" a="1"/>
  <c r="R63" i="5" l="1"/>
  <c r="S63" i="5" a="1"/>
  <c r="S63" i="5" l="1"/>
  <c r="U63" i="5" a="1"/>
  <c r="U63" i="5" l="1"/>
  <c r="V63" i="5" a="1"/>
  <c r="V63" i="5" l="1"/>
  <c r="W63" i="5" a="1"/>
  <c r="W63" i="5" l="1"/>
  <c r="X63" i="5" a="1"/>
  <c r="X63" i="5" l="1"/>
  <c r="Y63" i="5" a="1"/>
  <c r="Y63" i="5" l="1"/>
  <c r="K63" i="5" a="1"/>
  <c r="K63" i="5" l="1"/>
  <c r="L63" i="5" a="1"/>
  <c r="L63" i="5" l="1"/>
  <c r="M63" i="5" a="1"/>
  <c r="M63" i="5" l="1"/>
  <c r="N63" i="5" a="1"/>
  <c r="N63" i="5" l="1"/>
  <c r="O63" i="5" a="1"/>
  <c r="O63" i="5" l="1"/>
  <c r="P63" i="5" a="1"/>
  <c r="P63" i="5" l="1"/>
  <c r="Q63" i="5" a="1"/>
  <c r="Q63" i="5" l="1"/>
  <c r="C63" i="5" a="1"/>
  <c r="C63" i="5" l="1"/>
  <c r="E63" i="5" a="1"/>
  <c r="E63" i="5" l="1"/>
  <c r="F63" i="5" a="1"/>
  <c r="F63" i="5" l="1"/>
  <c r="G63" i="5" a="1"/>
  <c r="G63" i="5" l="1"/>
  <c r="H63" i="5" a="1"/>
  <c r="H63" i="5" l="1"/>
  <c r="I63" i="5" a="1"/>
  <c r="I63" i="5" l="1"/>
  <c r="J63" i="5" a="1"/>
  <c r="J63" i="5" l="1"/>
  <c r="CB62" i="5" a="1"/>
  <c r="CB62" i="5" l="1"/>
  <c r="CC62" i="5" a="1"/>
  <c r="CC62" i="5" l="1"/>
  <c r="CD62" i="5" a="1"/>
  <c r="CD62" i="5" l="1"/>
  <c r="CE62" i="5" a="1"/>
  <c r="CE62" i="5" l="1"/>
  <c r="CF62" i="5" a="1"/>
  <c r="CF62" i="5" l="1"/>
  <c r="CG62" i="5" a="1"/>
  <c r="CG62" i="5" l="1"/>
  <c r="B63" i="5" a="1"/>
  <c r="B63" i="5" l="1"/>
  <c r="BI66" i="5" a="1"/>
  <c r="BI66" i="5" l="1"/>
  <c r="BV62" i="5" a="1"/>
  <c r="BV62" i="5" l="1"/>
  <c r="BW62" i="5" a="1"/>
  <c r="BW62" i="5" l="1"/>
  <c r="BX62" i="5" a="1"/>
  <c r="BX62" i="5" l="1"/>
  <c r="BY62" i="5" a="1"/>
  <c r="BY62" i="5" l="1"/>
  <c r="BZ62" i="5" a="1"/>
  <c r="BZ62" i="5" l="1"/>
  <c r="CA62" i="5" a="1"/>
  <c r="CA62" i="5" l="1"/>
  <c r="BB66" i="5" a="1"/>
  <c r="BB66" i="5" l="1"/>
  <c r="BC66" i="5" a="1"/>
  <c r="BC66" i="5" l="1"/>
  <c r="BD66" i="5" a="1"/>
  <c r="BD66" i="5" l="1"/>
  <c r="BE66" i="5" a="1"/>
  <c r="BE66" i="5" l="1"/>
  <c r="BF66" i="5" a="1"/>
  <c r="BF66" i="5" l="1"/>
  <c r="BG66" i="5"/>
  <c r="BH66" i="5" a="1"/>
  <c r="BH66" i="5" l="1"/>
  <c r="AU62" i="5" a="1"/>
  <c r="AU62" i="5" l="1"/>
  <c r="AV62" i="5" a="1"/>
  <c r="AV62" i="5" l="1"/>
  <c r="AW62" i="5" a="1"/>
  <c r="AW62" i="5" l="1"/>
  <c r="AX66" i="5" a="1"/>
  <c r="AX66" i="5" l="1"/>
  <c r="AY66" i="5" a="1"/>
  <c r="AY66" i="5" l="1"/>
  <c r="AZ66" i="5" a="1"/>
  <c r="AZ66" i="5" l="1"/>
  <c r="BA66" i="5" a="1"/>
  <c r="BA66" i="5" l="1"/>
  <c r="AN62" i="5" a="1"/>
  <c r="AN62" i="5" l="1"/>
  <c r="AO62" i="5" a="1"/>
  <c r="AO62" i="5" l="1"/>
  <c r="AP62" i="5" a="1"/>
  <c r="AP62" i="5" l="1"/>
  <c r="AQ62" i="5" a="1"/>
  <c r="AQ62" i="5" l="1"/>
  <c r="AR62" i="5" a="1"/>
  <c r="AR62" i="5" l="1"/>
  <c r="AS62" i="5" a="1"/>
  <c r="AS62" i="5" l="1"/>
  <c r="AT62" i="5" a="1"/>
  <c r="AT62" i="5" l="1"/>
  <c r="AG62" i="5" a="1"/>
  <c r="AG62" i="5" l="1"/>
  <c r="AH62" i="5" a="1"/>
  <c r="AH62" i="5" l="1"/>
  <c r="AI62" i="5" a="1"/>
  <c r="AI62" i="5" l="1"/>
  <c r="AJ62" i="5" a="1"/>
  <c r="AJ62" i="5" l="1"/>
  <c r="AK62" i="5" a="1"/>
  <c r="AK62" i="5" l="1"/>
  <c r="AL62" i="5" a="1"/>
  <c r="AL62" i="5" l="1"/>
  <c r="AM62" i="5" a="1"/>
  <c r="AM62" i="5" l="1"/>
  <c r="Z62" i="5" a="1"/>
  <c r="Z62" i="5" l="1"/>
  <c r="AA62" i="5" a="1"/>
  <c r="AA62" i="5" l="1"/>
  <c r="AB62" i="5" a="1"/>
  <c r="AB62" i="5" l="1"/>
  <c r="AC62" i="5" a="1"/>
  <c r="AC62" i="5" l="1"/>
  <c r="AD62" i="5" a="1"/>
  <c r="AD62" i="5" l="1"/>
  <c r="AE62" i="5" a="1"/>
  <c r="AE62" i="5" l="1"/>
  <c r="AF62" i="5" a="1"/>
  <c r="AF62" i="5" l="1"/>
  <c r="R62" i="5" a="1"/>
  <c r="R62" i="5" l="1"/>
  <c r="S62" i="5" a="1"/>
  <c r="S62" i="5" l="1"/>
  <c r="U62" i="5" a="1"/>
  <c r="U62" i="5" l="1"/>
  <c r="V62" i="5" a="1"/>
  <c r="V62" i="5" l="1"/>
  <c r="W62" i="5" a="1"/>
  <c r="W62" i="5" l="1"/>
  <c r="X62" i="5" a="1"/>
  <c r="X62" i="5" l="1"/>
  <c r="Y62" i="5" a="1"/>
  <c r="Y62" i="5" l="1"/>
  <c r="K62" i="5" a="1"/>
  <c r="K62" i="5" l="1"/>
  <c r="L62" i="5" a="1"/>
  <c r="L62" i="5" l="1"/>
  <c r="M62" i="5" a="1"/>
  <c r="M62" i="5" l="1"/>
  <c r="N62" i="5" a="1"/>
  <c r="N62" i="5" l="1"/>
  <c r="O62" i="5" a="1"/>
  <c r="O62" i="5" l="1"/>
  <c r="P62" i="5" a="1"/>
  <c r="P62" i="5" l="1"/>
  <c r="Q62" i="5" a="1"/>
  <c r="Q62" i="5" l="1"/>
  <c r="C62" i="5" a="1"/>
  <c r="C62" i="5" l="1"/>
  <c r="E62" i="5" a="1"/>
  <c r="E62" i="5" l="1"/>
  <c r="F62" i="5" a="1"/>
  <c r="F62" i="5" l="1"/>
  <c r="G62" i="5" a="1"/>
  <c r="G62" i="5" l="1"/>
  <c r="H62" i="5" a="1"/>
  <c r="H62" i="5" l="1"/>
  <c r="I62" i="5" a="1"/>
  <c r="I62" i="5" l="1"/>
  <c r="J62" i="5" a="1"/>
  <c r="J62" i="5" l="1"/>
  <c r="CB61" i="5" a="1"/>
  <c r="CB61" i="5" l="1"/>
  <c r="CC61" i="5" a="1"/>
  <c r="CC61" i="5" l="1"/>
  <c r="CD61" i="5" a="1"/>
  <c r="CD61" i="5" l="1"/>
  <c r="CE61" i="5" a="1"/>
  <c r="CE61" i="5" l="1"/>
  <c r="CF61" i="5" a="1"/>
  <c r="CF61" i="5" l="1"/>
  <c r="CG61" i="5" a="1"/>
  <c r="CG61" i="5" l="1"/>
  <c r="B62" i="5" a="1"/>
  <c r="B62" i="5" l="1"/>
  <c r="BI65" i="5" a="1"/>
  <c r="BI65" i="5" l="1"/>
  <c r="BV61" i="5" a="1"/>
  <c r="BV61" i="5" l="1"/>
  <c r="BW61" i="5" a="1"/>
  <c r="BW61" i="5" l="1"/>
  <c r="BX61" i="5" a="1"/>
  <c r="BX61" i="5" l="1"/>
  <c r="BY61" i="5" a="1"/>
  <c r="BY61" i="5" l="1"/>
  <c r="BZ61" i="5" a="1"/>
  <c r="BZ61" i="5" l="1"/>
  <c r="CA61" i="5" a="1"/>
  <c r="CA61" i="5" l="1"/>
  <c r="BB65" i="5" a="1"/>
  <c r="BB65" i="5" l="1"/>
  <c r="BC65" i="5" a="1"/>
  <c r="BC65" i="5" l="1"/>
  <c r="BD65" i="5" a="1"/>
  <c r="BD65" i="5" l="1"/>
  <c r="BE65" i="5" a="1"/>
  <c r="BE65" i="5" l="1"/>
  <c r="BF65" i="5" a="1"/>
  <c r="BF65" i="5" l="1"/>
  <c r="BG65" i="5"/>
  <c r="BH65" i="5" a="1"/>
  <c r="BH65" i="5" l="1"/>
  <c r="AU61" i="5" a="1"/>
  <c r="AU61" i="5" l="1"/>
  <c r="AV61" i="5" a="1"/>
  <c r="AV61" i="5" l="1"/>
  <c r="AW61" i="5" a="1"/>
  <c r="AW61" i="5" l="1"/>
  <c r="AX65" i="5" a="1"/>
  <c r="AX65" i="5" l="1"/>
  <c r="AY65" i="5" a="1"/>
  <c r="AY65" i="5" l="1"/>
  <c r="AZ65" i="5" a="1"/>
  <c r="AZ65" i="5" l="1"/>
  <c r="BA65" i="5" a="1"/>
  <c r="BA65" i="5" l="1"/>
  <c r="AN61" i="5" a="1"/>
  <c r="AN61" i="5" l="1"/>
  <c r="AO61" i="5" a="1"/>
  <c r="AO61" i="5" l="1"/>
  <c r="AP61" i="5" a="1"/>
  <c r="AP61" i="5" l="1"/>
  <c r="AQ61" i="5" a="1"/>
  <c r="AQ61" i="5" l="1"/>
  <c r="AR61" i="5" a="1"/>
  <c r="AR61" i="5" l="1"/>
  <c r="AS61" i="5" a="1"/>
  <c r="AS61" i="5" l="1"/>
  <c r="AT61" i="5" a="1"/>
  <c r="AT61" i="5" l="1"/>
  <c r="AG61" i="5" a="1"/>
  <c r="AG61" i="5" l="1"/>
  <c r="AH61" i="5" a="1"/>
  <c r="AH61" i="5" l="1"/>
  <c r="AI61" i="5" a="1"/>
  <c r="AI61" i="5" l="1"/>
  <c r="AJ61" i="5" a="1"/>
  <c r="AJ61" i="5" l="1"/>
  <c r="AK61" i="5" a="1"/>
  <c r="AK61" i="5" l="1"/>
  <c r="AL61" i="5" a="1"/>
  <c r="AL61" i="5" l="1"/>
  <c r="AM61" i="5" a="1"/>
  <c r="AM61" i="5" l="1"/>
  <c r="Z61" i="5" a="1"/>
  <c r="Z61" i="5" l="1"/>
  <c r="AA61" i="5" a="1"/>
  <c r="AA61" i="5" l="1"/>
  <c r="AB61" i="5" a="1"/>
  <c r="AB61" i="5" l="1"/>
  <c r="AC61" i="5" a="1"/>
  <c r="AC61" i="5" l="1"/>
  <c r="AD61" i="5" a="1"/>
  <c r="AD61" i="5" l="1"/>
  <c r="AE61" i="5" a="1"/>
  <c r="AE61" i="5" l="1"/>
  <c r="AF61" i="5" a="1"/>
  <c r="AF61" i="5" l="1"/>
  <c r="R61" i="5" a="1"/>
  <c r="R61" i="5" l="1"/>
  <c r="S61" i="5" a="1"/>
  <c r="S61" i="5" l="1"/>
  <c r="U61" i="5" a="1"/>
  <c r="U61" i="5" l="1"/>
  <c r="V61" i="5" a="1"/>
  <c r="V61" i="5" l="1"/>
  <c r="W61" i="5" a="1"/>
  <c r="W61" i="5" l="1"/>
  <c r="X61" i="5" a="1"/>
  <c r="X61" i="5" l="1"/>
  <c r="Y61" i="5" a="1"/>
  <c r="Y61" i="5" l="1"/>
  <c r="K61" i="5" a="1"/>
  <c r="K61" i="5" l="1"/>
  <c r="L61" i="5" a="1"/>
  <c r="L61" i="5" l="1"/>
  <c r="M61" i="5" a="1"/>
  <c r="M61" i="5" l="1"/>
  <c r="N61" i="5" a="1"/>
  <c r="N61" i="5" l="1"/>
  <c r="O61" i="5" a="1"/>
  <c r="O61" i="5" l="1"/>
  <c r="P61" i="5" a="1"/>
  <c r="P61" i="5" l="1"/>
  <c r="Q61" i="5" a="1"/>
  <c r="Q61" i="5" l="1"/>
  <c r="C61" i="5" a="1"/>
  <c r="C61" i="5" l="1"/>
  <c r="E61" i="5" a="1"/>
  <c r="E61" i="5" l="1"/>
  <c r="F61" i="5" a="1"/>
  <c r="F61" i="5" l="1"/>
  <c r="G61" i="5" a="1"/>
  <c r="G61" i="5" l="1"/>
  <c r="H61" i="5" a="1"/>
  <c r="H61" i="5" l="1"/>
  <c r="I61" i="5" a="1"/>
  <c r="I61" i="5" l="1"/>
  <c r="J61" i="5" a="1"/>
  <c r="J61" i="5" l="1"/>
  <c r="CB60" i="5" a="1"/>
  <c r="CB60" i="5" l="1"/>
  <c r="CC60" i="5" a="1"/>
  <c r="CC60" i="5" l="1"/>
  <c r="CD60" i="5" a="1"/>
  <c r="CD60" i="5" l="1"/>
  <c r="CE60" i="5" a="1"/>
  <c r="CE60" i="5" l="1"/>
  <c r="CF60" i="5" a="1"/>
  <c r="CF60" i="5" l="1"/>
  <c r="CG60" i="5" a="1"/>
  <c r="CG60" i="5" l="1"/>
  <c r="B61" i="5" a="1"/>
  <c r="B61" i="5" l="1"/>
  <c r="BI64" i="5" a="1"/>
  <c r="BI64" i="5" l="1"/>
  <c r="BV60" i="5" a="1"/>
  <c r="BV60" i="5" l="1"/>
  <c r="BW60" i="5" a="1"/>
  <c r="BW60" i="5" l="1"/>
  <c r="BX60" i="5" a="1"/>
  <c r="BX60" i="5" l="1"/>
  <c r="BY60" i="5" a="1"/>
  <c r="BY60" i="5" l="1"/>
  <c r="BZ60" i="5" a="1"/>
  <c r="BZ60" i="5" l="1"/>
  <c r="CA60" i="5" a="1"/>
  <c r="CA60" i="5" l="1"/>
  <c r="BB64" i="5" a="1"/>
  <c r="BB64" i="5" l="1"/>
  <c r="BC64" i="5" a="1"/>
  <c r="BC64" i="5" l="1"/>
  <c r="BD64" i="5" a="1"/>
  <c r="BD64" i="5" l="1"/>
  <c r="BE64" i="5" a="1"/>
  <c r="BE64" i="5" l="1"/>
  <c r="BF64" i="5" a="1"/>
  <c r="BF64" i="5" l="1"/>
  <c r="BG64" i="5"/>
  <c r="BH64" i="5" a="1"/>
  <c r="BH64" i="5" l="1"/>
  <c r="AU60" i="5" a="1"/>
  <c r="AU60" i="5" l="1"/>
  <c r="AV60" i="5" a="1"/>
  <c r="AV60" i="5" l="1"/>
  <c r="AW60" i="5" a="1"/>
  <c r="AW60" i="5" l="1"/>
  <c r="AX64" i="5" a="1"/>
  <c r="AX64" i="5" l="1"/>
  <c r="AY64" i="5" a="1"/>
  <c r="AY64" i="5" l="1"/>
  <c r="AZ64" i="5" a="1"/>
  <c r="AZ64" i="5" l="1"/>
  <c r="BA64" i="5" a="1"/>
  <c r="BA64" i="5" l="1"/>
  <c r="AN60" i="5" a="1"/>
  <c r="AN60" i="5" l="1"/>
  <c r="AO60" i="5" a="1"/>
  <c r="AO60" i="5" l="1"/>
  <c r="AP60" i="5" a="1"/>
  <c r="AP60" i="5" l="1"/>
  <c r="AQ60" i="5" a="1"/>
  <c r="AQ60" i="5" l="1"/>
  <c r="AR60" i="5" a="1"/>
  <c r="AR60" i="5" l="1"/>
  <c r="AS60" i="5" a="1"/>
  <c r="AS60" i="5" l="1"/>
  <c r="AT60" i="5" a="1"/>
  <c r="AT60" i="5" l="1"/>
  <c r="AG60" i="5" a="1"/>
  <c r="AG60" i="5" l="1"/>
  <c r="AH60" i="5" a="1"/>
  <c r="AH60" i="5" l="1"/>
  <c r="AI60" i="5" a="1"/>
  <c r="AI60" i="5" l="1"/>
  <c r="AJ60" i="5" a="1"/>
  <c r="AJ60" i="5" l="1"/>
  <c r="AK60" i="5" a="1"/>
  <c r="AK60" i="5" l="1"/>
  <c r="AL60" i="5" a="1"/>
  <c r="AL60" i="5" l="1"/>
  <c r="AM60" i="5" a="1"/>
  <c r="AM60" i="5" l="1"/>
  <c r="Z60" i="5" a="1"/>
  <c r="Z60" i="5" l="1"/>
  <c r="AA60" i="5" a="1"/>
  <c r="AA60" i="5" l="1"/>
  <c r="AB60" i="5" a="1"/>
  <c r="AB60" i="5" l="1"/>
  <c r="AC60" i="5" a="1"/>
  <c r="AC60" i="5" l="1"/>
  <c r="AD60" i="5" a="1"/>
  <c r="AD60" i="5" l="1"/>
  <c r="AE60" i="5" a="1"/>
  <c r="AE60" i="5" l="1"/>
  <c r="AF60" i="5" a="1"/>
  <c r="AF60" i="5" l="1"/>
  <c r="R60" i="5" a="1"/>
  <c r="R60" i="5" l="1"/>
  <c r="S60" i="5" a="1"/>
  <c r="S60" i="5" l="1"/>
  <c r="U60" i="5" a="1"/>
  <c r="U60" i="5" l="1"/>
  <c r="V60" i="5" a="1"/>
  <c r="V60" i="5" l="1"/>
  <c r="W60" i="5" a="1"/>
  <c r="W60" i="5" l="1"/>
  <c r="X60" i="5" a="1"/>
  <c r="X60" i="5" l="1"/>
  <c r="Y60" i="5" a="1"/>
  <c r="Y60" i="5" l="1"/>
  <c r="K60" i="5" a="1"/>
  <c r="K60" i="5" l="1"/>
  <c r="L60" i="5" a="1"/>
  <c r="L60" i="5" l="1"/>
  <c r="M60" i="5" a="1"/>
  <c r="M60" i="5" l="1"/>
  <c r="N60" i="5" a="1"/>
  <c r="N60" i="5" l="1"/>
  <c r="O60" i="5" a="1"/>
  <c r="O60" i="5" l="1"/>
  <c r="P60" i="5" a="1"/>
  <c r="P60" i="5" l="1"/>
  <c r="Q60" i="5" a="1"/>
  <c r="Q60" i="5" l="1"/>
  <c r="C60" i="5" a="1"/>
  <c r="C60" i="5" l="1"/>
  <c r="E60" i="5" a="1"/>
  <c r="E60" i="5" l="1"/>
  <c r="F60" i="5" a="1"/>
  <c r="F60" i="5" l="1"/>
  <c r="G60" i="5" a="1"/>
  <c r="G60" i="5" l="1"/>
  <c r="H60" i="5" a="1"/>
  <c r="H60" i="5" l="1"/>
  <c r="I60" i="5" a="1"/>
  <c r="I60" i="5" l="1"/>
  <c r="J60" i="5" a="1"/>
  <c r="J60" i="5" l="1"/>
  <c r="CB59" i="5" a="1"/>
  <c r="CB59" i="5" l="1"/>
  <c r="CC59" i="5" a="1"/>
  <c r="CC59" i="5" l="1"/>
  <c r="CD59" i="5" a="1"/>
  <c r="CD59" i="5" l="1"/>
  <c r="CE59" i="5" a="1"/>
  <c r="CE59" i="5" l="1"/>
  <c r="CF59" i="5" a="1"/>
  <c r="CF59" i="5" l="1"/>
  <c r="CG59" i="5" a="1"/>
  <c r="CG59" i="5" l="1"/>
  <c r="B60" i="5" a="1"/>
  <c r="B60" i="5" l="1"/>
  <c r="BI63" i="5" a="1"/>
  <c r="BI63" i="5" l="1"/>
  <c r="BV59" i="5" a="1"/>
  <c r="BV59" i="5" l="1"/>
  <c r="BW59" i="5" a="1"/>
  <c r="BW59" i="5" l="1"/>
  <c r="BX59" i="5" a="1"/>
  <c r="BX59" i="5" l="1"/>
  <c r="BY59" i="5" a="1"/>
  <c r="BY59" i="5" l="1"/>
  <c r="BZ59" i="5" a="1"/>
  <c r="BZ59" i="5" l="1"/>
  <c r="CA59" i="5" a="1"/>
  <c r="CA59" i="5" l="1"/>
  <c r="BB63" i="5" a="1"/>
  <c r="BB63" i="5" l="1"/>
  <c r="BC63" i="5" a="1"/>
  <c r="BC63" i="5" l="1"/>
  <c r="BD63" i="5" a="1"/>
  <c r="BD63" i="5" l="1"/>
  <c r="BE63" i="5" a="1"/>
  <c r="BE63" i="5" l="1"/>
  <c r="BF63" i="5" a="1"/>
  <c r="BF63" i="5" l="1"/>
  <c r="BG63" i="5"/>
  <c r="BH63" i="5" a="1"/>
  <c r="BH63" i="5" l="1"/>
  <c r="AU59" i="5" a="1"/>
  <c r="AU59" i="5" l="1"/>
  <c r="AV59" i="5" a="1"/>
  <c r="AV59" i="5" l="1"/>
  <c r="AW59" i="5" a="1"/>
  <c r="AW59" i="5" l="1"/>
  <c r="AX63" i="5" a="1"/>
  <c r="AX63" i="5" l="1"/>
  <c r="AY63" i="5" a="1"/>
  <c r="AY63" i="5" l="1"/>
  <c r="AZ63" i="5" a="1"/>
  <c r="AZ63" i="5" l="1"/>
  <c r="BA63" i="5" a="1"/>
  <c r="BA63" i="5" l="1"/>
  <c r="AN59" i="5" a="1"/>
  <c r="AN59" i="5" l="1"/>
  <c r="AO59" i="5" a="1"/>
  <c r="AO59" i="5" l="1"/>
  <c r="AP59" i="5" a="1"/>
  <c r="AP59" i="5" l="1"/>
  <c r="AQ59" i="5" a="1"/>
  <c r="AQ59" i="5" l="1"/>
  <c r="AR59" i="5" a="1"/>
  <c r="AR59" i="5" l="1"/>
  <c r="AS59" i="5" a="1"/>
  <c r="AS59" i="5" l="1"/>
  <c r="AT59" i="5" a="1"/>
  <c r="AT59" i="5" l="1"/>
  <c r="AG59" i="5" a="1"/>
  <c r="AG59" i="5" l="1"/>
  <c r="AH59" i="5" a="1"/>
  <c r="AH59" i="5" l="1"/>
  <c r="AI59" i="5" a="1"/>
  <c r="AI59" i="5" l="1"/>
  <c r="AJ59" i="5" a="1"/>
  <c r="AJ59" i="5" l="1"/>
  <c r="AK59" i="5" a="1"/>
  <c r="AK59" i="5" l="1"/>
  <c r="AL59" i="5" a="1"/>
  <c r="AL59" i="5" l="1"/>
  <c r="AM59" i="5" a="1"/>
  <c r="AM59" i="5" l="1"/>
  <c r="Z59" i="5" a="1"/>
  <c r="Z59" i="5" l="1"/>
  <c r="AA59" i="5" a="1"/>
  <c r="AA59" i="5" l="1"/>
  <c r="AB59" i="5" a="1"/>
  <c r="AB59" i="5" l="1"/>
  <c r="AC59" i="5" a="1"/>
  <c r="AC59" i="5" l="1"/>
  <c r="AD59" i="5" a="1"/>
  <c r="AD59" i="5" l="1"/>
  <c r="AE59" i="5" a="1"/>
  <c r="AE59" i="5" l="1"/>
  <c r="AF59" i="5" a="1"/>
  <c r="AF59" i="5" l="1"/>
  <c r="R59" i="5" a="1"/>
  <c r="R59" i="5" l="1"/>
  <c r="S59" i="5" a="1"/>
  <c r="S59" i="5" l="1"/>
  <c r="U59" i="5" a="1"/>
  <c r="U59" i="5" l="1"/>
  <c r="V59" i="5" a="1"/>
  <c r="V59" i="5" l="1"/>
  <c r="W59" i="5" a="1"/>
  <c r="W59" i="5" l="1"/>
  <c r="X59" i="5" a="1"/>
  <c r="X59" i="5" l="1"/>
  <c r="Y59" i="5" a="1"/>
  <c r="Y59" i="5" l="1"/>
  <c r="K59" i="5" a="1"/>
  <c r="K59" i="5" l="1"/>
  <c r="L59" i="5" a="1"/>
  <c r="L59" i="5" l="1"/>
  <c r="M59" i="5" a="1"/>
  <c r="M59" i="5" l="1"/>
  <c r="N59" i="5" a="1"/>
  <c r="N59" i="5" l="1"/>
  <c r="O59" i="5" a="1"/>
  <c r="O59" i="5" l="1"/>
  <c r="P59" i="5" a="1"/>
  <c r="P59" i="5" l="1"/>
  <c r="Q59" i="5" a="1"/>
  <c r="Q59" i="5" l="1"/>
  <c r="C59" i="5" a="1"/>
  <c r="C59" i="5" l="1"/>
  <c r="E59" i="5" a="1"/>
  <c r="E59" i="5" l="1"/>
  <c r="F59" i="5" a="1"/>
  <c r="F59" i="5" l="1"/>
  <c r="G59" i="5" a="1"/>
  <c r="G59" i="5" l="1"/>
  <c r="H59" i="5" a="1"/>
  <c r="H59" i="5" l="1"/>
  <c r="I59" i="5" a="1"/>
  <c r="I59" i="5" l="1"/>
  <c r="J59" i="5" a="1"/>
  <c r="J59" i="5" l="1"/>
  <c r="CB58" i="5" a="1"/>
  <c r="CB58" i="5" l="1"/>
  <c r="CC58" i="5" a="1"/>
  <c r="CC58" i="5" l="1"/>
  <c r="CD58" i="5" a="1"/>
  <c r="CD58" i="5" l="1"/>
  <c r="CE58" i="5" a="1"/>
  <c r="CE58" i="5" l="1"/>
  <c r="CF58" i="5" a="1"/>
  <c r="CF58" i="5" l="1"/>
  <c r="CG58" i="5" a="1"/>
  <c r="CG58" i="5" l="1"/>
  <c r="B59" i="5" a="1"/>
  <c r="B59" i="5" l="1"/>
  <c r="BI62" i="5" a="1"/>
  <c r="BI62" i="5" l="1"/>
  <c r="BV58" i="5" a="1"/>
  <c r="BV58" i="5" l="1"/>
  <c r="BW58" i="5" a="1"/>
  <c r="BW58" i="5" l="1"/>
  <c r="BX58" i="5" a="1"/>
  <c r="BX58" i="5" l="1"/>
  <c r="BY58" i="5" a="1"/>
  <c r="BY58" i="5" l="1"/>
  <c r="BZ58" i="5" a="1"/>
  <c r="BZ58" i="5" l="1"/>
  <c r="CA58" i="5" a="1"/>
  <c r="CA58" i="5" l="1"/>
  <c r="BB62" i="5" a="1"/>
  <c r="BB62" i="5" l="1"/>
  <c r="BC62" i="5" a="1"/>
  <c r="BC62" i="5" l="1"/>
  <c r="BD62" i="5" a="1"/>
  <c r="BD62" i="5" l="1"/>
  <c r="BE62" i="5" a="1"/>
  <c r="BE62" i="5" l="1"/>
  <c r="BF62" i="5" a="1"/>
  <c r="BF62" i="5" l="1"/>
  <c r="BG62" i="5"/>
  <c r="BH62" i="5" a="1"/>
  <c r="BH62" i="5" l="1"/>
  <c r="AU58" i="5" a="1"/>
  <c r="AU58" i="5" l="1"/>
  <c r="AV58" i="5" a="1"/>
  <c r="AV58" i="5" l="1"/>
  <c r="AW58" i="5" a="1"/>
  <c r="AW58" i="5" l="1"/>
  <c r="AX62" i="5" a="1"/>
  <c r="AX62" i="5" l="1"/>
  <c r="AY62" i="5" a="1"/>
  <c r="AY62" i="5" l="1"/>
  <c r="AZ62" i="5" a="1"/>
  <c r="AZ62" i="5" l="1"/>
  <c r="BA62" i="5" a="1"/>
  <c r="BA62" i="5" l="1"/>
  <c r="AN58" i="5" a="1"/>
  <c r="AN58" i="5" l="1"/>
  <c r="AO58" i="5" a="1"/>
  <c r="AO58" i="5" l="1"/>
  <c r="AP58" i="5" a="1"/>
  <c r="AP58" i="5" l="1"/>
  <c r="AQ58" i="5" a="1"/>
  <c r="AQ58" i="5" l="1"/>
  <c r="AR58" i="5" a="1"/>
  <c r="AR58" i="5" l="1"/>
  <c r="AS58" i="5" a="1"/>
  <c r="AS58" i="5" l="1"/>
  <c r="AT58" i="5" a="1"/>
  <c r="AT58" i="5" l="1"/>
  <c r="AG58" i="5" a="1"/>
  <c r="AG58" i="5" l="1"/>
  <c r="AH58" i="5" a="1"/>
  <c r="AH58" i="5" l="1"/>
  <c r="AI58" i="5" a="1"/>
  <c r="AI58" i="5" l="1"/>
  <c r="AJ58" i="5" a="1"/>
  <c r="AJ58" i="5" l="1"/>
  <c r="AK58" i="5" a="1"/>
  <c r="AK58" i="5" l="1"/>
  <c r="AL58" i="5" a="1"/>
  <c r="AL58" i="5" l="1"/>
  <c r="AM58" i="5" a="1"/>
  <c r="AM58" i="5" l="1"/>
  <c r="Z58" i="5" a="1"/>
  <c r="Z58" i="5" l="1"/>
  <c r="AA58" i="5" a="1"/>
  <c r="AA58" i="5" l="1"/>
  <c r="AB58" i="5" a="1"/>
  <c r="AB58" i="5" l="1"/>
  <c r="AC58" i="5" a="1"/>
  <c r="AC58" i="5" l="1"/>
  <c r="AD58" i="5" a="1"/>
  <c r="AD58" i="5" l="1"/>
  <c r="AE58" i="5" a="1"/>
  <c r="AE58" i="5" l="1"/>
  <c r="AF58" i="5" a="1"/>
  <c r="AF58" i="5" l="1"/>
  <c r="R58" i="5" a="1"/>
  <c r="R58" i="5" l="1"/>
  <c r="S58" i="5" a="1"/>
  <c r="S58" i="5" l="1"/>
  <c r="U58" i="5" a="1"/>
  <c r="U58" i="5" l="1"/>
  <c r="V58" i="5" a="1"/>
  <c r="V58" i="5" l="1"/>
  <c r="W58" i="5" a="1"/>
  <c r="W58" i="5" l="1"/>
  <c r="X58" i="5" a="1"/>
  <c r="X58" i="5" l="1"/>
  <c r="Y58" i="5" a="1"/>
  <c r="Y58" i="5" l="1"/>
  <c r="K58" i="5" a="1"/>
  <c r="K58" i="5" l="1"/>
  <c r="L58" i="5" a="1"/>
  <c r="L58" i="5" l="1"/>
  <c r="M58" i="5" a="1"/>
  <c r="M58" i="5" l="1"/>
  <c r="N58" i="5" a="1"/>
  <c r="N58" i="5" l="1"/>
  <c r="O58" i="5" a="1"/>
  <c r="O58" i="5" l="1"/>
  <c r="P58" i="5" a="1"/>
  <c r="P58" i="5" l="1"/>
  <c r="Q58" i="5" a="1"/>
  <c r="Q58" i="5" l="1"/>
  <c r="C58" i="5" a="1"/>
  <c r="C58" i="5" l="1"/>
  <c r="E58" i="5" a="1"/>
  <c r="E58" i="5" l="1"/>
  <c r="F58" i="5" a="1"/>
  <c r="F58" i="5" l="1"/>
  <c r="G58" i="5" a="1"/>
  <c r="G58" i="5" l="1"/>
  <c r="H58" i="5" a="1"/>
  <c r="H58" i="5" l="1"/>
  <c r="I58" i="5" a="1"/>
  <c r="I58" i="5" l="1"/>
  <c r="J58" i="5" a="1"/>
  <c r="J58" i="5" l="1"/>
  <c r="CB57" i="5" a="1"/>
  <c r="CB57" i="5" l="1"/>
  <c r="CC57" i="5" a="1"/>
  <c r="CC57" i="5" l="1"/>
  <c r="CD57" i="5" a="1"/>
  <c r="CD57" i="5" l="1"/>
  <c r="CE57" i="5" a="1"/>
  <c r="CE57" i="5" l="1"/>
  <c r="CF57" i="5" a="1"/>
  <c r="CF57" i="5" l="1"/>
  <c r="CG57" i="5" a="1"/>
  <c r="CG57" i="5" l="1"/>
  <c r="B58" i="5" a="1"/>
  <c r="B58" i="5" l="1"/>
  <c r="BI61" i="5" a="1"/>
  <c r="BI61" i="5" l="1"/>
  <c r="BV57" i="5" a="1"/>
  <c r="BV57" i="5" l="1"/>
  <c r="BW57" i="5" a="1"/>
  <c r="BW57" i="5" l="1"/>
  <c r="BX57" i="5" a="1"/>
  <c r="BX57" i="5" l="1"/>
  <c r="BY57" i="5" a="1"/>
  <c r="BY57" i="5" l="1"/>
  <c r="BZ57" i="5" a="1"/>
  <c r="BZ57" i="5" l="1"/>
  <c r="CA57" i="5" a="1"/>
  <c r="CA57" i="5" l="1"/>
  <c r="BB61" i="5" a="1"/>
  <c r="BB61" i="5" l="1"/>
  <c r="BC61" i="5" a="1"/>
  <c r="BC61" i="5" l="1"/>
  <c r="BD61" i="5" a="1"/>
  <c r="BD61" i="5" l="1"/>
  <c r="BE61" i="5" a="1"/>
  <c r="BE61" i="5" l="1"/>
  <c r="BF61" i="5" a="1"/>
  <c r="BF61" i="5" l="1"/>
  <c r="BG61" i="5"/>
  <c r="BH61" i="5" a="1"/>
  <c r="BH61" i="5" l="1"/>
  <c r="AU57" i="5" a="1"/>
  <c r="AU57" i="5" l="1"/>
  <c r="AV57" i="5" a="1"/>
  <c r="AV57" i="5" l="1"/>
  <c r="AW57" i="5" a="1"/>
  <c r="AW57" i="5" l="1"/>
  <c r="AX61" i="5" a="1"/>
  <c r="AX61" i="5" l="1"/>
  <c r="AY61" i="5" a="1"/>
  <c r="AY61" i="5" l="1"/>
  <c r="AZ61" i="5" a="1"/>
  <c r="AZ61" i="5" l="1"/>
  <c r="BA61" i="5" a="1"/>
  <c r="BA61" i="5" l="1"/>
  <c r="AN57" i="5" a="1"/>
  <c r="AN57" i="5" l="1"/>
  <c r="AO57" i="5" a="1"/>
  <c r="AO57" i="5" l="1"/>
  <c r="AP57" i="5" a="1"/>
  <c r="AP57" i="5" l="1"/>
  <c r="AQ57" i="5" a="1"/>
  <c r="AQ57" i="5" l="1"/>
  <c r="AR57" i="5" a="1"/>
  <c r="AR57" i="5" l="1"/>
  <c r="AS57" i="5" a="1"/>
  <c r="AS57" i="5" l="1"/>
  <c r="AT57" i="5" a="1"/>
  <c r="AT57" i="5" l="1"/>
  <c r="AG57" i="5" a="1"/>
  <c r="AG57" i="5" l="1"/>
  <c r="AH57" i="5" a="1"/>
  <c r="AH57" i="5" l="1"/>
  <c r="AI57" i="5" a="1"/>
  <c r="AI57" i="5" l="1"/>
  <c r="AJ57" i="5" a="1"/>
  <c r="AJ57" i="5" l="1"/>
  <c r="AK57" i="5" a="1"/>
  <c r="AK57" i="5" l="1"/>
  <c r="AL57" i="5" a="1"/>
  <c r="AL57" i="5" l="1"/>
  <c r="AM57" i="5" a="1"/>
  <c r="AM57" i="5" l="1"/>
  <c r="Z57" i="5" a="1"/>
  <c r="Z57" i="5" l="1"/>
  <c r="AA57" i="5" a="1"/>
  <c r="AA57" i="5" l="1"/>
  <c r="AB57" i="5" a="1"/>
  <c r="AB57" i="5" l="1"/>
  <c r="AC57" i="5" a="1"/>
  <c r="AC57" i="5" l="1"/>
  <c r="AD57" i="5" a="1"/>
  <c r="AD57" i="5" l="1"/>
  <c r="AE57" i="5" a="1"/>
  <c r="AE57" i="5" l="1"/>
  <c r="AF57" i="5" a="1"/>
  <c r="AF57" i="5" l="1"/>
  <c r="R57" i="5" a="1"/>
  <c r="R57" i="5" l="1"/>
  <c r="S57" i="5" a="1"/>
  <c r="S57" i="5" l="1"/>
  <c r="U57" i="5" a="1"/>
  <c r="U57" i="5" l="1"/>
  <c r="V57" i="5" a="1"/>
  <c r="V57" i="5" l="1"/>
  <c r="W57" i="5" a="1"/>
  <c r="W57" i="5" l="1"/>
  <c r="X57" i="5" a="1"/>
  <c r="X57" i="5" l="1"/>
  <c r="Y57" i="5" a="1"/>
  <c r="Y57" i="5" l="1"/>
  <c r="K57" i="5" a="1"/>
  <c r="K57" i="5" l="1"/>
  <c r="L57" i="5" a="1"/>
  <c r="L57" i="5" l="1"/>
  <c r="M57" i="5" a="1"/>
  <c r="M57" i="5" l="1"/>
  <c r="N57" i="5" a="1"/>
  <c r="N57" i="5" l="1"/>
  <c r="O57" i="5" a="1"/>
  <c r="O57" i="5" l="1"/>
  <c r="P57" i="5" a="1"/>
  <c r="P57" i="5" l="1"/>
  <c r="Q57" i="5" a="1"/>
  <c r="Q57" i="5" l="1"/>
  <c r="C57" i="5" a="1"/>
  <c r="C57" i="5" l="1"/>
  <c r="E57" i="5" a="1"/>
  <c r="E57" i="5" l="1"/>
  <c r="F57" i="5" a="1"/>
  <c r="F57" i="5" l="1"/>
  <c r="G57" i="5" a="1"/>
  <c r="G57" i="5" l="1"/>
  <c r="H57" i="5" a="1"/>
  <c r="H57" i="5" l="1"/>
  <c r="I57" i="5" a="1"/>
  <c r="I57" i="5" l="1"/>
  <c r="J57" i="5" a="1"/>
  <c r="J57" i="5" l="1"/>
  <c r="CB56" i="5" a="1"/>
  <c r="CB56" i="5" l="1"/>
  <c r="CC56" i="5" a="1"/>
  <c r="CC56" i="5" l="1"/>
  <c r="CD56" i="5" a="1"/>
  <c r="CD56" i="5" l="1"/>
  <c r="CE56" i="5" a="1"/>
  <c r="CE56" i="5" l="1"/>
  <c r="CF56" i="5" a="1"/>
  <c r="CF56" i="5" l="1"/>
  <c r="CG56" i="5" a="1"/>
  <c r="CG56" i="5" l="1"/>
  <c r="B57" i="5" a="1"/>
  <c r="B57" i="5" l="1"/>
  <c r="BI60" i="5" a="1"/>
  <c r="BI60" i="5" l="1"/>
  <c r="BV56" i="5" a="1"/>
  <c r="BV56" i="5" l="1"/>
  <c r="BW56" i="5" a="1"/>
  <c r="BW56" i="5" l="1"/>
  <c r="BX56" i="5" a="1"/>
  <c r="BX56" i="5" l="1"/>
  <c r="BY56" i="5" a="1"/>
  <c r="BY56" i="5" l="1"/>
  <c r="BZ56" i="5" a="1"/>
  <c r="BZ56" i="5" l="1"/>
  <c r="CA56" i="5" a="1"/>
  <c r="CA56" i="5" l="1"/>
  <c r="BB60" i="5" a="1"/>
  <c r="BB60" i="5" l="1"/>
  <c r="BC60" i="5" a="1"/>
  <c r="BC60" i="5" l="1"/>
  <c r="BD60" i="5" a="1"/>
  <c r="BD60" i="5" l="1"/>
  <c r="BE60" i="5" a="1"/>
  <c r="BE60" i="5" l="1"/>
  <c r="BF60" i="5" a="1"/>
  <c r="BF60" i="5" l="1"/>
  <c r="BG60" i="5"/>
  <c r="BH60" i="5" a="1"/>
  <c r="BH60" i="5" l="1"/>
  <c r="AU56" i="5" a="1"/>
  <c r="AU56" i="5" l="1"/>
  <c r="AV56" i="5" a="1"/>
  <c r="AV56" i="5" l="1"/>
  <c r="AW56" i="5" a="1"/>
  <c r="AW56" i="5" l="1"/>
  <c r="AX60" i="5" a="1"/>
  <c r="AX60" i="5" l="1"/>
  <c r="AY60" i="5" a="1"/>
  <c r="AY60" i="5" l="1"/>
  <c r="AZ60" i="5" a="1"/>
  <c r="AZ60" i="5" l="1"/>
  <c r="BA60" i="5" a="1"/>
  <c r="BA60" i="5" l="1"/>
  <c r="AN56" i="5" a="1"/>
  <c r="AN56" i="5" l="1"/>
  <c r="AO56" i="5" a="1"/>
  <c r="AO56" i="5" l="1"/>
  <c r="AP56" i="5" a="1"/>
  <c r="AP56" i="5" l="1"/>
  <c r="AQ56" i="5" a="1"/>
  <c r="AQ56" i="5" l="1"/>
  <c r="AR56" i="5" a="1"/>
  <c r="AR56" i="5" l="1"/>
  <c r="AS56" i="5" a="1"/>
  <c r="AS56" i="5" l="1"/>
  <c r="AT56" i="5" a="1"/>
  <c r="AT56" i="5" l="1"/>
  <c r="AG56" i="5" a="1"/>
  <c r="AG56" i="5" l="1"/>
  <c r="AH56" i="5" a="1"/>
  <c r="AH56" i="5" l="1"/>
  <c r="AI56" i="5" a="1"/>
  <c r="AI56" i="5" l="1"/>
  <c r="AJ56" i="5" a="1"/>
  <c r="AJ56" i="5" l="1"/>
  <c r="AK56" i="5" a="1"/>
  <c r="AK56" i="5" l="1"/>
  <c r="AL56" i="5" a="1"/>
  <c r="AL56" i="5" l="1"/>
  <c r="AM56" i="5" a="1"/>
  <c r="AM56" i="5" l="1"/>
  <c r="Z56" i="5" a="1"/>
  <c r="Z56" i="5" l="1"/>
  <c r="AA56" i="5" a="1"/>
  <c r="AA56" i="5" l="1"/>
  <c r="AB56" i="5" a="1"/>
  <c r="AB56" i="5" l="1"/>
  <c r="AC56" i="5" a="1"/>
  <c r="AC56" i="5" l="1"/>
  <c r="AD56" i="5" a="1"/>
  <c r="AD56" i="5" l="1"/>
  <c r="AE56" i="5" a="1"/>
  <c r="AE56" i="5" l="1"/>
  <c r="AF56" i="5" a="1"/>
  <c r="AF56" i="5" l="1"/>
  <c r="R56" i="5" a="1"/>
  <c r="R56" i="5" l="1"/>
  <c r="S56" i="5" a="1"/>
  <c r="S56" i="5" l="1"/>
  <c r="U56" i="5" a="1"/>
  <c r="U56" i="5" l="1"/>
  <c r="V56" i="5" a="1"/>
  <c r="V56" i="5" l="1"/>
  <c r="W56" i="5" a="1"/>
  <c r="W56" i="5" l="1"/>
  <c r="X56" i="5" a="1"/>
  <c r="X56" i="5" l="1"/>
  <c r="Y56" i="5" a="1"/>
  <c r="Y56" i="5" l="1"/>
  <c r="K56" i="5" a="1"/>
  <c r="K56" i="5" l="1"/>
  <c r="L56" i="5" a="1"/>
  <c r="L56" i="5" l="1"/>
  <c r="M56" i="5" a="1"/>
  <c r="M56" i="5" l="1"/>
  <c r="N56" i="5" a="1"/>
  <c r="N56" i="5" l="1"/>
  <c r="O56" i="5" a="1"/>
  <c r="O56" i="5" l="1"/>
  <c r="P56" i="5" a="1"/>
  <c r="P56" i="5" l="1"/>
  <c r="Q56" i="5" a="1"/>
  <c r="Q56" i="5" l="1"/>
  <c r="C56" i="5" a="1"/>
  <c r="C56" i="5" l="1"/>
  <c r="E56" i="5" a="1"/>
  <c r="E56" i="5" l="1"/>
  <c r="F56" i="5" a="1"/>
  <c r="F56" i="5" l="1"/>
  <c r="G56" i="5" a="1"/>
  <c r="G56" i="5" l="1"/>
  <c r="H56" i="5" a="1"/>
  <c r="H56" i="5" l="1"/>
  <c r="I56" i="5" a="1"/>
  <c r="I56" i="5" l="1"/>
  <c r="J56" i="5" a="1"/>
  <c r="J56" i="5" l="1"/>
  <c r="CB55" i="5" a="1"/>
  <c r="CB55" i="5" l="1"/>
  <c r="CC55" i="5" a="1"/>
  <c r="CC55" i="5" l="1"/>
  <c r="CD55" i="5" a="1"/>
  <c r="CD55" i="5" l="1"/>
  <c r="CE55" i="5" a="1"/>
  <c r="CE55" i="5" l="1"/>
  <c r="CF55" i="5" a="1"/>
  <c r="CF55" i="5" l="1"/>
  <c r="CG55" i="5" a="1"/>
  <c r="CG55" i="5" l="1"/>
  <c r="B56" i="5" a="1"/>
  <c r="B56" i="5" l="1"/>
  <c r="BI59" i="5" a="1"/>
  <c r="BI59" i="5" l="1"/>
  <c r="BV55" i="5" a="1"/>
  <c r="BV55" i="5" l="1"/>
  <c r="BW55" i="5" a="1"/>
  <c r="BW55" i="5" l="1"/>
  <c r="BX55" i="5" a="1"/>
  <c r="BX55" i="5" l="1"/>
  <c r="BY55" i="5" a="1"/>
  <c r="BY55" i="5" l="1"/>
  <c r="BZ55" i="5" a="1"/>
  <c r="BZ55" i="5" l="1"/>
  <c r="CA55" i="5" a="1"/>
  <c r="CA55" i="5" l="1"/>
  <c r="BB59" i="5" a="1"/>
  <c r="BB59" i="5" l="1"/>
  <c r="BC59" i="5" a="1"/>
  <c r="BC59" i="5" l="1"/>
  <c r="BD59" i="5" a="1"/>
  <c r="BD59" i="5" l="1"/>
  <c r="BE59" i="5" a="1"/>
  <c r="BE59" i="5" l="1"/>
  <c r="BF59" i="5" a="1"/>
  <c r="BF59" i="5" l="1"/>
  <c r="BG59" i="5"/>
  <c r="BH59" i="5" a="1"/>
  <c r="BH59" i="5" l="1"/>
  <c r="AU55" i="5" a="1"/>
  <c r="AU55" i="5" l="1"/>
  <c r="AV55" i="5" a="1"/>
  <c r="AV55" i="5" l="1"/>
  <c r="AW55" i="5" a="1"/>
  <c r="AW55" i="5" l="1"/>
  <c r="AX59" i="5" a="1"/>
  <c r="AX59" i="5" l="1"/>
  <c r="AY59" i="5" a="1"/>
  <c r="AY59" i="5" l="1"/>
  <c r="AZ59" i="5" a="1"/>
  <c r="AZ59" i="5" l="1"/>
  <c r="BA59" i="5" a="1"/>
  <c r="BA59" i="5" l="1"/>
  <c r="AN55" i="5" a="1"/>
  <c r="AN55" i="5" l="1"/>
  <c r="AO55" i="5" a="1"/>
  <c r="AO55" i="5" l="1"/>
  <c r="AP55" i="5" a="1"/>
  <c r="AP55" i="5" l="1"/>
  <c r="AQ55" i="5" a="1"/>
  <c r="AQ55" i="5" l="1"/>
  <c r="AR55" i="5" a="1"/>
  <c r="AR55" i="5" l="1"/>
  <c r="AS55" i="5" a="1"/>
  <c r="AS55" i="5" l="1"/>
  <c r="AT55" i="5" a="1"/>
  <c r="AT55" i="5" l="1"/>
  <c r="AG55" i="5" a="1"/>
  <c r="AG55" i="5" l="1"/>
  <c r="AH55" i="5" a="1"/>
  <c r="AH55" i="5" l="1"/>
  <c r="AI55" i="5" a="1"/>
  <c r="AI55" i="5" l="1"/>
  <c r="AJ55" i="5" a="1"/>
  <c r="AJ55" i="5" l="1"/>
  <c r="AK55" i="5" a="1"/>
  <c r="AK55" i="5" l="1"/>
  <c r="AL55" i="5" a="1"/>
  <c r="AL55" i="5" l="1"/>
  <c r="AM55" i="5" a="1"/>
  <c r="AM55" i="5" l="1"/>
  <c r="Z55" i="5" a="1"/>
  <c r="Z55" i="5" l="1"/>
  <c r="AA55" i="5" a="1"/>
  <c r="AA55" i="5" l="1"/>
  <c r="AB55" i="5" a="1"/>
  <c r="AB55" i="5" l="1"/>
  <c r="AC55" i="5" a="1"/>
  <c r="AC55" i="5" l="1"/>
  <c r="AD55" i="5" a="1"/>
  <c r="AD55" i="5" l="1"/>
  <c r="AE55" i="5" a="1"/>
  <c r="AE55" i="5" l="1"/>
  <c r="AF55" i="5" a="1"/>
  <c r="AF55" i="5" l="1"/>
  <c r="R55" i="5" a="1"/>
  <c r="R55" i="5" l="1"/>
  <c r="S55" i="5" a="1"/>
  <c r="S55" i="5" l="1"/>
  <c r="U55" i="5" a="1"/>
  <c r="U55" i="5" l="1"/>
  <c r="V55" i="5" a="1"/>
  <c r="V55" i="5" l="1"/>
  <c r="W55" i="5" a="1"/>
  <c r="W55" i="5" l="1"/>
  <c r="X55" i="5" a="1"/>
  <c r="X55" i="5" l="1"/>
  <c r="Y55" i="5" a="1"/>
  <c r="Y55" i="5" l="1"/>
  <c r="K55" i="5" a="1"/>
  <c r="K55" i="5" l="1"/>
  <c r="L55" i="5" a="1"/>
  <c r="L55" i="5" l="1"/>
  <c r="M55" i="5" a="1"/>
  <c r="M55" i="5" l="1"/>
  <c r="N55" i="5" a="1"/>
  <c r="N55" i="5" l="1"/>
  <c r="O55" i="5" a="1"/>
  <c r="O55" i="5" l="1"/>
  <c r="P55" i="5" a="1"/>
  <c r="P55" i="5" l="1"/>
  <c r="Q55" i="5" a="1"/>
  <c r="Q55" i="5" l="1"/>
  <c r="C55" i="5" a="1"/>
  <c r="C55" i="5" l="1"/>
  <c r="E55" i="5" a="1"/>
  <c r="E55" i="5" l="1"/>
  <c r="F55" i="5" a="1"/>
  <c r="F55" i="5" l="1"/>
  <c r="G55" i="5" a="1"/>
  <c r="G55" i="5" l="1"/>
  <c r="H55" i="5" a="1"/>
  <c r="H55" i="5" l="1"/>
  <c r="I55" i="5" a="1"/>
  <c r="I55" i="5" l="1"/>
  <c r="J55" i="5" a="1"/>
  <c r="J55" i="5" l="1"/>
  <c r="CB54" i="5" a="1"/>
  <c r="CB54" i="5" l="1"/>
  <c r="CC54" i="5" a="1"/>
  <c r="CC54" i="5" l="1"/>
  <c r="CD54" i="5" a="1"/>
  <c r="CD54" i="5" l="1"/>
  <c r="CE54" i="5" a="1"/>
  <c r="CE54" i="5" l="1"/>
  <c r="CF54" i="5" a="1"/>
  <c r="CF54" i="5" l="1"/>
  <c r="CG54" i="5" a="1"/>
  <c r="CG54" i="5" l="1"/>
  <c r="B55" i="5" a="1"/>
  <c r="B55" i="5" l="1"/>
  <c r="BI58" i="5" a="1"/>
  <c r="BI58" i="5" l="1"/>
  <c r="BV54" i="5" a="1"/>
  <c r="BV54" i="5" l="1"/>
  <c r="BW54" i="5" a="1"/>
  <c r="BW54" i="5" l="1"/>
  <c r="BX54" i="5" a="1"/>
  <c r="BX54" i="5" l="1"/>
  <c r="BY54" i="5" a="1"/>
  <c r="BY54" i="5" l="1"/>
  <c r="BZ54" i="5" a="1"/>
  <c r="BZ54" i="5" l="1"/>
  <c r="CA54" i="5" a="1"/>
  <c r="CA54" i="5" l="1"/>
  <c r="BB58" i="5" a="1"/>
  <c r="BB58" i="5" l="1"/>
  <c r="BC58" i="5" a="1"/>
  <c r="BC58" i="5" l="1"/>
  <c r="BD58" i="5" a="1"/>
  <c r="BD58" i="5" l="1"/>
  <c r="BE58" i="5" a="1"/>
  <c r="BE58" i="5" l="1"/>
  <c r="BF58" i="5" a="1"/>
  <c r="BF58" i="5" l="1"/>
  <c r="BG58" i="5"/>
  <c r="BH58" i="5" a="1"/>
  <c r="BH58" i="5" l="1"/>
  <c r="AU54" i="5" a="1"/>
  <c r="AU54" i="5" l="1"/>
  <c r="AV54" i="5" a="1"/>
  <c r="AV54" i="5" l="1"/>
  <c r="AW54" i="5" a="1"/>
  <c r="AW54" i="5" l="1"/>
  <c r="AX58" i="5" a="1"/>
  <c r="AX58" i="5" l="1"/>
  <c r="AY58" i="5" a="1"/>
  <c r="AY58" i="5" l="1"/>
  <c r="AZ58" i="5" a="1"/>
  <c r="AZ58" i="5" l="1"/>
  <c r="BA58" i="5" a="1"/>
  <c r="BA58" i="5" l="1"/>
  <c r="AN54" i="5" a="1"/>
  <c r="AN54" i="5" l="1"/>
  <c r="AO54" i="5" a="1"/>
  <c r="AO54" i="5" l="1"/>
  <c r="AP54" i="5" a="1"/>
  <c r="AP54" i="5" l="1"/>
  <c r="AQ54" i="5" a="1"/>
  <c r="AQ54" i="5" l="1"/>
  <c r="AR54" i="5" a="1"/>
  <c r="AR54" i="5" l="1"/>
  <c r="AS54" i="5" a="1"/>
  <c r="AS54" i="5" l="1"/>
  <c r="AT54" i="5" a="1"/>
  <c r="AT54" i="5" l="1"/>
  <c r="AG54" i="5" a="1"/>
  <c r="AG54" i="5" l="1"/>
  <c r="AH54" i="5" a="1"/>
  <c r="AH54" i="5" l="1"/>
  <c r="AI54" i="5" a="1"/>
  <c r="AI54" i="5" l="1"/>
  <c r="AJ54" i="5" a="1"/>
  <c r="AJ54" i="5" l="1"/>
  <c r="AK54" i="5" a="1"/>
  <c r="AK54" i="5" l="1"/>
  <c r="AL54" i="5" a="1"/>
  <c r="AL54" i="5" l="1"/>
  <c r="AM54" i="5" a="1"/>
  <c r="AM54" i="5" l="1"/>
  <c r="Z54" i="5" a="1"/>
  <c r="Z54" i="5" l="1"/>
  <c r="AA54" i="5" a="1"/>
  <c r="AA54" i="5" l="1"/>
  <c r="AB54" i="5" a="1"/>
  <c r="AB54" i="5" l="1"/>
  <c r="AC54" i="5" a="1"/>
  <c r="AC54" i="5" l="1"/>
  <c r="AD54" i="5" a="1"/>
  <c r="AD54" i="5" l="1"/>
  <c r="AE54" i="5" a="1"/>
  <c r="AE54" i="5" l="1"/>
  <c r="AF54" i="5" a="1"/>
  <c r="AF54" i="5" l="1"/>
  <c r="R54" i="5" a="1"/>
  <c r="R54" i="5" l="1"/>
  <c r="S54" i="5" a="1"/>
  <c r="S54" i="5" l="1"/>
  <c r="U54" i="5" a="1"/>
  <c r="U54" i="5" l="1"/>
  <c r="V54" i="5" a="1"/>
  <c r="V54" i="5" l="1"/>
  <c r="W54" i="5" a="1"/>
  <c r="W54" i="5" l="1"/>
  <c r="X54" i="5" a="1"/>
  <c r="X54" i="5" l="1"/>
  <c r="Y54" i="5" a="1"/>
  <c r="Y54" i="5" l="1"/>
  <c r="K54" i="5" a="1"/>
  <c r="K54" i="5" l="1"/>
  <c r="L54" i="5" a="1"/>
  <c r="L54" i="5" l="1"/>
  <c r="M54" i="5" a="1"/>
  <c r="M54" i="5" l="1"/>
  <c r="N54" i="5" a="1"/>
  <c r="N54" i="5" l="1"/>
  <c r="O54" i="5" a="1"/>
  <c r="O54" i="5" l="1"/>
  <c r="P54" i="5" a="1"/>
  <c r="P54" i="5" l="1"/>
  <c r="Q54" i="5" a="1"/>
  <c r="Q54" i="5" l="1"/>
  <c r="C54" i="5" a="1"/>
  <c r="C54" i="5" l="1"/>
  <c r="E54" i="5" a="1"/>
  <c r="E54" i="5" l="1"/>
  <c r="F54" i="5" a="1"/>
  <c r="F54" i="5" l="1"/>
  <c r="G54" i="5" a="1"/>
  <c r="G54" i="5" l="1"/>
  <c r="H54" i="5" a="1"/>
  <c r="H54" i="5" l="1"/>
  <c r="I54" i="5" a="1"/>
  <c r="I54" i="5" l="1"/>
  <c r="J54" i="5" a="1"/>
  <c r="J54" i="5" l="1"/>
  <c r="CB53" i="5" a="1"/>
  <c r="CB53" i="5" l="1"/>
  <c r="CC53" i="5" a="1"/>
  <c r="CC53" i="5" l="1"/>
  <c r="CD53" i="5" a="1"/>
  <c r="CD53" i="5" l="1"/>
  <c r="CE53" i="5" a="1"/>
  <c r="CE53" i="5" l="1"/>
  <c r="CF53" i="5" a="1"/>
  <c r="CF53" i="5" l="1"/>
  <c r="CG53" i="5" a="1"/>
  <c r="CG53" i="5" l="1"/>
  <c r="B54" i="5" a="1"/>
  <c r="B54" i="5" l="1"/>
  <c r="BI57" i="5" a="1"/>
  <c r="BI57" i="5" l="1"/>
  <c r="BV53" i="5" a="1"/>
  <c r="BV53" i="5" l="1"/>
  <c r="BW53" i="5" a="1"/>
  <c r="BW53" i="5" l="1"/>
  <c r="BX53" i="5" a="1"/>
  <c r="BX53" i="5" l="1"/>
  <c r="BY53" i="5" a="1"/>
  <c r="BY53" i="5" l="1"/>
  <c r="BZ53" i="5" a="1"/>
  <c r="BZ53" i="5" l="1"/>
  <c r="CA53" i="5" a="1"/>
  <c r="CA53" i="5" l="1"/>
  <c r="BB57" i="5" a="1"/>
  <c r="BB57" i="5" l="1"/>
  <c r="BC57" i="5" a="1"/>
  <c r="BC57" i="5" l="1"/>
  <c r="BD57" i="5" a="1"/>
  <c r="BD57" i="5" l="1"/>
  <c r="BE57" i="5" a="1"/>
  <c r="BE57" i="5" l="1"/>
  <c r="BF57" i="5" a="1"/>
  <c r="BF57" i="5" l="1"/>
  <c r="BG57" i="5"/>
  <c r="BH57" i="5" a="1"/>
  <c r="BH57" i="5" l="1"/>
  <c r="AU53" i="5" a="1"/>
  <c r="AU53" i="5" l="1"/>
  <c r="AV53" i="5" a="1"/>
  <c r="AV53" i="5" l="1"/>
  <c r="AW53" i="5" a="1"/>
  <c r="AW53" i="5" l="1"/>
  <c r="AX57" i="5" a="1"/>
  <c r="AX57" i="5" l="1"/>
  <c r="AY57" i="5" a="1"/>
  <c r="AY57" i="5" l="1"/>
  <c r="AZ57" i="5" a="1"/>
  <c r="AZ57" i="5" l="1"/>
  <c r="BA57" i="5" a="1"/>
  <c r="BA57" i="5" l="1"/>
  <c r="AN53" i="5" a="1"/>
  <c r="AN53" i="5" l="1"/>
  <c r="AO53" i="5" a="1"/>
  <c r="AO53" i="5" l="1"/>
  <c r="AP53" i="5" a="1"/>
  <c r="AP53" i="5" l="1"/>
  <c r="AQ53" i="5" a="1"/>
  <c r="AQ53" i="5" l="1"/>
  <c r="AR53" i="5" a="1"/>
  <c r="AR53" i="5" l="1"/>
  <c r="AS53" i="5" a="1"/>
  <c r="AS53" i="5" l="1"/>
  <c r="AT53" i="5" a="1"/>
  <c r="AT53" i="5" l="1"/>
  <c r="AG53" i="5" a="1"/>
  <c r="AG53" i="5" l="1"/>
  <c r="AH53" i="5" a="1"/>
  <c r="AH53" i="5" l="1"/>
  <c r="AI53" i="5" a="1"/>
  <c r="AI53" i="5" l="1"/>
  <c r="AJ53" i="5" a="1"/>
  <c r="AJ53" i="5" l="1"/>
  <c r="AK53" i="5" a="1"/>
  <c r="AK53" i="5" l="1"/>
  <c r="AL53" i="5" a="1"/>
  <c r="AL53" i="5" l="1"/>
  <c r="AM53" i="5" a="1"/>
  <c r="AM53" i="5" l="1"/>
  <c r="Z53" i="5" a="1"/>
  <c r="Z53" i="5" l="1"/>
  <c r="AA53" i="5" a="1"/>
  <c r="AA53" i="5" l="1"/>
  <c r="AB53" i="5" a="1"/>
  <c r="AB53" i="5" l="1"/>
  <c r="AC53" i="5" a="1"/>
  <c r="AC53" i="5" l="1"/>
  <c r="AD53" i="5" a="1"/>
  <c r="AD53" i="5" l="1"/>
  <c r="AE53" i="5" a="1"/>
  <c r="AE53" i="5" l="1"/>
  <c r="AF53" i="5" a="1"/>
  <c r="AF53" i="5" l="1"/>
  <c r="R53" i="5" a="1"/>
  <c r="R53" i="5" l="1"/>
  <c r="S53" i="5" a="1"/>
  <c r="S53" i="5" l="1"/>
  <c r="U53" i="5" a="1"/>
  <c r="U53" i="5" l="1"/>
  <c r="V53" i="5" a="1"/>
  <c r="V53" i="5" l="1"/>
  <c r="W53" i="5" a="1"/>
  <c r="W53" i="5" l="1"/>
  <c r="X53" i="5" a="1"/>
  <c r="X53" i="5" l="1"/>
  <c r="Y53" i="5" a="1"/>
  <c r="Y53" i="5" l="1"/>
  <c r="K53" i="5" a="1"/>
  <c r="K53" i="5" l="1"/>
  <c r="L53" i="5" a="1"/>
  <c r="L53" i="5" l="1"/>
  <c r="M53" i="5" a="1"/>
  <c r="M53" i="5" l="1"/>
  <c r="N53" i="5" a="1"/>
  <c r="N53" i="5" l="1"/>
  <c r="O53" i="5" a="1"/>
  <c r="O53" i="5" l="1"/>
  <c r="P53" i="5" a="1"/>
  <c r="P53" i="5" l="1"/>
  <c r="Q53" i="5" a="1"/>
  <c r="Q53" i="5" l="1"/>
  <c r="C53" i="5" a="1"/>
  <c r="C53" i="5" l="1"/>
  <c r="E53" i="5" a="1"/>
  <c r="E53" i="5" l="1"/>
  <c r="F53" i="5" a="1"/>
  <c r="F53" i="5" l="1"/>
  <c r="G53" i="5" a="1"/>
  <c r="G53" i="5" l="1"/>
  <c r="H53" i="5" a="1"/>
  <c r="H53" i="5" l="1"/>
  <c r="I53" i="5" a="1"/>
  <c r="I53" i="5" l="1"/>
  <c r="J53" i="5" a="1"/>
  <c r="J53" i="5" l="1"/>
  <c r="CB52" i="5" a="1"/>
  <c r="CB52" i="5" l="1"/>
  <c r="CC52" i="5" a="1"/>
  <c r="CC52" i="5" l="1"/>
  <c r="CD52" i="5" a="1"/>
  <c r="CD52" i="5" l="1"/>
  <c r="CE52" i="5" a="1"/>
  <c r="CE52" i="5" l="1"/>
  <c r="CF52" i="5" a="1"/>
  <c r="CF52" i="5" l="1"/>
  <c r="CG52" i="5" a="1"/>
  <c r="CG52" i="5" l="1"/>
  <c r="B53" i="5" a="1"/>
  <c r="B53" i="5" l="1"/>
  <c r="BI56" i="5" a="1"/>
  <c r="BI56" i="5" l="1"/>
  <c r="BV52" i="5" a="1"/>
  <c r="BV52" i="5" l="1"/>
  <c r="BW52" i="5" a="1"/>
  <c r="BW52" i="5" l="1"/>
  <c r="BX52" i="5" a="1"/>
  <c r="BX52" i="5" l="1"/>
  <c r="BY52" i="5" a="1"/>
  <c r="BY52" i="5" l="1"/>
  <c r="BZ52" i="5" a="1"/>
  <c r="BZ52" i="5" l="1"/>
  <c r="CA52" i="5" a="1"/>
  <c r="CA52" i="5" l="1"/>
  <c r="BB56" i="5" a="1"/>
  <c r="BB56" i="5" l="1"/>
  <c r="BC56" i="5" a="1"/>
  <c r="BC56" i="5" l="1"/>
  <c r="BD56" i="5" a="1"/>
  <c r="BD56" i="5" l="1"/>
  <c r="BE56" i="5" a="1"/>
  <c r="BE56" i="5" l="1"/>
  <c r="BF56" i="5" a="1"/>
  <c r="BF56" i="5" l="1"/>
  <c r="BG56" i="5"/>
  <c r="BH56" i="5" a="1"/>
  <c r="BH56" i="5" l="1"/>
  <c r="AU52" i="5" a="1"/>
  <c r="AU52" i="5" l="1"/>
  <c r="AV52" i="5" a="1"/>
  <c r="AV52" i="5" l="1"/>
  <c r="AW52" i="5" a="1"/>
  <c r="AW52" i="5" l="1"/>
  <c r="AX56" i="5" a="1"/>
  <c r="AX56" i="5" l="1"/>
  <c r="AY56" i="5" a="1"/>
  <c r="AY56" i="5" l="1"/>
  <c r="AZ56" i="5" a="1"/>
  <c r="AZ56" i="5" l="1"/>
  <c r="BA56" i="5" a="1"/>
  <c r="BA56" i="5" l="1"/>
  <c r="AN52" i="5" a="1"/>
  <c r="AN52" i="5" l="1"/>
  <c r="AO52" i="5" a="1"/>
  <c r="AO52" i="5" l="1"/>
  <c r="AP52" i="5" a="1"/>
  <c r="AP52" i="5" l="1"/>
  <c r="AQ52" i="5" a="1"/>
  <c r="AQ52" i="5" l="1"/>
  <c r="AR52" i="5" a="1"/>
  <c r="AR52" i="5" l="1"/>
  <c r="AS52" i="5" a="1"/>
  <c r="AS52" i="5" l="1"/>
  <c r="AT52" i="5" a="1"/>
  <c r="AT52" i="5" l="1"/>
  <c r="AG52" i="5" a="1"/>
  <c r="AG52" i="5" l="1"/>
  <c r="AH52" i="5" a="1"/>
  <c r="AH52" i="5" l="1"/>
  <c r="AI52" i="5" a="1"/>
  <c r="AI52" i="5" l="1"/>
  <c r="AJ52" i="5" a="1"/>
  <c r="AJ52" i="5" l="1"/>
  <c r="AK52" i="5" a="1"/>
  <c r="AK52" i="5" l="1"/>
  <c r="AL52" i="5" a="1"/>
  <c r="AL52" i="5" l="1"/>
  <c r="AM52" i="5" a="1"/>
  <c r="AM52" i="5" l="1"/>
  <c r="Z52" i="5" a="1"/>
  <c r="Z52" i="5" l="1"/>
  <c r="AA52" i="5" a="1"/>
  <c r="AA52" i="5" l="1"/>
  <c r="AB52" i="5" a="1"/>
  <c r="AB52" i="5" l="1"/>
  <c r="AC52" i="5" a="1"/>
  <c r="AC52" i="5" l="1"/>
  <c r="AD52" i="5" a="1"/>
  <c r="AD52" i="5" l="1"/>
  <c r="AE52" i="5" a="1"/>
  <c r="AE52" i="5" l="1"/>
  <c r="AF52" i="5" a="1"/>
  <c r="AF52" i="5" l="1"/>
  <c r="R52" i="5" a="1"/>
  <c r="R52" i="5" l="1"/>
  <c r="S52" i="5" a="1"/>
  <c r="S52" i="5" l="1"/>
  <c r="U52" i="5" a="1"/>
  <c r="U52" i="5" l="1"/>
  <c r="V52" i="5" a="1"/>
  <c r="V52" i="5" l="1"/>
  <c r="W52" i="5" a="1"/>
  <c r="W52" i="5" l="1"/>
  <c r="X52" i="5" a="1"/>
  <c r="X52" i="5" l="1"/>
  <c r="Y52" i="5" a="1"/>
  <c r="Y52" i="5" l="1"/>
  <c r="K52" i="5" a="1"/>
  <c r="K52" i="5" l="1"/>
  <c r="L52" i="5" a="1"/>
  <c r="L52" i="5" l="1"/>
  <c r="M52" i="5" a="1"/>
  <c r="M52" i="5" l="1"/>
  <c r="N52" i="5" a="1"/>
  <c r="N52" i="5" l="1"/>
  <c r="O52" i="5" a="1"/>
  <c r="O52" i="5" l="1"/>
  <c r="P52" i="5" a="1"/>
  <c r="P52" i="5" l="1"/>
  <c r="Q52" i="5" a="1"/>
  <c r="Q52" i="5" l="1"/>
  <c r="C52" i="5" a="1"/>
  <c r="C52" i="5" l="1"/>
  <c r="E52" i="5" a="1"/>
  <c r="E52" i="5" l="1"/>
  <c r="F52" i="5" a="1"/>
  <c r="F52" i="5" l="1"/>
  <c r="G52" i="5" a="1"/>
  <c r="G52" i="5" l="1"/>
  <c r="H52" i="5" a="1"/>
  <c r="H52" i="5" l="1"/>
  <c r="I52" i="5" a="1"/>
  <c r="I52" i="5" l="1"/>
  <c r="J52" i="5" a="1"/>
  <c r="J52" i="5" l="1"/>
  <c r="CB51" i="5" a="1"/>
  <c r="CB51" i="5" l="1"/>
  <c r="CC51" i="5" a="1"/>
  <c r="CC51" i="5" l="1"/>
  <c r="CD51" i="5" a="1"/>
  <c r="CD51" i="5" l="1"/>
  <c r="CE51" i="5" a="1"/>
  <c r="CE51" i="5" l="1"/>
  <c r="CF51" i="5" a="1"/>
  <c r="CF51" i="5" l="1"/>
  <c r="CG51" i="5" a="1"/>
  <c r="CG51" i="5" l="1"/>
  <c r="B52" i="5" a="1"/>
  <c r="B52" i="5" l="1"/>
  <c r="BI55" i="5" a="1"/>
  <c r="BI55" i="5" l="1"/>
  <c r="BV51" i="5" a="1"/>
  <c r="BV51" i="5" l="1"/>
  <c r="BW51" i="5" a="1"/>
  <c r="BW51" i="5" l="1"/>
  <c r="BX51" i="5" a="1"/>
  <c r="BX51" i="5" l="1"/>
  <c r="BY51" i="5" a="1"/>
  <c r="BY51" i="5" l="1"/>
  <c r="BZ51" i="5" a="1"/>
  <c r="BZ51" i="5" l="1"/>
  <c r="CA51" i="5" a="1"/>
  <c r="CA51" i="5" l="1"/>
  <c r="BB55" i="5" a="1"/>
  <c r="BB55" i="5" l="1"/>
  <c r="BC55" i="5" a="1"/>
  <c r="BC55" i="5" l="1"/>
  <c r="BD55" i="5" a="1"/>
  <c r="BD55" i="5" l="1"/>
  <c r="BE55" i="5" a="1"/>
  <c r="BE55" i="5" l="1"/>
  <c r="BF55" i="5" a="1"/>
  <c r="BF55" i="5" l="1"/>
  <c r="BG55" i="5"/>
  <c r="BH55" i="5" a="1"/>
  <c r="BH55" i="5" l="1"/>
  <c r="AU51" i="5" a="1"/>
  <c r="AU51" i="5" l="1"/>
  <c r="AV51" i="5" a="1"/>
  <c r="AV51" i="5" l="1"/>
  <c r="AW51" i="5" a="1"/>
  <c r="AW51" i="5" l="1"/>
  <c r="AX55" i="5" a="1"/>
  <c r="AX55" i="5" l="1"/>
  <c r="AY55" i="5" a="1"/>
  <c r="AY55" i="5" l="1"/>
  <c r="AZ55" i="5" a="1"/>
  <c r="AZ55" i="5" l="1"/>
  <c r="BA55" i="5" a="1"/>
  <c r="BA55" i="5" l="1"/>
  <c r="AN51" i="5" a="1"/>
  <c r="AN51" i="5" l="1"/>
  <c r="AO51" i="5" a="1"/>
  <c r="AO51" i="5" l="1"/>
  <c r="AP51" i="5" a="1"/>
  <c r="AP51" i="5" l="1"/>
  <c r="AQ51" i="5" a="1"/>
  <c r="AQ51" i="5" l="1"/>
  <c r="AR51" i="5" a="1"/>
  <c r="AR51" i="5" l="1"/>
  <c r="AS51" i="5" a="1"/>
  <c r="AS51" i="5" l="1"/>
  <c r="AT51" i="5" a="1"/>
  <c r="AT51" i="5" l="1"/>
  <c r="AG51" i="5" a="1"/>
  <c r="AG51" i="5" l="1"/>
  <c r="AH51" i="5" a="1"/>
  <c r="AH51" i="5" l="1"/>
  <c r="AI51" i="5" a="1"/>
  <c r="AI51" i="5" l="1"/>
  <c r="AJ51" i="5" a="1"/>
  <c r="AJ51" i="5" l="1"/>
  <c r="AK51" i="5" a="1"/>
  <c r="AK51" i="5" l="1"/>
  <c r="AL51" i="5" a="1"/>
  <c r="AL51" i="5" l="1"/>
  <c r="AM51" i="5" a="1"/>
  <c r="AM51" i="5" l="1"/>
  <c r="Z51" i="5" a="1"/>
  <c r="Z51" i="5" l="1"/>
  <c r="AA51" i="5" a="1"/>
  <c r="AA51" i="5" l="1"/>
  <c r="AB51" i="5" a="1"/>
  <c r="AB51" i="5" l="1"/>
  <c r="AC51" i="5" a="1"/>
  <c r="AC51" i="5" l="1"/>
  <c r="AD51" i="5" a="1"/>
  <c r="AD51" i="5" l="1"/>
  <c r="AE51" i="5" a="1"/>
  <c r="AE51" i="5" l="1"/>
  <c r="AF51" i="5" a="1"/>
  <c r="AF51" i="5" l="1"/>
  <c r="R51" i="5" a="1"/>
  <c r="R51" i="5" l="1"/>
  <c r="S51" i="5" a="1"/>
  <c r="S51" i="5" l="1"/>
  <c r="U51" i="5" a="1"/>
  <c r="U51" i="5" l="1"/>
  <c r="V51" i="5" a="1"/>
  <c r="V51" i="5" l="1"/>
  <c r="W51" i="5" a="1"/>
  <c r="W51" i="5" l="1"/>
  <c r="X51" i="5" a="1"/>
  <c r="X51" i="5" l="1"/>
  <c r="Y51" i="5" a="1"/>
  <c r="Y51" i="5" l="1"/>
  <c r="K51" i="5" a="1"/>
  <c r="K51" i="5" l="1"/>
  <c r="L51" i="5" a="1"/>
  <c r="L51" i="5" l="1"/>
  <c r="M51" i="5" a="1"/>
  <c r="M51" i="5" l="1"/>
  <c r="N51" i="5" a="1"/>
  <c r="N51" i="5" l="1"/>
  <c r="O51" i="5" a="1"/>
  <c r="O51" i="5" l="1"/>
  <c r="P51" i="5" a="1"/>
  <c r="P51" i="5" l="1"/>
  <c r="Q51" i="5" a="1"/>
  <c r="Q51" i="5" l="1"/>
  <c r="C51" i="5" a="1"/>
  <c r="C51" i="5" l="1"/>
  <c r="E51" i="5" a="1"/>
  <c r="E51" i="5" l="1"/>
  <c r="F51" i="5" a="1"/>
  <c r="F51" i="5" l="1"/>
  <c r="G51" i="5" a="1"/>
  <c r="G51" i="5" l="1"/>
  <c r="H51" i="5" a="1"/>
  <c r="H51" i="5" l="1"/>
  <c r="I51" i="5" a="1"/>
  <c r="I51" i="5" l="1"/>
  <c r="J51" i="5" a="1"/>
  <c r="J51" i="5" l="1"/>
  <c r="CB50" i="5" a="1"/>
  <c r="CB50" i="5" l="1"/>
  <c r="CC50" i="5" a="1"/>
  <c r="CC50" i="5" l="1"/>
  <c r="CD50" i="5" a="1"/>
  <c r="CD50" i="5" l="1"/>
  <c r="CE50" i="5" a="1"/>
  <c r="CE50" i="5" l="1"/>
  <c r="CF50" i="5" a="1"/>
  <c r="CF50" i="5" l="1"/>
  <c r="CG50" i="5" a="1"/>
  <c r="CG50" i="5" l="1"/>
  <c r="B51" i="5" a="1"/>
  <c r="B51" i="5" l="1"/>
  <c r="BI54" i="5" a="1"/>
  <c r="BI54" i="5" l="1"/>
  <c r="BV50" i="5" a="1"/>
  <c r="BV50" i="5" l="1"/>
  <c r="BW50" i="5" a="1"/>
  <c r="BW50" i="5" l="1"/>
  <c r="BX50" i="5" a="1"/>
  <c r="BX50" i="5" l="1"/>
  <c r="BY50" i="5" a="1"/>
  <c r="BY50" i="5" l="1"/>
  <c r="BZ50" i="5" a="1"/>
  <c r="BZ50" i="5" l="1"/>
  <c r="CA50" i="5" a="1"/>
  <c r="CA50" i="5" l="1"/>
  <c r="BB54" i="5" a="1"/>
  <c r="BB54" i="5" l="1"/>
  <c r="BC54" i="5" a="1"/>
  <c r="BC54" i="5" l="1"/>
  <c r="BD54" i="5" a="1"/>
  <c r="BD54" i="5" l="1"/>
  <c r="BE54" i="5" a="1"/>
  <c r="BE54" i="5" l="1"/>
  <c r="BF54" i="5" a="1"/>
  <c r="BF54" i="5" l="1"/>
  <c r="BG54" i="5"/>
  <c r="BH54" i="5" a="1"/>
  <c r="BH54" i="5" l="1"/>
  <c r="AU50" i="5" a="1"/>
  <c r="AU50" i="5" l="1"/>
  <c r="AV50" i="5" a="1"/>
  <c r="AV50" i="5" l="1"/>
  <c r="AW50" i="5" a="1"/>
  <c r="AW50" i="5" l="1"/>
  <c r="AX54" i="5" a="1"/>
  <c r="AX54" i="5" l="1"/>
  <c r="AY54" i="5" a="1"/>
  <c r="AY54" i="5" l="1"/>
  <c r="AZ54" i="5" a="1"/>
  <c r="AZ54" i="5" l="1"/>
  <c r="BA54" i="5" a="1"/>
  <c r="BA54" i="5" l="1"/>
  <c r="AN50" i="5" a="1"/>
  <c r="AN50" i="5" l="1"/>
  <c r="AO50" i="5" a="1"/>
  <c r="AO50" i="5" l="1"/>
  <c r="AP50" i="5" a="1"/>
  <c r="AP50" i="5" l="1"/>
  <c r="AQ50" i="5" a="1"/>
  <c r="AQ50" i="5" l="1"/>
  <c r="AR50" i="5" a="1"/>
  <c r="AR50" i="5" l="1"/>
  <c r="AS50" i="5" a="1"/>
  <c r="AS50" i="5" l="1"/>
  <c r="AT50" i="5" a="1"/>
  <c r="AT50" i="5" l="1"/>
  <c r="AG50" i="5" a="1"/>
  <c r="AG50" i="5" l="1"/>
  <c r="AH50" i="5" a="1"/>
  <c r="AH50" i="5" l="1"/>
  <c r="AI50" i="5" a="1"/>
  <c r="AI50" i="5" l="1"/>
  <c r="AJ50" i="5" a="1"/>
  <c r="AJ50" i="5" l="1"/>
  <c r="AK50" i="5" a="1"/>
  <c r="AK50" i="5" l="1"/>
  <c r="AL50" i="5" a="1"/>
  <c r="AL50" i="5" l="1"/>
  <c r="AM50" i="5" a="1"/>
  <c r="AM50" i="5" l="1"/>
  <c r="Z50" i="5" a="1"/>
  <c r="Z50" i="5" l="1"/>
  <c r="AA50" i="5" a="1"/>
  <c r="AA50" i="5" l="1"/>
  <c r="AB50" i="5" a="1"/>
  <c r="AB50" i="5" l="1"/>
  <c r="AC50" i="5" a="1"/>
  <c r="AC50" i="5" l="1"/>
  <c r="AD50" i="5" a="1"/>
  <c r="AD50" i="5" l="1"/>
  <c r="AE50" i="5" a="1"/>
  <c r="AE50" i="5" l="1"/>
  <c r="AF50" i="5" a="1"/>
  <c r="AF50" i="5" l="1"/>
  <c r="R50" i="5" a="1"/>
  <c r="R50" i="5" l="1"/>
  <c r="S50" i="5" a="1"/>
  <c r="S50" i="5" l="1"/>
  <c r="U50" i="5" a="1"/>
  <c r="U50" i="5" l="1"/>
  <c r="V50" i="5" a="1"/>
  <c r="V50" i="5" l="1"/>
  <c r="W50" i="5" a="1"/>
  <c r="W50" i="5" l="1"/>
  <c r="X50" i="5" a="1"/>
  <c r="X50" i="5" l="1"/>
  <c r="Y50" i="5" a="1"/>
  <c r="Y50" i="5" l="1"/>
  <c r="K50" i="5" a="1"/>
  <c r="K50" i="5" l="1"/>
  <c r="L50" i="5" a="1"/>
  <c r="L50" i="5" l="1"/>
  <c r="M50" i="5" a="1"/>
  <c r="M50" i="5" l="1"/>
  <c r="N50" i="5" a="1"/>
  <c r="N50" i="5" l="1"/>
  <c r="O50" i="5" a="1"/>
  <c r="O50" i="5" l="1"/>
  <c r="P50" i="5" a="1"/>
  <c r="P50" i="5" l="1"/>
  <c r="Q50" i="5" a="1"/>
  <c r="Q50" i="5" l="1"/>
  <c r="C50" i="5" a="1"/>
  <c r="C50" i="5" l="1"/>
  <c r="E50" i="5" a="1"/>
  <c r="E50" i="5" l="1"/>
  <c r="F50" i="5" a="1"/>
  <c r="F50" i="5" l="1"/>
  <c r="G50" i="5" a="1"/>
  <c r="G50" i="5" l="1"/>
  <c r="H50" i="5" a="1"/>
  <c r="H50" i="5" l="1"/>
  <c r="I50" i="5" a="1"/>
  <c r="I50" i="5" l="1"/>
  <c r="J50" i="5" a="1"/>
  <c r="J50" i="5" l="1"/>
  <c r="CB49" i="5" a="1"/>
  <c r="CB49" i="5" l="1"/>
  <c r="CC49" i="5" a="1"/>
  <c r="CC49" i="5" l="1"/>
  <c r="CD49" i="5" a="1"/>
  <c r="CD49" i="5" l="1"/>
  <c r="CE49" i="5" a="1"/>
  <c r="CE49" i="5" l="1"/>
  <c r="CF49" i="5" a="1"/>
  <c r="CF49" i="5" l="1"/>
  <c r="CG49" i="5" a="1"/>
  <c r="CG49" i="5" l="1"/>
  <c r="B50" i="5" a="1"/>
  <c r="B50" i="5" l="1"/>
  <c r="BI53" i="5" a="1"/>
  <c r="BI53" i="5" l="1"/>
  <c r="BV49" i="5" a="1"/>
  <c r="BV49" i="5" l="1"/>
  <c r="BW49" i="5" a="1"/>
  <c r="BW49" i="5" l="1"/>
  <c r="BX49" i="5" a="1"/>
  <c r="BX49" i="5" l="1"/>
  <c r="BY49" i="5" a="1"/>
  <c r="BY49" i="5" l="1"/>
  <c r="BZ49" i="5" a="1"/>
  <c r="BZ49" i="5" l="1"/>
  <c r="CA49" i="5" a="1"/>
  <c r="CA49" i="5" l="1"/>
  <c r="BB53" i="5" a="1"/>
  <c r="BB53" i="5" l="1"/>
  <c r="BC53" i="5" a="1"/>
  <c r="BC53" i="5" l="1"/>
  <c r="BD53" i="5" a="1"/>
  <c r="BD53" i="5" l="1"/>
  <c r="BE53" i="5" a="1"/>
  <c r="BE53" i="5" l="1"/>
  <c r="BF53" i="5" a="1"/>
  <c r="BF53" i="5" l="1"/>
  <c r="BG53" i="5"/>
  <c r="BH53" i="5" a="1"/>
  <c r="BH53" i="5" l="1"/>
  <c r="AU49" i="5" a="1"/>
  <c r="AU49" i="5" l="1"/>
  <c r="AV49" i="5" a="1"/>
  <c r="AV49" i="5" l="1"/>
  <c r="AW49" i="5" a="1"/>
  <c r="AW49" i="5" l="1"/>
  <c r="AX53" i="5" a="1"/>
  <c r="AX53" i="5" l="1"/>
  <c r="AY53" i="5" a="1"/>
  <c r="AY53" i="5" l="1"/>
  <c r="AZ53" i="5" a="1"/>
  <c r="AZ53" i="5" l="1"/>
  <c r="BA53" i="5" a="1"/>
  <c r="BA53" i="5" l="1"/>
  <c r="AN49" i="5" a="1"/>
  <c r="AN49" i="5" l="1"/>
  <c r="AO49" i="5" a="1"/>
  <c r="AO49" i="5" l="1"/>
  <c r="AP49" i="5" a="1"/>
  <c r="AP49" i="5" l="1"/>
  <c r="AQ49" i="5" a="1"/>
  <c r="AQ49" i="5" l="1"/>
  <c r="AR49" i="5" a="1"/>
  <c r="AR49" i="5" l="1"/>
  <c r="AS49" i="5" a="1"/>
  <c r="AS49" i="5" l="1"/>
  <c r="AT49" i="5" a="1"/>
  <c r="AT49" i="5" l="1"/>
  <c r="AG49" i="5" a="1"/>
  <c r="AG49" i="5" l="1"/>
  <c r="AH49" i="5" a="1"/>
  <c r="AH49" i="5" l="1"/>
  <c r="AI49" i="5" a="1"/>
  <c r="AI49" i="5" l="1"/>
  <c r="AJ49" i="5" a="1"/>
  <c r="AJ49" i="5" l="1"/>
  <c r="AK49" i="5" a="1"/>
  <c r="AK49" i="5" l="1"/>
  <c r="AL49" i="5" a="1"/>
  <c r="AL49" i="5" l="1"/>
  <c r="AM49" i="5" a="1"/>
  <c r="AM49" i="5" l="1"/>
  <c r="Z49" i="5" a="1"/>
  <c r="Z49" i="5" l="1"/>
  <c r="AA49" i="5" a="1"/>
  <c r="AA49" i="5" l="1"/>
  <c r="AB49" i="5" a="1"/>
  <c r="AB49" i="5" l="1"/>
  <c r="AC49" i="5" a="1"/>
  <c r="AC49" i="5" l="1"/>
  <c r="AD49" i="5" a="1"/>
  <c r="AD49" i="5" l="1"/>
  <c r="AE49" i="5" a="1"/>
  <c r="AE49" i="5" l="1"/>
  <c r="AF49" i="5" a="1"/>
  <c r="AF49" i="5" l="1"/>
  <c r="R49" i="5" a="1"/>
  <c r="R49" i="5" l="1"/>
  <c r="S49" i="5" a="1"/>
  <c r="S49" i="5" l="1"/>
  <c r="U49" i="5" a="1"/>
  <c r="U49" i="5" l="1"/>
  <c r="V49" i="5" a="1"/>
  <c r="V49" i="5" l="1"/>
  <c r="W49" i="5" a="1"/>
  <c r="W49" i="5" l="1"/>
  <c r="X49" i="5" a="1"/>
  <c r="X49" i="5" l="1"/>
  <c r="Y49" i="5" a="1"/>
  <c r="Y49" i="5" l="1"/>
  <c r="K49" i="5" a="1"/>
  <c r="K49" i="5" l="1"/>
  <c r="L49" i="5" a="1"/>
  <c r="L49" i="5" l="1"/>
  <c r="M49" i="5" a="1"/>
  <c r="M49" i="5" l="1"/>
  <c r="N49" i="5" a="1"/>
  <c r="N49" i="5" l="1"/>
  <c r="O49" i="5" a="1"/>
  <c r="O49" i="5" l="1"/>
  <c r="P49" i="5" a="1"/>
  <c r="P49" i="5" l="1"/>
  <c r="Q49" i="5" a="1"/>
  <c r="Q49" i="5" l="1"/>
  <c r="C49" i="5" a="1"/>
  <c r="C49" i="5" l="1"/>
  <c r="E49" i="5" a="1"/>
  <c r="E49" i="5" l="1"/>
  <c r="F49" i="5" a="1"/>
  <c r="F49" i="5" l="1"/>
  <c r="G49" i="5" a="1"/>
  <c r="G49" i="5" l="1"/>
  <c r="H49" i="5" a="1"/>
  <c r="H49" i="5" l="1"/>
  <c r="I49" i="5" a="1"/>
  <c r="I49" i="5" l="1"/>
  <c r="J49" i="5" a="1"/>
  <c r="J49" i="5" l="1"/>
  <c r="CB48" i="5" a="1"/>
  <c r="CB48" i="5" l="1"/>
  <c r="CC48" i="5" a="1"/>
  <c r="CC48" i="5" l="1"/>
  <c r="CD48" i="5" a="1"/>
  <c r="CD48" i="5" l="1"/>
  <c r="CE48" i="5" a="1"/>
  <c r="CE48" i="5" l="1"/>
  <c r="CF48" i="5" a="1"/>
  <c r="CF48" i="5" l="1"/>
  <c r="CG48" i="5" a="1"/>
  <c r="CG48" i="5" l="1"/>
  <c r="B49" i="5" a="1"/>
  <c r="B49" i="5" l="1"/>
  <c r="BI52" i="5" a="1"/>
  <c r="BI52" i="5" l="1"/>
  <c r="BV48" i="5" a="1"/>
  <c r="BV48" i="5" l="1"/>
  <c r="BW48" i="5" a="1"/>
  <c r="BW48" i="5" l="1"/>
  <c r="BX48" i="5" a="1"/>
  <c r="BX48" i="5" l="1"/>
  <c r="BY48" i="5" a="1"/>
  <c r="BY48" i="5" l="1"/>
  <c r="BZ48" i="5" a="1"/>
  <c r="BZ48" i="5" l="1"/>
  <c r="CA48" i="5" a="1"/>
  <c r="CA48" i="5" l="1"/>
  <c r="BB52" i="5" a="1"/>
  <c r="BB52" i="5" l="1"/>
  <c r="BC52" i="5" a="1"/>
  <c r="BC52" i="5" l="1"/>
  <c r="BD52" i="5" a="1"/>
  <c r="BD52" i="5" l="1"/>
  <c r="BE52" i="5" a="1"/>
  <c r="BE52" i="5" l="1"/>
  <c r="BF52" i="5" a="1"/>
  <c r="BF52" i="5" l="1"/>
  <c r="BG52" i="5"/>
  <c r="BH52" i="5" a="1"/>
  <c r="BH52" i="5" l="1"/>
  <c r="AU48" i="5" a="1"/>
  <c r="AU48" i="5" l="1"/>
  <c r="AV48" i="5" a="1"/>
  <c r="AV48" i="5" l="1"/>
  <c r="AW48" i="5" a="1"/>
  <c r="AW48" i="5" l="1"/>
  <c r="AX52" i="5" a="1"/>
  <c r="AX52" i="5" l="1"/>
  <c r="AY52" i="5" a="1"/>
  <c r="AY52" i="5" l="1"/>
  <c r="AZ52" i="5" a="1"/>
  <c r="AZ52" i="5" l="1"/>
  <c r="BA52" i="5" a="1"/>
  <c r="BA52" i="5" l="1"/>
  <c r="AN48" i="5" a="1"/>
  <c r="AN48" i="5" l="1"/>
  <c r="AO48" i="5" a="1"/>
  <c r="AO48" i="5" l="1"/>
  <c r="AP48" i="5" a="1"/>
  <c r="AP48" i="5" l="1"/>
  <c r="AQ48" i="5" a="1"/>
  <c r="AQ48" i="5" l="1"/>
  <c r="AR48" i="5" a="1"/>
  <c r="AR48" i="5" l="1"/>
  <c r="AS48" i="5" a="1"/>
  <c r="AS48" i="5" l="1"/>
  <c r="AT48" i="5" a="1"/>
  <c r="AT48" i="5" l="1"/>
  <c r="AG48" i="5" a="1"/>
  <c r="AG48" i="5" l="1"/>
  <c r="AH48" i="5" a="1"/>
  <c r="AH48" i="5" l="1"/>
  <c r="AI48" i="5" a="1"/>
  <c r="AI48" i="5" l="1"/>
  <c r="AJ48" i="5" a="1"/>
  <c r="AJ48" i="5" l="1"/>
  <c r="AK48" i="5" a="1"/>
  <c r="AK48" i="5" l="1"/>
  <c r="AL48" i="5" a="1"/>
  <c r="AL48" i="5" l="1"/>
  <c r="AM48" i="5" a="1"/>
  <c r="AM48" i="5" l="1"/>
  <c r="Z48" i="5" a="1"/>
  <c r="Z48" i="5" l="1"/>
  <c r="AA48" i="5" a="1"/>
  <c r="AA48" i="5" l="1"/>
  <c r="AB48" i="5" a="1"/>
  <c r="AB48" i="5" l="1"/>
  <c r="AC48" i="5" a="1"/>
  <c r="AC48" i="5" l="1"/>
  <c r="AD48" i="5" a="1"/>
  <c r="AD48" i="5" l="1"/>
  <c r="AE48" i="5" a="1"/>
  <c r="AE48" i="5" l="1"/>
  <c r="AF48" i="5" a="1"/>
  <c r="AF48" i="5" l="1"/>
  <c r="R48" i="5" a="1"/>
  <c r="R48" i="5" l="1"/>
  <c r="S48" i="5" a="1"/>
  <c r="S48" i="5" l="1"/>
  <c r="U48" i="5" a="1"/>
  <c r="U48" i="5" l="1"/>
  <c r="V48" i="5" a="1"/>
  <c r="V48" i="5" l="1"/>
  <c r="W48" i="5" a="1"/>
  <c r="W48" i="5" l="1"/>
  <c r="X48" i="5" a="1"/>
  <c r="X48" i="5" l="1"/>
  <c r="Y48" i="5" a="1"/>
  <c r="Y48" i="5" l="1"/>
  <c r="K48" i="5" a="1"/>
  <c r="K48" i="5" l="1"/>
  <c r="L48" i="5" a="1"/>
  <c r="L48" i="5" l="1"/>
  <c r="M48" i="5" a="1"/>
  <c r="M48" i="5" l="1"/>
  <c r="N48" i="5" a="1"/>
  <c r="N48" i="5" l="1"/>
  <c r="O48" i="5" a="1"/>
  <c r="O48" i="5" l="1"/>
  <c r="P48" i="5" a="1"/>
  <c r="P48" i="5" l="1"/>
  <c r="Q48" i="5" a="1"/>
  <c r="Q48" i="5" l="1"/>
  <c r="C48" i="5" a="1"/>
  <c r="C48" i="5" l="1"/>
  <c r="E48" i="5" a="1"/>
  <c r="E48" i="5" l="1"/>
  <c r="F48" i="5" a="1"/>
  <c r="F48" i="5" l="1"/>
  <c r="G48" i="5" a="1"/>
  <c r="G48" i="5" l="1"/>
  <c r="H48" i="5" a="1"/>
  <c r="H48" i="5" l="1"/>
  <c r="I48" i="5" a="1"/>
  <c r="I48" i="5" l="1"/>
  <c r="J48" i="5" a="1"/>
  <c r="J48" i="5" l="1"/>
  <c r="CB47" i="5" a="1"/>
  <c r="CB47" i="5" l="1"/>
  <c r="CC47" i="5" a="1"/>
  <c r="CC47" i="5" l="1"/>
  <c r="CD47" i="5" a="1"/>
  <c r="CD47" i="5" l="1"/>
  <c r="CE47" i="5" a="1"/>
  <c r="CE47" i="5" l="1"/>
  <c r="CF47" i="5" a="1"/>
  <c r="CF47" i="5" l="1"/>
  <c r="CG47" i="5" a="1"/>
  <c r="CG47" i="5" l="1"/>
  <c r="B48" i="5" a="1"/>
  <c r="B48" i="5" l="1"/>
  <c r="BI51" i="5" a="1"/>
  <c r="BI51" i="5" l="1"/>
  <c r="BV47" i="5" a="1"/>
  <c r="BV47" i="5" l="1"/>
  <c r="BW47" i="5" a="1"/>
  <c r="BW47" i="5" l="1"/>
  <c r="BX47" i="5" a="1"/>
  <c r="BX47" i="5" l="1"/>
  <c r="BY47" i="5" a="1"/>
  <c r="BY47" i="5" l="1"/>
  <c r="BZ47" i="5" a="1"/>
  <c r="BZ47" i="5" l="1"/>
  <c r="CA47" i="5" a="1"/>
  <c r="CA47" i="5" l="1"/>
  <c r="BB51" i="5" a="1"/>
  <c r="BB51" i="5" l="1"/>
  <c r="BC51" i="5" a="1"/>
  <c r="BC51" i="5" l="1"/>
  <c r="BD51" i="5" a="1"/>
  <c r="BD51" i="5" l="1"/>
  <c r="BE51" i="5" a="1"/>
  <c r="BE51" i="5" l="1"/>
  <c r="BF51" i="5" a="1"/>
  <c r="BF51" i="5" l="1"/>
  <c r="BG51" i="5"/>
  <c r="BH51" i="5" a="1"/>
  <c r="BH51" i="5" l="1"/>
  <c r="AU47" i="5" a="1"/>
  <c r="AU47" i="5" l="1"/>
  <c r="AV47" i="5" a="1"/>
  <c r="AV47" i="5" l="1"/>
  <c r="AW47" i="5" a="1"/>
  <c r="AW47" i="5" l="1"/>
  <c r="AX51" i="5" a="1"/>
  <c r="AX51" i="5" l="1"/>
  <c r="AY51" i="5" a="1"/>
  <c r="AY51" i="5" l="1"/>
  <c r="AZ51" i="5" a="1"/>
  <c r="AZ51" i="5" l="1"/>
  <c r="BA51" i="5" a="1"/>
  <c r="BA51" i="5" l="1"/>
  <c r="AN47" i="5" a="1"/>
  <c r="AN47" i="5" l="1"/>
  <c r="AO47" i="5" a="1"/>
  <c r="AO47" i="5" l="1"/>
  <c r="AP47" i="5" a="1"/>
  <c r="AP47" i="5" l="1"/>
  <c r="AQ47" i="5" a="1"/>
  <c r="AQ47" i="5" l="1"/>
  <c r="AR47" i="5" a="1"/>
  <c r="AR47" i="5" l="1"/>
  <c r="AS47" i="5" a="1"/>
  <c r="AS47" i="5" l="1"/>
  <c r="AT47" i="5" a="1"/>
  <c r="AT47" i="5" l="1"/>
  <c r="AG47" i="5" a="1"/>
  <c r="AG47" i="5" l="1"/>
  <c r="AH47" i="5" a="1"/>
  <c r="AH47" i="5" l="1"/>
  <c r="AI47" i="5" a="1"/>
  <c r="AI47" i="5" l="1"/>
  <c r="AJ47" i="5" a="1"/>
  <c r="AJ47" i="5" l="1"/>
  <c r="AK47" i="5" a="1"/>
  <c r="AK47" i="5" l="1"/>
  <c r="AL47" i="5" a="1"/>
  <c r="AL47" i="5" l="1"/>
  <c r="AM47" i="5" a="1"/>
  <c r="AM47" i="5" l="1"/>
  <c r="Z47" i="5" a="1"/>
  <c r="Z47" i="5" l="1"/>
  <c r="AA47" i="5" a="1"/>
  <c r="AA47" i="5" l="1"/>
  <c r="AB47" i="5" a="1"/>
  <c r="AB47" i="5" l="1"/>
  <c r="AC47" i="5" a="1"/>
  <c r="AC47" i="5" l="1"/>
  <c r="AD47" i="5" a="1"/>
  <c r="AD47" i="5" l="1"/>
  <c r="AE47" i="5" a="1"/>
  <c r="AE47" i="5" l="1"/>
  <c r="AF47" i="5" a="1"/>
  <c r="AF47" i="5" l="1"/>
  <c r="R47" i="5" a="1"/>
  <c r="R47" i="5" l="1"/>
  <c r="S47" i="5" a="1"/>
  <c r="S47" i="5" l="1"/>
  <c r="U47" i="5" a="1"/>
  <c r="U47" i="5" l="1"/>
  <c r="V47" i="5" a="1"/>
  <c r="V47" i="5" l="1"/>
  <c r="W47" i="5" a="1"/>
  <c r="W47" i="5" l="1"/>
  <c r="X47" i="5" a="1"/>
  <c r="X47" i="5" l="1"/>
  <c r="Y47" i="5" a="1"/>
  <c r="Y47" i="5" l="1"/>
  <c r="K47" i="5" a="1"/>
  <c r="K47" i="5" l="1"/>
  <c r="L47" i="5" a="1"/>
  <c r="L47" i="5" l="1"/>
  <c r="M47" i="5" a="1"/>
  <c r="M47" i="5" l="1"/>
  <c r="N47" i="5" a="1"/>
  <c r="N47" i="5" l="1"/>
  <c r="O47" i="5" a="1"/>
  <c r="O47" i="5" l="1"/>
  <c r="P47" i="5" a="1"/>
  <c r="P47" i="5" l="1"/>
  <c r="Q47" i="5" a="1"/>
  <c r="Q47" i="5" l="1"/>
  <c r="C47" i="5" a="1"/>
  <c r="C47" i="5" l="1"/>
  <c r="E47" i="5" a="1"/>
  <c r="E47" i="5" l="1"/>
  <c r="F47" i="5" a="1"/>
  <c r="F47" i="5" l="1"/>
  <c r="G47" i="5" a="1"/>
  <c r="G47" i="5" l="1"/>
  <c r="H47" i="5" a="1"/>
  <c r="H47" i="5" l="1"/>
  <c r="I47" i="5" a="1"/>
  <c r="I47" i="5" l="1"/>
  <c r="J47" i="5" a="1"/>
  <c r="J47" i="5" l="1"/>
  <c r="CB46" i="5" a="1"/>
  <c r="CB46" i="5" l="1"/>
  <c r="CC46" i="5" a="1"/>
  <c r="CC46" i="5" l="1"/>
  <c r="CD46" i="5" a="1"/>
  <c r="CD46" i="5" l="1"/>
  <c r="CE46" i="5" a="1"/>
  <c r="CE46" i="5" l="1"/>
  <c r="CF46" i="5" a="1"/>
  <c r="CF46" i="5" l="1"/>
  <c r="CG46" i="5" a="1"/>
  <c r="CG46" i="5" l="1"/>
  <c r="B47" i="5" a="1"/>
  <c r="B47" i="5" l="1"/>
  <c r="BI50" i="5" a="1"/>
  <c r="BI50" i="5" l="1"/>
  <c r="BV46" i="5" a="1"/>
  <c r="BV46" i="5" l="1"/>
  <c r="BW46" i="5" a="1"/>
  <c r="BW46" i="5" l="1"/>
  <c r="BX46" i="5" a="1"/>
  <c r="BX46" i="5" l="1"/>
  <c r="BY46" i="5" a="1"/>
  <c r="BY46" i="5" l="1"/>
  <c r="BZ46" i="5" a="1"/>
  <c r="BZ46" i="5" l="1"/>
  <c r="CA46" i="5" a="1"/>
  <c r="CA46" i="5" l="1"/>
  <c r="BB50" i="5" a="1"/>
  <c r="BB50" i="5" l="1"/>
  <c r="BC50" i="5" a="1"/>
  <c r="BC50" i="5" l="1"/>
  <c r="BD50" i="5" a="1"/>
  <c r="BD50" i="5" l="1"/>
  <c r="BE50" i="5" a="1"/>
  <c r="BE50" i="5" l="1"/>
  <c r="BF50" i="5" a="1"/>
  <c r="BF50" i="5" l="1"/>
  <c r="BG50" i="5"/>
  <c r="BH50" i="5" a="1"/>
  <c r="BH50" i="5" l="1"/>
  <c r="AU46" i="5" a="1"/>
  <c r="AU46" i="5" l="1"/>
  <c r="AV46" i="5" a="1"/>
  <c r="AV46" i="5" l="1"/>
  <c r="AW46" i="5" a="1"/>
  <c r="AW46" i="5" l="1"/>
  <c r="AX50" i="5" a="1"/>
  <c r="AX50" i="5" l="1"/>
  <c r="AY50" i="5" a="1"/>
  <c r="AY50" i="5" l="1"/>
  <c r="AZ50" i="5" a="1"/>
  <c r="AZ50" i="5" l="1"/>
  <c r="BA50" i="5" a="1"/>
  <c r="BA50" i="5" l="1"/>
  <c r="AN46" i="5" a="1"/>
  <c r="AN46" i="5" l="1"/>
  <c r="AO46" i="5" a="1"/>
  <c r="AO46" i="5" l="1"/>
  <c r="AP46" i="5" a="1"/>
  <c r="AP46" i="5" l="1"/>
  <c r="AQ46" i="5" a="1"/>
  <c r="AQ46" i="5" l="1"/>
  <c r="AR46" i="5" a="1"/>
  <c r="AR46" i="5" l="1"/>
  <c r="AS46" i="5" a="1"/>
  <c r="AS46" i="5" l="1"/>
  <c r="AT46" i="5" a="1"/>
  <c r="AT46" i="5" l="1"/>
  <c r="AG46" i="5" a="1"/>
  <c r="AG46" i="5" l="1"/>
  <c r="AH46" i="5" a="1"/>
  <c r="AH46" i="5" l="1"/>
  <c r="AI46" i="5" a="1"/>
  <c r="AI46" i="5" l="1"/>
  <c r="AJ46" i="5" a="1"/>
  <c r="AJ46" i="5" l="1"/>
  <c r="AK46" i="5" a="1"/>
  <c r="AK46" i="5" l="1"/>
  <c r="AL46" i="5" a="1"/>
  <c r="AL46" i="5" l="1"/>
  <c r="AM46" i="5" a="1"/>
  <c r="AM46" i="5" l="1"/>
  <c r="Z46" i="5" a="1"/>
  <c r="Z46" i="5" l="1"/>
  <c r="AA46" i="5" a="1"/>
  <c r="AA46" i="5" l="1"/>
  <c r="AB46" i="5" a="1"/>
  <c r="AB46" i="5" l="1"/>
  <c r="AC46" i="5" a="1"/>
  <c r="AC46" i="5" l="1"/>
  <c r="AD46" i="5" a="1"/>
  <c r="AD46" i="5" l="1"/>
  <c r="AE46" i="5" a="1"/>
  <c r="AE46" i="5" l="1"/>
  <c r="AF46" i="5" a="1"/>
  <c r="AF46" i="5" l="1"/>
  <c r="R46" i="5" a="1"/>
  <c r="R46" i="5" l="1"/>
  <c r="S46" i="5" a="1"/>
  <c r="S46" i="5" l="1"/>
  <c r="U46" i="5" a="1"/>
  <c r="U46" i="5" l="1"/>
  <c r="V46" i="5" a="1"/>
  <c r="V46" i="5" l="1"/>
  <c r="W46" i="5" a="1"/>
  <c r="W46" i="5" l="1"/>
  <c r="X46" i="5" a="1"/>
  <c r="X46" i="5" l="1"/>
  <c r="Y46" i="5" a="1"/>
  <c r="Y46" i="5" l="1"/>
  <c r="K46" i="5" a="1"/>
  <c r="K46" i="5" l="1"/>
  <c r="L46" i="5" a="1"/>
  <c r="L46" i="5" l="1"/>
  <c r="M46" i="5" a="1"/>
  <c r="M46" i="5" l="1"/>
  <c r="N46" i="5" a="1"/>
  <c r="N46" i="5" l="1"/>
  <c r="O46" i="5" a="1"/>
  <c r="O46" i="5" l="1"/>
  <c r="P46" i="5" a="1"/>
  <c r="P46" i="5" l="1"/>
  <c r="Q46" i="5" a="1"/>
  <c r="Q46" i="5" l="1"/>
  <c r="C46" i="5" a="1"/>
  <c r="C46" i="5" l="1"/>
  <c r="E46" i="5" a="1"/>
  <c r="E46" i="5" l="1"/>
  <c r="F46" i="5" a="1"/>
  <c r="F46" i="5" l="1"/>
  <c r="G46" i="5" a="1"/>
  <c r="G46" i="5" l="1"/>
  <c r="H46" i="5" a="1"/>
  <c r="H46" i="5" l="1"/>
  <c r="I46" i="5" a="1"/>
  <c r="I46" i="5" l="1"/>
  <c r="J46" i="5" a="1"/>
  <c r="J46" i="5" l="1"/>
  <c r="CB45" i="5" a="1"/>
  <c r="CB45" i="5" l="1"/>
  <c r="CC45" i="5" a="1"/>
  <c r="CC45" i="5" l="1"/>
  <c r="CD45" i="5" a="1"/>
  <c r="CD45" i="5" l="1"/>
  <c r="CE45" i="5" a="1"/>
  <c r="CE45" i="5" l="1"/>
  <c r="CF45" i="5" a="1"/>
  <c r="CF45" i="5" l="1"/>
  <c r="CG45" i="5" a="1"/>
  <c r="CG45" i="5" l="1"/>
  <c r="B46" i="5" a="1"/>
  <c r="B46" i="5" l="1"/>
  <c r="BI49" i="5" a="1"/>
  <c r="BI49" i="5" l="1"/>
  <c r="BV45" i="5" a="1"/>
  <c r="BV45" i="5" l="1"/>
  <c r="BW45" i="5" a="1"/>
  <c r="BW45" i="5" l="1"/>
  <c r="BX45" i="5" a="1"/>
  <c r="BX45" i="5" l="1"/>
  <c r="BY45" i="5" a="1"/>
  <c r="BY45" i="5" l="1"/>
  <c r="BZ45" i="5" a="1"/>
  <c r="BZ45" i="5" l="1"/>
  <c r="CA45" i="5" a="1"/>
  <c r="CA45" i="5" l="1"/>
  <c r="BB49" i="5" a="1"/>
  <c r="BB49" i="5" l="1"/>
  <c r="BC49" i="5" a="1"/>
  <c r="BC49" i="5" l="1"/>
  <c r="BD49" i="5" a="1"/>
  <c r="BD49" i="5" l="1"/>
  <c r="BE49" i="5" a="1"/>
  <c r="BE49" i="5" l="1"/>
  <c r="BF49" i="5" a="1"/>
  <c r="BF49" i="5" l="1"/>
  <c r="BG49" i="5"/>
  <c r="BH49" i="5" a="1"/>
  <c r="BH49" i="5" l="1"/>
  <c r="AU45" i="5" a="1"/>
  <c r="AU45" i="5" l="1"/>
  <c r="AV45" i="5" a="1"/>
  <c r="AV45" i="5" l="1"/>
  <c r="AW45" i="5" a="1"/>
  <c r="AW45" i="5" l="1"/>
  <c r="AX49" i="5" a="1"/>
  <c r="AX49" i="5" l="1"/>
  <c r="AY49" i="5" a="1"/>
  <c r="AY49" i="5" l="1"/>
  <c r="AZ49" i="5" a="1"/>
  <c r="AZ49" i="5" l="1"/>
  <c r="BA49" i="5" a="1"/>
  <c r="BA49" i="5" l="1"/>
  <c r="AN45" i="5" a="1"/>
  <c r="AN45" i="5" l="1"/>
  <c r="AO45" i="5" a="1"/>
  <c r="AO45" i="5" l="1"/>
  <c r="AP45" i="5" a="1"/>
  <c r="AP45" i="5" l="1"/>
  <c r="AQ45" i="5" a="1"/>
  <c r="AQ45" i="5" l="1"/>
  <c r="AR45" i="5" a="1"/>
  <c r="AR45" i="5" l="1"/>
  <c r="AS45" i="5" a="1"/>
  <c r="AS45" i="5" l="1"/>
  <c r="AT45" i="5" a="1"/>
  <c r="AT45" i="5" l="1"/>
  <c r="AG45" i="5" a="1"/>
  <c r="AG45" i="5" l="1"/>
  <c r="AH45" i="5" a="1"/>
  <c r="AH45" i="5" l="1"/>
  <c r="AI45" i="5" a="1"/>
  <c r="AI45" i="5" l="1"/>
  <c r="AJ45" i="5" a="1"/>
  <c r="AJ45" i="5" l="1"/>
  <c r="AK45" i="5" a="1"/>
  <c r="AK45" i="5" l="1"/>
  <c r="AL45" i="5" a="1"/>
  <c r="AL45" i="5" l="1"/>
  <c r="AM45" i="5" a="1"/>
  <c r="AM45" i="5" l="1"/>
  <c r="Z45" i="5" a="1"/>
  <c r="Z45" i="5" l="1"/>
  <c r="AA45" i="5" a="1"/>
  <c r="AA45" i="5" l="1"/>
  <c r="AB45" i="5" a="1"/>
  <c r="AB45" i="5" l="1"/>
  <c r="AC45" i="5" a="1"/>
  <c r="AC45" i="5" l="1"/>
  <c r="AD45" i="5" a="1"/>
  <c r="AD45" i="5" l="1"/>
  <c r="AE45" i="5" a="1"/>
  <c r="AE45" i="5" l="1"/>
  <c r="AF45" i="5" a="1"/>
  <c r="AF45" i="5" l="1"/>
  <c r="R45" i="5" a="1"/>
  <c r="R45" i="5" l="1"/>
  <c r="S45" i="5" a="1"/>
  <c r="S45" i="5" l="1"/>
  <c r="U45" i="5" a="1"/>
  <c r="U45" i="5" l="1"/>
  <c r="V45" i="5" a="1"/>
  <c r="V45" i="5" l="1"/>
  <c r="W45" i="5" a="1"/>
  <c r="W45" i="5" l="1"/>
  <c r="X45" i="5" a="1"/>
  <c r="X45" i="5" l="1"/>
  <c r="Y45" i="5" a="1"/>
  <c r="Y45" i="5" l="1"/>
  <c r="K45" i="5" a="1"/>
  <c r="K45" i="5" l="1"/>
  <c r="L45" i="5" a="1"/>
  <c r="L45" i="5" l="1"/>
  <c r="M45" i="5" a="1"/>
  <c r="M45" i="5" l="1"/>
  <c r="N45" i="5" a="1"/>
  <c r="N45" i="5" l="1"/>
  <c r="O45" i="5" a="1"/>
  <c r="O45" i="5" l="1"/>
  <c r="P45" i="5" a="1"/>
  <c r="P45" i="5" l="1"/>
  <c r="Q45" i="5" a="1"/>
  <c r="Q45" i="5" l="1"/>
  <c r="C45" i="5" a="1"/>
  <c r="C45" i="5" l="1"/>
  <c r="E45" i="5" a="1"/>
  <c r="E45" i="5" l="1"/>
  <c r="F45" i="5" a="1"/>
  <c r="F45" i="5" l="1"/>
  <c r="G45" i="5" a="1"/>
  <c r="G45" i="5" l="1"/>
  <c r="H45" i="5" a="1"/>
  <c r="H45" i="5" l="1"/>
  <c r="I45" i="5" a="1"/>
  <c r="I45" i="5" l="1"/>
  <c r="J45" i="5" a="1"/>
  <c r="J45" i="5" l="1"/>
  <c r="CB44" i="5" a="1"/>
  <c r="CB44" i="5" l="1"/>
  <c r="CC44" i="5" a="1"/>
  <c r="CC44" i="5" l="1"/>
  <c r="CD44" i="5" a="1"/>
  <c r="CD44" i="5" l="1"/>
  <c r="CE44" i="5" a="1"/>
  <c r="CE44" i="5" l="1"/>
  <c r="CF44" i="5" a="1"/>
  <c r="CF44" i="5" l="1"/>
  <c r="CG44" i="5" a="1"/>
  <c r="CG44" i="5" l="1"/>
  <c r="B45" i="5" a="1"/>
  <c r="B45" i="5" l="1"/>
  <c r="BI48" i="5" a="1"/>
  <c r="BI48" i="5" l="1"/>
  <c r="BV44" i="5" a="1"/>
  <c r="BV44" i="5" l="1"/>
  <c r="BW44" i="5" a="1"/>
  <c r="BW44" i="5" l="1"/>
  <c r="BX44" i="5" a="1"/>
  <c r="BX44" i="5" l="1"/>
  <c r="BY44" i="5" a="1"/>
  <c r="BY44" i="5" l="1"/>
  <c r="BZ44" i="5" a="1"/>
  <c r="BZ44" i="5" l="1"/>
  <c r="CA44" i="5" a="1"/>
  <c r="CA44" i="5" l="1"/>
  <c r="BB48" i="5" a="1"/>
  <c r="BB48" i="5" l="1"/>
  <c r="BC48" i="5" a="1"/>
  <c r="BC48" i="5" l="1"/>
  <c r="BD48" i="5" a="1"/>
  <c r="BD48" i="5" l="1"/>
  <c r="BE48" i="5" a="1"/>
  <c r="BE48" i="5" l="1"/>
  <c r="BF48" i="5" a="1"/>
  <c r="BF48" i="5" l="1"/>
  <c r="BG48" i="5"/>
  <c r="BH48" i="5" a="1"/>
  <c r="BH48" i="5" l="1"/>
  <c r="AU44" i="5" a="1"/>
  <c r="AU44" i="5" l="1"/>
  <c r="AV44" i="5" a="1"/>
  <c r="AV44" i="5" l="1"/>
  <c r="AW44" i="5" a="1"/>
  <c r="AW44" i="5" l="1"/>
  <c r="AX48" i="5" a="1"/>
  <c r="AX48" i="5" l="1"/>
  <c r="AY48" i="5" a="1"/>
  <c r="AY48" i="5" l="1"/>
  <c r="AZ48" i="5" a="1"/>
  <c r="AZ48" i="5" l="1"/>
  <c r="BA48" i="5" a="1"/>
  <c r="BA48" i="5" l="1"/>
  <c r="AN44" i="5" a="1"/>
  <c r="AN44" i="5" l="1"/>
  <c r="AO44" i="5" a="1"/>
  <c r="AO44" i="5" l="1"/>
  <c r="AP44" i="5" a="1"/>
  <c r="AP44" i="5" l="1"/>
  <c r="AQ44" i="5" a="1"/>
  <c r="AQ44" i="5" l="1"/>
  <c r="AR44" i="5" a="1"/>
  <c r="AR44" i="5" l="1"/>
  <c r="AS44" i="5" a="1"/>
  <c r="AS44" i="5" l="1"/>
  <c r="AT44" i="5" a="1"/>
  <c r="AT44" i="5" l="1"/>
  <c r="AG44" i="5" a="1"/>
  <c r="AG44" i="5" l="1"/>
  <c r="AH44" i="5" a="1"/>
  <c r="AH44" i="5" l="1"/>
  <c r="AI44" i="5" a="1"/>
  <c r="AI44" i="5" l="1"/>
  <c r="AJ44" i="5" a="1"/>
  <c r="AJ44" i="5" l="1"/>
  <c r="AK44" i="5" a="1"/>
  <c r="AK44" i="5" l="1"/>
  <c r="AL44" i="5" a="1"/>
  <c r="AL44" i="5" l="1"/>
  <c r="AM44" i="5" a="1"/>
  <c r="AM44" i="5" l="1"/>
  <c r="Z44" i="5" a="1"/>
  <c r="Z44" i="5" l="1"/>
  <c r="AA44" i="5" a="1"/>
  <c r="AA44" i="5" l="1"/>
  <c r="AB44" i="5" a="1"/>
  <c r="AB44" i="5" l="1"/>
  <c r="AC44" i="5" a="1"/>
  <c r="AC44" i="5" l="1"/>
  <c r="AD44" i="5" a="1"/>
  <c r="AD44" i="5" l="1"/>
  <c r="AE44" i="5" a="1"/>
  <c r="AE44" i="5" l="1"/>
  <c r="AF44" i="5" a="1"/>
  <c r="AF44" i="5" l="1"/>
  <c r="R44" i="5" a="1"/>
  <c r="R44" i="5" l="1"/>
  <c r="S44" i="5" a="1"/>
  <c r="S44" i="5" l="1"/>
  <c r="U44" i="5" a="1"/>
  <c r="U44" i="5" l="1"/>
  <c r="V44" i="5" a="1"/>
  <c r="V44" i="5" l="1"/>
  <c r="W44" i="5" a="1"/>
  <c r="W44" i="5" l="1"/>
  <c r="X44" i="5" a="1"/>
  <c r="X44" i="5" l="1"/>
  <c r="Y44" i="5" a="1"/>
  <c r="Y44" i="5" l="1"/>
  <c r="K44" i="5" a="1"/>
  <c r="K44" i="5" l="1"/>
  <c r="L44" i="5" a="1"/>
  <c r="L44" i="5" l="1"/>
  <c r="M44" i="5" a="1"/>
  <c r="M44" i="5" l="1"/>
  <c r="N44" i="5" a="1"/>
  <c r="N44" i="5" l="1"/>
  <c r="O44" i="5" a="1"/>
  <c r="O44" i="5" l="1"/>
  <c r="P44" i="5" a="1"/>
  <c r="P44" i="5" l="1"/>
  <c r="Q44" i="5" a="1"/>
  <c r="Q44" i="5" l="1"/>
  <c r="C44" i="5" a="1"/>
  <c r="C44" i="5" l="1"/>
  <c r="E44" i="5" a="1"/>
  <c r="E44" i="5" l="1"/>
  <c r="F44" i="5" a="1"/>
  <c r="F44" i="5" l="1"/>
  <c r="G44" i="5" a="1"/>
  <c r="G44" i="5" l="1"/>
  <c r="H44" i="5" a="1"/>
  <c r="H44" i="5" l="1"/>
  <c r="I44" i="5" a="1"/>
  <c r="I44" i="5" l="1"/>
  <c r="J44" i="5" a="1"/>
  <c r="J44" i="5" l="1"/>
  <c r="CB43" i="5" a="1"/>
  <c r="CB43" i="5" l="1"/>
  <c r="CC43" i="5" a="1"/>
  <c r="CC43" i="5" l="1"/>
  <c r="CD43" i="5" a="1"/>
  <c r="CD43" i="5" l="1"/>
  <c r="CE43" i="5" a="1"/>
  <c r="CE43" i="5" l="1"/>
  <c r="CF43" i="5" a="1"/>
  <c r="CF43" i="5" l="1"/>
  <c r="CG43" i="5" a="1"/>
  <c r="CG43" i="5" l="1"/>
  <c r="B44" i="5" a="1"/>
  <c r="B44" i="5" l="1"/>
  <c r="BI47" i="5" a="1"/>
  <c r="BI47" i="5" l="1"/>
  <c r="BV43" i="5" a="1"/>
  <c r="BV43" i="5" l="1"/>
  <c r="BW43" i="5" a="1"/>
  <c r="BW43" i="5" l="1"/>
  <c r="BX43" i="5" a="1"/>
  <c r="BX43" i="5" l="1"/>
  <c r="BY43" i="5" a="1"/>
  <c r="BY43" i="5" l="1"/>
  <c r="BZ43" i="5" a="1"/>
  <c r="BZ43" i="5" l="1"/>
  <c r="CA43" i="5" a="1"/>
  <c r="CA43" i="5" l="1"/>
  <c r="BB47" i="5" a="1"/>
  <c r="BB47" i="5" l="1"/>
  <c r="BC47" i="5" a="1"/>
  <c r="BC47" i="5" l="1"/>
  <c r="BD47" i="5" a="1"/>
  <c r="BD47" i="5" l="1"/>
  <c r="BE47" i="5" a="1"/>
  <c r="BE47" i="5" l="1"/>
  <c r="BF47" i="5" a="1"/>
  <c r="BF47" i="5" l="1"/>
  <c r="BG47" i="5"/>
  <c r="BH47" i="5" a="1"/>
  <c r="BH47" i="5" l="1"/>
  <c r="AU43" i="5" a="1"/>
  <c r="AU43" i="5" l="1"/>
  <c r="AV43" i="5" a="1"/>
  <c r="AV43" i="5" l="1"/>
  <c r="AW43" i="5" a="1"/>
  <c r="AW43" i="5" l="1"/>
  <c r="AX47" i="5" a="1"/>
  <c r="AX47" i="5" l="1"/>
  <c r="AY47" i="5" a="1"/>
  <c r="AY47" i="5" l="1"/>
  <c r="AZ47" i="5" a="1"/>
  <c r="AZ47" i="5" l="1"/>
  <c r="BA47" i="5" a="1"/>
  <c r="BA47" i="5" l="1"/>
  <c r="AN43" i="5" a="1"/>
  <c r="AN43" i="5" l="1"/>
  <c r="AO43" i="5" a="1"/>
  <c r="AO43" i="5" l="1"/>
  <c r="AP43" i="5" a="1"/>
  <c r="AP43" i="5" l="1"/>
  <c r="AQ43" i="5" a="1"/>
  <c r="AQ43" i="5" l="1"/>
  <c r="AR43" i="5" a="1"/>
  <c r="AR43" i="5" l="1"/>
  <c r="AS43" i="5" a="1"/>
  <c r="AS43" i="5" l="1"/>
  <c r="AT43" i="5" a="1"/>
  <c r="AT43" i="5" l="1"/>
  <c r="AG43" i="5" a="1"/>
  <c r="AG43" i="5" l="1"/>
  <c r="AH43" i="5" a="1"/>
  <c r="AH43" i="5" l="1"/>
  <c r="AI43" i="5" a="1"/>
  <c r="AI43" i="5" l="1"/>
  <c r="AJ43" i="5" a="1"/>
  <c r="AJ43" i="5" l="1"/>
  <c r="AK43" i="5" a="1"/>
  <c r="AK43" i="5" l="1"/>
  <c r="AL43" i="5" a="1"/>
  <c r="AL43" i="5" l="1"/>
  <c r="AM43" i="5" a="1"/>
  <c r="AM43" i="5" l="1"/>
  <c r="Z43" i="5" a="1"/>
  <c r="Z43" i="5" l="1"/>
  <c r="AA43" i="5" a="1"/>
  <c r="AA43" i="5" l="1"/>
  <c r="AB43" i="5" a="1"/>
  <c r="AB43" i="5" l="1"/>
  <c r="AC43" i="5" a="1"/>
  <c r="AC43" i="5" l="1"/>
  <c r="AD43" i="5" a="1"/>
  <c r="AD43" i="5" l="1"/>
  <c r="AE43" i="5" a="1"/>
  <c r="AE43" i="5" l="1"/>
  <c r="AF43" i="5" a="1"/>
  <c r="AF43" i="5" l="1"/>
  <c r="R43" i="5" a="1"/>
  <c r="R43" i="5" l="1"/>
  <c r="S43" i="5" a="1"/>
  <c r="S43" i="5" l="1"/>
  <c r="U43" i="5" a="1"/>
  <c r="U43" i="5" l="1"/>
  <c r="V43" i="5" a="1"/>
  <c r="V43" i="5" l="1"/>
  <c r="W43" i="5" a="1"/>
  <c r="W43" i="5" l="1"/>
  <c r="X43" i="5" a="1"/>
  <c r="X43" i="5" l="1"/>
  <c r="Y43" i="5" a="1"/>
  <c r="Y43" i="5" l="1"/>
  <c r="K43" i="5" a="1"/>
  <c r="K43" i="5" l="1"/>
  <c r="L43" i="5" a="1"/>
  <c r="L43" i="5" l="1"/>
  <c r="M43" i="5" a="1"/>
  <c r="M43" i="5" l="1"/>
  <c r="N43" i="5" a="1"/>
  <c r="N43" i="5" l="1"/>
  <c r="O43" i="5" a="1"/>
  <c r="O43" i="5" l="1"/>
  <c r="P43" i="5" a="1"/>
  <c r="P43" i="5" l="1"/>
  <c r="Q43" i="5" a="1"/>
  <c r="Q43" i="5" l="1"/>
  <c r="C43" i="5" a="1"/>
  <c r="C43" i="5" l="1"/>
  <c r="E43" i="5" a="1"/>
  <c r="E43" i="5" l="1"/>
  <c r="F43" i="5" a="1"/>
  <c r="F43" i="5" l="1"/>
  <c r="G43" i="5" a="1"/>
  <c r="G43" i="5" l="1"/>
  <c r="H43" i="5" a="1"/>
  <c r="H43" i="5" l="1"/>
  <c r="I43" i="5" a="1"/>
  <c r="I43" i="5" l="1"/>
  <c r="J43" i="5" a="1"/>
  <c r="J43" i="5" l="1"/>
  <c r="CB42" i="5" a="1"/>
  <c r="CB42" i="5" l="1"/>
  <c r="CC42" i="5" a="1"/>
  <c r="CC42" i="5" l="1"/>
  <c r="CD42" i="5" a="1"/>
  <c r="CD42" i="5" l="1"/>
  <c r="CE42" i="5" a="1"/>
  <c r="CE42" i="5" l="1"/>
  <c r="CF42" i="5" a="1"/>
  <c r="CF42" i="5" l="1"/>
  <c r="CG42" i="5" a="1"/>
  <c r="CG42" i="5" l="1"/>
  <c r="B43" i="5" a="1"/>
  <c r="B43" i="5" l="1"/>
  <c r="BI46" i="5" a="1"/>
  <c r="BI46" i="5" l="1"/>
  <c r="BV42" i="5" a="1"/>
  <c r="BV42" i="5" l="1"/>
  <c r="BW42" i="5" a="1"/>
  <c r="BW42" i="5" l="1"/>
  <c r="BX42" i="5" a="1"/>
  <c r="BX42" i="5" l="1"/>
  <c r="BY42" i="5" a="1"/>
  <c r="BY42" i="5" l="1"/>
  <c r="BZ42" i="5" a="1"/>
  <c r="BZ42" i="5" l="1"/>
  <c r="CA42" i="5" a="1"/>
  <c r="CA42" i="5" l="1"/>
  <c r="BB46" i="5" a="1"/>
  <c r="BB46" i="5" l="1"/>
  <c r="BC46" i="5" a="1"/>
  <c r="BC46" i="5" l="1"/>
  <c r="BD46" i="5" a="1"/>
  <c r="BD46" i="5" l="1"/>
  <c r="BE46" i="5" a="1"/>
  <c r="BE46" i="5" l="1"/>
  <c r="BF46" i="5" a="1"/>
  <c r="BF46" i="5" l="1"/>
  <c r="BG46" i="5"/>
  <c r="BH46" i="5" a="1"/>
  <c r="BH46" i="5" l="1"/>
  <c r="AU42" i="5" a="1"/>
  <c r="AU42" i="5" l="1"/>
  <c r="AV42" i="5" a="1"/>
  <c r="AV42" i="5" l="1"/>
  <c r="AW42" i="5" a="1"/>
  <c r="AW42" i="5" l="1"/>
  <c r="AX46" i="5" a="1"/>
  <c r="AX46" i="5" l="1"/>
  <c r="AY46" i="5" a="1"/>
  <c r="AY46" i="5" l="1"/>
  <c r="AZ46" i="5" a="1"/>
  <c r="AZ46" i="5" l="1"/>
  <c r="BA46" i="5" a="1"/>
  <c r="BA46" i="5" l="1"/>
  <c r="AN42" i="5" a="1"/>
  <c r="AN42" i="5" l="1"/>
  <c r="AO42" i="5" a="1"/>
  <c r="AO42" i="5" l="1"/>
  <c r="AP42" i="5" a="1"/>
  <c r="AP42" i="5" l="1"/>
  <c r="AQ42" i="5" a="1"/>
  <c r="AQ42" i="5" l="1"/>
  <c r="AR42" i="5" a="1"/>
  <c r="AR42" i="5" l="1"/>
  <c r="AS42" i="5" a="1"/>
  <c r="AS42" i="5" l="1"/>
  <c r="AT42" i="5" a="1"/>
  <c r="AT42" i="5" l="1"/>
  <c r="AG42" i="5" a="1"/>
  <c r="AG42" i="5" l="1"/>
  <c r="AH42" i="5" a="1"/>
  <c r="AH42" i="5" l="1"/>
  <c r="AI42" i="5" a="1"/>
  <c r="AI42" i="5" l="1"/>
  <c r="AJ42" i="5" a="1"/>
  <c r="AJ42" i="5" l="1"/>
  <c r="AK42" i="5" a="1"/>
  <c r="AK42" i="5" l="1"/>
  <c r="AL42" i="5" a="1"/>
  <c r="AL42" i="5" l="1"/>
  <c r="AM42" i="5" a="1"/>
  <c r="AM42" i="5" l="1"/>
  <c r="Z42" i="5" a="1"/>
  <c r="Z42" i="5" l="1"/>
  <c r="AA42" i="5" a="1"/>
  <c r="AA42" i="5" l="1"/>
  <c r="AB42" i="5" a="1"/>
  <c r="AB42" i="5" l="1"/>
  <c r="AC42" i="5" a="1"/>
  <c r="AC42" i="5" l="1"/>
  <c r="AD42" i="5" a="1"/>
  <c r="AD42" i="5" l="1"/>
  <c r="AE42" i="5" a="1"/>
  <c r="AE42" i="5" l="1"/>
  <c r="AF42" i="5" a="1"/>
  <c r="AF42" i="5" l="1"/>
  <c r="R42" i="5" a="1"/>
  <c r="R42" i="5" l="1"/>
  <c r="S42" i="5" a="1"/>
  <c r="S42" i="5" l="1"/>
  <c r="U42" i="5" a="1"/>
  <c r="U42" i="5" l="1"/>
  <c r="V42" i="5" a="1"/>
  <c r="V42" i="5" l="1"/>
  <c r="W42" i="5" a="1"/>
  <c r="W42" i="5" l="1"/>
  <c r="X42" i="5" a="1"/>
  <c r="X42" i="5" l="1"/>
  <c r="Y42" i="5" a="1"/>
  <c r="Y42" i="5" l="1"/>
  <c r="K42" i="5" a="1"/>
  <c r="K42" i="5" l="1"/>
  <c r="L42" i="5" a="1"/>
  <c r="L42" i="5" l="1"/>
  <c r="M42" i="5" a="1"/>
  <c r="M42" i="5" l="1"/>
  <c r="N42" i="5" a="1"/>
  <c r="N42" i="5" l="1"/>
  <c r="O42" i="5" a="1"/>
  <c r="O42" i="5" l="1"/>
  <c r="P42" i="5" a="1"/>
  <c r="P42" i="5" l="1"/>
  <c r="Q42" i="5" a="1"/>
  <c r="Q42" i="5" l="1"/>
  <c r="C42" i="5" a="1"/>
  <c r="C42" i="5" l="1"/>
  <c r="E42" i="5" a="1"/>
  <c r="E42" i="5" l="1"/>
  <c r="F42" i="5" a="1"/>
  <c r="F42" i="5" l="1"/>
  <c r="G42" i="5" a="1"/>
  <c r="G42" i="5" l="1"/>
  <c r="H42" i="5" a="1"/>
  <c r="H42" i="5" l="1"/>
  <c r="I42" i="5" a="1"/>
  <c r="I42" i="5" l="1"/>
  <c r="J42" i="5" a="1"/>
  <c r="J42" i="5" l="1"/>
  <c r="CB41" i="5" a="1"/>
  <c r="CB41" i="5" l="1"/>
  <c r="CC41" i="5" a="1"/>
  <c r="CC41" i="5" l="1"/>
  <c r="CD41" i="5" a="1"/>
  <c r="CD41" i="5" l="1"/>
  <c r="CE41" i="5" a="1"/>
  <c r="CE41" i="5" l="1"/>
  <c r="CF41" i="5" a="1"/>
  <c r="CF41" i="5" l="1"/>
  <c r="CG41" i="5" a="1"/>
  <c r="CG41" i="5" l="1"/>
  <c r="B42" i="5" a="1"/>
  <c r="B42" i="5" l="1"/>
  <c r="BI45" i="5" a="1"/>
  <c r="BI45" i="5" l="1"/>
  <c r="BV41" i="5" a="1"/>
  <c r="BV41" i="5" l="1"/>
  <c r="BW41" i="5" a="1"/>
  <c r="BW41" i="5" l="1"/>
  <c r="BX41" i="5" a="1"/>
  <c r="BX41" i="5" l="1"/>
  <c r="BY41" i="5" a="1"/>
  <c r="BY41" i="5" l="1"/>
  <c r="BZ41" i="5" a="1"/>
  <c r="BZ41" i="5" l="1"/>
  <c r="CA41" i="5" a="1"/>
  <c r="CA41" i="5" l="1"/>
  <c r="BB45" i="5" a="1"/>
  <c r="BB45" i="5" l="1"/>
  <c r="BC45" i="5" a="1"/>
  <c r="BC45" i="5" l="1"/>
  <c r="BD45" i="5" a="1"/>
  <c r="BD45" i="5" l="1"/>
  <c r="BE45" i="5" a="1"/>
  <c r="BE45" i="5" l="1"/>
  <c r="BF45" i="5" a="1"/>
  <c r="BF45" i="5" l="1"/>
  <c r="BG45" i="5"/>
  <c r="BH45" i="5" a="1"/>
  <c r="BH45" i="5" l="1"/>
  <c r="AU41" i="5" a="1"/>
  <c r="AU41" i="5" l="1"/>
  <c r="AV41" i="5" a="1"/>
  <c r="AV41" i="5" l="1"/>
  <c r="AW41" i="5" a="1"/>
  <c r="AW41" i="5" l="1"/>
  <c r="AX45" i="5" a="1"/>
  <c r="AX45" i="5" l="1"/>
  <c r="AY45" i="5" a="1"/>
  <c r="AY45" i="5" l="1"/>
  <c r="AZ45" i="5" a="1"/>
  <c r="AZ45" i="5" l="1"/>
  <c r="BA45" i="5" a="1"/>
  <c r="BA45" i="5" l="1"/>
  <c r="AN41" i="5" a="1"/>
  <c r="AN41" i="5" l="1"/>
  <c r="AO41" i="5" a="1"/>
  <c r="AO41" i="5" l="1"/>
  <c r="AP41" i="5" a="1"/>
  <c r="AP41" i="5" l="1"/>
  <c r="AQ41" i="5" a="1"/>
  <c r="AQ41" i="5" l="1"/>
  <c r="AR41" i="5" a="1"/>
  <c r="AR41" i="5" l="1"/>
  <c r="AS41" i="5" a="1"/>
  <c r="AS41" i="5" l="1"/>
  <c r="AT41" i="5" a="1"/>
  <c r="AT41" i="5" l="1"/>
  <c r="AG41" i="5" a="1"/>
  <c r="AG41" i="5" l="1"/>
  <c r="AH41" i="5" a="1"/>
  <c r="AH41" i="5" l="1"/>
  <c r="AI41" i="5" a="1"/>
  <c r="AI41" i="5" l="1"/>
  <c r="AJ41" i="5" a="1"/>
  <c r="AJ41" i="5" l="1"/>
  <c r="AK41" i="5" a="1"/>
  <c r="AK41" i="5" l="1"/>
  <c r="AL41" i="5" a="1"/>
  <c r="AL41" i="5" l="1"/>
  <c r="AM41" i="5" a="1"/>
  <c r="AM41" i="5" l="1"/>
  <c r="Z41" i="5" a="1"/>
  <c r="Z41" i="5" l="1"/>
  <c r="AA41" i="5" a="1"/>
  <c r="AA41" i="5" l="1"/>
  <c r="AB41" i="5" a="1"/>
  <c r="AB41" i="5" l="1"/>
  <c r="AC41" i="5" a="1"/>
  <c r="AC41" i="5" l="1"/>
  <c r="AD41" i="5" a="1"/>
  <c r="AD41" i="5" l="1"/>
  <c r="AE41" i="5" a="1"/>
  <c r="AE41" i="5" l="1"/>
  <c r="AF41" i="5" a="1"/>
  <c r="AF41" i="5" l="1"/>
  <c r="R41" i="5" a="1"/>
  <c r="R41" i="5" l="1"/>
  <c r="S41" i="5" a="1"/>
  <c r="S41" i="5" l="1"/>
  <c r="U41" i="5" a="1"/>
  <c r="U41" i="5" l="1"/>
  <c r="V41" i="5" a="1"/>
  <c r="V41" i="5" l="1"/>
  <c r="W41" i="5" a="1"/>
  <c r="W41" i="5" l="1"/>
  <c r="X41" i="5" a="1"/>
  <c r="X41" i="5" l="1"/>
  <c r="Y41" i="5" a="1"/>
  <c r="Y41" i="5" l="1"/>
  <c r="K41" i="5" a="1"/>
  <c r="K41" i="5" l="1"/>
  <c r="L41" i="5" a="1"/>
  <c r="L41" i="5" l="1"/>
  <c r="M41" i="5" a="1"/>
  <c r="M41" i="5" l="1"/>
  <c r="N41" i="5" a="1"/>
  <c r="N41" i="5" l="1"/>
  <c r="O41" i="5" a="1"/>
  <c r="O41" i="5" l="1"/>
  <c r="P41" i="5" a="1"/>
  <c r="P41" i="5" l="1"/>
  <c r="Q41" i="5" a="1"/>
  <c r="Q41" i="5" l="1"/>
  <c r="C41" i="5" a="1"/>
  <c r="C41" i="5" l="1"/>
  <c r="E41" i="5" a="1"/>
  <c r="E41" i="5" l="1"/>
  <c r="F41" i="5" a="1"/>
  <c r="F41" i="5" l="1"/>
  <c r="G41" i="5" a="1"/>
  <c r="G41" i="5" l="1"/>
  <c r="H41" i="5" a="1"/>
  <c r="H41" i="5" l="1"/>
  <c r="I41" i="5" a="1"/>
  <c r="I41" i="5" l="1"/>
  <c r="J41" i="5" a="1"/>
  <c r="J41" i="5" l="1"/>
  <c r="CB40" i="5" a="1"/>
  <c r="CB40" i="5" l="1"/>
  <c r="CC40" i="5" a="1"/>
  <c r="CC40" i="5" l="1"/>
  <c r="CD40" i="5" a="1"/>
  <c r="CD40" i="5" l="1"/>
  <c r="CE40" i="5" a="1"/>
  <c r="CE40" i="5" l="1"/>
  <c r="CF40" i="5" a="1"/>
  <c r="CF40" i="5" l="1"/>
  <c r="CG40" i="5" a="1"/>
  <c r="CG40" i="5" l="1"/>
  <c r="B41" i="5" a="1"/>
  <c r="B41" i="5" l="1"/>
  <c r="BI44" i="5" a="1"/>
  <c r="BI44" i="5" l="1"/>
  <c r="BV40" i="5" a="1"/>
  <c r="BV40" i="5" l="1"/>
  <c r="BW40" i="5" a="1"/>
  <c r="BW40" i="5" l="1"/>
  <c r="BX40" i="5" a="1"/>
  <c r="BX40" i="5" l="1"/>
  <c r="BY40" i="5" a="1"/>
  <c r="BY40" i="5" l="1"/>
  <c r="BZ40" i="5" a="1"/>
  <c r="BZ40" i="5" l="1"/>
  <c r="CA40" i="5" a="1"/>
  <c r="CA40" i="5" l="1"/>
  <c r="BB44" i="5" a="1"/>
  <c r="BB44" i="5" l="1"/>
  <c r="BC44" i="5" a="1"/>
  <c r="BC44" i="5" l="1"/>
  <c r="BD44" i="5" a="1"/>
  <c r="BD44" i="5" l="1"/>
  <c r="BE44" i="5" a="1"/>
  <c r="BE44" i="5" l="1"/>
  <c r="BF44" i="5" a="1"/>
  <c r="BF44" i="5" l="1"/>
  <c r="BG44" i="5"/>
  <c r="BH44" i="5" a="1"/>
  <c r="BH44" i="5" l="1"/>
  <c r="AU40" i="5" a="1"/>
  <c r="AU40" i="5" l="1"/>
  <c r="AV40" i="5" a="1"/>
  <c r="AV40" i="5" l="1"/>
  <c r="AW40" i="5" a="1"/>
  <c r="AW40" i="5" l="1"/>
  <c r="AX44" i="5" a="1"/>
  <c r="AX44" i="5" l="1"/>
  <c r="AY44" i="5" a="1"/>
  <c r="AY44" i="5" l="1"/>
  <c r="AZ44" i="5" a="1"/>
  <c r="AZ44" i="5" l="1"/>
  <c r="BA44" i="5" a="1"/>
  <c r="BA44" i="5" l="1"/>
  <c r="AN40" i="5" a="1"/>
  <c r="AN40" i="5" l="1"/>
  <c r="AO40" i="5" a="1"/>
  <c r="AO40" i="5" l="1"/>
  <c r="AP40" i="5" a="1"/>
  <c r="AP40" i="5" l="1"/>
  <c r="AQ40" i="5" a="1"/>
  <c r="AQ40" i="5" l="1"/>
  <c r="AR40" i="5" a="1"/>
  <c r="AR40" i="5" l="1"/>
  <c r="AS40" i="5" a="1"/>
  <c r="AS40" i="5" l="1"/>
  <c r="AT40" i="5" a="1"/>
  <c r="AT40" i="5" l="1"/>
  <c r="AG40" i="5" a="1"/>
  <c r="AG40" i="5" l="1"/>
  <c r="AH40" i="5" a="1"/>
  <c r="AH40" i="5" l="1"/>
  <c r="AI40" i="5" a="1"/>
  <c r="AI40" i="5" l="1"/>
  <c r="AJ40" i="5" a="1"/>
  <c r="AJ40" i="5" l="1"/>
  <c r="AK40" i="5" a="1"/>
  <c r="AK40" i="5" l="1"/>
  <c r="AL40" i="5" a="1"/>
  <c r="AL40" i="5" l="1"/>
  <c r="AM40" i="5" a="1"/>
  <c r="AM40" i="5" l="1"/>
  <c r="Z40" i="5" a="1"/>
  <c r="Z40" i="5" l="1"/>
  <c r="AA40" i="5" a="1"/>
  <c r="AA40" i="5" l="1"/>
  <c r="AB40" i="5" a="1"/>
  <c r="AB40" i="5" l="1"/>
  <c r="AC40" i="5" a="1"/>
  <c r="AC40" i="5" l="1"/>
  <c r="AD40" i="5" a="1"/>
  <c r="AD40" i="5" l="1"/>
  <c r="AE40" i="5" a="1"/>
  <c r="AE40" i="5" l="1"/>
  <c r="AF40" i="5" a="1"/>
  <c r="AF40" i="5" l="1"/>
  <c r="R40" i="5" a="1"/>
  <c r="R40" i="5" l="1"/>
  <c r="S40" i="5" a="1"/>
  <c r="S40" i="5" l="1"/>
  <c r="U40" i="5" a="1"/>
  <c r="U40" i="5" l="1"/>
  <c r="V40" i="5" a="1"/>
  <c r="V40" i="5" l="1"/>
  <c r="W40" i="5" a="1"/>
  <c r="W40" i="5" l="1"/>
  <c r="X40" i="5" a="1"/>
  <c r="X40" i="5" l="1"/>
  <c r="Y40" i="5" a="1"/>
  <c r="Y40" i="5" l="1"/>
  <c r="K40" i="5" a="1"/>
  <c r="K40" i="5" l="1"/>
  <c r="L40" i="5" a="1"/>
  <c r="L40" i="5" l="1"/>
  <c r="M40" i="5" a="1"/>
  <c r="M40" i="5" l="1"/>
  <c r="N40" i="5" a="1"/>
  <c r="N40" i="5" l="1"/>
  <c r="O40" i="5" a="1"/>
  <c r="O40" i="5" l="1"/>
  <c r="P40" i="5" a="1"/>
  <c r="P40" i="5" l="1"/>
  <c r="Q40" i="5" a="1"/>
  <c r="Q40" i="5" l="1"/>
  <c r="C40" i="5" a="1"/>
  <c r="C40" i="5" l="1"/>
  <c r="E40" i="5" a="1"/>
  <c r="E40" i="5" l="1"/>
  <c r="F40" i="5" a="1"/>
  <c r="F40" i="5" l="1"/>
  <c r="G40" i="5" a="1"/>
  <c r="G40" i="5" l="1"/>
  <c r="H40" i="5" a="1"/>
  <c r="H40" i="5" l="1"/>
  <c r="I40" i="5" a="1"/>
  <c r="I40" i="5" l="1"/>
  <c r="J40" i="5" a="1"/>
  <c r="J40" i="5" l="1"/>
  <c r="CB39" i="5" a="1"/>
  <c r="CB39" i="5" l="1"/>
  <c r="CC39" i="5" a="1"/>
  <c r="CC39" i="5" l="1"/>
  <c r="CD39" i="5" a="1"/>
  <c r="CD39" i="5" l="1"/>
  <c r="CE39" i="5" a="1"/>
  <c r="CE39" i="5" l="1"/>
  <c r="CF39" i="5" a="1"/>
  <c r="CF39" i="5" l="1"/>
  <c r="CG39" i="5" a="1"/>
  <c r="CG39" i="5" l="1"/>
  <c r="B40" i="5" a="1"/>
  <c r="B40" i="5" l="1"/>
  <c r="BI43" i="5" a="1"/>
  <c r="BI43" i="5" l="1"/>
  <c r="BV39" i="5" a="1"/>
  <c r="BV39" i="5" l="1"/>
  <c r="BW39" i="5" a="1"/>
  <c r="BW39" i="5" l="1"/>
  <c r="BX39" i="5" a="1"/>
  <c r="BX39" i="5" l="1"/>
  <c r="BY39" i="5" a="1"/>
  <c r="BY39" i="5" l="1"/>
  <c r="BZ39" i="5" a="1"/>
  <c r="BZ39" i="5" l="1"/>
  <c r="CA39" i="5" a="1"/>
  <c r="CA39" i="5" l="1"/>
  <c r="BB43" i="5" a="1"/>
  <c r="BB43" i="5" l="1"/>
  <c r="BC43" i="5" a="1"/>
  <c r="BC43" i="5" l="1"/>
  <c r="BD43" i="5" a="1"/>
  <c r="BD43" i="5" l="1"/>
  <c r="BE43" i="5" a="1"/>
  <c r="BE43" i="5" l="1"/>
  <c r="BF43" i="5" a="1"/>
  <c r="BF43" i="5" l="1"/>
  <c r="BG43" i="5"/>
  <c r="BH43" i="5" a="1"/>
  <c r="BH43" i="5" l="1"/>
  <c r="AU39" i="5" a="1"/>
  <c r="AU39" i="5" l="1"/>
  <c r="AV39" i="5" a="1"/>
  <c r="AV39" i="5" l="1"/>
  <c r="AW39" i="5" a="1"/>
  <c r="AW39" i="5" l="1"/>
  <c r="AX43" i="5" a="1"/>
  <c r="AX43" i="5" l="1"/>
  <c r="AY43" i="5" a="1"/>
  <c r="AY43" i="5" l="1"/>
  <c r="AZ43" i="5" a="1"/>
  <c r="AZ43" i="5" l="1"/>
  <c r="BA43" i="5" a="1"/>
  <c r="BA43" i="5" l="1"/>
  <c r="AN39" i="5" a="1"/>
  <c r="AN39" i="5" l="1"/>
  <c r="AO39" i="5" a="1"/>
  <c r="AO39" i="5" l="1"/>
  <c r="AP39" i="5" a="1"/>
  <c r="AP39" i="5" l="1"/>
  <c r="AQ39" i="5" a="1"/>
  <c r="AQ39" i="5" l="1"/>
  <c r="AR39" i="5" a="1"/>
  <c r="AR39" i="5" l="1"/>
  <c r="AS39" i="5" a="1"/>
  <c r="AS39" i="5" l="1"/>
  <c r="AT39" i="5" a="1"/>
  <c r="AT39" i="5" l="1"/>
  <c r="AG39" i="5" a="1"/>
  <c r="AG39" i="5" l="1"/>
  <c r="AH39" i="5" a="1"/>
  <c r="AH39" i="5" l="1"/>
  <c r="AI39" i="5" a="1"/>
  <c r="AI39" i="5" l="1"/>
  <c r="AJ39" i="5" a="1"/>
  <c r="AJ39" i="5" l="1"/>
  <c r="AK39" i="5" a="1"/>
  <c r="AK39" i="5" l="1"/>
  <c r="AL39" i="5" a="1"/>
  <c r="AL39" i="5" l="1"/>
  <c r="AM39" i="5" a="1"/>
  <c r="AM39" i="5" l="1"/>
  <c r="Z39" i="5" a="1"/>
  <c r="Z39" i="5" l="1"/>
  <c r="AA39" i="5" a="1"/>
  <c r="AA39" i="5" l="1"/>
  <c r="AB39" i="5" a="1"/>
  <c r="AB39" i="5" l="1"/>
  <c r="AC39" i="5" a="1"/>
  <c r="AC39" i="5" l="1"/>
  <c r="AD39" i="5" a="1"/>
  <c r="AD39" i="5" l="1"/>
  <c r="AE39" i="5" a="1"/>
  <c r="AE39" i="5" l="1"/>
  <c r="AF39" i="5" a="1"/>
  <c r="AF39" i="5" l="1"/>
  <c r="R39" i="5" a="1"/>
  <c r="R39" i="5" l="1"/>
  <c r="S39" i="5" a="1"/>
  <c r="S39" i="5" l="1"/>
  <c r="U39" i="5" a="1"/>
  <c r="U39" i="5" l="1"/>
  <c r="V39" i="5" a="1"/>
  <c r="V39" i="5" l="1"/>
  <c r="W39" i="5" a="1"/>
  <c r="W39" i="5" l="1"/>
  <c r="X39" i="5" a="1"/>
  <c r="X39" i="5" l="1"/>
  <c r="Y39" i="5" a="1"/>
  <c r="Y39" i="5" l="1"/>
  <c r="K39" i="5" a="1"/>
  <c r="K39" i="5" l="1"/>
  <c r="L39" i="5" a="1"/>
  <c r="L39" i="5" l="1"/>
  <c r="M39" i="5" a="1"/>
  <c r="M39" i="5" l="1"/>
  <c r="N39" i="5" a="1"/>
  <c r="N39" i="5" l="1"/>
  <c r="O39" i="5" a="1"/>
  <c r="O39" i="5" l="1"/>
  <c r="P39" i="5" a="1"/>
  <c r="P39" i="5" l="1"/>
  <c r="Q39" i="5" a="1"/>
  <c r="Q39" i="5" l="1"/>
  <c r="C39" i="5" a="1"/>
  <c r="C39" i="5" l="1"/>
  <c r="E39" i="5" a="1"/>
  <c r="E39" i="5" l="1"/>
  <c r="F39" i="5" a="1"/>
  <c r="F39" i="5" l="1"/>
  <c r="G39" i="5" a="1"/>
  <c r="G39" i="5" l="1"/>
  <c r="H39" i="5" a="1"/>
  <c r="H39" i="5" l="1"/>
  <c r="I39" i="5" a="1"/>
  <c r="I39" i="5" l="1"/>
  <c r="J39" i="5" a="1"/>
  <c r="J39" i="5" l="1"/>
  <c r="CB38" i="5" a="1"/>
  <c r="CB38" i="5" l="1"/>
  <c r="CC38" i="5" a="1"/>
  <c r="CC38" i="5" l="1"/>
  <c r="CD38" i="5" a="1"/>
  <c r="CD38" i="5" l="1"/>
  <c r="CE38" i="5" a="1"/>
  <c r="CE38" i="5" l="1"/>
  <c r="CF38" i="5" a="1"/>
  <c r="CF38" i="5" l="1"/>
  <c r="CG38" i="5" a="1"/>
  <c r="CG38" i="5" l="1"/>
  <c r="B39" i="5" a="1"/>
  <c r="B39" i="5" l="1"/>
  <c r="BI42" i="5" a="1"/>
  <c r="BI42" i="5" l="1"/>
  <c r="BV38" i="5" a="1"/>
  <c r="BV38" i="5" l="1"/>
  <c r="BW38" i="5" a="1"/>
  <c r="BW38" i="5" l="1"/>
  <c r="BX38" i="5" a="1"/>
  <c r="BX38" i="5" l="1"/>
  <c r="BY38" i="5" a="1"/>
  <c r="BY38" i="5" l="1"/>
  <c r="BZ38" i="5" a="1"/>
  <c r="BZ38" i="5" l="1"/>
  <c r="CA38" i="5" a="1"/>
  <c r="CA38" i="5" l="1"/>
  <c r="BB42" i="5" a="1"/>
  <c r="BB42" i="5" l="1"/>
  <c r="BC42" i="5" a="1"/>
  <c r="BC42" i="5" l="1"/>
  <c r="BD42" i="5" a="1"/>
  <c r="BD42" i="5" l="1"/>
  <c r="BE42" i="5" a="1"/>
  <c r="BE42" i="5" l="1"/>
  <c r="BF42" i="5" a="1"/>
  <c r="BF42" i="5" l="1"/>
  <c r="BG42" i="5"/>
  <c r="BH42" i="5" a="1"/>
  <c r="BH42" i="5" l="1"/>
  <c r="AU38" i="5" a="1"/>
  <c r="AU38" i="5" l="1"/>
  <c r="AV38" i="5" a="1"/>
  <c r="AV38" i="5" l="1"/>
  <c r="AW38" i="5" a="1"/>
  <c r="AW38" i="5" l="1"/>
  <c r="AX42" i="5" a="1"/>
  <c r="AX42" i="5" l="1"/>
  <c r="AY42" i="5" a="1"/>
  <c r="AY42" i="5" l="1"/>
  <c r="AZ42" i="5" a="1"/>
  <c r="AZ42" i="5" l="1"/>
  <c r="BA42" i="5" a="1"/>
  <c r="BA42" i="5" l="1"/>
  <c r="AN38" i="5" a="1"/>
  <c r="AN38" i="5" l="1"/>
  <c r="AO38" i="5" a="1"/>
  <c r="AO38" i="5" l="1"/>
  <c r="AP38" i="5" a="1"/>
  <c r="AP38" i="5" l="1"/>
  <c r="AQ38" i="5" a="1"/>
  <c r="AQ38" i="5" l="1"/>
  <c r="AR38" i="5" a="1"/>
  <c r="AR38" i="5" l="1"/>
  <c r="AS38" i="5" a="1"/>
  <c r="AS38" i="5" l="1"/>
  <c r="AT38" i="5" a="1"/>
  <c r="AT38" i="5" l="1"/>
  <c r="AG38" i="5" a="1"/>
  <c r="AG38" i="5" l="1"/>
  <c r="AH38" i="5" a="1"/>
  <c r="AH38" i="5" l="1"/>
  <c r="AI38" i="5" a="1"/>
  <c r="AI38" i="5" l="1"/>
  <c r="AJ38" i="5" a="1"/>
  <c r="AJ38" i="5" l="1"/>
  <c r="AK38" i="5" a="1"/>
  <c r="AK38" i="5" l="1"/>
  <c r="AL38" i="5" a="1"/>
  <c r="AL38" i="5" l="1"/>
  <c r="AM38" i="5" a="1"/>
  <c r="AM38" i="5" l="1"/>
  <c r="Z38" i="5" a="1"/>
  <c r="Z38" i="5" l="1"/>
  <c r="AA38" i="5" a="1"/>
  <c r="AA38" i="5" l="1"/>
  <c r="AB38" i="5" a="1"/>
  <c r="AB38" i="5" l="1"/>
  <c r="AC38" i="5" a="1"/>
  <c r="AC38" i="5" l="1"/>
  <c r="AD38" i="5" a="1"/>
  <c r="AD38" i="5" l="1"/>
  <c r="AE38" i="5" a="1"/>
  <c r="AE38" i="5" l="1"/>
  <c r="AF38" i="5" a="1"/>
  <c r="AF38" i="5" l="1"/>
  <c r="R38" i="5" a="1"/>
  <c r="R38" i="5" l="1"/>
  <c r="S38" i="5" a="1"/>
  <c r="S38" i="5" l="1"/>
  <c r="U38" i="5" a="1"/>
  <c r="U38" i="5" l="1"/>
  <c r="V38" i="5" a="1"/>
  <c r="V38" i="5" l="1"/>
  <c r="W38" i="5" a="1"/>
  <c r="W38" i="5" l="1"/>
  <c r="X38" i="5" a="1"/>
  <c r="X38" i="5" l="1"/>
  <c r="Y38" i="5" a="1"/>
  <c r="Y38" i="5" l="1"/>
  <c r="K38" i="5" a="1"/>
  <c r="K38" i="5" l="1"/>
  <c r="L38" i="5" a="1"/>
  <c r="L38" i="5" l="1"/>
  <c r="M38" i="5" a="1"/>
  <c r="M38" i="5" l="1"/>
  <c r="N38" i="5" a="1"/>
  <c r="N38" i="5" l="1"/>
  <c r="O38" i="5" a="1"/>
  <c r="O38" i="5" l="1"/>
  <c r="P38" i="5" a="1"/>
  <c r="P38" i="5" l="1"/>
  <c r="Q38" i="5" a="1"/>
  <c r="Q38" i="5" l="1"/>
  <c r="C38" i="5" a="1"/>
  <c r="C38" i="5" l="1"/>
  <c r="E38" i="5" a="1"/>
  <c r="E38" i="5" l="1"/>
  <c r="F38" i="5" a="1"/>
  <c r="F38" i="5" l="1"/>
  <c r="G38" i="5" a="1"/>
  <c r="G38" i="5" l="1"/>
  <c r="H38" i="5" a="1"/>
  <c r="H38" i="5" l="1"/>
  <c r="I38" i="5" a="1"/>
  <c r="I38" i="5" l="1"/>
  <c r="J38" i="5" a="1"/>
  <c r="J38" i="5" l="1"/>
  <c r="CB37" i="5" a="1"/>
  <c r="CB37" i="5" l="1"/>
  <c r="CC37" i="5" a="1"/>
  <c r="CC37" i="5" l="1"/>
  <c r="CD37" i="5" a="1"/>
  <c r="CD37" i="5" l="1"/>
  <c r="CE37" i="5" a="1"/>
  <c r="CE37" i="5" l="1"/>
  <c r="CF37" i="5" a="1"/>
  <c r="CF37" i="5" l="1"/>
  <c r="CG37" i="5" a="1"/>
  <c r="CG37" i="5" l="1"/>
  <c r="B38" i="5" a="1"/>
  <c r="B38" i="5" l="1"/>
  <c r="BI41" i="5" a="1"/>
  <c r="BI41" i="5" l="1"/>
  <c r="BV37" i="5" a="1"/>
  <c r="BV37" i="5" l="1"/>
  <c r="BW37" i="5" a="1"/>
  <c r="BW37" i="5" l="1"/>
  <c r="BX37" i="5" a="1"/>
  <c r="BX37" i="5" l="1"/>
  <c r="BY37" i="5" a="1"/>
  <c r="BY37" i="5" l="1"/>
  <c r="BZ37" i="5" a="1"/>
  <c r="BZ37" i="5" l="1"/>
  <c r="CA37" i="5" a="1"/>
  <c r="CA37" i="5" l="1"/>
  <c r="BB41" i="5" a="1"/>
  <c r="BB41" i="5" l="1"/>
  <c r="BC41" i="5" a="1"/>
  <c r="BC41" i="5" l="1"/>
  <c r="BD41" i="5" a="1"/>
  <c r="BD41" i="5" l="1"/>
  <c r="BE41" i="5" a="1"/>
  <c r="BE41" i="5" l="1"/>
  <c r="BF41" i="5" a="1"/>
  <c r="BF41" i="5" l="1"/>
  <c r="BG41" i="5"/>
  <c r="BH41" i="5" a="1"/>
  <c r="BH41" i="5" l="1"/>
  <c r="AU37" i="5" a="1"/>
  <c r="AU37" i="5" l="1"/>
  <c r="AV37" i="5" a="1"/>
  <c r="AV37" i="5" l="1"/>
  <c r="AW37" i="5" a="1"/>
  <c r="AW37" i="5" l="1"/>
  <c r="AX41" i="5" a="1"/>
  <c r="AX41" i="5" l="1"/>
  <c r="AY41" i="5" a="1"/>
  <c r="AY41" i="5" l="1"/>
  <c r="AZ41" i="5" a="1"/>
  <c r="AZ41" i="5" l="1"/>
  <c r="BA41" i="5" a="1"/>
  <c r="BA41" i="5" l="1"/>
  <c r="AN37" i="5" a="1"/>
  <c r="AN37" i="5" l="1"/>
  <c r="AO37" i="5" a="1"/>
  <c r="AO37" i="5" l="1"/>
  <c r="AP37" i="5" a="1"/>
  <c r="AP37" i="5" l="1"/>
  <c r="AQ37" i="5" a="1"/>
  <c r="AQ37" i="5" l="1"/>
  <c r="AR37" i="5" a="1"/>
  <c r="AR37" i="5" l="1"/>
  <c r="AS37" i="5" a="1"/>
  <c r="AS37" i="5" l="1"/>
  <c r="AT37" i="5" a="1"/>
  <c r="AT37" i="5" l="1"/>
  <c r="AG37" i="5" a="1"/>
  <c r="AG37" i="5" l="1"/>
  <c r="AH37" i="5" a="1"/>
  <c r="AH37" i="5" l="1"/>
  <c r="AI37" i="5" a="1"/>
  <c r="AI37" i="5" l="1"/>
  <c r="AJ37" i="5" a="1"/>
  <c r="AJ37" i="5" l="1"/>
  <c r="AK37" i="5" a="1"/>
  <c r="AK37" i="5" l="1"/>
  <c r="AL37" i="5" a="1"/>
  <c r="AL37" i="5" l="1"/>
  <c r="AM37" i="5" a="1"/>
  <c r="AM37" i="5" l="1"/>
  <c r="Z37" i="5" a="1"/>
  <c r="Z37" i="5" l="1"/>
  <c r="AA37" i="5" a="1"/>
  <c r="AA37" i="5" l="1"/>
  <c r="AB37" i="5" a="1"/>
  <c r="AB37" i="5" l="1"/>
  <c r="AC37" i="5" a="1"/>
  <c r="AC37" i="5" l="1"/>
  <c r="AD37" i="5" a="1"/>
  <c r="AD37" i="5" l="1"/>
  <c r="AE37" i="5" a="1"/>
  <c r="AE37" i="5" l="1"/>
  <c r="AF37" i="5" a="1"/>
  <c r="AF37" i="5" l="1"/>
  <c r="R37" i="5" a="1"/>
  <c r="R37" i="5" l="1"/>
  <c r="S37" i="5" a="1"/>
  <c r="S37" i="5" l="1"/>
  <c r="U37" i="5" a="1"/>
  <c r="U37" i="5" l="1"/>
  <c r="V37" i="5" a="1"/>
  <c r="V37" i="5" l="1"/>
  <c r="W37" i="5" a="1"/>
  <c r="W37" i="5" l="1"/>
  <c r="X37" i="5" a="1"/>
  <c r="X37" i="5" l="1"/>
  <c r="Y37" i="5" a="1"/>
  <c r="Y37" i="5" l="1"/>
  <c r="K37" i="5" a="1"/>
  <c r="K37" i="5" l="1"/>
  <c r="L37" i="5" a="1"/>
  <c r="L37" i="5" l="1"/>
  <c r="M37" i="5" a="1"/>
  <c r="M37" i="5" l="1"/>
  <c r="N37" i="5" a="1"/>
  <c r="N37" i="5" l="1"/>
  <c r="O37" i="5" a="1"/>
  <c r="O37" i="5" l="1"/>
  <c r="P37" i="5" a="1"/>
  <c r="P37" i="5" l="1"/>
  <c r="Q37" i="5" a="1"/>
  <c r="Q37" i="5" l="1"/>
  <c r="C37" i="5" a="1"/>
  <c r="C37" i="5" l="1"/>
  <c r="E37" i="5" a="1"/>
  <c r="E37" i="5" l="1"/>
  <c r="F37" i="5" a="1"/>
  <c r="F37" i="5" l="1"/>
  <c r="G37" i="5" a="1"/>
  <c r="G37" i="5" l="1"/>
  <c r="H37" i="5" a="1"/>
  <c r="H37" i="5" l="1"/>
  <c r="I37" i="5" a="1"/>
  <c r="I37" i="5" l="1"/>
  <c r="J37" i="5" a="1"/>
  <c r="J37" i="5" l="1"/>
  <c r="CB36" i="5" a="1"/>
  <c r="CB36" i="5" l="1"/>
  <c r="CC36" i="5" a="1"/>
  <c r="CC36" i="5" l="1"/>
  <c r="CD36" i="5" a="1"/>
  <c r="CD36" i="5" l="1"/>
  <c r="CE36" i="5" a="1"/>
  <c r="CE36" i="5" l="1"/>
  <c r="CF36" i="5" a="1"/>
  <c r="CF36" i="5" l="1"/>
  <c r="CG36" i="5" a="1"/>
  <c r="CG36" i="5" l="1"/>
  <c r="B37" i="5" a="1"/>
  <c r="B37" i="5" l="1"/>
  <c r="BI40" i="5" a="1"/>
  <c r="BI40" i="5" l="1"/>
  <c r="BV36" i="5" a="1"/>
  <c r="BV36" i="5" l="1"/>
  <c r="BW36" i="5" a="1"/>
  <c r="BW36" i="5" l="1"/>
  <c r="BX36" i="5" a="1"/>
  <c r="BX36" i="5" l="1"/>
  <c r="BY36" i="5" a="1"/>
  <c r="BY36" i="5" l="1"/>
  <c r="BZ36" i="5" a="1"/>
  <c r="BZ36" i="5" l="1"/>
  <c r="CA36" i="5" a="1"/>
  <c r="CA36" i="5" l="1"/>
  <c r="BB40" i="5" a="1"/>
  <c r="BB40" i="5" l="1"/>
  <c r="BC40" i="5" a="1"/>
  <c r="BC40" i="5" l="1"/>
  <c r="BD40" i="5" a="1"/>
  <c r="BD40" i="5" l="1"/>
  <c r="BE40" i="5" a="1"/>
  <c r="BE40" i="5" l="1"/>
  <c r="BF40" i="5" a="1"/>
  <c r="BF40" i="5" l="1"/>
  <c r="BG40" i="5"/>
  <c r="BH40" i="5" a="1"/>
  <c r="BH40" i="5" l="1"/>
  <c r="AU36" i="5" a="1"/>
  <c r="AU36" i="5" l="1"/>
  <c r="AV36" i="5" a="1"/>
  <c r="AV36" i="5" l="1"/>
  <c r="AW36" i="5" a="1"/>
  <c r="AW36" i="5" l="1"/>
  <c r="AX40" i="5" a="1"/>
  <c r="AX40" i="5" l="1"/>
  <c r="AY40" i="5" a="1"/>
  <c r="AY40" i="5" l="1"/>
  <c r="AZ40" i="5" a="1"/>
  <c r="AZ40" i="5" l="1"/>
  <c r="BA40" i="5" a="1"/>
  <c r="BA40" i="5" l="1"/>
  <c r="AN36" i="5" a="1"/>
  <c r="AN36" i="5" l="1"/>
  <c r="AO36" i="5" a="1"/>
  <c r="AO36" i="5" l="1"/>
  <c r="AP36" i="5" a="1"/>
  <c r="AP36" i="5" l="1"/>
  <c r="AQ36" i="5" a="1"/>
  <c r="AQ36" i="5" l="1"/>
  <c r="AR36" i="5" a="1"/>
  <c r="AR36" i="5" l="1"/>
  <c r="AS36" i="5" a="1"/>
  <c r="AS36" i="5" l="1"/>
  <c r="AT36" i="5" a="1"/>
  <c r="AT36" i="5" l="1"/>
  <c r="AG36" i="5" a="1"/>
  <c r="AG36" i="5" l="1"/>
  <c r="AH36" i="5" a="1"/>
  <c r="AH36" i="5" l="1"/>
  <c r="AI36" i="5" a="1"/>
  <c r="AI36" i="5" l="1"/>
  <c r="AJ36" i="5" a="1"/>
  <c r="AJ36" i="5" l="1"/>
  <c r="AK36" i="5" a="1"/>
  <c r="AK36" i="5" l="1"/>
  <c r="AL36" i="5" a="1"/>
  <c r="AL36" i="5" l="1"/>
  <c r="AM36" i="5" a="1"/>
  <c r="AM36" i="5" l="1"/>
  <c r="Z36" i="5" a="1"/>
  <c r="Z36" i="5" l="1"/>
  <c r="AA36" i="5" a="1"/>
  <c r="AA36" i="5" l="1"/>
  <c r="AB36" i="5" a="1"/>
  <c r="AB36" i="5" l="1"/>
  <c r="AC36" i="5" a="1"/>
  <c r="AC36" i="5" l="1"/>
  <c r="AD36" i="5" a="1"/>
  <c r="AD36" i="5" l="1"/>
  <c r="AE36" i="5" a="1"/>
  <c r="AE36" i="5" l="1"/>
  <c r="AF36" i="5" a="1"/>
  <c r="AF36" i="5" l="1"/>
  <c r="R36" i="5" a="1"/>
  <c r="R36" i="5" l="1"/>
  <c r="S36" i="5" a="1"/>
  <c r="S36" i="5" l="1"/>
  <c r="U36" i="5" a="1"/>
  <c r="U36" i="5" l="1"/>
  <c r="V36" i="5" a="1"/>
  <c r="V36" i="5" l="1"/>
  <c r="W36" i="5" a="1"/>
  <c r="W36" i="5" l="1"/>
  <c r="X36" i="5" a="1"/>
  <c r="X36" i="5" l="1"/>
  <c r="Y36" i="5" a="1"/>
  <c r="Y36" i="5" l="1"/>
  <c r="K36" i="5" a="1"/>
  <c r="K36" i="5" l="1"/>
  <c r="L36" i="5" a="1"/>
  <c r="L36" i="5" l="1"/>
  <c r="M36" i="5" a="1"/>
  <c r="M36" i="5" l="1"/>
  <c r="N36" i="5" a="1"/>
  <c r="N36" i="5" l="1"/>
  <c r="O36" i="5" a="1"/>
  <c r="O36" i="5" l="1"/>
  <c r="P36" i="5" a="1"/>
  <c r="P36" i="5" l="1"/>
  <c r="Q36" i="5" a="1"/>
  <c r="Q36" i="5" l="1"/>
  <c r="C36" i="5" a="1"/>
  <c r="C36" i="5" l="1"/>
  <c r="E36" i="5" a="1"/>
  <c r="E36" i="5" l="1"/>
  <c r="F36" i="5" a="1"/>
  <c r="F36" i="5" l="1"/>
  <c r="G36" i="5" a="1"/>
  <c r="G36" i="5" l="1"/>
  <c r="H36" i="5" a="1"/>
  <c r="H36" i="5" l="1"/>
  <c r="I36" i="5" a="1"/>
  <c r="I36" i="5" l="1"/>
  <c r="J36" i="5" a="1"/>
  <c r="J36" i="5" l="1"/>
  <c r="CB35" i="5" a="1"/>
  <c r="CB35" i="5" l="1"/>
  <c r="CC35" i="5" a="1"/>
  <c r="CC35" i="5" l="1"/>
  <c r="CD35" i="5" a="1"/>
  <c r="CD35" i="5" l="1"/>
  <c r="CE35" i="5" a="1"/>
  <c r="CE35" i="5" l="1"/>
  <c r="CF35" i="5" a="1"/>
  <c r="CF35" i="5" l="1"/>
  <c r="CG35" i="5" a="1"/>
  <c r="CG35" i="5" l="1"/>
  <c r="B36" i="5" a="1"/>
  <c r="B36" i="5" l="1"/>
  <c r="BI39" i="5" a="1"/>
  <c r="BI39" i="5" l="1"/>
  <c r="BV35" i="5" a="1"/>
  <c r="BV35" i="5" l="1"/>
  <c r="BW35" i="5" a="1"/>
  <c r="BW35" i="5" l="1"/>
  <c r="BX35" i="5" a="1"/>
  <c r="BX35" i="5" l="1"/>
  <c r="BY35" i="5" a="1"/>
  <c r="BY35" i="5" l="1"/>
  <c r="BZ35" i="5" a="1"/>
  <c r="BZ35" i="5" l="1"/>
  <c r="CA35" i="5" a="1"/>
  <c r="CA35" i="5" l="1"/>
  <c r="BB39" i="5" a="1"/>
  <c r="BB39" i="5" l="1"/>
  <c r="BC39" i="5" a="1"/>
  <c r="BC39" i="5" l="1"/>
  <c r="BD39" i="5" a="1"/>
  <c r="BD39" i="5" l="1"/>
  <c r="BE39" i="5" a="1"/>
  <c r="BE39" i="5" l="1"/>
  <c r="BF39" i="5" a="1"/>
  <c r="BF39" i="5" l="1"/>
  <c r="BG39" i="5"/>
  <c r="BH39" i="5" a="1"/>
  <c r="BH39" i="5" l="1"/>
  <c r="AU35" i="5" a="1"/>
  <c r="AU35" i="5" l="1"/>
  <c r="AV35" i="5" a="1"/>
  <c r="AV35" i="5" l="1"/>
  <c r="AW35" i="5" a="1"/>
  <c r="AW35" i="5" l="1"/>
  <c r="AX39" i="5" a="1"/>
  <c r="AX39" i="5" l="1"/>
  <c r="AY39" i="5" a="1"/>
  <c r="AY39" i="5" l="1"/>
  <c r="AZ39" i="5" a="1"/>
  <c r="AZ39" i="5" l="1"/>
  <c r="BA39" i="5" a="1"/>
  <c r="BA39" i="5" l="1"/>
  <c r="AN35" i="5" a="1"/>
  <c r="AN35" i="5" l="1"/>
  <c r="AO35" i="5" a="1"/>
  <c r="AO35" i="5" l="1"/>
  <c r="AP35" i="5" a="1"/>
  <c r="AP35" i="5" l="1"/>
  <c r="AQ35" i="5" a="1"/>
  <c r="AQ35" i="5" l="1"/>
  <c r="AR35" i="5" a="1"/>
  <c r="AR35" i="5" l="1"/>
  <c r="AS35" i="5" a="1"/>
  <c r="AS35" i="5" l="1"/>
  <c r="AT35" i="5" a="1"/>
  <c r="AT35" i="5" l="1"/>
  <c r="AG35" i="5" a="1"/>
  <c r="AG35" i="5" l="1"/>
  <c r="AH35" i="5" a="1"/>
  <c r="AH35" i="5" l="1"/>
  <c r="AI35" i="5" a="1"/>
  <c r="AI35" i="5" l="1"/>
  <c r="AJ35" i="5" a="1"/>
  <c r="AJ35" i="5" l="1"/>
  <c r="AK35" i="5" a="1"/>
  <c r="AK35" i="5" l="1"/>
  <c r="AL35" i="5" a="1"/>
  <c r="AL35" i="5" l="1"/>
  <c r="AM35" i="5" a="1"/>
  <c r="AM35" i="5" l="1"/>
  <c r="Z35" i="5" a="1"/>
  <c r="Z35" i="5" l="1"/>
  <c r="AA35" i="5" a="1"/>
  <c r="AA35" i="5" l="1"/>
  <c r="AB35" i="5" a="1"/>
  <c r="AB35" i="5" l="1"/>
  <c r="AC35" i="5" a="1"/>
  <c r="AC35" i="5" l="1"/>
  <c r="AD35" i="5" a="1"/>
  <c r="AD35" i="5" l="1"/>
  <c r="AE35" i="5" a="1"/>
  <c r="AE35" i="5" l="1"/>
  <c r="AF35" i="5" a="1"/>
  <c r="AF35" i="5" l="1"/>
  <c r="R35" i="5" a="1"/>
  <c r="R35" i="5" l="1"/>
  <c r="S35" i="5" a="1"/>
  <c r="S35" i="5" l="1"/>
  <c r="U35" i="5" a="1"/>
  <c r="U35" i="5" l="1"/>
  <c r="V35" i="5" a="1"/>
  <c r="V35" i="5" l="1"/>
  <c r="W35" i="5" a="1"/>
  <c r="W35" i="5" l="1"/>
  <c r="X35" i="5" a="1"/>
  <c r="X35" i="5" l="1"/>
  <c r="Y35" i="5" a="1"/>
  <c r="Y35" i="5" l="1"/>
  <c r="K35" i="5" a="1"/>
  <c r="K35" i="5" l="1"/>
  <c r="L35" i="5" a="1"/>
  <c r="L35" i="5" l="1"/>
  <c r="M35" i="5" a="1"/>
  <c r="M35" i="5" l="1"/>
  <c r="N35" i="5" a="1"/>
  <c r="N35" i="5" l="1"/>
  <c r="O35" i="5" a="1"/>
  <c r="O35" i="5" l="1"/>
  <c r="P35" i="5" a="1"/>
  <c r="P35" i="5" l="1"/>
  <c r="Q35" i="5" a="1"/>
  <c r="Q35" i="5" l="1"/>
  <c r="C35" i="5" a="1"/>
  <c r="C35" i="5" l="1"/>
  <c r="E35" i="5" a="1"/>
  <c r="E35" i="5" l="1"/>
  <c r="F35" i="5" a="1"/>
  <c r="F35" i="5" l="1"/>
  <c r="G35" i="5" a="1"/>
  <c r="G35" i="5" l="1"/>
  <c r="H35" i="5" a="1"/>
  <c r="H35" i="5" l="1"/>
  <c r="I35" i="5" a="1"/>
  <c r="I35" i="5" l="1"/>
  <c r="J35" i="5" a="1"/>
  <c r="J35" i="5" l="1"/>
  <c r="CB34" i="5" a="1"/>
  <c r="CB34" i="5" l="1"/>
  <c r="CC34" i="5" a="1"/>
  <c r="CC34" i="5" l="1"/>
  <c r="CD34" i="5" a="1"/>
  <c r="CD34" i="5" l="1"/>
  <c r="CE34" i="5" a="1"/>
  <c r="CE34" i="5" l="1"/>
  <c r="CF34" i="5" a="1"/>
  <c r="CF34" i="5" l="1"/>
  <c r="CG34" i="5" a="1"/>
  <c r="CG34" i="5" l="1"/>
  <c r="B35" i="5" a="1"/>
  <c r="B35" i="5" l="1"/>
  <c r="BI38" i="5" a="1"/>
  <c r="BI38" i="5" l="1"/>
  <c r="BV34" i="5" a="1"/>
  <c r="BV34" i="5" l="1"/>
  <c r="BW34" i="5" a="1"/>
  <c r="BW34" i="5" l="1"/>
  <c r="BX34" i="5" a="1"/>
  <c r="BX34" i="5" l="1"/>
  <c r="BY34" i="5" a="1"/>
  <c r="BY34" i="5" l="1"/>
  <c r="BZ34" i="5" a="1"/>
  <c r="BZ34" i="5" l="1"/>
  <c r="CA34" i="5" a="1"/>
  <c r="CA34" i="5" l="1"/>
  <c r="BB38" i="5" a="1"/>
  <c r="BB38" i="5" l="1"/>
  <c r="BC38" i="5" a="1"/>
  <c r="BC38" i="5" l="1"/>
  <c r="BD38" i="5" a="1"/>
  <c r="BD38" i="5" l="1"/>
  <c r="BE38" i="5" a="1"/>
  <c r="BE38" i="5" l="1"/>
  <c r="BF38" i="5" a="1"/>
  <c r="BF38" i="5" l="1"/>
  <c r="BG38" i="5"/>
  <c r="BH38" i="5" a="1"/>
  <c r="BH38" i="5" l="1"/>
  <c r="AU34" i="5" a="1"/>
  <c r="AU34" i="5" l="1"/>
  <c r="AV34" i="5" a="1"/>
  <c r="AV34" i="5" l="1"/>
  <c r="AW34" i="5" a="1"/>
  <c r="AW34" i="5" l="1"/>
  <c r="AX38" i="5" a="1"/>
  <c r="AX38" i="5" l="1"/>
  <c r="AY38" i="5" a="1"/>
  <c r="AY38" i="5" l="1"/>
  <c r="AZ38" i="5" a="1"/>
  <c r="AZ38" i="5" l="1"/>
  <c r="BA38" i="5" a="1"/>
  <c r="BA38" i="5" l="1"/>
  <c r="AN34" i="5" a="1"/>
  <c r="AN34" i="5" l="1"/>
  <c r="AO34" i="5" a="1"/>
  <c r="AO34" i="5" l="1"/>
  <c r="AP34" i="5" a="1"/>
  <c r="AP34" i="5" l="1"/>
  <c r="AQ34" i="5" a="1"/>
  <c r="AQ34" i="5" l="1"/>
  <c r="AR34" i="5" a="1"/>
  <c r="AR34" i="5" l="1"/>
  <c r="AS34" i="5" a="1"/>
  <c r="AS34" i="5" l="1"/>
  <c r="AT34" i="5" a="1"/>
  <c r="AT34" i="5" l="1"/>
  <c r="AG34" i="5" a="1"/>
  <c r="AG34" i="5" l="1"/>
  <c r="AH34" i="5" a="1"/>
  <c r="AH34" i="5" l="1"/>
  <c r="AI34" i="5" a="1"/>
  <c r="AI34" i="5" l="1"/>
  <c r="AJ34" i="5" a="1"/>
  <c r="AJ34" i="5" l="1"/>
  <c r="AK34" i="5" a="1"/>
  <c r="AK34" i="5" l="1"/>
  <c r="AL34" i="5" a="1"/>
  <c r="AL34" i="5" l="1"/>
  <c r="AM34" i="5" a="1"/>
  <c r="AM34" i="5" l="1"/>
  <c r="Z34" i="5" a="1"/>
  <c r="Z34" i="5" l="1"/>
  <c r="AA34" i="5" a="1"/>
  <c r="AA34" i="5" l="1"/>
  <c r="AB34" i="5" a="1"/>
  <c r="AB34" i="5" l="1"/>
  <c r="AC34" i="5" a="1"/>
  <c r="AC34" i="5" l="1"/>
  <c r="AD34" i="5" a="1"/>
  <c r="AD34" i="5" l="1"/>
  <c r="AE34" i="5" a="1"/>
  <c r="AE34" i="5" l="1"/>
  <c r="AF34" i="5" a="1"/>
  <c r="AF34" i="5" l="1"/>
  <c r="R34" i="5" a="1"/>
  <c r="R34" i="5" l="1"/>
  <c r="S34" i="5" a="1"/>
  <c r="S34" i="5" l="1"/>
  <c r="U34" i="5" a="1"/>
  <c r="U34" i="5" l="1"/>
  <c r="V34" i="5" a="1"/>
  <c r="V34" i="5" l="1"/>
  <c r="W34" i="5" a="1"/>
  <c r="W34" i="5" l="1"/>
  <c r="X34" i="5" a="1"/>
  <c r="X34" i="5" l="1"/>
  <c r="Y34" i="5" a="1"/>
  <c r="Y34" i="5" l="1"/>
  <c r="K34" i="5" a="1"/>
  <c r="K34" i="5" l="1"/>
  <c r="L34" i="5" a="1"/>
  <c r="L34" i="5" l="1"/>
  <c r="M34" i="5" a="1"/>
  <c r="M34" i="5" l="1"/>
  <c r="N34" i="5" a="1"/>
  <c r="N34" i="5" l="1"/>
  <c r="O34" i="5" a="1"/>
  <c r="O34" i="5" l="1"/>
  <c r="P34" i="5" a="1"/>
  <c r="P34" i="5" l="1"/>
  <c r="Q34" i="5" a="1"/>
  <c r="Q34" i="5" l="1"/>
  <c r="C34" i="5" a="1"/>
  <c r="C34" i="5" l="1"/>
  <c r="E34" i="5" a="1"/>
  <c r="E34" i="5" l="1"/>
  <c r="F34" i="5" a="1"/>
  <c r="F34" i="5" l="1"/>
  <c r="G34" i="5" a="1"/>
  <c r="G34" i="5" l="1"/>
  <c r="H34" i="5" a="1"/>
  <c r="H34" i="5" l="1"/>
  <c r="I34" i="5" a="1"/>
  <c r="I34" i="5" l="1"/>
  <c r="J34" i="5" a="1"/>
  <c r="J34" i="5" l="1"/>
  <c r="CB33" i="5" a="1"/>
  <c r="CB33" i="5" l="1"/>
  <c r="CC33" i="5" a="1"/>
  <c r="CC33" i="5" l="1"/>
  <c r="CD33" i="5" a="1"/>
  <c r="CD33" i="5" l="1"/>
  <c r="CE33" i="5" a="1"/>
  <c r="CE33" i="5" l="1"/>
  <c r="CF33" i="5" a="1"/>
  <c r="CF33" i="5" l="1"/>
  <c r="CG33" i="5" a="1"/>
  <c r="CG33" i="5" l="1"/>
  <c r="B34" i="5" a="1"/>
  <c r="B34" i="5" l="1"/>
  <c r="BI37" i="5" a="1"/>
  <c r="BI37" i="5" l="1"/>
  <c r="BV33" i="5" a="1"/>
  <c r="BV33" i="5" l="1"/>
  <c r="BW33" i="5" a="1"/>
  <c r="BW33" i="5" l="1"/>
  <c r="BX33" i="5" a="1"/>
  <c r="BX33" i="5" l="1"/>
  <c r="BY33" i="5" a="1"/>
  <c r="BY33" i="5" l="1"/>
  <c r="BZ33" i="5" a="1"/>
  <c r="BZ33" i="5" l="1"/>
  <c r="CA33" i="5" a="1"/>
  <c r="CA33" i="5" l="1"/>
  <c r="BB37" i="5" a="1"/>
  <c r="BB37" i="5" l="1"/>
  <c r="BC37" i="5" a="1"/>
  <c r="BC37" i="5" l="1"/>
  <c r="BD37" i="5" a="1"/>
  <c r="BD37" i="5" l="1"/>
  <c r="BE37" i="5" a="1"/>
  <c r="BE37" i="5" l="1"/>
  <c r="BF37" i="5" a="1"/>
  <c r="BF37" i="5" l="1"/>
  <c r="BG37" i="5"/>
  <c r="BH37" i="5" a="1"/>
  <c r="BH37" i="5" l="1"/>
  <c r="AU33" i="5" a="1"/>
  <c r="AU33" i="5" l="1"/>
  <c r="AV33" i="5" a="1"/>
  <c r="AV33" i="5" l="1"/>
  <c r="AW33" i="5" a="1"/>
  <c r="AW33" i="5" l="1"/>
  <c r="AX37" i="5" a="1"/>
  <c r="AX37" i="5" l="1"/>
  <c r="AY37" i="5" a="1"/>
  <c r="AY37" i="5" l="1"/>
  <c r="AZ37" i="5" a="1"/>
  <c r="AZ37" i="5" l="1"/>
  <c r="BA37" i="5" a="1"/>
  <c r="BA37" i="5" l="1"/>
  <c r="AN33" i="5" a="1"/>
  <c r="AN33" i="5" l="1"/>
  <c r="AO33" i="5" a="1"/>
  <c r="AO33" i="5" l="1"/>
  <c r="AP33" i="5" a="1"/>
  <c r="AP33" i="5" l="1"/>
  <c r="AQ33" i="5" a="1"/>
  <c r="AQ33" i="5" l="1"/>
  <c r="AR33" i="5" a="1"/>
  <c r="AR33" i="5" l="1"/>
  <c r="AS33" i="5" a="1"/>
  <c r="AS33" i="5" l="1"/>
  <c r="AT33" i="5" a="1"/>
  <c r="AT33" i="5" l="1"/>
  <c r="AG33" i="5" a="1"/>
  <c r="AG33" i="5" l="1"/>
  <c r="AH33" i="5" a="1"/>
  <c r="AH33" i="5" l="1"/>
  <c r="AI33" i="5" a="1"/>
  <c r="AI33" i="5" l="1"/>
  <c r="AJ33" i="5" a="1"/>
  <c r="AJ33" i="5" l="1"/>
  <c r="AK33" i="5" a="1"/>
  <c r="AK33" i="5" l="1"/>
  <c r="AL33" i="5" a="1"/>
  <c r="AL33" i="5" l="1"/>
  <c r="AM33" i="5" a="1"/>
  <c r="AM33" i="5" l="1"/>
  <c r="Z33" i="5" a="1"/>
  <c r="Z33" i="5" l="1"/>
  <c r="AA33" i="5" a="1"/>
  <c r="AA33" i="5" l="1"/>
  <c r="AB33" i="5" a="1"/>
  <c r="AB33" i="5" l="1"/>
  <c r="AC33" i="5" a="1"/>
  <c r="AC33" i="5" l="1"/>
  <c r="AD33" i="5" a="1"/>
  <c r="AD33" i="5" l="1"/>
  <c r="AE33" i="5" a="1"/>
  <c r="AE33" i="5" l="1"/>
  <c r="AF33" i="5" a="1"/>
  <c r="AF33" i="5" l="1"/>
  <c r="R33" i="5" a="1"/>
  <c r="R33" i="5" l="1"/>
  <c r="S33" i="5" a="1"/>
  <c r="S33" i="5" l="1"/>
  <c r="U33" i="5" a="1"/>
  <c r="U33" i="5" l="1"/>
  <c r="V33" i="5" a="1"/>
  <c r="V33" i="5" l="1"/>
  <c r="W33" i="5" a="1"/>
  <c r="W33" i="5" l="1"/>
  <c r="X33" i="5" a="1"/>
  <c r="X33" i="5" l="1"/>
  <c r="Y33" i="5" a="1"/>
  <c r="Y33" i="5" l="1"/>
  <c r="K33" i="5" a="1"/>
  <c r="K33" i="5" l="1"/>
  <c r="L33" i="5" a="1"/>
  <c r="L33" i="5" l="1"/>
  <c r="M33" i="5" a="1"/>
  <c r="M33" i="5" l="1"/>
  <c r="N33" i="5" a="1"/>
  <c r="N33" i="5" l="1"/>
  <c r="O33" i="5" a="1"/>
  <c r="O33" i="5" l="1"/>
  <c r="P33" i="5" a="1"/>
  <c r="P33" i="5" l="1"/>
  <c r="Q33" i="5" a="1"/>
  <c r="Q33" i="5" l="1"/>
  <c r="C33" i="5" a="1"/>
  <c r="C33" i="5" l="1"/>
  <c r="E33" i="5" a="1"/>
  <c r="E33" i="5" l="1"/>
  <c r="F33" i="5" a="1"/>
  <c r="F33" i="5" l="1"/>
  <c r="G33" i="5" a="1"/>
  <c r="G33" i="5" l="1"/>
  <c r="H33" i="5" a="1"/>
  <c r="H33" i="5" l="1"/>
  <c r="I33" i="5" a="1"/>
  <c r="I33" i="5" l="1"/>
  <c r="J33" i="5" a="1"/>
  <c r="J33" i="5" l="1"/>
  <c r="CB32" i="5" a="1"/>
  <c r="CB32" i="5" l="1"/>
  <c r="CC32" i="5" a="1"/>
  <c r="CC32" i="5" l="1"/>
  <c r="CD32" i="5" a="1"/>
  <c r="CD32" i="5" l="1"/>
  <c r="CE32" i="5" a="1"/>
  <c r="CE32" i="5" l="1"/>
  <c r="CF32" i="5" a="1"/>
  <c r="CF32" i="5" l="1"/>
  <c r="CG32" i="5" a="1"/>
  <c r="CG32" i="5" l="1"/>
  <c r="B33" i="5" a="1"/>
  <c r="B33" i="5" l="1"/>
  <c r="BI36" i="5" a="1"/>
  <c r="BI36" i="5" l="1"/>
  <c r="BV32" i="5" a="1"/>
  <c r="BV32" i="5" l="1"/>
  <c r="BW32" i="5" a="1"/>
  <c r="BW32" i="5" l="1"/>
  <c r="BX32" i="5" a="1"/>
  <c r="BX32" i="5" l="1"/>
  <c r="BY32" i="5" a="1"/>
  <c r="BY32" i="5" l="1"/>
  <c r="BZ32" i="5" a="1"/>
  <c r="BZ32" i="5" l="1"/>
  <c r="CA32" i="5" a="1"/>
  <c r="CA32" i="5" l="1"/>
  <c r="BB36" i="5" a="1"/>
  <c r="BB36" i="5" l="1"/>
  <c r="BC36" i="5" a="1"/>
  <c r="BC36" i="5" l="1"/>
  <c r="BD36" i="5" a="1"/>
  <c r="BD36" i="5" l="1"/>
  <c r="BE36" i="5" a="1"/>
  <c r="BE36" i="5" l="1"/>
  <c r="BF36" i="5" a="1"/>
  <c r="BF36" i="5" l="1"/>
  <c r="BG36" i="5"/>
  <c r="BH36" i="5" a="1"/>
  <c r="BH36" i="5" l="1"/>
  <c r="AU32" i="5" a="1"/>
  <c r="AU32" i="5" l="1"/>
  <c r="AV32" i="5" a="1"/>
  <c r="AV32" i="5" l="1"/>
  <c r="AW32" i="5" a="1"/>
  <c r="AW32" i="5" l="1"/>
  <c r="AX36" i="5" a="1"/>
  <c r="AX36" i="5" l="1"/>
  <c r="AY36" i="5" a="1"/>
  <c r="AY36" i="5" l="1"/>
  <c r="AZ36" i="5" a="1"/>
  <c r="AZ36" i="5" l="1"/>
  <c r="BA36" i="5" a="1"/>
  <c r="BA36" i="5" l="1"/>
  <c r="AN32" i="5" a="1"/>
  <c r="AN32" i="5" l="1"/>
  <c r="AO32" i="5" a="1"/>
  <c r="AO32" i="5" l="1"/>
  <c r="AP32" i="5" a="1"/>
  <c r="AP32" i="5" l="1"/>
  <c r="AQ32" i="5" a="1"/>
  <c r="AQ32" i="5" l="1"/>
  <c r="AR32" i="5" a="1"/>
  <c r="AR32" i="5" l="1"/>
  <c r="AS32" i="5" a="1"/>
  <c r="AS32" i="5" l="1"/>
  <c r="AT32" i="5" a="1"/>
  <c r="AT32" i="5" l="1"/>
  <c r="AG32" i="5" a="1"/>
  <c r="AG32" i="5" l="1"/>
  <c r="AH32" i="5" a="1"/>
  <c r="AH32" i="5" l="1"/>
  <c r="AI32" i="5" a="1"/>
  <c r="AI32" i="5" l="1"/>
  <c r="AJ32" i="5" a="1"/>
  <c r="AJ32" i="5" l="1"/>
  <c r="AK32" i="5" a="1"/>
  <c r="AK32" i="5" l="1"/>
  <c r="AL32" i="5" a="1"/>
  <c r="AL32" i="5" l="1"/>
  <c r="AM32" i="5" a="1"/>
  <c r="AM32" i="5" l="1"/>
  <c r="Z32" i="5" a="1"/>
  <c r="Z32" i="5" l="1"/>
  <c r="AA32" i="5" a="1"/>
  <c r="AA32" i="5" l="1"/>
  <c r="AB32" i="5" a="1"/>
  <c r="AB32" i="5" l="1"/>
  <c r="AC32" i="5" a="1"/>
  <c r="AC32" i="5" l="1"/>
  <c r="AD32" i="5" a="1"/>
  <c r="AD32" i="5" l="1"/>
  <c r="AE32" i="5" a="1"/>
  <c r="AE32" i="5" l="1"/>
  <c r="AF32" i="5" a="1"/>
  <c r="AF32" i="5" l="1"/>
  <c r="R32" i="5" a="1"/>
  <c r="R32" i="5" l="1"/>
  <c r="S32" i="5" a="1"/>
  <c r="S32" i="5" l="1"/>
  <c r="U32" i="5" a="1"/>
  <c r="U32" i="5" l="1"/>
  <c r="V32" i="5" a="1"/>
  <c r="V32" i="5" l="1"/>
  <c r="W32" i="5" a="1"/>
  <c r="W32" i="5" l="1"/>
  <c r="X32" i="5" a="1"/>
  <c r="X32" i="5" l="1"/>
  <c r="Y32" i="5" a="1"/>
  <c r="Y32" i="5" l="1"/>
  <c r="K32" i="5" a="1"/>
  <c r="K32" i="5" l="1"/>
  <c r="L32" i="5" a="1"/>
  <c r="L32" i="5" l="1"/>
  <c r="M32" i="5" a="1"/>
  <c r="M32" i="5" l="1"/>
  <c r="N32" i="5" a="1"/>
  <c r="N32" i="5" l="1"/>
  <c r="O32" i="5" a="1"/>
  <c r="O32" i="5" l="1"/>
  <c r="P32" i="5" a="1"/>
  <c r="P32" i="5" l="1"/>
  <c r="Q32" i="5" a="1"/>
  <c r="Q32" i="5" l="1"/>
  <c r="C32" i="5" a="1"/>
  <c r="C32" i="5" l="1"/>
  <c r="E32" i="5" a="1"/>
  <c r="E32" i="5" l="1"/>
  <c r="F32" i="5" a="1"/>
  <c r="F32" i="5" l="1"/>
  <c r="G32" i="5" a="1"/>
  <c r="G32" i="5" l="1"/>
  <c r="H32" i="5" a="1"/>
  <c r="H32" i="5" l="1"/>
  <c r="I32" i="5" a="1"/>
  <c r="I32" i="5" l="1"/>
  <c r="J32" i="5" a="1"/>
  <c r="J32" i="5" l="1"/>
  <c r="CB31" i="5" a="1"/>
  <c r="CB31" i="5" l="1"/>
  <c r="CC31" i="5" a="1"/>
  <c r="CC31" i="5" l="1"/>
  <c r="CD31" i="5" a="1"/>
  <c r="CD31" i="5" l="1"/>
  <c r="CE31" i="5" a="1"/>
  <c r="CE31" i="5" l="1"/>
  <c r="CF31" i="5" a="1"/>
  <c r="CF31" i="5" l="1"/>
  <c r="CG31" i="5" a="1"/>
  <c r="CG31" i="5" l="1"/>
  <c r="B32" i="5" a="1"/>
  <c r="B32" i="5" l="1"/>
  <c r="BI35" i="5" a="1"/>
  <c r="BI35" i="5" l="1"/>
  <c r="BV31" i="5" a="1"/>
  <c r="BV31" i="5" l="1"/>
  <c r="BW31" i="5" a="1"/>
  <c r="BW31" i="5" l="1"/>
  <c r="BX31" i="5" a="1"/>
  <c r="BX31" i="5" l="1"/>
  <c r="BY31" i="5" a="1"/>
  <c r="BY31" i="5" l="1"/>
  <c r="BZ31" i="5" a="1"/>
  <c r="BZ31" i="5" l="1"/>
  <c r="CA31" i="5" a="1"/>
  <c r="CA31" i="5" l="1"/>
  <c r="BB35" i="5" a="1"/>
  <c r="BB35" i="5" l="1"/>
  <c r="BC35" i="5" a="1"/>
  <c r="BC35" i="5" l="1"/>
  <c r="BD35" i="5" a="1"/>
  <c r="BD35" i="5" l="1"/>
  <c r="BE35" i="5" a="1"/>
  <c r="BE35" i="5" l="1"/>
  <c r="BF35" i="5" a="1"/>
  <c r="BF35" i="5" l="1"/>
  <c r="BG35" i="5"/>
  <c r="BH35" i="5" a="1"/>
  <c r="BH35" i="5" l="1"/>
  <c r="AU31" i="5" a="1"/>
  <c r="AU31" i="5" l="1"/>
  <c r="AV31" i="5" a="1"/>
  <c r="AV31" i="5" l="1"/>
  <c r="AW31" i="5" a="1"/>
  <c r="AW31" i="5" l="1"/>
  <c r="AX35" i="5" a="1"/>
  <c r="AX35" i="5" l="1"/>
  <c r="AY35" i="5" a="1"/>
  <c r="AY35" i="5" l="1"/>
  <c r="AZ35" i="5" a="1"/>
  <c r="AZ35" i="5" l="1"/>
  <c r="BA35" i="5" a="1"/>
  <c r="BA35" i="5" l="1"/>
  <c r="AN31" i="5" a="1"/>
  <c r="AN31" i="5" l="1"/>
  <c r="AO31" i="5" a="1"/>
  <c r="AO31" i="5" l="1"/>
  <c r="AP31" i="5" a="1"/>
  <c r="AP31" i="5" l="1"/>
  <c r="AQ31" i="5" a="1"/>
  <c r="AQ31" i="5" l="1"/>
  <c r="AR31" i="5" a="1"/>
  <c r="AR31" i="5" l="1"/>
  <c r="AS31" i="5" a="1"/>
  <c r="AS31" i="5" l="1"/>
  <c r="AT31" i="5" a="1"/>
  <c r="AT31" i="5" l="1"/>
  <c r="AG31" i="5" a="1"/>
  <c r="AG31" i="5" l="1"/>
  <c r="AH31" i="5" a="1"/>
  <c r="AH31" i="5" l="1"/>
  <c r="AI31" i="5" a="1"/>
  <c r="AI31" i="5" l="1"/>
  <c r="AJ31" i="5" a="1"/>
  <c r="AJ31" i="5" l="1"/>
  <c r="AK31" i="5" a="1"/>
  <c r="AK31" i="5" l="1"/>
  <c r="AL31" i="5" a="1"/>
  <c r="AL31" i="5" l="1"/>
  <c r="AM31" i="5" a="1"/>
  <c r="AM31" i="5" l="1"/>
  <c r="Z31" i="5" a="1"/>
  <c r="Z31" i="5" l="1"/>
  <c r="AA31" i="5" a="1"/>
  <c r="AA31" i="5" l="1"/>
  <c r="AB31" i="5" a="1"/>
  <c r="AB31" i="5" l="1"/>
  <c r="AC31" i="5" a="1"/>
  <c r="AC31" i="5" l="1"/>
  <c r="AD31" i="5" a="1"/>
  <c r="AD31" i="5" l="1"/>
  <c r="AE31" i="5" a="1"/>
  <c r="AE31" i="5" l="1"/>
  <c r="AF31" i="5" a="1"/>
  <c r="AF31" i="5" l="1"/>
  <c r="R31" i="5" a="1"/>
  <c r="R31" i="5" l="1"/>
  <c r="S31" i="5" a="1"/>
  <c r="S31" i="5" l="1"/>
  <c r="U31" i="5" a="1"/>
  <c r="U31" i="5" l="1"/>
  <c r="V31" i="5" a="1"/>
  <c r="V31" i="5" l="1"/>
  <c r="W31" i="5" a="1"/>
  <c r="W31" i="5" l="1"/>
  <c r="X31" i="5" a="1"/>
  <c r="X31" i="5" l="1"/>
  <c r="Y31" i="5" a="1"/>
  <c r="Y31" i="5" l="1"/>
  <c r="K31" i="5" a="1"/>
  <c r="K31" i="5" l="1"/>
  <c r="L31" i="5" a="1"/>
  <c r="L31" i="5" l="1"/>
  <c r="M31" i="5" a="1"/>
  <c r="M31" i="5" l="1"/>
  <c r="N31" i="5" a="1"/>
  <c r="N31" i="5" l="1"/>
  <c r="O31" i="5" a="1"/>
  <c r="O31" i="5" l="1"/>
  <c r="P31" i="5" a="1"/>
  <c r="P31" i="5" l="1"/>
  <c r="Q31" i="5" a="1"/>
  <c r="Q31" i="5" l="1"/>
  <c r="C31" i="5" a="1"/>
  <c r="C31" i="5" l="1"/>
  <c r="E31" i="5" a="1"/>
  <c r="E31" i="5" l="1"/>
  <c r="F31" i="5" a="1"/>
  <c r="F31" i="5" l="1"/>
  <c r="G31" i="5" a="1"/>
  <c r="G31" i="5" l="1"/>
  <c r="H31" i="5" a="1"/>
  <c r="H31" i="5" l="1"/>
  <c r="I31" i="5" a="1"/>
  <c r="I31" i="5" l="1"/>
  <c r="J31" i="5" a="1"/>
  <c r="J31" i="5" l="1"/>
  <c r="CB30" i="5" a="1"/>
  <c r="CB30" i="5" l="1"/>
  <c r="CC30" i="5" a="1"/>
  <c r="CC30" i="5" l="1"/>
  <c r="CD30" i="5" a="1"/>
  <c r="CD30" i="5" l="1"/>
  <c r="CE30" i="5" a="1"/>
  <c r="CE30" i="5" l="1"/>
  <c r="CF30" i="5" a="1"/>
  <c r="CF30" i="5" l="1"/>
  <c r="CG30" i="5" a="1"/>
  <c r="CG30" i="5" l="1"/>
  <c r="B31" i="5" a="1"/>
  <c r="B31" i="5" l="1"/>
  <c r="BI34" i="5" a="1"/>
  <c r="BI34" i="5" l="1"/>
  <c r="BV30" i="5" a="1"/>
  <c r="BV30" i="5" l="1"/>
  <c r="BW30" i="5" a="1"/>
  <c r="BW30" i="5" l="1"/>
  <c r="BX30" i="5" a="1"/>
  <c r="BX30" i="5" l="1"/>
  <c r="BY30" i="5" a="1"/>
  <c r="BY30" i="5" l="1"/>
  <c r="BZ30" i="5" a="1"/>
  <c r="BZ30" i="5" l="1"/>
  <c r="CA30" i="5" a="1"/>
  <c r="CA30" i="5" l="1"/>
  <c r="BB34" i="5" a="1"/>
  <c r="BB34" i="5" l="1"/>
  <c r="BC34" i="5" a="1"/>
  <c r="BC34" i="5" l="1"/>
  <c r="BD34" i="5" a="1"/>
  <c r="BD34" i="5" l="1"/>
  <c r="BE34" i="5" a="1"/>
  <c r="BE34" i="5" l="1"/>
  <c r="BF34" i="5" a="1"/>
  <c r="BF34" i="5" l="1"/>
  <c r="BG34" i="5"/>
  <c r="BH34" i="5" a="1"/>
  <c r="BH34" i="5" l="1"/>
  <c r="AU30" i="5" a="1"/>
  <c r="AU30" i="5" l="1"/>
  <c r="AV30" i="5" a="1"/>
  <c r="AV30" i="5" l="1"/>
  <c r="AW30" i="5" a="1"/>
  <c r="AW30" i="5" l="1"/>
  <c r="AX34" i="5" a="1"/>
  <c r="AX34" i="5" l="1"/>
  <c r="AY34" i="5" a="1"/>
  <c r="AY34" i="5" l="1"/>
  <c r="AZ34" i="5" a="1"/>
  <c r="AZ34" i="5" l="1"/>
  <c r="BA34" i="5" a="1"/>
  <c r="BA34" i="5" l="1"/>
  <c r="AN30" i="5" a="1"/>
  <c r="AN30" i="5" l="1"/>
  <c r="AO30" i="5" a="1"/>
  <c r="AO30" i="5" l="1"/>
  <c r="AP30" i="5" a="1"/>
  <c r="AP30" i="5" l="1"/>
  <c r="AQ30" i="5" a="1"/>
  <c r="AQ30" i="5" l="1"/>
  <c r="AR30" i="5" a="1"/>
  <c r="AR30" i="5" l="1"/>
  <c r="AS30" i="5" a="1"/>
  <c r="AS30" i="5" l="1"/>
  <c r="AT30" i="5" a="1"/>
  <c r="AT30" i="5" l="1"/>
  <c r="AG30" i="5" a="1"/>
  <c r="AG30" i="5" l="1"/>
  <c r="AH30" i="5" a="1"/>
  <c r="AH30" i="5" l="1"/>
  <c r="AI30" i="5" a="1"/>
  <c r="AI30" i="5" l="1"/>
  <c r="AJ30" i="5" a="1"/>
  <c r="AJ30" i="5" l="1"/>
  <c r="AK30" i="5" a="1"/>
  <c r="AK30" i="5" l="1"/>
  <c r="AL30" i="5" a="1"/>
  <c r="AL30" i="5" l="1"/>
  <c r="AM30" i="5" a="1"/>
  <c r="AM30" i="5" l="1"/>
  <c r="Z30" i="5" a="1"/>
  <c r="Z30" i="5" l="1"/>
  <c r="AA30" i="5" a="1"/>
  <c r="AA30" i="5" l="1"/>
  <c r="AB30" i="5" a="1"/>
  <c r="AB30" i="5" l="1"/>
  <c r="AC30" i="5" a="1"/>
  <c r="AC30" i="5" l="1"/>
  <c r="AD30" i="5" a="1"/>
  <c r="AD30" i="5" l="1"/>
  <c r="AE30" i="5" a="1"/>
  <c r="AE30" i="5" l="1"/>
  <c r="AF30" i="5" a="1"/>
  <c r="AF30" i="5" l="1"/>
  <c r="R30" i="5" a="1"/>
  <c r="R30" i="5" l="1"/>
  <c r="S30" i="5" a="1"/>
  <c r="S30" i="5" l="1"/>
  <c r="U30" i="5" a="1"/>
  <c r="U30" i="5" l="1"/>
  <c r="V30" i="5" a="1"/>
  <c r="V30" i="5" l="1"/>
  <c r="W30" i="5" a="1"/>
  <c r="W30" i="5" l="1"/>
  <c r="X30" i="5" a="1"/>
  <c r="X30" i="5" l="1"/>
  <c r="Y30" i="5" a="1"/>
  <c r="Y30" i="5" l="1"/>
  <c r="K30" i="5" a="1"/>
  <c r="K30" i="5" l="1"/>
  <c r="L30" i="5" a="1"/>
  <c r="L30" i="5" l="1"/>
  <c r="M30" i="5" a="1"/>
  <c r="M30" i="5" l="1"/>
  <c r="N30" i="5" a="1"/>
  <c r="N30" i="5" l="1"/>
  <c r="O30" i="5" a="1"/>
  <c r="O30" i="5" l="1"/>
  <c r="P30" i="5" a="1"/>
  <c r="P30" i="5" l="1"/>
  <c r="Q30" i="5" a="1"/>
  <c r="Q30" i="5" l="1"/>
  <c r="C30" i="5" a="1"/>
  <c r="C30" i="5" l="1"/>
  <c r="E30" i="5" a="1"/>
  <c r="E30" i="5" l="1"/>
  <c r="F30" i="5" a="1"/>
  <c r="F30" i="5" l="1"/>
  <c r="G30" i="5" a="1"/>
  <c r="G30" i="5" l="1"/>
  <c r="H30" i="5" a="1"/>
  <c r="H30" i="5" l="1"/>
  <c r="I30" i="5" a="1"/>
  <c r="I30" i="5" l="1"/>
  <c r="J30" i="5" a="1"/>
  <c r="J30" i="5" l="1"/>
  <c r="CB29" i="5" a="1"/>
  <c r="CB29" i="5" l="1"/>
  <c r="CC29" i="5" a="1"/>
  <c r="CC29" i="5" l="1"/>
  <c r="CD29" i="5" a="1"/>
  <c r="CD29" i="5" l="1"/>
  <c r="CE29" i="5" a="1"/>
  <c r="CE29" i="5" l="1"/>
  <c r="CF29" i="5" a="1"/>
  <c r="CF29" i="5" l="1"/>
  <c r="CG29" i="5" a="1"/>
  <c r="CG29" i="5" l="1"/>
  <c r="B30" i="5" a="1"/>
  <c r="B30" i="5" l="1"/>
  <c r="BI33" i="5" a="1"/>
  <c r="BI33" i="5" l="1"/>
  <c r="BV29" i="5" a="1"/>
  <c r="BV29" i="5" l="1"/>
  <c r="BW29" i="5" a="1"/>
  <c r="BW29" i="5" l="1"/>
  <c r="BX29" i="5" a="1"/>
  <c r="BX29" i="5" l="1"/>
  <c r="BY29" i="5" a="1"/>
  <c r="BY29" i="5" l="1"/>
  <c r="BZ29" i="5" a="1"/>
  <c r="BZ29" i="5" l="1"/>
  <c r="CA29" i="5" a="1"/>
  <c r="CA29" i="5" l="1"/>
  <c r="BB33" i="5" a="1"/>
  <c r="BB33" i="5" l="1"/>
  <c r="BC33" i="5" a="1"/>
  <c r="BC33" i="5" l="1"/>
  <c r="BD33" i="5" a="1"/>
  <c r="BD33" i="5" l="1"/>
  <c r="BE33" i="5" a="1"/>
  <c r="BE33" i="5" l="1"/>
  <c r="BF33" i="5" a="1"/>
  <c r="BF33" i="5" l="1"/>
  <c r="BG33" i="5"/>
  <c r="BH33" i="5" a="1"/>
  <c r="BH33" i="5" l="1"/>
  <c r="AU29" i="5" a="1"/>
  <c r="AU29" i="5" l="1"/>
  <c r="AV29" i="5" a="1"/>
  <c r="AV29" i="5" l="1"/>
  <c r="AW29" i="5" a="1"/>
  <c r="AW29" i="5" l="1"/>
  <c r="AX33" i="5" a="1"/>
  <c r="AX33" i="5" l="1"/>
  <c r="AY33" i="5" a="1"/>
  <c r="AY33" i="5" l="1"/>
  <c r="AZ33" i="5" a="1"/>
  <c r="AZ33" i="5" l="1"/>
  <c r="BA33" i="5" a="1"/>
  <c r="BA33" i="5" l="1"/>
  <c r="AN29" i="5" a="1"/>
  <c r="AN29" i="5" l="1"/>
  <c r="AO29" i="5" a="1"/>
  <c r="AO29" i="5" l="1"/>
  <c r="AP29" i="5" a="1"/>
  <c r="AP29" i="5" l="1"/>
  <c r="AQ29" i="5" a="1"/>
  <c r="AQ29" i="5" l="1"/>
  <c r="AR29" i="5" a="1"/>
  <c r="AR29" i="5" l="1"/>
  <c r="AS29" i="5" a="1"/>
  <c r="AS29" i="5" l="1"/>
  <c r="AT29" i="5" a="1"/>
  <c r="AT29" i="5" l="1"/>
  <c r="AG29" i="5" a="1"/>
  <c r="AG29" i="5" l="1"/>
  <c r="AH29" i="5" a="1"/>
  <c r="AH29" i="5" l="1"/>
  <c r="AI29" i="5" a="1"/>
  <c r="AI29" i="5" l="1"/>
  <c r="AJ29" i="5" a="1"/>
  <c r="AJ29" i="5" l="1"/>
  <c r="AK29" i="5" a="1"/>
  <c r="AK29" i="5" l="1"/>
  <c r="AL29" i="5" a="1"/>
  <c r="AL29" i="5" l="1"/>
  <c r="AM29" i="5" a="1"/>
  <c r="AM29" i="5" l="1"/>
  <c r="Z29" i="5" a="1"/>
  <c r="Z29" i="5" l="1"/>
  <c r="AA29" i="5" a="1"/>
  <c r="AA29" i="5" l="1"/>
  <c r="AB29" i="5" a="1"/>
  <c r="AB29" i="5" l="1"/>
  <c r="AC29" i="5" a="1"/>
  <c r="AC29" i="5" l="1"/>
  <c r="AD29" i="5" a="1"/>
  <c r="AD29" i="5" l="1"/>
  <c r="AE29" i="5" a="1"/>
  <c r="AE29" i="5" l="1"/>
  <c r="AF29" i="5" a="1"/>
  <c r="AF29" i="5" l="1"/>
  <c r="R29" i="5" a="1"/>
  <c r="R29" i="5" l="1"/>
  <c r="S29" i="5" a="1"/>
  <c r="S29" i="5" l="1"/>
  <c r="U29" i="5" a="1"/>
  <c r="U29" i="5" l="1"/>
  <c r="V29" i="5" a="1"/>
  <c r="V29" i="5" l="1"/>
  <c r="W29" i="5" a="1"/>
  <c r="W29" i="5" l="1"/>
  <c r="X29" i="5" a="1"/>
  <c r="X29" i="5" l="1"/>
  <c r="Y29" i="5" a="1"/>
  <c r="Y29" i="5" l="1"/>
  <c r="K29" i="5" a="1"/>
  <c r="K29" i="5" l="1"/>
  <c r="L29" i="5" a="1"/>
  <c r="L29" i="5" l="1"/>
  <c r="M29" i="5" a="1"/>
  <c r="M29" i="5" l="1"/>
  <c r="N29" i="5" a="1"/>
  <c r="N29" i="5" l="1"/>
  <c r="O29" i="5" a="1"/>
  <c r="O29" i="5" l="1"/>
  <c r="P29" i="5" a="1"/>
  <c r="P29" i="5" l="1"/>
  <c r="Q29" i="5" a="1"/>
  <c r="Q29" i="5" l="1"/>
  <c r="C29" i="5" a="1"/>
  <c r="C29" i="5" l="1"/>
  <c r="E29" i="5" a="1"/>
  <c r="E29" i="5" l="1"/>
  <c r="F29" i="5" a="1"/>
  <c r="F29" i="5" l="1"/>
  <c r="G29" i="5" a="1"/>
  <c r="G29" i="5" l="1"/>
  <c r="H29" i="5" a="1"/>
  <c r="H29" i="5" l="1"/>
  <c r="I29" i="5" a="1"/>
  <c r="I29" i="5" l="1"/>
  <c r="J29" i="5" a="1"/>
  <c r="J29" i="5" l="1"/>
  <c r="CB28" i="5" a="1"/>
  <c r="CB28" i="5" l="1"/>
  <c r="CC28" i="5" a="1"/>
  <c r="CC28" i="5" l="1"/>
  <c r="CD28" i="5" a="1"/>
  <c r="CD28" i="5" l="1"/>
  <c r="CE28" i="5" a="1"/>
  <c r="CE28" i="5" l="1"/>
  <c r="CF28" i="5" a="1"/>
  <c r="CF28" i="5" l="1"/>
  <c r="CG28" i="5" a="1"/>
  <c r="CG28" i="5" l="1"/>
  <c r="B29" i="5" a="1"/>
  <c r="B29" i="5" l="1"/>
  <c r="BI32" i="5" a="1"/>
  <c r="BI32" i="5" l="1"/>
  <c r="BV28" i="5" a="1"/>
  <c r="BV28" i="5" l="1"/>
  <c r="BW28" i="5" a="1"/>
  <c r="BW28" i="5" l="1"/>
  <c r="BX28" i="5" a="1"/>
  <c r="BX28" i="5" l="1"/>
  <c r="BY28" i="5" a="1"/>
  <c r="BY28" i="5" l="1"/>
  <c r="BZ28" i="5" a="1"/>
  <c r="BZ28" i="5" l="1"/>
  <c r="CA28" i="5" a="1"/>
  <c r="CA28" i="5" l="1"/>
  <c r="BB32" i="5" a="1"/>
  <c r="BB32" i="5" l="1"/>
  <c r="BC32" i="5" a="1"/>
  <c r="BC32" i="5" l="1"/>
  <c r="BD32" i="5" a="1"/>
  <c r="BD32" i="5" l="1"/>
  <c r="BE32" i="5" a="1"/>
  <c r="BE32" i="5" l="1"/>
  <c r="BF32" i="5" a="1"/>
  <c r="BF32" i="5" l="1"/>
  <c r="BG32" i="5"/>
  <c r="BH32" i="5" a="1"/>
  <c r="BH32" i="5" l="1"/>
  <c r="AU28" i="5" a="1"/>
  <c r="AU28" i="5" l="1"/>
  <c r="AV28" i="5" a="1"/>
  <c r="AV28" i="5" l="1"/>
  <c r="AW28" i="5" a="1"/>
  <c r="AW28" i="5" l="1"/>
  <c r="AX32" i="5" a="1"/>
  <c r="AX32" i="5" l="1"/>
  <c r="AY32" i="5" a="1"/>
  <c r="AY32" i="5" l="1"/>
  <c r="AZ32" i="5" a="1"/>
  <c r="AZ32" i="5" l="1"/>
  <c r="BA32" i="5" a="1"/>
  <c r="BA32" i="5" l="1"/>
  <c r="AN28" i="5" a="1"/>
  <c r="AN28" i="5" l="1"/>
  <c r="AO28" i="5" a="1"/>
  <c r="AO28" i="5" l="1"/>
  <c r="AP28" i="5" a="1"/>
  <c r="AP28" i="5" l="1"/>
  <c r="AQ28" i="5" a="1"/>
  <c r="AQ28" i="5" l="1"/>
  <c r="AR28" i="5" a="1"/>
  <c r="AR28" i="5" l="1"/>
  <c r="AS28" i="5" a="1"/>
  <c r="AS28" i="5" l="1"/>
  <c r="AT28" i="5" a="1"/>
  <c r="AT28" i="5" l="1"/>
  <c r="AG28" i="5" a="1"/>
  <c r="AG28" i="5" l="1"/>
  <c r="AH28" i="5" a="1"/>
  <c r="AH28" i="5" l="1"/>
  <c r="AI28" i="5" a="1"/>
  <c r="AI28" i="5" l="1"/>
  <c r="AJ28" i="5" a="1"/>
  <c r="AJ28" i="5" l="1"/>
  <c r="AK28" i="5" a="1"/>
  <c r="AK28" i="5" l="1"/>
  <c r="AL28" i="5" a="1"/>
  <c r="AL28" i="5" l="1"/>
  <c r="AM28" i="5" a="1"/>
  <c r="AM28" i="5" l="1"/>
  <c r="Z28" i="5" a="1"/>
  <c r="Z28" i="5" l="1"/>
  <c r="AA28" i="5" a="1"/>
  <c r="AA28" i="5" l="1"/>
  <c r="AB28" i="5" a="1"/>
  <c r="AB28" i="5" l="1"/>
  <c r="AC28" i="5" a="1"/>
  <c r="AC28" i="5" l="1"/>
  <c r="AD28" i="5" a="1"/>
  <c r="AD28" i="5" l="1"/>
  <c r="AE28" i="5" a="1"/>
  <c r="AE28" i="5" l="1"/>
  <c r="AF28" i="5" a="1"/>
  <c r="AF28" i="5" l="1"/>
  <c r="R28" i="5" a="1"/>
  <c r="R28" i="5" l="1"/>
  <c r="S28" i="5" a="1"/>
  <c r="S28" i="5" l="1"/>
  <c r="U28" i="5" a="1"/>
  <c r="U28" i="5" l="1"/>
  <c r="V28" i="5" a="1"/>
  <c r="V28" i="5" l="1"/>
  <c r="W28" i="5" a="1"/>
  <c r="W28" i="5" l="1"/>
  <c r="X28" i="5" a="1"/>
  <c r="X28" i="5" l="1"/>
  <c r="Y28" i="5" a="1"/>
  <c r="Y28" i="5" l="1"/>
  <c r="K28" i="5" a="1"/>
  <c r="K28" i="5" l="1"/>
  <c r="L28" i="5" a="1"/>
  <c r="L28" i="5" l="1"/>
  <c r="M28" i="5" a="1"/>
  <c r="M28" i="5" l="1"/>
  <c r="N28" i="5" a="1"/>
  <c r="N28" i="5" l="1"/>
  <c r="O28" i="5" a="1"/>
  <c r="O28" i="5" l="1"/>
  <c r="P28" i="5" a="1"/>
  <c r="P28" i="5" l="1"/>
  <c r="Q28" i="5" a="1"/>
  <c r="Q28" i="5" l="1"/>
  <c r="C28" i="5" a="1"/>
  <c r="C28" i="5" l="1"/>
  <c r="E28" i="5" a="1"/>
  <c r="E28" i="5" l="1"/>
  <c r="F28" i="5" a="1"/>
  <c r="F28" i="5" l="1"/>
  <c r="G28" i="5" a="1"/>
  <c r="G28" i="5" l="1"/>
  <c r="H28" i="5" a="1"/>
  <c r="H28" i="5" l="1"/>
  <c r="I28" i="5" a="1"/>
  <c r="I28" i="5" l="1"/>
  <c r="J28" i="5" a="1"/>
  <c r="J28" i="5" l="1"/>
  <c r="CB27" i="5" a="1"/>
  <c r="CB27" i="5" l="1"/>
  <c r="CC27" i="5" a="1"/>
  <c r="CC27" i="5" l="1"/>
  <c r="CD27" i="5" a="1"/>
  <c r="CD27" i="5" l="1"/>
  <c r="CE27" i="5" a="1"/>
  <c r="CE27" i="5" l="1"/>
  <c r="CF27" i="5" a="1"/>
  <c r="CF27" i="5" l="1"/>
  <c r="CG27" i="5" a="1"/>
  <c r="CG27" i="5" l="1"/>
  <c r="B28" i="5" a="1"/>
  <c r="B28" i="5" l="1"/>
  <c r="BI31" i="5" a="1"/>
  <c r="BI31" i="5" l="1"/>
  <c r="BV27" i="5" a="1"/>
  <c r="BV27" i="5" l="1"/>
  <c r="BW27" i="5" a="1"/>
  <c r="BW27" i="5" l="1"/>
  <c r="BX27" i="5" a="1"/>
  <c r="BX27" i="5" l="1"/>
  <c r="BY27" i="5" a="1"/>
  <c r="BY27" i="5" l="1"/>
  <c r="BZ27" i="5" a="1"/>
  <c r="BZ27" i="5" l="1"/>
  <c r="CA27" i="5" a="1"/>
  <c r="CA27" i="5" l="1"/>
  <c r="BB31" i="5" a="1"/>
  <c r="BB31" i="5" l="1"/>
  <c r="BC31" i="5" a="1"/>
  <c r="BC31" i="5" l="1"/>
  <c r="BD31" i="5" a="1"/>
  <c r="BD31" i="5" l="1"/>
  <c r="BE31" i="5" a="1"/>
  <c r="BE31" i="5" l="1"/>
  <c r="BF31" i="5" a="1"/>
  <c r="BF31" i="5" l="1"/>
  <c r="BG31" i="5"/>
  <c r="BH31" i="5" a="1"/>
  <c r="BH31" i="5" l="1"/>
  <c r="AU27" i="5" a="1"/>
  <c r="AU27" i="5" l="1"/>
  <c r="AV27" i="5" a="1"/>
  <c r="AV27" i="5" l="1"/>
  <c r="AW27" i="5" a="1"/>
  <c r="AW27" i="5" l="1"/>
  <c r="AX31" i="5" a="1"/>
  <c r="AX31" i="5" l="1"/>
  <c r="AY31" i="5" a="1"/>
  <c r="AY31" i="5" l="1"/>
  <c r="AZ31" i="5" a="1"/>
  <c r="AZ31" i="5" l="1"/>
  <c r="BA31" i="5" a="1"/>
  <c r="BA31" i="5" l="1"/>
  <c r="AN27" i="5" a="1"/>
  <c r="AN27" i="5" l="1"/>
  <c r="AO27" i="5" a="1"/>
  <c r="AO27" i="5" l="1"/>
  <c r="AP27" i="5" a="1"/>
  <c r="AP27" i="5" l="1"/>
  <c r="AQ27" i="5" a="1"/>
  <c r="AQ27" i="5" l="1"/>
  <c r="AR27" i="5" a="1"/>
  <c r="AR27" i="5" l="1"/>
  <c r="AS27" i="5" a="1"/>
  <c r="AS27" i="5" l="1"/>
  <c r="AT27" i="5" a="1"/>
  <c r="AT27" i="5" l="1"/>
  <c r="AG27" i="5" a="1"/>
  <c r="AG27" i="5" l="1"/>
  <c r="AH27" i="5" a="1"/>
  <c r="AH27" i="5" l="1"/>
  <c r="AI27" i="5" a="1"/>
  <c r="AI27" i="5" l="1"/>
  <c r="AJ27" i="5" a="1"/>
  <c r="AJ27" i="5" l="1"/>
  <c r="AK27" i="5" a="1"/>
  <c r="AK27" i="5" l="1"/>
  <c r="AL27" i="5" a="1"/>
  <c r="AL27" i="5" l="1"/>
  <c r="AM27" i="5" a="1"/>
  <c r="AM27" i="5" l="1"/>
  <c r="Z27" i="5" a="1"/>
  <c r="Z27" i="5" l="1"/>
  <c r="AA27" i="5" a="1"/>
  <c r="AA27" i="5" l="1"/>
  <c r="AB27" i="5" a="1"/>
  <c r="AB27" i="5" l="1"/>
  <c r="AC27" i="5" a="1"/>
  <c r="AC27" i="5" l="1"/>
  <c r="AD27" i="5" a="1"/>
  <c r="AD27" i="5" l="1"/>
  <c r="AE27" i="5" a="1"/>
  <c r="AE27" i="5" l="1"/>
  <c r="AF27" i="5" a="1"/>
  <c r="AF27" i="5" l="1"/>
  <c r="R27" i="5" a="1"/>
  <c r="R27" i="5" l="1"/>
  <c r="S27" i="5" a="1"/>
  <c r="S27" i="5" l="1"/>
  <c r="U27" i="5" a="1"/>
  <c r="U27" i="5" l="1"/>
  <c r="V27" i="5" a="1"/>
  <c r="V27" i="5" l="1"/>
  <c r="W27" i="5" a="1"/>
  <c r="W27" i="5" l="1"/>
  <c r="X27" i="5" a="1"/>
  <c r="X27" i="5" l="1"/>
  <c r="Y27" i="5" a="1"/>
  <c r="Y27" i="5" l="1"/>
  <c r="K27" i="5" a="1"/>
  <c r="K27" i="5" l="1"/>
  <c r="L27" i="5" a="1"/>
  <c r="L27" i="5" l="1"/>
  <c r="M27" i="5" a="1"/>
  <c r="M27" i="5" l="1"/>
  <c r="N27" i="5" a="1"/>
  <c r="N27" i="5" l="1"/>
  <c r="O27" i="5" a="1"/>
  <c r="O27" i="5" l="1"/>
  <c r="P27" i="5" a="1"/>
  <c r="P27" i="5" l="1"/>
  <c r="Q27" i="5" a="1"/>
  <c r="Q27" i="5" l="1"/>
  <c r="C27" i="5" a="1"/>
  <c r="C27" i="5" l="1"/>
  <c r="E27" i="5" a="1"/>
  <c r="E27" i="5" l="1"/>
  <c r="F27" i="5" a="1"/>
  <c r="F27" i="5" l="1"/>
  <c r="G27" i="5" a="1"/>
  <c r="G27" i="5" l="1"/>
  <c r="H27" i="5" a="1"/>
  <c r="H27" i="5" l="1"/>
  <c r="I27" i="5" a="1"/>
  <c r="I27" i="5" l="1"/>
  <c r="J27" i="5" a="1"/>
  <c r="J27" i="5" l="1"/>
  <c r="CB26" i="5" a="1"/>
  <c r="CB26" i="5" l="1"/>
  <c r="CC26" i="5" a="1"/>
  <c r="CC26" i="5" l="1"/>
  <c r="CD26" i="5" a="1"/>
  <c r="CD26" i="5" l="1"/>
  <c r="CE26" i="5" a="1"/>
  <c r="CE26" i="5" l="1"/>
  <c r="CF26" i="5" a="1"/>
  <c r="CF26" i="5" l="1"/>
  <c r="CG26" i="5" a="1"/>
  <c r="CG26" i="5" l="1"/>
  <c r="B27" i="5" a="1"/>
  <c r="B27" i="5" l="1"/>
  <c r="BI30" i="5" a="1"/>
  <c r="BI30" i="5" l="1"/>
  <c r="BV26" i="5" a="1"/>
  <c r="BV26" i="5" l="1"/>
  <c r="BW26" i="5" a="1"/>
  <c r="BW26" i="5" l="1"/>
  <c r="BX26" i="5" a="1"/>
  <c r="BX26" i="5" l="1"/>
  <c r="BY26" i="5" a="1"/>
  <c r="BY26" i="5" l="1"/>
  <c r="BZ26" i="5" a="1"/>
  <c r="BZ26" i="5" l="1"/>
  <c r="CA26" i="5" a="1"/>
  <c r="CA26" i="5" l="1"/>
  <c r="BB30" i="5" a="1"/>
  <c r="BB30" i="5" l="1"/>
  <c r="BC30" i="5" a="1"/>
  <c r="BC30" i="5" l="1"/>
  <c r="BD30" i="5" a="1"/>
  <c r="BD30" i="5" l="1"/>
  <c r="BE30" i="5" a="1"/>
  <c r="BE30" i="5" l="1"/>
  <c r="BF30" i="5" a="1"/>
  <c r="BF30" i="5" l="1"/>
  <c r="BG30" i="5"/>
  <c r="BH30" i="5" a="1"/>
  <c r="BH30" i="5" l="1"/>
  <c r="AU26" i="5" a="1"/>
  <c r="AU26" i="5" l="1"/>
  <c r="AV26" i="5" a="1"/>
  <c r="AV26" i="5" l="1"/>
  <c r="AW26" i="5" a="1"/>
  <c r="AW26" i="5" l="1"/>
  <c r="AX30" i="5" a="1"/>
  <c r="AX30" i="5" l="1"/>
  <c r="AY30" i="5" a="1"/>
  <c r="AY30" i="5" l="1"/>
  <c r="AZ30" i="5" a="1"/>
  <c r="AZ30" i="5" l="1"/>
  <c r="BA30" i="5" a="1"/>
  <c r="BA30" i="5" l="1"/>
  <c r="AN26" i="5" a="1"/>
  <c r="AN26" i="5" l="1"/>
  <c r="AO26" i="5" a="1"/>
  <c r="AO26" i="5" l="1"/>
  <c r="AP26" i="5" a="1"/>
  <c r="AP26" i="5" l="1"/>
  <c r="AQ26" i="5" a="1"/>
  <c r="AQ26" i="5" l="1"/>
  <c r="AR26" i="5" a="1"/>
  <c r="AR26" i="5" l="1"/>
  <c r="AS26" i="5" a="1"/>
  <c r="AS26" i="5" l="1"/>
  <c r="AT26" i="5" a="1"/>
  <c r="AT26" i="5" l="1"/>
  <c r="AG26" i="5" a="1"/>
  <c r="AG26" i="5" l="1"/>
  <c r="AH26" i="5" a="1"/>
  <c r="AH26" i="5" l="1"/>
  <c r="AI26" i="5" a="1"/>
  <c r="AI26" i="5" l="1"/>
  <c r="AJ26" i="5" a="1"/>
  <c r="AJ26" i="5" l="1"/>
  <c r="AK26" i="5" a="1"/>
  <c r="AK26" i="5" l="1"/>
  <c r="AL26" i="5" a="1"/>
  <c r="AL26" i="5" l="1"/>
  <c r="AM26" i="5" a="1"/>
  <c r="AM26" i="5" l="1"/>
  <c r="Z26" i="5" a="1"/>
  <c r="Z26" i="5" l="1"/>
  <c r="AA26" i="5" a="1"/>
  <c r="AA26" i="5" l="1"/>
  <c r="AB26" i="5" a="1"/>
  <c r="AB26" i="5" l="1"/>
  <c r="AC26" i="5" a="1"/>
  <c r="AC26" i="5" l="1"/>
  <c r="AD26" i="5" a="1"/>
  <c r="AD26" i="5" l="1"/>
  <c r="AE26" i="5" a="1"/>
  <c r="AE26" i="5" l="1"/>
  <c r="AF26" i="5" a="1"/>
  <c r="AF26" i="5" l="1"/>
  <c r="R26" i="5" a="1"/>
  <c r="R26" i="5" l="1"/>
  <c r="S26" i="5" a="1"/>
  <c r="S26" i="5" l="1"/>
  <c r="U26" i="5" a="1"/>
  <c r="U26" i="5" l="1"/>
  <c r="V26" i="5" a="1"/>
  <c r="V26" i="5" l="1"/>
  <c r="W26" i="5" a="1"/>
  <c r="W26" i="5" l="1"/>
  <c r="X26" i="5" a="1"/>
  <c r="X26" i="5" l="1"/>
  <c r="Y26" i="5" a="1"/>
  <c r="Y26" i="5" l="1"/>
  <c r="K26" i="5" a="1"/>
  <c r="K26" i="5" l="1"/>
  <c r="L26" i="5" a="1"/>
  <c r="L26" i="5" l="1"/>
  <c r="M26" i="5" a="1"/>
  <c r="M26" i="5" l="1"/>
  <c r="N26" i="5" a="1"/>
  <c r="N26" i="5" l="1"/>
  <c r="O26" i="5" a="1"/>
  <c r="O26" i="5" l="1"/>
  <c r="P26" i="5" a="1"/>
  <c r="P26" i="5" l="1"/>
  <c r="Q26" i="5" a="1"/>
  <c r="Q26" i="5" l="1"/>
  <c r="C26" i="5" a="1"/>
  <c r="C26" i="5" l="1"/>
  <c r="E26" i="5" a="1"/>
  <c r="E26" i="5" l="1"/>
  <c r="F26" i="5" a="1"/>
  <c r="F26" i="5" l="1"/>
  <c r="G26" i="5" a="1"/>
  <c r="G26" i="5" l="1"/>
  <c r="H26" i="5" a="1"/>
  <c r="H26" i="5" l="1"/>
  <c r="I26" i="5" a="1"/>
  <c r="I26" i="5" l="1"/>
  <c r="J26" i="5" a="1"/>
  <c r="J26" i="5" l="1"/>
  <c r="CB25" i="5" a="1"/>
  <c r="CB25" i="5" l="1"/>
  <c r="CC25" i="5" a="1"/>
  <c r="CC25" i="5" l="1"/>
  <c r="CD25" i="5" a="1"/>
  <c r="CD25" i="5" l="1"/>
  <c r="CE25" i="5" a="1"/>
  <c r="CE25" i="5" l="1"/>
  <c r="CF25" i="5" a="1"/>
  <c r="CF25" i="5" l="1"/>
  <c r="CG25" i="5" a="1"/>
  <c r="CG25" i="5" l="1"/>
  <c r="B26" i="5" a="1"/>
  <c r="B26" i="5" l="1"/>
  <c r="BI29" i="5" a="1"/>
  <c r="BI29" i="5" l="1"/>
  <c r="BV25" i="5" a="1"/>
  <c r="BV25" i="5" l="1"/>
  <c r="BW25" i="5" a="1"/>
  <c r="BW25" i="5" l="1"/>
  <c r="BX25" i="5" a="1"/>
  <c r="BX25" i="5" l="1"/>
  <c r="BY25" i="5" a="1"/>
  <c r="BY25" i="5" l="1"/>
  <c r="BZ25" i="5" a="1"/>
  <c r="BZ25" i="5" l="1"/>
  <c r="CA25" i="5" a="1"/>
  <c r="CA25" i="5" l="1"/>
  <c r="BB29" i="5" a="1"/>
  <c r="BB29" i="5" l="1"/>
  <c r="BC29" i="5" a="1"/>
  <c r="BC29" i="5" l="1"/>
  <c r="BD29" i="5" a="1"/>
  <c r="BD29" i="5" l="1"/>
  <c r="BE29" i="5" a="1"/>
  <c r="BE29" i="5" l="1"/>
  <c r="BF29" i="5" a="1"/>
  <c r="BF29" i="5" l="1"/>
  <c r="BG29" i="5"/>
  <c r="BH29" i="5" a="1"/>
  <c r="BH29" i="5" l="1"/>
  <c r="AU25" i="5" a="1"/>
  <c r="AU25" i="5" l="1"/>
  <c r="AV25" i="5" a="1"/>
  <c r="AV25" i="5" l="1"/>
  <c r="AW25" i="5" a="1"/>
  <c r="AW25" i="5" l="1"/>
  <c r="AX29" i="5" a="1"/>
  <c r="AX29" i="5" l="1"/>
  <c r="AY29" i="5" a="1"/>
  <c r="AY29" i="5" l="1"/>
  <c r="AZ29" i="5" a="1"/>
  <c r="AZ29" i="5" l="1"/>
  <c r="BA29" i="5" a="1"/>
  <c r="BA29" i="5" l="1"/>
  <c r="AN25" i="5" a="1"/>
  <c r="AN25" i="5" l="1"/>
  <c r="AO25" i="5" a="1"/>
  <c r="AO25" i="5" l="1"/>
  <c r="AP25" i="5" a="1"/>
  <c r="AP25" i="5" l="1"/>
  <c r="AQ25" i="5" a="1"/>
  <c r="AQ25" i="5" l="1"/>
  <c r="AR25" i="5" a="1"/>
  <c r="AR25" i="5" l="1"/>
  <c r="AS25" i="5" a="1"/>
  <c r="AS25" i="5" l="1"/>
  <c r="AT25" i="5" a="1"/>
  <c r="AT25" i="5" l="1"/>
  <c r="AG25" i="5" a="1"/>
  <c r="AG25" i="5" l="1"/>
  <c r="AH25" i="5" a="1"/>
  <c r="AH25" i="5" l="1"/>
  <c r="AI25" i="5" a="1"/>
  <c r="AI25" i="5" l="1"/>
  <c r="AJ25" i="5" a="1"/>
  <c r="AJ25" i="5" l="1"/>
  <c r="AK25" i="5" a="1"/>
  <c r="AK25" i="5" l="1"/>
  <c r="AL25" i="5" a="1"/>
  <c r="AL25" i="5" l="1"/>
  <c r="AM25" i="5" a="1"/>
  <c r="AM25" i="5" l="1"/>
  <c r="Z25" i="5" a="1"/>
  <c r="Z25" i="5" l="1"/>
  <c r="AA25" i="5" a="1"/>
  <c r="AA25" i="5" l="1"/>
  <c r="AB25" i="5" a="1"/>
  <c r="AB25" i="5" l="1"/>
  <c r="AC25" i="5" a="1"/>
  <c r="AC25" i="5" l="1"/>
  <c r="AD25" i="5" a="1"/>
  <c r="AD25" i="5" l="1"/>
  <c r="AE25" i="5" a="1"/>
  <c r="AE25" i="5" l="1"/>
  <c r="AF25" i="5" a="1"/>
  <c r="AF25" i="5" l="1"/>
  <c r="R25" i="5" a="1"/>
  <c r="R25" i="5" l="1"/>
  <c r="S25" i="5" a="1"/>
  <c r="S25" i="5" l="1"/>
  <c r="U25" i="5" a="1"/>
  <c r="U25" i="5" l="1"/>
  <c r="V25" i="5" a="1"/>
  <c r="V25" i="5" l="1"/>
  <c r="W25" i="5" a="1"/>
  <c r="W25" i="5" l="1"/>
  <c r="X25" i="5" a="1"/>
  <c r="X25" i="5" l="1"/>
  <c r="Y25" i="5" a="1"/>
  <c r="Y25" i="5" l="1"/>
  <c r="K25" i="5" a="1"/>
  <c r="K25" i="5" l="1"/>
  <c r="L25" i="5" a="1"/>
  <c r="L25" i="5" l="1"/>
  <c r="M25" i="5" a="1"/>
  <c r="M25" i="5" l="1"/>
  <c r="N25" i="5" a="1"/>
  <c r="N25" i="5" l="1"/>
  <c r="O25" i="5" a="1"/>
  <c r="O25" i="5" l="1"/>
  <c r="P25" i="5" a="1"/>
  <c r="P25" i="5" l="1"/>
  <c r="Q25" i="5" a="1"/>
  <c r="Q25" i="5" l="1"/>
  <c r="C25" i="5" a="1"/>
  <c r="C25" i="5" l="1"/>
  <c r="E25" i="5" a="1"/>
  <c r="E25" i="5" l="1"/>
  <c r="F25" i="5" a="1"/>
  <c r="F25" i="5" l="1"/>
  <c r="G25" i="5" a="1"/>
  <c r="G25" i="5" l="1"/>
  <c r="H25" i="5" a="1"/>
  <c r="H25" i="5" l="1"/>
  <c r="I25" i="5" a="1"/>
  <c r="I25" i="5" l="1"/>
  <c r="J25" i="5" a="1"/>
  <c r="J25" i="5" l="1"/>
  <c r="CB24" i="5" a="1"/>
  <c r="CB24" i="5" l="1"/>
  <c r="CC24" i="5" a="1"/>
  <c r="CC24" i="5" l="1"/>
  <c r="CD24" i="5" a="1"/>
  <c r="CD24" i="5" l="1"/>
  <c r="CE24" i="5" a="1"/>
  <c r="CE24" i="5" l="1"/>
  <c r="CF24" i="5" a="1"/>
  <c r="CF24" i="5" l="1"/>
  <c r="CG24" i="5" a="1"/>
  <c r="CG24" i="5" l="1"/>
  <c r="B25" i="5" a="1"/>
  <c r="B25" i="5" l="1"/>
  <c r="BI28" i="5" a="1"/>
  <c r="BI28" i="5" l="1"/>
  <c r="BV24" i="5" a="1"/>
  <c r="BV24" i="5" l="1"/>
  <c r="BW24" i="5" a="1"/>
  <c r="BW24" i="5" l="1"/>
  <c r="BX24" i="5" a="1"/>
  <c r="BX24" i="5" l="1"/>
  <c r="BY24" i="5" a="1"/>
  <c r="BY24" i="5" l="1"/>
  <c r="BZ24" i="5" a="1"/>
  <c r="BZ24" i="5" l="1"/>
  <c r="CA24" i="5" a="1"/>
  <c r="CA24" i="5" l="1"/>
  <c r="BB28" i="5" a="1"/>
  <c r="BB28" i="5" l="1"/>
  <c r="BC28" i="5" a="1"/>
  <c r="BC28" i="5" l="1"/>
  <c r="BD28" i="5" a="1"/>
  <c r="BD28" i="5" l="1"/>
  <c r="BE28" i="5" a="1"/>
  <c r="BE28" i="5" l="1"/>
  <c r="BF28" i="5" a="1"/>
  <c r="BF28" i="5" l="1"/>
  <c r="BG28" i="5"/>
  <c r="BH28" i="5" a="1"/>
  <c r="BH28" i="5" l="1"/>
  <c r="AU24" i="5" a="1"/>
  <c r="AU24" i="5" l="1"/>
  <c r="AV24" i="5" a="1"/>
  <c r="AV24" i="5" l="1"/>
  <c r="AW24" i="5" a="1"/>
  <c r="AW24" i="5" l="1"/>
  <c r="AX28" i="5" a="1"/>
  <c r="AX28" i="5" l="1"/>
  <c r="AY28" i="5" a="1"/>
  <c r="AY28" i="5" l="1"/>
  <c r="AZ28" i="5" a="1"/>
  <c r="AZ28" i="5" l="1"/>
  <c r="BA28" i="5" a="1"/>
  <c r="BA28" i="5" l="1"/>
  <c r="AN24" i="5" a="1"/>
  <c r="AN24" i="5" l="1"/>
  <c r="AO24" i="5" a="1"/>
  <c r="AO24" i="5" l="1"/>
  <c r="AP24" i="5" a="1"/>
  <c r="AP24" i="5" l="1"/>
  <c r="AQ24" i="5" a="1"/>
  <c r="AQ24" i="5" l="1"/>
  <c r="AR24" i="5" a="1"/>
  <c r="AR24" i="5" l="1"/>
  <c r="AS24" i="5" a="1"/>
  <c r="AS24" i="5" l="1"/>
  <c r="AT24" i="5" a="1"/>
  <c r="AT24" i="5" l="1"/>
  <c r="AG24" i="5" a="1"/>
  <c r="AG24" i="5" l="1"/>
  <c r="AH24" i="5" a="1"/>
  <c r="AH24" i="5" l="1"/>
  <c r="AI24" i="5" a="1"/>
  <c r="AI24" i="5" l="1"/>
  <c r="AJ24" i="5" a="1"/>
  <c r="AJ24" i="5" l="1"/>
  <c r="AK24" i="5" a="1"/>
  <c r="AK24" i="5" l="1"/>
  <c r="AL24" i="5" a="1"/>
  <c r="AL24" i="5" l="1"/>
  <c r="AM24" i="5" a="1"/>
  <c r="AM24" i="5" l="1"/>
  <c r="Z24" i="5" a="1"/>
  <c r="Z24" i="5" l="1"/>
  <c r="AA24" i="5" a="1"/>
  <c r="AA24" i="5" l="1"/>
  <c r="AB24" i="5" a="1"/>
  <c r="AB24" i="5" l="1"/>
  <c r="AC24" i="5" a="1"/>
  <c r="AC24" i="5" l="1"/>
  <c r="AD24" i="5" a="1"/>
  <c r="AD24" i="5" l="1"/>
  <c r="AE24" i="5" a="1"/>
  <c r="AE24" i="5" l="1"/>
  <c r="AF24" i="5" a="1"/>
  <c r="AF24" i="5" l="1"/>
  <c r="R24" i="5" a="1"/>
  <c r="R24" i="5" l="1"/>
  <c r="S24" i="5" a="1"/>
  <c r="S24" i="5" l="1"/>
  <c r="U24" i="5" a="1"/>
  <c r="U24" i="5" l="1"/>
  <c r="V24" i="5" a="1"/>
  <c r="V24" i="5" l="1"/>
  <c r="W24" i="5" a="1"/>
  <c r="W24" i="5" l="1"/>
  <c r="X24" i="5" a="1"/>
  <c r="X24" i="5" l="1"/>
  <c r="Y24" i="5" a="1"/>
  <c r="Y24" i="5" l="1"/>
  <c r="K24" i="5" a="1"/>
  <c r="K24" i="5" l="1"/>
  <c r="L24" i="5" a="1"/>
  <c r="L24" i="5" l="1"/>
  <c r="M24" i="5" a="1"/>
  <c r="M24" i="5" l="1"/>
  <c r="N24" i="5" a="1"/>
  <c r="N24" i="5" l="1"/>
  <c r="O24" i="5" a="1"/>
  <c r="O24" i="5" l="1"/>
  <c r="P24" i="5" a="1"/>
  <c r="P24" i="5" l="1"/>
  <c r="Q24" i="5" a="1"/>
  <c r="Q24" i="5" l="1"/>
  <c r="C24" i="5" a="1"/>
  <c r="C24" i="5" l="1"/>
  <c r="E24" i="5" a="1"/>
  <c r="E24" i="5" l="1"/>
  <c r="F24" i="5" a="1"/>
  <c r="F24" i="5" l="1"/>
  <c r="G24" i="5" a="1"/>
  <c r="G24" i="5" l="1"/>
  <c r="H24" i="5" a="1"/>
  <c r="H24" i="5" l="1"/>
  <c r="I24" i="5" a="1"/>
  <c r="I24" i="5" l="1"/>
  <c r="J24" i="5" a="1"/>
  <c r="J24" i="5" l="1"/>
  <c r="CB23" i="5" a="1"/>
  <c r="CB23" i="5" l="1"/>
  <c r="CC23" i="5" a="1"/>
  <c r="CC23" i="5" l="1"/>
  <c r="CD23" i="5" a="1"/>
  <c r="CD23" i="5" l="1"/>
  <c r="CE23" i="5" a="1"/>
  <c r="CE23" i="5" l="1"/>
  <c r="CF23" i="5" a="1"/>
  <c r="CF23" i="5" l="1"/>
  <c r="CG23" i="5" a="1"/>
  <c r="CG23" i="5" l="1"/>
  <c r="B24" i="5" a="1"/>
  <c r="B24" i="5" l="1"/>
  <c r="BI27" i="5" a="1"/>
  <c r="BI27" i="5" l="1"/>
  <c r="BV23" i="5" a="1"/>
  <c r="BV23" i="5" l="1"/>
  <c r="BW23" i="5" a="1"/>
  <c r="BW23" i="5" l="1"/>
  <c r="BX23" i="5" a="1"/>
  <c r="BX23" i="5" l="1"/>
  <c r="BY23" i="5" a="1"/>
  <c r="BY23" i="5" l="1"/>
  <c r="BZ23" i="5" a="1"/>
  <c r="BZ23" i="5" l="1"/>
  <c r="CA23" i="5" a="1"/>
  <c r="CA23" i="5" l="1"/>
  <c r="BB27" i="5" a="1"/>
  <c r="BB27" i="5" l="1"/>
  <c r="BC27" i="5" a="1"/>
  <c r="BC27" i="5" l="1"/>
  <c r="BD27" i="5" a="1"/>
  <c r="BD27" i="5" l="1"/>
  <c r="BE27" i="5" a="1"/>
  <c r="BE27" i="5" l="1"/>
  <c r="BF27" i="5" a="1"/>
  <c r="BF27" i="5" l="1"/>
  <c r="BG27" i="5"/>
  <c r="BH27" i="5" a="1"/>
  <c r="BH27" i="5" l="1"/>
  <c r="AU23" i="5" a="1"/>
  <c r="AU23" i="5" l="1"/>
  <c r="AV23" i="5" a="1"/>
  <c r="AV23" i="5" l="1"/>
  <c r="AW23" i="5" a="1"/>
  <c r="AW23" i="5" l="1"/>
  <c r="AX27" i="5" a="1"/>
  <c r="AX27" i="5" l="1"/>
  <c r="AY27" i="5" a="1"/>
  <c r="AY27" i="5" l="1"/>
  <c r="AZ27" i="5" a="1"/>
  <c r="AZ27" i="5" l="1"/>
  <c r="BA27" i="5" a="1"/>
  <c r="BA27" i="5" l="1"/>
  <c r="AN23" i="5" a="1"/>
  <c r="AN23" i="5" l="1"/>
  <c r="AO23" i="5" a="1"/>
  <c r="AO23" i="5" l="1"/>
  <c r="AP23" i="5" a="1"/>
  <c r="AP23" i="5" l="1"/>
  <c r="AQ23" i="5" a="1"/>
  <c r="AQ23" i="5" l="1"/>
  <c r="AR23" i="5" a="1"/>
  <c r="AR23" i="5" l="1"/>
  <c r="AS23" i="5" a="1"/>
  <c r="AS23" i="5" l="1"/>
  <c r="AT23" i="5" a="1"/>
  <c r="AT23" i="5" l="1"/>
  <c r="AG23" i="5" a="1"/>
  <c r="AG23" i="5" l="1"/>
  <c r="AH23" i="5" a="1"/>
  <c r="AH23" i="5" l="1"/>
  <c r="AI23" i="5" a="1"/>
  <c r="AI23" i="5" l="1"/>
  <c r="AJ23" i="5" a="1"/>
  <c r="AJ23" i="5" l="1"/>
  <c r="AK23" i="5" a="1"/>
  <c r="AK23" i="5" l="1"/>
  <c r="AL23" i="5" a="1"/>
  <c r="AL23" i="5" l="1"/>
  <c r="AM23" i="5" a="1"/>
  <c r="AM23" i="5" l="1"/>
  <c r="Z23" i="5" a="1"/>
  <c r="Z23" i="5" l="1"/>
  <c r="AA23" i="5" a="1"/>
  <c r="AA23" i="5" l="1"/>
  <c r="AB23" i="5" a="1"/>
  <c r="AB23" i="5" l="1"/>
  <c r="AC23" i="5" a="1"/>
  <c r="AC23" i="5" l="1"/>
  <c r="AD23" i="5" a="1"/>
  <c r="AD23" i="5" l="1"/>
  <c r="AE23" i="5" a="1"/>
  <c r="AE23" i="5" l="1"/>
  <c r="AF23" i="5" a="1"/>
  <c r="AF23" i="5" l="1"/>
  <c r="R23" i="5" a="1"/>
  <c r="R23" i="5" l="1"/>
  <c r="S23" i="5" a="1"/>
  <c r="S23" i="5" l="1"/>
  <c r="U23" i="5" a="1"/>
  <c r="U23" i="5" l="1"/>
  <c r="V23" i="5" a="1"/>
  <c r="V23" i="5" l="1"/>
  <c r="W23" i="5" a="1"/>
  <c r="W23" i="5" l="1"/>
  <c r="X23" i="5" a="1"/>
  <c r="X23" i="5" l="1"/>
  <c r="Y23" i="5" a="1"/>
  <c r="Y23" i="5" l="1"/>
  <c r="K23" i="5" a="1"/>
  <c r="K23" i="5" l="1"/>
  <c r="L23" i="5" a="1"/>
  <c r="L23" i="5" l="1"/>
  <c r="M23" i="5" a="1"/>
  <c r="M23" i="5" l="1"/>
  <c r="N23" i="5" a="1"/>
  <c r="N23" i="5" l="1"/>
  <c r="O23" i="5" a="1"/>
  <c r="O23" i="5" l="1"/>
  <c r="P23" i="5" a="1"/>
  <c r="P23" i="5" l="1"/>
  <c r="Q23" i="5" a="1"/>
  <c r="Q23" i="5" l="1"/>
  <c r="C23" i="5" a="1"/>
  <c r="C23" i="5" l="1"/>
  <c r="E23" i="5" a="1"/>
  <c r="E23" i="5" l="1"/>
  <c r="F23" i="5" a="1"/>
  <c r="F23" i="5" l="1"/>
  <c r="G23" i="5" a="1"/>
  <c r="G23" i="5" l="1"/>
  <c r="H23" i="5" a="1"/>
  <c r="H23" i="5" l="1"/>
  <c r="I23" i="5" a="1"/>
  <c r="I23" i="5" l="1"/>
  <c r="J23" i="5" a="1"/>
  <c r="J23" i="5" l="1"/>
  <c r="CB22" i="5" a="1"/>
  <c r="CB22" i="5" l="1"/>
  <c r="CC22" i="5" a="1"/>
  <c r="CC22" i="5" l="1"/>
  <c r="CD22" i="5" a="1"/>
  <c r="CD22" i="5" l="1"/>
  <c r="CE22" i="5" a="1"/>
  <c r="CE22" i="5" l="1"/>
  <c r="CF22" i="5" a="1"/>
  <c r="CF22" i="5" l="1"/>
  <c r="CG22" i="5" a="1"/>
  <c r="CG22" i="5" l="1"/>
  <c r="B23" i="5" a="1"/>
  <c r="B23" i="5" l="1"/>
  <c r="BI26" i="5" a="1"/>
  <c r="BI26" i="5" l="1"/>
  <c r="BV22" i="5" a="1"/>
  <c r="BV22" i="5" l="1"/>
  <c r="BW22" i="5" a="1"/>
  <c r="BW22" i="5" l="1"/>
  <c r="BX22" i="5" a="1"/>
  <c r="BX22" i="5" l="1"/>
  <c r="BY22" i="5" a="1"/>
  <c r="BY22" i="5" l="1"/>
  <c r="BZ22" i="5" a="1"/>
  <c r="BZ22" i="5" l="1"/>
  <c r="CA22" i="5" a="1"/>
  <c r="CA22" i="5" l="1"/>
  <c r="BB26" i="5" a="1"/>
  <c r="BB26" i="5" l="1"/>
  <c r="BC26" i="5" a="1"/>
  <c r="BC26" i="5" l="1"/>
  <c r="BD26" i="5" a="1"/>
  <c r="BD26" i="5" l="1"/>
  <c r="BE26" i="5" a="1"/>
  <c r="BE26" i="5" l="1"/>
  <c r="BF26" i="5" a="1"/>
  <c r="BF26" i="5" l="1"/>
  <c r="BG26" i="5"/>
  <c r="BH26" i="5" a="1"/>
  <c r="BH26" i="5" l="1"/>
  <c r="AU22" i="5" a="1"/>
  <c r="AU22" i="5" l="1"/>
  <c r="AV22" i="5" a="1"/>
  <c r="AV22" i="5" l="1"/>
  <c r="AW22" i="5" a="1"/>
  <c r="AW22" i="5" l="1"/>
  <c r="AX26" i="5" a="1"/>
  <c r="AX26" i="5" l="1"/>
  <c r="AY26" i="5" a="1"/>
  <c r="AY26" i="5" l="1"/>
  <c r="AZ26" i="5" a="1"/>
  <c r="AZ26" i="5" l="1"/>
  <c r="BA26" i="5" a="1"/>
  <c r="BA26" i="5" l="1"/>
  <c r="AN22" i="5" a="1"/>
  <c r="AN22" i="5" l="1"/>
  <c r="AO22" i="5" a="1"/>
  <c r="AO22" i="5" l="1"/>
  <c r="AP22" i="5" a="1"/>
  <c r="AP22" i="5" l="1"/>
  <c r="AQ22" i="5" a="1"/>
  <c r="AQ22" i="5" l="1"/>
  <c r="AR22" i="5" a="1"/>
  <c r="AR22" i="5" l="1"/>
  <c r="AS22" i="5" a="1"/>
  <c r="AS22" i="5" l="1"/>
  <c r="AT22" i="5" a="1"/>
  <c r="AT22" i="5" l="1"/>
  <c r="AG22" i="5" a="1"/>
  <c r="AG22" i="5" l="1"/>
  <c r="AH22" i="5" a="1"/>
  <c r="AH22" i="5" l="1"/>
  <c r="AI22" i="5" a="1"/>
  <c r="AI22" i="5" l="1"/>
  <c r="AJ22" i="5" a="1"/>
  <c r="AJ22" i="5" l="1"/>
  <c r="AK22" i="5" a="1"/>
  <c r="AK22" i="5" l="1"/>
  <c r="AL22" i="5" a="1"/>
  <c r="AL22" i="5" l="1"/>
  <c r="AM22" i="5" a="1"/>
  <c r="AM22" i="5" l="1"/>
  <c r="Z22" i="5" a="1"/>
  <c r="Z22" i="5" l="1"/>
  <c r="AA22" i="5" a="1"/>
  <c r="AA22" i="5" l="1"/>
  <c r="AB22" i="5" a="1"/>
  <c r="AB22" i="5" l="1"/>
  <c r="AC22" i="5" a="1"/>
  <c r="AC22" i="5" l="1"/>
  <c r="AD22" i="5" a="1"/>
  <c r="AD22" i="5" l="1"/>
  <c r="AE22" i="5" a="1"/>
  <c r="AE22" i="5" l="1"/>
  <c r="AF22" i="5" a="1"/>
  <c r="AF22" i="5" l="1"/>
  <c r="R22" i="5" a="1"/>
  <c r="R22" i="5" l="1"/>
  <c r="S22" i="5" a="1"/>
  <c r="S22" i="5" l="1"/>
  <c r="U22" i="5" a="1"/>
  <c r="U22" i="5" l="1"/>
  <c r="V22" i="5" a="1"/>
  <c r="V22" i="5" l="1"/>
  <c r="W22" i="5" a="1"/>
  <c r="W22" i="5" l="1"/>
  <c r="X22" i="5" a="1"/>
  <c r="X22" i="5" l="1"/>
  <c r="Y22" i="5" a="1"/>
  <c r="Y22" i="5" l="1"/>
  <c r="K22" i="5" a="1"/>
  <c r="K22" i="5" l="1"/>
  <c r="L22" i="5" a="1"/>
  <c r="L22" i="5" l="1"/>
  <c r="M22" i="5" a="1"/>
  <c r="M22" i="5" l="1"/>
  <c r="N22" i="5" a="1"/>
  <c r="N22" i="5" l="1"/>
  <c r="O22" i="5" a="1"/>
  <c r="O22" i="5" l="1"/>
  <c r="P22" i="5" a="1"/>
  <c r="P22" i="5" l="1"/>
  <c r="Q22" i="5" a="1"/>
  <c r="Q22" i="5" l="1"/>
  <c r="C22" i="5" a="1"/>
  <c r="C22" i="5" l="1"/>
  <c r="E22" i="5" a="1"/>
  <c r="E22" i="5" l="1"/>
  <c r="F22" i="5" a="1"/>
  <c r="F22" i="5" l="1"/>
  <c r="G22" i="5" a="1"/>
  <c r="G22" i="5" l="1"/>
  <c r="H22" i="5" a="1"/>
  <c r="H22" i="5" l="1"/>
  <c r="I22" i="5" a="1"/>
  <c r="I22" i="5" l="1"/>
  <c r="J22" i="5" a="1"/>
  <c r="J22" i="5" l="1"/>
  <c r="CB21" i="5" a="1"/>
  <c r="CB21" i="5" l="1"/>
  <c r="CC21" i="5" a="1"/>
  <c r="CC21" i="5" l="1"/>
  <c r="CD21" i="5" a="1"/>
  <c r="CD21" i="5" l="1"/>
  <c r="CE21" i="5" a="1"/>
  <c r="CE21" i="5" l="1"/>
  <c r="CF21" i="5" a="1"/>
  <c r="CF21" i="5" l="1"/>
  <c r="CG21" i="5" a="1"/>
  <c r="CG21" i="5" l="1"/>
  <c r="B22" i="5" a="1"/>
  <c r="B22" i="5" l="1"/>
  <c r="BI25" i="5" a="1"/>
  <c r="BI25" i="5" l="1"/>
  <c r="BV21" i="5" a="1"/>
  <c r="BV21" i="5" l="1"/>
  <c r="BW21" i="5" a="1"/>
  <c r="BW21" i="5" l="1"/>
  <c r="BX21" i="5" a="1"/>
  <c r="BX21" i="5" l="1"/>
  <c r="BY21" i="5" a="1"/>
  <c r="BY21" i="5" l="1"/>
  <c r="BZ21" i="5" a="1"/>
  <c r="BZ21" i="5" l="1"/>
  <c r="CA21" i="5" a="1"/>
  <c r="CA21" i="5" l="1"/>
  <c r="BB25" i="5" a="1"/>
  <c r="BB25" i="5" l="1"/>
  <c r="BC25" i="5" a="1"/>
  <c r="BC25" i="5" l="1"/>
  <c r="BD25" i="5" a="1"/>
  <c r="BD25" i="5" l="1"/>
  <c r="BE25" i="5" a="1"/>
  <c r="BE25" i="5" l="1"/>
  <c r="BF25" i="5" a="1"/>
  <c r="BF25" i="5" l="1"/>
  <c r="BG25" i="5"/>
  <c r="BH25" i="5" a="1"/>
  <c r="BH25" i="5" l="1"/>
  <c r="AU21" i="5" a="1"/>
  <c r="AU21" i="5" l="1"/>
  <c r="AV21" i="5" a="1"/>
  <c r="AV21" i="5" l="1"/>
  <c r="AW21" i="5" a="1"/>
  <c r="AW21" i="5" l="1"/>
  <c r="AX25" i="5" a="1"/>
  <c r="AX25" i="5" l="1"/>
  <c r="AY25" i="5" a="1"/>
  <c r="AY25" i="5" l="1"/>
  <c r="AZ25" i="5" a="1"/>
  <c r="AZ25" i="5" l="1"/>
  <c r="BA25" i="5" a="1"/>
  <c r="BA25" i="5" l="1"/>
  <c r="AN21" i="5" a="1"/>
  <c r="AN21" i="5" l="1"/>
  <c r="AO21" i="5" a="1"/>
  <c r="AO21" i="5" l="1"/>
  <c r="AP21" i="5" a="1"/>
  <c r="AP21" i="5" l="1"/>
  <c r="AQ21" i="5" a="1"/>
  <c r="AQ21" i="5" l="1"/>
  <c r="AR21" i="5" a="1"/>
  <c r="AR21" i="5" l="1"/>
  <c r="AS21" i="5" a="1"/>
  <c r="AS21" i="5" l="1"/>
  <c r="AT21" i="5" a="1"/>
  <c r="AT21" i="5" l="1"/>
  <c r="AG21" i="5" a="1"/>
  <c r="AG21" i="5" l="1"/>
  <c r="AH21" i="5" a="1"/>
  <c r="AH21" i="5" l="1"/>
  <c r="AI21" i="5" a="1"/>
  <c r="AI21" i="5" l="1"/>
  <c r="AJ21" i="5" a="1"/>
  <c r="AJ21" i="5" l="1"/>
  <c r="AK21" i="5" a="1"/>
  <c r="AK21" i="5" l="1"/>
  <c r="AL21" i="5" a="1"/>
  <c r="AL21" i="5" l="1"/>
  <c r="AM21" i="5" a="1"/>
  <c r="AM21" i="5" l="1"/>
  <c r="Z21" i="5" a="1"/>
  <c r="Z21" i="5" l="1"/>
  <c r="AA21" i="5" a="1"/>
  <c r="AA21" i="5" l="1"/>
  <c r="AB21" i="5" a="1"/>
  <c r="AB21" i="5" l="1"/>
  <c r="AC21" i="5" a="1"/>
  <c r="AC21" i="5" l="1"/>
  <c r="AD21" i="5" a="1"/>
  <c r="AD21" i="5" l="1"/>
  <c r="AE21" i="5" a="1"/>
  <c r="AE21" i="5" l="1"/>
  <c r="AF21" i="5" a="1"/>
  <c r="AF21" i="5" l="1"/>
  <c r="R21" i="5" a="1"/>
  <c r="R21" i="5" l="1"/>
  <c r="S21" i="5" a="1"/>
  <c r="S21" i="5" l="1"/>
  <c r="U21" i="5" a="1"/>
  <c r="U21" i="5" l="1"/>
  <c r="V21" i="5" a="1"/>
  <c r="V21" i="5" l="1"/>
  <c r="W21" i="5" a="1"/>
  <c r="W21" i="5" l="1"/>
  <c r="X21" i="5" a="1"/>
  <c r="X21" i="5" l="1"/>
  <c r="Y21" i="5" a="1"/>
  <c r="Y21" i="5" l="1"/>
  <c r="K21" i="5" a="1"/>
  <c r="K21" i="5" l="1"/>
  <c r="L21" i="5" a="1"/>
  <c r="L21" i="5" l="1"/>
  <c r="M21" i="5" a="1"/>
  <c r="M21" i="5" l="1"/>
  <c r="N21" i="5" a="1"/>
  <c r="N21" i="5" l="1"/>
  <c r="O21" i="5" a="1"/>
  <c r="O21" i="5" l="1"/>
  <c r="P21" i="5" a="1"/>
  <c r="P21" i="5" l="1"/>
  <c r="Q21" i="5" a="1"/>
  <c r="Q21" i="5" l="1"/>
  <c r="C21" i="5" a="1"/>
  <c r="C21" i="5" l="1"/>
  <c r="E21" i="5" a="1"/>
  <c r="E21" i="5" l="1"/>
  <c r="F21" i="5" a="1"/>
  <c r="F21" i="5" l="1"/>
  <c r="G21" i="5" a="1"/>
  <c r="G21" i="5" l="1"/>
  <c r="H21" i="5" a="1"/>
  <c r="H21" i="5" l="1"/>
  <c r="I21" i="5" a="1"/>
  <c r="I21" i="5" l="1"/>
  <c r="J21" i="5" a="1"/>
  <c r="J21" i="5" l="1"/>
  <c r="CB20" i="5" a="1"/>
  <c r="CB20" i="5" l="1"/>
  <c r="CC20" i="5" a="1"/>
  <c r="CC20" i="5" l="1"/>
  <c r="CD20" i="5" a="1"/>
  <c r="CD20" i="5" l="1"/>
  <c r="CE20" i="5" a="1"/>
  <c r="CE20" i="5" l="1"/>
  <c r="CF20" i="5" a="1"/>
  <c r="CF20" i="5" l="1"/>
  <c r="CG20" i="5" a="1"/>
  <c r="CG20" i="5" l="1"/>
  <c r="B21" i="5" a="1"/>
  <c r="B21" i="5" l="1"/>
  <c r="BI24" i="5" a="1"/>
  <c r="BI24" i="5" l="1"/>
  <c r="BV20" i="5" a="1"/>
  <c r="BV20" i="5" l="1"/>
  <c r="BW20" i="5" a="1"/>
  <c r="BW20" i="5" l="1"/>
  <c r="BX20" i="5" a="1"/>
  <c r="BX20" i="5" l="1"/>
  <c r="BY20" i="5" a="1"/>
  <c r="BY20" i="5" l="1"/>
  <c r="BZ20" i="5" a="1"/>
  <c r="BZ20" i="5" l="1"/>
  <c r="CA20" i="5" a="1"/>
  <c r="CA20" i="5" l="1"/>
  <c r="BB24" i="5" a="1"/>
  <c r="BB24" i="5" l="1"/>
  <c r="BC24" i="5" a="1"/>
  <c r="BC24" i="5" l="1"/>
  <c r="BD24" i="5" a="1"/>
  <c r="BD24" i="5" l="1"/>
  <c r="BE24" i="5" a="1"/>
  <c r="BE24" i="5" l="1"/>
  <c r="BF24" i="5" a="1"/>
  <c r="BF24" i="5" l="1"/>
  <c r="BG24" i="5"/>
  <c r="BH24" i="5" a="1"/>
  <c r="BH24" i="5" l="1"/>
  <c r="AU20" i="5" a="1"/>
  <c r="AU20" i="5" l="1"/>
  <c r="AV20" i="5" a="1"/>
  <c r="AV20" i="5" l="1"/>
  <c r="AW20" i="5" a="1"/>
  <c r="AW20" i="5" l="1"/>
  <c r="AX24" i="5" a="1"/>
  <c r="AX24" i="5" l="1"/>
  <c r="AY24" i="5" a="1"/>
  <c r="AY24" i="5" l="1"/>
  <c r="AZ24" i="5" a="1"/>
  <c r="AZ24" i="5" l="1"/>
  <c r="BA24" i="5" a="1"/>
  <c r="BA24" i="5" l="1"/>
  <c r="AN20" i="5" a="1"/>
  <c r="AN20" i="5" l="1"/>
  <c r="AO20" i="5" a="1"/>
  <c r="AO20" i="5" l="1"/>
  <c r="AP20" i="5" a="1"/>
  <c r="AP20" i="5" l="1"/>
  <c r="AQ20" i="5" a="1"/>
  <c r="AQ20" i="5" l="1"/>
  <c r="AR20" i="5" a="1"/>
  <c r="AR20" i="5" l="1"/>
  <c r="AS20" i="5" a="1"/>
  <c r="AS20" i="5" l="1"/>
  <c r="AT20" i="5" a="1"/>
  <c r="AT20" i="5" l="1"/>
  <c r="AG20" i="5" a="1"/>
  <c r="AG20" i="5" l="1"/>
  <c r="AH20" i="5" a="1"/>
  <c r="AH20" i="5" l="1"/>
  <c r="AI20" i="5" a="1"/>
  <c r="AI20" i="5" l="1"/>
  <c r="AJ20" i="5" a="1"/>
  <c r="AJ20" i="5" l="1"/>
  <c r="AK20" i="5" a="1"/>
  <c r="AK20" i="5" l="1"/>
  <c r="AL20" i="5" a="1"/>
  <c r="AL20" i="5" l="1"/>
  <c r="AM20" i="5" a="1"/>
  <c r="AM20" i="5" l="1"/>
  <c r="Z20" i="5" a="1"/>
  <c r="Z20" i="5" l="1"/>
  <c r="AA20" i="5" a="1"/>
  <c r="AA20" i="5" l="1"/>
  <c r="AB20" i="5" a="1"/>
  <c r="AB20" i="5" l="1"/>
  <c r="AC20" i="5" a="1"/>
  <c r="AC20" i="5" l="1"/>
  <c r="AD20" i="5" a="1"/>
  <c r="AD20" i="5" l="1"/>
  <c r="AE20" i="5" a="1"/>
  <c r="AE20" i="5" l="1"/>
  <c r="AF20" i="5" a="1"/>
  <c r="AF20" i="5" l="1"/>
  <c r="R20" i="5" a="1"/>
  <c r="R20" i="5" l="1"/>
  <c r="S20" i="5" a="1"/>
  <c r="S20" i="5" l="1"/>
  <c r="U20" i="5" a="1"/>
  <c r="U20" i="5" l="1"/>
  <c r="V20" i="5" a="1"/>
  <c r="V20" i="5" l="1"/>
  <c r="W20" i="5" a="1"/>
  <c r="W20" i="5" l="1"/>
  <c r="X20" i="5" a="1"/>
  <c r="X20" i="5" l="1"/>
  <c r="Y20" i="5" a="1"/>
  <c r="Y20" i="5" l="1"/>
  <c r="K20" i="5" a="1"/>
  <c r="K20" i="5" l="1"/>
  <c r="L20" i="5" a="1"/>
  <c r="L20" i="5" l="1"/>
  <c r="M20" i="5" a="1"/>
  <c r="M20" i="5" l="1"/>
  <c r="N20" i="5" a="1"/>
  <c r="N20" i="5" l="1"/>
  <c r="O20" i="5" a="1"/>
  <c r="O20" i="5" l="1"/>
  <c r="P20" i="5" a="1"/>
  <c r="P20" i="5" l="1"/>
  <c r="Q20" i="5" a="1"/>
  <c r="Q20" i="5" l="1"/>
  <c r="C20" i="5" a="1"/>
  <c r="C20" i="5" l="1"/>
  <c r="E20" i="5" a="1"/>
  <c r="E20" i="5" l="1"/>
  <c r="F20" i="5" a="1"/>
  <c r="F20" i="5" l="1"/>
  <c r="G20" i="5" a="1"/>
  <c r="G20" i="5" l="1"/>
  <c r="H20" i="5" a="1"/>
  <c r="H20" i="5" l="1"/>
  <c r="I20" i="5" a="1"/>
  <c r="I20" i="5" l="1"/>
  <c r="J20" i="5" a="1"/>
  <c r="J20" i="5" l="1"/>
  <c r="CB19" i="5" a="1"/>
  <c r="CB19" i="5" l="1"/>
  <c r="CC19" i="5" a="1"/>
  <c r="CC19" i="5" l="1"/>
  <c r="CD19" i="5" a="1"/>
  <c r="CD19" i="5" l="1"/>
  <c r="CE19" i="5" a="1"/>
  <c r="CE19" i="5" l="1"/>
  <c r="CF19" i="5" a="1"/>
  <c r="CF19" i="5" l="1"/>
  <c r="CG19" i="5" a="1"/>
  <c r="CG19" i="5" l="1"/>
  <c r="B20" i="5" a="1"/>
  <c r="B20" i="5" l="1"/>
  <c r="BI23" i="5" a="1"/>
  <c r="BI23" i="5" l="1"/>
  <c r="BV19" i="5" a="1"/>
  <c r="BV19" i="5" l="1"/>
  <c r="BW19" i="5" a="1"/>
  <c r="BW19" i="5" l="1"/>
  <c r="BX19" i="5" a="1"/>
  <c r="BX19" i="5" l="1"/>
  <c r="BY19" i="5" a="1"/>
  <c r="BY19" i="5" l="1"/>
  <c r="BZ19" i="5" a="1"/>
  <c r="BZ19" i="5" l="1"/>
  <c r="CA19" i="5" a="1"/>
  <c r="CA19" i="5" l="1"/>
  <c r="BB23" i="5" a="1"/>
  <c r="BB23" i="5" l="1"/>
  <c r="BC23" i="5" a="1"/>
  <c r="BC23" i="5" l="1"/>
  <c r="BD23" i="5" a="1"/>
  <c r="BD23" i="5" l="1"/>
  <c r="BE23" i="5" a="1"/>
  <c r="BE23" i="5" l="1"/>
  <c r="BF23" i="5" a="1"/>
  <c r="BF23" i="5" l="1"/>
  <c r="BG23" i="5"/>
  <c r="BH23" i="5" a="1"/>
  <c r="BH23" i="5" l="1"/>
  <c r="AU19" i="5" a="1"/>
  <c r="AU19" i="5" l="1"/>
  <c r="AV19" i="5" a="1"/>
  <c r="AV19" i="5" l="1"/>
  <c r="AW19" i="5" a="1"/>
  <c r="AW19" i="5" l="1"/>
  <c r="AX23" i="5" a="1"/>
  <c r="AX23" i="5" l="1"/>
  <c r="AY23" i="5" a="1"/>
  <c r="AY23" i="5" l="1"/>
  <c r="AZ23" i="5" a="1"/>
  <c r="AZ23" i="5" l="1"/>
  <c r="BA23" i="5" a="1"/>
  <c r="BA23" i="5" l="1"/>
  <c r="AN19" i="5" a="1"/>
  <c r="AN19" i="5" l="1"/>
  <c r="AO19" i="5" a="1"/>
  <c r="AO19" i="5" l="1"/>
  <c r="AP19" i="5" a="1"/>
  <c r="AP19" i="5" l="1"/>
  <c r="AQ19" i="5" a="1"/>
  <c r="AQ19" i="5" l="1"/>
  <c r="AR19" i="5" a="1"/>
  <c r="AR19" i="5" l="1"/>
  <c r="AS19" i="5" a="1"/>
  <c r="AS19" i="5" l="1"/>
  <c r="AT19" i="5" a="1"/>
  <c r="AT19" i="5" l="1"/>
  <c r="AG19" i="5" a="1"/>
  <c r="AG19" i="5" l="1"/>
  <c r="AH19" i="5" a="1"/>
  <c r="AH19" i="5" l="1"/>
  <c r="AI19" i="5" a="1"/>
  <c r="AI19" i="5" l="1"/>
  <c r="AJ19" i="5" a="1"/>
  <c r="AJ19" i="5" l="1"/>
  <c r="AK19" i="5" a="1"/>
  <c r="AK19" i="5" l="1"/>
  <c r="AL19" i="5" a="1"/>
  <c r="AL19" i="5" l="1"/>
  <c r="AM19" i="5" a="1"/>
  <c r="AM19" i="5" l="1"/>
  <c r="Z19" i="5" a="1"/>
  <c r="Z19" i="5" l="1"/>
  <c r="AA19" i="5" a="1"/>
  <c r="AA19" i="5" l="1"/>
  <c r="AB19" i="5" a="1"/>
  <c r="AB19" i="5" l="1"/>
  <c r="AC19" i="5" a="1"/>
  <c r="AC19" i="5" l="1"/>
  <c r="AD19" i="5" a="1"/>
  <c r="AD19" i="5" l="1"/>
  <c r="AE19" i="5" a="1"/>
  <c r="AE19" i="5" l="1"/>
  <c r="AF19" i="5" a="1"/>
  <c r="AF19" i="5" l="1"/>
  <c r="R19" i="5" a="1"/>
  <c r="R19" i="5" l="1"/>
  <c r="S19" i="5" a="1"/>
  <c r="S19" i="5" l="1"/>
  <c r="U19" i="5" a="1"/>
  <c r="U19" i="5" l="1"/>
  <c r="V19" i="5" a="1"/>
  <c r="V19" i="5" l="1"/>
  <c r="W19" i="5" a="1"/>
  <c r="W19" i="5" l="1"/>
  <c r="X19" i="5" a="1"/>
  <c r="X19" i="5" l="1"/>
  <c r="Y19" i="5" a="1"/>
  <c r="Y19" i="5" l="1"/>
  <c r="K19" i="5" a="1"/>
  <c r="K19" i="5" l="1"/>
  <c r="L19" i="5" a="1"/>
  <c r="L19" i="5" l="1"/>
  <c r="M19" i="5" a="1"/>
  <c r="M19" i="5" l="1"/>
  <c r="N19" i="5" a="1"/>
  <c r="N19" i="5" l="1"/>
  <c r="O19" i="5" a="1"/>
  <c r="O19" i="5" l="1"/>
  <c r="P19" i="5" a="1"/>
  <c r="P19" i="5" l="1"/>
  <c r="Q19" i="5" a="1"/>
  <c r="Q19" i="5" l="1"/>
  <c r="C19" i="5" a="1"/>
  <c r="C19" i="5" l="1"/>
  <c r="E19" i="5" a="1"/>
  <c r="E19" i="5" l="1"/>
  <c r="F19" i="5" a="1"/>
  <c r="F19" i="5" l="1"/>
  <c r="G19" i="5" a="1"/>
  <c r="G19" i="5" l="1"/>
  <c r="H19" i="5" a="1"/>
  <c r="H19" i="5" l="1"/>
  <c r="I19" i="5" a="1"/>
  <c r="I19" i="5" l="1"/>
  <c r="J19" i="5" a="1"/>
  <c r="J19" i="5" l="1"/>
  <c r="CB18" i="5" a="1"/>
  <c r="CB18" i="5" l="1"/>
  <c r="CC18" i="5" a="1"/>
  <c r="CC18" i="5" l="1"/>
  <c r="CD18" i="5" a="1"/>
  <c r="CD18" i="5" l="1"/>
  <c r="CE18" i="5" a="1"/>
  <c r="CE18" i="5" l="1"/>
  <c r="CF18" i="5" a="1"/>
  <c r="CF18" i="5" l="1"/>
  <c r="CG18" i="5" a="1"/>
  <c r="CG18" i="5" l="1"/>
  <c r="B19" i="5" a="1"/>
  <c r="B19" i="5" l="1"/>
  <c r="BI22" i="5" a="1"/>
  <c r="BI22" i="5" l="1"/>
  <c r="BV18" i="5" a="1"/>
  <c r="BV18" i="5" l="1"/>
  <c r="BW18" i="5" a="1"/>
  <c r="BW18" i="5" l="1"/>
  <c r="BX18" i="5" a="1"/>
  <c r="BX18" i="5" l="1"/>
  <c r="BY18" i="5" a="1"/>
  <c r="BY18" i="5" l="1"/>
  <c r="BZ18" i="5" a="1"/>
  <c r="BZ18" i="5" l="1"/>
  <c r="CA18" i="5" a="1"/>
  <c r="CA18" i="5" l="1"/>
  <c r="BB22" i="5" a="1"/>
  <c r="BB22" i="5" l="1"/>
  <c r="BC22" i="5" a="1"/>
  <c r="BC22" i="5" l="1"/>
  <c r="BD22" i="5" a="1"/>
  <c r="BD22" i="5" l="1"/>
  <c r="BE22" i="5" a="1"/>
  <c r="BE22" i="5" l="1"/>
  <c r="BF22" i="5" a="1"/>
  <c r="BF22" i="5" l="1"/>
  <c r="BG22" i="5"/>
  <c r="BH22" i="5" a="1"/>
  <c r="BH22" i="5" l="1"/>
  <c r="AU18" i="5" a="1"/>
  <c r="AU18" i="5" l="1"/>
  <c r="AV18" i="5" a="1"/>
  <c r="AV18" i="5" l="1"/>
  <c r="AW18" i="5" a="1"/>
  <c r="AW18" i="5" l="1"/>
  <c r="AX22" i="5" a="1"/>
  <c r="AX22" i="5" l="1"/>
  <c r="AY22" i="5" a="1"/>
  <c r="AY22" i="5" l="1"/>
  <c r="AZ22" i="5" a="1"/>
  <c r="AZ22" i="5" l="1"/>
  <c r="BA22" i="5" a="1"/>
  <c r="BA22" i="5" l="1"/>
  <c r="AN18" i="5" a="1"/>
  <c r="AN18" i="5" l="1"/>
  <c r="AO18" i="5" a="1"/>
  <c r="AO18" i="5" l="1"/>
  <c r="AP18" i="5" a="1"/>
  <c r="AP18" i="5" l="1"/>
  <c r="AQ18" i="5" a="1"/>
  <c r="AQ18" i="5" l="1"/>
  <c r="AR18" i="5" a="1"/>
  <c r="AR18" i="5" l="1"/>
  <c r="AS18" i="5" a="1"/>
  <c r="AS18" i="5" l="1"/>
  <c r="AT18" i="5" a="1"/>
  <c r="AT18" i="5" l="1"/>
  <c r="AG18" i="5" a="1"/>
  <c r="AG18" i="5" l="1"/>
  <c r="AH18" i="5" a="1"/>
  <c r="AH18" i="5" l="1"/>
  <c r="AI18" i="5" a="1"/>
  <c r="AI18" i="5" l="1"/>
  <c r="AJ18" i="5" a="1"/>
  <c r="AJ18" i="5" l="1"/>
  <c r="AK18" i="5" a="1"/>
  <c r="AK18" i="5" l="1"/>
  <c r="AL18" i="5" a="1"/>
  <c r="AL18" i="5" l="1"/>
  <c r="AM18" i="5" a="1"/>
  <c r="AM18" i="5" l="1"/>
  <c r="Z18" i="5" a="1"/>
  <c r="Z18" i="5" l="1"/>
  <c r="AA18" i="5" a="1"/>
  <c r="AA18" i="5" l="1"/>
  <c r="AB18" i="5" a="1"/>
  <c r="AB18" i="5" l="1"/>
  <c r="AC18" i="5" a="1"/>
  <c r="AC18" i="5" l="1"/>
  <c r="AD18" i="5" a="1"/>
  <c r="AD18" i="5" l="1"/>
  <c r="AE18" i="5" a="1"/>
  <c r="AE18" i="5" l="1"/>
  <c r="AF18" i="5" a="1"/>
  <c r="AF18" i="5" l="1"/>
  <c r="R18" i="5" a="1"/>
  <c r="R18" i="5" l="1"/>
  <c r="S18" i="5" a="1"/>
  <c r="S18" i="5" l="1"/>
  <c r="U18" i="5" a="1"/>
  <c r="U18" i="5" l="1"/>
  <c r="V18" i="5" a="1"/>
  <c r="V18" i="5" l="1"/>
  <c r="W18" i="5" a="1"/>
  <c r="W18" i="5" l="1"/>
  <c r="X18" i="5" a="1"/>
  <c r="X18" i="5" l="1"/>
  <c r="Y18" i="5" a="1"/>
  <c r="Y18" i="5" l="1"/>
  <c r="K18" i="5" a="1"/>
  <c r="K18" i="5" l="1"/>
  <c r="L18" i="5" a="1"/>
  <c r="L18" i="5" l="1"/>
  <c r="M18" i="5" a="1"/>
  <c r="M18" i="5" l="1"/>
  <c r="N18" i="5" a="1"/>
  <c r="N18" i="5" l="1"/>
  <c r="O18" i="5" a="1"/>
  <c r="O18" i="5" l="1"/>
  <c r="P18" i="5" a="1"/>
  <c r="P18" i="5" l="1"/>
  <c r="Q18" i="5" a="1"/>
  <c r="Q18" i="5" l="1"/>
  <c r="C18" i="5" a="1"/>
  <c r="C18" i="5" l="1"/>
  <c r="E18" i="5" a="1"/>
  <c r="E18" i="5" l="1"/>
  <c r="F18" i="5" a="1"/>
  <c r="F18" i="5" l="1"/>
  <c r="G18" i="5" a="1"/>
  <c r="G18" i="5" l="1"/>
  <c r="H18" i="5" a="1"/>
  <c r="H18" i="5" l="1"/>
  <c r="I18" i="5" a="1"/>
  <c r="I18" i="5" l="1"/>
  <c r="J18" i="5" a="1"/>
  <c r="J18" i="5" l="1"/>
  <c r="CB17" i="5" a="1"/>
  <c r="CB17" i="5" l="1"/>
  <c r="CC17" i="5" a="1"/>
  <c r="CC17" i="5" l="1"/>
  <c r="CD17" i="5" a="1"/>
  <c r="CD17" i="5" l="1"/>
  <c r="CE17" i="5" a="1"/>
  <c r="CE17" i="5" l="1"/>
  <c r="CF17" i="5" a="1"/>
  <c r="CF17" i="5" l="1"/>
  <c r="CG17" i="5" a="1"/>
  <c r="CG17" i="5" l="1"/>
  <c r="B18" i="5" a="1"/>
  <c r="B18" i="5" l="1"/>
  <c r="BI21" i="5" a="1"/>
  <c r="BI21" i="5" l="1"/>
  <c r="BV17" i="5" a="1"/>
  <c r="BV17" i="5" l="1"/>
  <c r="BW17" i="5" a="1"/>
  <c r="BW17" i="5" l="1"/>
  <c r="BX17" i="5" a="1"/>
  <c r="BX17" i="5" l="1"/>
  <c r="BY17" i="5" a="1"/>
  <c r="BY17" i="5" l="1"/>
  <c r="BZ17" i="5" a="1"/>
  <c r="BZ17" i="5" l="1"/>
  <c r="CA17" i="5" a="1"/>
  <c r="CA17" i="5" l="1"/>
  <c r="BB21" i="5" a="1"/>
  <c r="BB21" i="5" l="1"/>
  <c r="BC21" i="5" a="1"/>
  <c r="BC21" i="5" l="1"/>
  <c r="BD21" i="5" a="1"/>
  <c r="BD21" i="5" l="1"/>
  <c r="BE21" i="5" a="1"/>
  <c r="BE21" i="5" l="1"/>
  <c r="BF21" i="5" a="1"/>
  <c r="BF21" i="5" l="1"/>
  <c r="BG21" i="5"/>
  <c r="BH21" i="5" a="1"/>
  <c r="BH21" i="5" l="1"/>
  <c r="AU17" i="5" a="1"/>
  <c r="AU17" i="5" l="1"/>
  <c r="AV17" i="5" a="1"/>
  <c r="AV17" i="5" l="1"/>
  <c r="AW17" i="5" a="1"/>
  <c r="AW17" i="5" l="1"/>
  <c r="AX21" i="5" a="1"/>
  <c r="AX21" i="5" l="1"/>
  <c r="AY21" i="5" a="1"/>
  <c r="AY21" i="5" l="1"/>
  <c r="AZ21" i="5" a="1"/>
  <c r="AZ21" i="5" l="1"/>
  <c r="BA21" i="5" a="1"/>
  <c r="BA21" i="5" l="1"/>
  <c r="AN17" i="5" a="1"/>
  <c r="AN17" i="5" l="1"/>
  <c r="AO17" i="5" a="1"/>
  <c r="AO17" i="5" l="1"/>
  <c r="AP17" i="5" a="1"/>
  <c r="AP17" i="5" l="1"/>
  <c r="AQ17" i="5" a="1"/>
  <c r="AQ17" i="5" l="1"/>
  <c r="AR17" i="5" a="1"/>
  <c r="AR17" i="5" l="1"/>
  <c r="AS17" i="5" a="1"/>
  <c r="AS17" i="5" l="1"/>
  <c r="AT17" i="5" a="1"/>
  <c r="AT17" i="5" l="1"/>
  <c r="AG17" i="5" a="1"/>
  <c r="AG17" i="5" l="1"/>
  <c r="AH17" i="5" a="1"/>
  <c r="AH17" i="5" l="1"/>
  <c r="AI17" i="5" a="1"/>
  <c r="AI17" i="5" l="1"/>
  <c r="AJ17" i="5" a="1"/>
  <c r="AJ17" i="5" l="1"/>
  <c r="AK17" i="5" a="1"/>
  <c r="AK17" i="5" l="1"/>
  <c r="AL17" i="5" a="1"/>
  <c r="AL17" i="5" l="1"/>
  <c r="AM17" i="5" a="1"/>
  <c r="AM17" i="5" l="1"/>
  <c r="Z17" i="5" a="1"/>
  <c r="Z17" i="5" l="1"/>
  <c r="AA17" i="5" a="1"/>
  <c r="AA17" i="5" l="1"/>
  <c r="AB17" i="5" a="1"/>
  <c r="AB17" i="5" l="1"/>
  <c r="AC17" i="5" a="1"/>
  <c r="AC17" i="5" l="1"/>
  <c r="AD17" i="5" a="1"/>
  <c r="AD17" i="5" l="1"/>
  <c r="AE17" i="5" a="1"/>
  <c r="AE17" i="5" l="1"/>
  <c r="AF17" i="5" a="1"/>
  <c r="AF17" i="5" l="1"/>
  <c r="R17" i="5" a="1"/>
  <c r="R17" i="5" l="1"/>
  <c r="S17" i="5" a="1"/>
  <c r="S17" i="5" l="1"/>
  <c r="U17" i="5" a="1"/>
  <c r="U17" i="5" l="1"/>
  <c r="V17" i="5" a="1"/>
  <c r="V17" i="5" l="1"/>
  <c r="W17" i="5" a="1"/>
  <c r="W17" i="5" l="1"/>
  <c r="X17" i="5" a="1"/>
  <c r="X17" i="5" l="1"/>
  <c r="Y17" i="5" a="1"/>
  <c r="Y17" i="5" l="1"/>
  <c r="K17" i="5" a="1"/>
  <c r="K17" i="5" l="1"/>
  <c r="L17" i="5" a="1"/>
  <c r="L17" i="5" l="1"/>
  <c r="M17" i="5" a="1"/>
  <c r="M17" i="5" l="1"/>
  <c r="N17" i="5" a="1"/>
  <c r="N17" i="5" l="1"/>
  <c r="O17" i="5" a="1"/>
  <c r="O17" i="5" l="1"/>
  <c r="P17" i="5" a="1"/>
  <c r="P17" i="5" l="1"/>
  <c r="Q17" i="5" a="1"/>
  <c r="Q17" i="5" l="1"/>
  <c r="C17" i="5" a="1"/>
  <c r="C17" i="5" l="1"/>
  <c r="E17" i="5" a="1"/>
  <c r="E17" i="5" l="1"/>
  <c r="F17" i="5" a="1"/>
  <c r="F17" i="5" l="1"/>
  <c r="G17" i="5" a="1"/>
  <c r="G17" i="5" l="1"/>
  <c r="H17" i="5" a="1"/>
  <c r="H17" i="5" l="1"/>
  <c r="I17" i="5" a="1"/>
  <c r="I17" i="5" l="1"/>
  <c r="J17" i="5" a="1"/>
  <c r="J17" i="5" l="1"/>
  <c r="CB16" i="5" a="1"/>
  <c r="CB16" i="5" l="1"/>
  <c r="CC16" i="5" a="1"/>
  <c r="CC16" i="5" l="1"/>
  <c r="CD16" i="5" a="1"/>
  <c r="CD16" i="5" l="1"/>
  <c r="CE16" i="5" a="1"/>
  <c r="CE16" i="5" l="1"/>
  <c r="CF16" i="5" a="1"/>
  <c r="CF16" i="5" l="1"/>
  <c r="CG16" i="5" a="1"/>
  <c r="CG16" i="5" l="1"/>
  <c r="B17" i="5" a="1"/>
  <c r="B17" i="5" l="1"/>
  <c r="BI20" i="5" a="1"/>
  <c r="BI20" i="5" l="1"/>
  <c r="BV16" i="5" a="1"/>
  <c r="BV16" i="5" l="1"/>
  <c r="BW16" i="5" a="1"/>
  <c r="BW16" i="5" l="1"/>
  <c r="BX16" i="5" a="1"/>
  <c r="BX16" i="5" l="1"/>
  <c r="BY16" i="5" a="1"/>
  <c r="BY16" i="5" l="1"/>
  <c r="BZ16" i="5" a="1"/>
  <c r="BZ16" i="5" l="1"/>
  <c r="CA16" i="5" a="1"/>
  <c r="CA16" i="5" l="1"/>
  <c r="BB20" i="5" a="1"/>
  <c r="BB20" i="5" l="1"/>
  <c r="BC20" i="5" a="1"/>
  <c r="BC20" i="5" l="1"/>
  <c r="BD20" i="5" a="1"/>
  <c r="BD20" i="5" l="1"/>
  <c r="BE20" i="5" a="1"/>
  <c r="BE20" i="5" l="1"/>
  <c r="BF20" i="5" a="1"/>
  <c r="BF20" i="5" l="1"/>
  <c r="BG20" i="5"/>
  <c r="BH20" i="5" a="1"/>
  <c r="BH20" i="5" l="1"/>
  <c r="AU16" i="5" a="1"/>
  <c r="AU16" i="5" l="1"/>
  <c r="AV16" i="5" a="1"/>
  <c r="AV16" i="5" l="1"/>
  <c r="AW16" i="5" a="1"/>
  <c r="AW16" i="5" l="1"/>
  <c r="AX20" i="5" a="1"/>
  <c r="AX20" i="5" l="1"/>
  <c r="AY20" i="5" a="1"/>
  <c r="AY20" i="5" l="1"/>
  <c r="AZ20" i="5" a="1"/>
  <c r="AZ20" i="5" l="1"/>
  <c r="BA20" i="5" a="1"/>
  <c r="BA20" i="5" l="1"/>
  <c r="AN16" i="5" a="1"/>
  <c r="AN16" i="5" l="1"/>
  <c r="AO16" i="5" a="1"/>
  <c r="AO16" i="5" l="1"/>
  <c r="AP16" i="5" a="1"/>
  <c r="AP16" i="5" l="1"/>
  <c r="AQ16" i="5" a="1"/>
  <c r="AQ16" i="5" l="1"/>
  <c r="AR16" i="5" a="1"/>
  <c r="AR16" i="5" l="1"/>
  <c r="AS16" i="5" a="1"/>
  <c r="AS16" i="5" l="1"/>
  <c r="AT16" i="5" a="1"/>
  <c r="AT16" i="5" l="1"/>
  <c r="AG16" i="5" a="1"/>
  <c r="AG16" i="5" l="1"/>
  <c r="AH16" i="5" a="1"/>
  <c r="AH16" i="5" l="1"/>
  <c r="AI16" i="5" a="1"/>
  <c r="AI16" i="5" l="1"/>
  <c r="AJ16" i="5" a="1"/>
  <c r="AJ16" i="5" l="1"/>
  <c r="AK16" i="5" a="1"/>
  <c r="AK16" i="5" l="1"/>
  <c r="AL16" i="5" a="1"/>
  <c r="AL16" i="5" l="1"/>
  <c r="AM16" i="5" a="1"/>
  <c r="AM16" i="5" l="1"/>
  <c r="Z16" i="5" a="1"/>
  <c r="Z16" i="5" l="1"/>
  <c r="AA16" i="5" a="1"/>
  <c r="AA16" i="5" l="1"/>
  <c r="AB16" i="5" a="1"/>
  <c r="AB16" i="5" l="1"/>
  <c r="AC16" i="5" a="1"/>
  <c r="AC16" i="5" l="1"/>
  <c r="AD16" i="5" a="1"/>
  <c r="AD16" i="5" l="1"/>
  <c r="AE16" i="5" a="1"/>
  <c r="AE16" i="5" l="1"/>
  <c r="AF16" i="5" a="1"/>
  <c r="AF16" i="5" l="1"/>
  <c r="R16" i="5" a="1"/>
  <c r="R16" i="5" l="1"/>
  <c r="S16" i="5" a="1"/>
  <c r="S16" i="5" l="1"/>
  <c r="U16" i="5" a="1"/>
  <c r="U16" i="5" l="1"/>
  <c r="V16" i="5" a="1"/>
  <c r="V16" i="5" l="1"/>
  <c r="W16" i="5" a="1"/>
  <c r="W16" i="5" l="1"/>
  <c r="X16" i="5" a="1"/>
  <c r="X16" i="5" l="1"/>
  <c r="Y16" i="5" a="1"/>
  <c r="Y16" i="5" l="1"/>
  <c r="K16" i="5" a="1"/>
  <c r="K16" i="5" l="1"/>
  <c r="L16" i="5" a="1"/>
  <c r="L16" i="5" l="1"/>
  <c r="M16" i="5" a="1"/>
  <c r="M16" i="5" l="1"/>
  <c r="N16" i="5" a="1"/>
  <c r="N16" i="5" l="1"/>
  <c r="O16" i="5" a="1"/>
  <c r="O16" i="5" l="1"/>
  <c r="P16" i="5" a="1"/>
  <c r="P16" i="5" l="1"/>
  <c r="Q16" i="5" a="1"/>
  <c r="Q16" i="5" l="1"/>
  <c r="C16" i="5" a="1"/>
  <c r="C16" i="5" l="1"/>
  <c r="E16" i="5" a="1"/>
  <c r="E16" i="5" l="1"/>
  <c r="F16" i="5" a="1"/>
  <c r="F16" i="5" l="1"/>
  <c r="G16" i="5" a="1"/>
  <c r="G16" i="5" l="1"/>
  <c r="H16" i="5" a="1"/>
  <c r="H16" i="5" l="1"/>
  <c r="I16" i="5" a="1"/>
  <c r="I16" i="5" l="1"/>
  <c r="J16" i="5" a="1"/>
  <c r="J16" i="5" l="1"/>
  <c r="CB15" i="5" a="1"/>
  <c r="CB15" i="5" l="1"/>
  <c r="CC15" i="5" a="1"/>
  <c r="CC15" i="5" l="1"/>
  <c r="CD15" i="5" a="1"/>
  <c r="CD15" i="5" l="1"/>
  <c r="CE15" i="5" a="1"/>
  <c r="CE15" i="5" l="1"/>
  <c r="CF15" i="5" a="1"/>
  <c r="CF15" i="5" l="1"/>
  <c r="CG15" i="5" a="1"/>
  <c r="CG15" i="5" l="1"/>
  <c r="B16" i="5" a="1"/>
  <c r="B16" i="5" l="1"/>
  <c r="BI19" i="5" a="1"/>
  <c r="BI19" i="5" l="1"/>
  <c r="BV15" i="5" a="1"/>
  <c r="BV15" i="5" l="1"/>
  <c r="BW15" i="5" a="1"/>
  <c r="BW15" i="5" l="1"/>
  <c r="BX15" i="5" a="1"/>
  <c r="BX15" i="5" l="1"/>
  <c r="BY15" i="5" a="1"/>
  <c r="BY15" i="5" l="1"/>
  <c r="BZ15" i="5" a="1"/>
  <c r="BZ15" i="5" l="1"/>
  <c r="CA15" i="5" a="1"/>
  <c r="CA15" i="5" l="1"/>
  <c r="BB19" i="5" a="1"/>
  <c r="BB19" i="5" l="1"/>
  <c r="BC19" i="5" a="1"/>
  <c r="BC19" i="5" l="1"/>
  <c r="BD19" i="5" a="1"/>
  <c r="BD19" i="5" l="1"/>
  <c r="BE19" i="5" a="1"/>
  <c r="BE19" i="5" l="1"/>
  <c r="BF19" i="5" a="1"/>
  <c r="BF19" i="5" l="1"/>
  <c r="BG19" i="5"/>
  <c r="BH19" i="5" a="1"/>
  <c r="BH19" i="5" l="1"/>
  <c r="AU15" i="5" a="1"/>
  <c r="AU15" i="5" l="1"/>
  <c r="AV15" i="5" a="1"/>
  <c r="AV15" i="5" l="1"/>
  <c r="AW15" i="5" a="1"/>
  <c r="AW15" i="5" l="1"/>
  <c r="AX19" i="5" a="1"/>
  <c r="AX19" i="5" l="1"/>
  <c r="AY19" i="5" a="1"/>
  <c r="AY19" i="5" l="1"/>
  <c r="AZ19" i="5" a="1"/>
  <c r="AZ19" i="5" l="1"/>
  <c r="BA19" i="5" a="1"/>
  <c r="BA19" i="5" l="1"/>
  <c r="AN15" i="5" a="1"/>
  <c r="AN15" i="5" l="1"/>
  <c r="AO15" i="5" a="1"/>
  <c r="AO15" i="5" l="1"/>
  <c r="AP15" i="5" a="1"/>
  <c r="AP15" i="5" l="1"/>
  <c r="AQ15" i="5" a="1"/>
  <c r="AQ15" i="5" l="1"/>
  <c r="AR15" i="5" a="1"/>
  <c r="AR15" i="5" l="1"/>
  <c r="AS15" i="5" a="1"/>
  <c r="AS15" i="5" l="1"/>
  <c r="AT15" i="5" a="1"/>
  <c r="AT15" i="5" l="1"/>
  <c r="AG15" i="5" a="1"/>
  <c r="AG15" i="5" l="1"/>
  <c r="AH15" i="5" a="1"/>
  <c r="AH15" i="5" l="1"/>
  <c r="AI15" i="5" a="1"/>
  <c r="AI15" i="5" l="1"/>
  <c r="AJ15" i="5" a="1"/>
  <c r="AJ15" i="5" l="1"/>
  <c r="AK15" i="5" a="1"/>
  <c r="AK15" i="5" l="1"/>
  <c r="AL15" i="5" a="1"/>
  <c r="AL15" i="5" l="1"/>
  <c r="AM15" i="5" a="1"/>
  <c r="AM15" i="5" l="1"/>
  <c r="Z15" i="5" a="1"/>
  <c r="Z15" i="5" l="1"/>
  <c r="AA15" i="5" a="1"/>
  <c r="AA15" i="5" l="1"/>
  <c r="AB15" i="5" a="1"/>
  <c r="AB15" i="5" l="1"/>
  <c r="AC15" i="5" a="1"/>
  <c r="AC15" i="5" l="1"/>
  <c r="AD15" i="5" a="1"/>
  <c r="AD15" i="5" l="1"/>
  <c r="AE15" i="5" a="1"/>
  <c r="AE15" i="5" l="1"/>
  <c r="AF15" i="5" a="1"/>
  <c r="AF15" i="5" l="1"/>
  <c r="R15" i="5" a="1"/>
  <c r="R15" i="5" l="1"/>
  <c r="S15" i="5" a="1"/>
  <c r="S15" i="5" l="1"/>
  <c r="U15" i="5" a="1"/>
  <c r="U15" i="5" l="1"/>
  <c r="V15" i="5" a="1"/>
  <c r="V15" i="5" l="1"/>
  <c r="W15" i="5" a="1"/>
  <c r="W15" i="5" l="1"/>
  <c r="X15" i="5" a="1"/>
  <c r="X15" i="5" l="1"/>
  <c r="Y15" i="5" a="1"/>
  <c r="Y15" i="5" l="1"/>
  <c r="K15" i="5" a="1"/>
  <c r="K15" i="5" l="1"/>
  <c r="L15" i="5" a="1"/>
  <c r="L15" i="5" l="1"/>
  <c r="M15" i="5" a="1"/>
  <c r="M15" i="5" l="1"/>
  <c r="N15" i="5" a="1"/>
  <c r="N15" i="5" l="1"/>
  <c r="O15" i="5" a="1"/>
  <c r="O15" i="5" l="1"/>
  <c r="P15" i="5" a="1"/>
  <c r="P15" i="5" l="1"/>
  <c r="Q15" i="5" a="1"/>
  <c r="Q15" i="5" l="1"/>
  <c r="C15" i="5" a="1"/>
  <c r="C15" i="5" l="1"/>
  <c r="E15" i="5" a="1"/>
  <c r="E15" i="5" l="1"/>
  <c r="F15" i="5" a="1"/>
  <c r="F15" i="5" l="1"/>
  <c r="G15" i="5" a="1"/>
  <c r="G15" i="5" l="1"/>
  <c r="H15" i="5" a="1"/>
  <c r="H15" i="5" l="1"/>
  <c r="I15" i="5" a="1"/>
  <c r="I15" i="5" l="1"/>
  <c r="J15" i="5" a="1"/>
  <c r="J15" i="5" l="1"/>
  <c r="CB14" i="5" a="1"/>
  <c r="CB14" i="5" l="1"/>
  <c r="CC14" i="5" a="1"/>
  <c r="CC14" i="5" l="1"/>
  <c r="CD14" i="5" a="1"/>
  <c r="CD14" i="5" l="1"/>
  <c r="CE14" i="5" a="1"/>
  <c r="CE14" i="5" l="1"/>
  <c r="CF14" i="5" a="1"/>
  <c r="CF14" i="5" l="1"/>
  <c r="CG14" i="5" a="1"/>
  <c r="CG14" i="5" l="1"/>
  <c r="B15" i="5" a="1"/>
  <c r="B15" i="5" l="1"/>
  <c r="BI18" i="5" a="1"/>
  <c r="BI18" i="5" l="1"/>
  <c r="BV14" i="5" a="1"/>
  <c r="BV14" i="5" l="1"/>
  <c r="BW14" i="5" a="1"/>
  <c r="BW14" i="5" l="1"/>
  <c r="BX14" i="5" a="1"/>
  <c r="BX14" i="5" l="1"/>
  <c r="BY14" i="5" a="1"/>
  <c r="BY14" i="5" l="1"/>
  <c r="BZ14" i="5" a="1"/>
  <c r="BZ14" i="5" l="1"/>
  <c r="CA14" i="5" a="1"/>
  <c r="CA14" i="5" l="1"/>
  <c r="BB18" i="5" a="1"/>
  <c r="BB18" i="5" l="1"/>
  <c r="BC18" i="5" a="1"/>
  <c r="BC18" i="5" l="1"/>
  <c r="BD18" i="5" a="1"/>
  <c r="BD18" i="5" l="1"/>
  <c r="BE18" i="5" a="1"/>
  <c r="BE18" i="5" l="1"/>
  <c r="BF18" i="5" a="1"/>
  <c r="BF18" i="5" l="1"/>
  <c r="BG18" i="5"/>
  <c r="BH18" i="5" a="1"/>
  <c r="BH18" i="5" l="1"/>
  <c r="AU14" i="5" a="1"/>
  <c r="AU14" i="5" l="1"/>
  <c r="AV14" i="5" a="1"/>
  <c r="AV14" i="5" l="1"/>
  <c r="AW14" i="5" a="1"/>
  <c r="AW14" i="5" l="1"/>
  <c r="AX18" i="5" a="1"/>
  <c r="AX18" i="5" l="1"/>
  <c r="AY18" i="5" a="1"/>
  <c r="AY18" i="5" l="1"/>
  <c r="AZ18" i="5" a="1"/>
  <c r="AZ18" i="5" l="1"/>
  <c r="BA18" i="5" a="1"/>
  <c r="BA18" i="5" l="1"/>
  <c r="AN14" i="5" a="1"/>
  <c r="AN14" i="5" l="1"/>
  <c r="AO14" i="5" a="1"/>
  <c r="AO14" i="5" l="1"/>
  <c r="AP14" i="5" a="1"/>
  <c r="AP14" i="5" l="1"/>
  <c r="AQ14" i="5" a="1"/>
  <c r="AQ14" i="5" l="1"/>
  <c r="AR14" i="5" a="1"/>
  <c r="AR14" i="5" l="1"/>
  <c r="AS14" i="5" a="1"/>
  <c r="AS14" i="5" l="1"/>
  <c r="AT14" i="5" a="1"/>
  <c r="AT14" i="5" l="1"/>
  <c r="AG14" i="5" a="1"/>
  <c r="AG14" i="5" l="1"/>
  <c r="AH14" i="5" a="1"/>
  <c r="AH14" i="5" l="1"/>
  <c r="AI14" i="5" a="1"/>
  <c r="AI14" i="5" l="1"/>
  <c r="AJ14" i="5" a="1"/>
  <c r="AJ14" i="5" l="1"/>
  <c r="AK14" i="5" a="1"/>
  <c r="AK14" i="5" l="1"/>
  <c r="AL14" i="5" a="1"/>
  <c r="AL14" i="5" l="1"/>
  <c r="AM14" i="5" a="1"/>
  <c r="AM14" i="5" l="1"/>
  <c r="Z14" i="5" a="1"/>
  <c r="Z14" i="5" l="1"/>
  <c r="AA14" i="5" a="1"/>
  <c r="AA14" i="5" l="1"/>
  <c r="AB14" i="5" a="1"/>
  <c r="AB14" i="5" l="1"/>
  <c r="AC14" i="5" a="1"/>
  <c r="AC14" i="5" l="1"/>
  <c r="AD14" i="5" a="1"/>
  <c r="AD14" i="5" l="1"/>
  <c r="AE14" i="5" a="1"/>
  <c r="AE14" i="5" l="1"/>
  <c r="AF14" i="5" a="1"/>
  <c r="AF14" i="5" l="1"/>
  <c r="R14" i="5" a="1"/>
  <c r="R14" i="5" l="1"/>
  <c r="S14" i="5" a="1"/>
  <c r="S14" i="5" l="1"/>
  <c r="U14" i="5" a="1"/>
  <c r="U14" i="5" l="1"/>
  <c r="V14" i="5" a="1"/>
  <c r="V14" i="5" l="1"/>
  <c r="W14" i="5" a="1"/>
  <c r="W14" i="5" l="1"/>
  <c r="X14" i="5" a="1"/>
  <c r="X14" i="5" l="1"/>
  <c r="Y14" i="5" a="1"/>
  <c r="Y14" i="5" l="1"/>
  <c r="K14" i="5" a="1"/>
  <c r="K14" i="5" l="1"/>
  <c r="L14" i="5" a="1"/>
  <c r="L14" i="5" l="1"/>
  <c r="M14" i="5" a="1"/>
  <c r="M14" i="5" l="1"/>
  <c r="N14" i="5" a="1"/>
  <c r="N14" i="5" l="1"/>
  <c r="O14" i="5" a="1"/>
  <c r="O14" i="5" l="1"/>
  <c r="P14" i="5" a="1"/>
  <c r="P14" i="5" l="1"/>
  <c r="Q14" i="5" a="1"/>
  <c r="Q14" i="5" l="1"/>
  <c r="C14" i="5" a="1"/>
  <c r="C14" i="5" l="1"/>
  <c r="E14" i="5" a="1"/>
  <c r="E14" i="5" l="1"/>
  <c r="F14" i="5" a="1"/>
  <c r="F14" i="5" l="1"/>
  <c r="G14" i="5" a="1"/>
  <c r="G14" i="5" l="1"/>
  <c r="H14" i="5" a="1"/>
  <c r="H14" i="5" l="1"/>
  <c r="I14" i="5" a="1"/>
  <c r="I14" i="5" l="1"/>
  <c r="J14" i="5" a="1"/>
  <c r="J14" i="5" l="1"/>
  <c r="CB13" i="5" a="1"/>
  <c r="CB13" i="5" l="1"/>
  <c r="CC13" i="5" a="1"/>
  <c r="CC13" i="5" l="1"/>
  <c r="CD13" i="5" a="1"/>
  <c r="CD13" i="5" l="1"/>
  <c r="CE13" i="5" a="1"/>
  <c r="CE13" i="5" l="1"/>
  <c r="CF13" i="5" a="1"/>
  <c r="CF13" i="5" l="1"/>
  <c r="CG13" i="5" a="1"/>
  <c r="CG13" i="5" l="1"/>
  <c r="B14" i="5" a="1"/>
  <c r="B14" i="5" l="1"/>
  <c r="BI17" i="5" a="1"/>
  <c r="BI17" i="5" l="1"/>
  <c r="BV13" i="5" a="1"/>
  <c r="BV13" i="5" l="1"/>
  <c r="BW13" i="5" a="1"/>
  <c r="BW13" i="5" l="1"/>
  <c r="BX13" i="5" a="1"/>
  <c r="BX13" i="5" l="1"/>
  <c r="BY13" i="5" a="1"/>
  <c r="BY13" i="5" l="1"/>
  <c r="BZ13" i="5" a="1"/>
  <c r="BZ13" i="5" l="1"/>
  <c r="CA13" i="5" a="1"/>
  <c r="CA13" i="5" l="1"/>
  <c r="BB17" i="5" a="1"/>
  <c r="BB17" i="5" l="1"/>
  <c r="BC17" i="5" a="1"/>
  <c r="BC17" i="5" l="1"/>
  <c r="BD17" i="5" a="1"/>
  <c r="BD17" i="5" l="1"/>
  <c r="BE17" i="5" a="1"/>
  <c r="BE17" i="5" l="1"/>
  <c r="BF17" i="5" a="1"/>
  <c r="BF17" i="5" l="1"/>
  <c r="BG17" i="5"/>
  <c r="BH17" i="5" a="1"/>
  <c r="BH17" i="5" l="1"/>
  <c r="AU13" i="5" a="1"/>
  <c r="AU13" i="5" l="1"/>
  <c r="AV13" i="5" a="1"/>
  <c r="AV13" i="5" l="1"/>
  <c r="AW13" i="5" a="1"/>
  <c r="AW13" i="5" l="1"/>
  <c r="AX17" i="5" a="1"/>
  <c r="AX17" i="5" l="1"/>
  <c r="AY17" i="5" a="1"/>
  <c r="AY17" i="5" l="1"/>
  <c r="AZ17" i="5" a="1"/>
  <c r="AZ17" i="5" l="1"/>
  <c r="BA17" i="5" a="1"/>
  <c r="BA17" i="5" l="1"/>
  <c r="AN13" i="5" a="1"/>
  <c r="AN13" i="5" l="1"/>
  <c r="AO13" i="5" a="1"/>
  <c r="AO13" i="5" l="1"/>
  <c r="AP13" i="5" a="1"/>
  <c r="AP13" i="5" l="1"/>
  <c r="AQ13" i="5" a="1"/>
  <c r="AQ13" i="5" l="1"/>
  <c r="AR13" i="5" a="1"/>
  <c r="AR13" i="5" l="1"/>
  <c r="AS13" i="5" a="1"/>
  <c r="AS13" i="5" l="1"/>
  <c r="AT13" i="5" a="1"/>
  <c r="AT13" i="5" l="1"/>
  <c r="AG13" i="5" a="1"/>
  <c r="AG13" i="5" l="1"/>
  <c r="AH13" i="5" a="1"/>
  <c r="AH13" i="5" l="1"/>
  <c r="AI13" i="5" a="1"/>
  <c r="AI13" i="5" l="1"/>
  <c r="AJ13" i="5" a="1"/>
  <c r="AJ13" i="5" l="1"/>
  <c r="AK13" i="5" a="1"/>
  <c r="AK13" i="5" l="1"/>
  <c r="AL13" i="5" a="1"/>
  <c r="AL13" i="5" l="1"/>
  <c r="AM13" i="5" a="1"/>
  <c r="AM13" i="5" l="1"/>
  <c r="Z13" i="5" a="1"/>
  <c r="Z13" i="5" l="1"/>
  <c r="AA13" i="5" a="1"/>
  <c r="AA13" i="5" l="1"/>
  <c r="AB13" i="5" a="1"/>
  <c r="AB13" i="5" l="1"/>
  <c r="AC13" i="5" a="1"/>
  <c r="AC13" i="5" l="1"/>
  <c r="AD13" i="5" a="1"/>
  <c r="AD13" i="5" l="1"/>
  <c r="AE13" i="5" a="1"/>
  <c r="AE13" i="5" l="1"/>
  <c r="AF13" i="5" a="1"/>
  <c r="AF13" i="5" l="1"/>
  <c r="R13" i="5" a="1"/>
  <c r="R13" i="5" l="1"/>
  <c r="S13" i="5" a="1"/>
  <c r="S13" i="5" l="1"/>
  <c r="U13" i="5" a="1"/>
  <c r="U13" i="5" l="1"/>
  <c r="V13" i="5" a="1"/>
  <c r="V13" i="5" l="1"/>
  <c r="W13" i="5" a="1"/>
  <c r="W13" i="5" l="1"/>
  <c r="X13" i="5" a="1"/>
  <c r="X13" i="5" l="1"/>
  <c r="Y13" i="5" a="1"/>
  <c r="Y13" i="5" l="1"/>
  <c r="K13" i="5" a="1"/>
  <c r="K13" i="5" l="1"/>
  <c r="L13" i="5" a="1"/>
  <c r="L13" i="5" l="1"/>
  <c r="M13" i="5" a="1"/>
  <c r="M13" i="5" l="1"/>
  <c r="N13" i="5" a="1"/>
  <c r="N13" i="5" l="1"/>
  <c r="O13" i="5" a="1"/>
  <c r="O13" i="5" l="1"/>
  <c r="P13" i="5" a="1"/>
  <c r="P13" i="5" l="1"/>
  <c r="Q13" i="5" a="1"/>
  <c r="Q13" i="5" l="1"/>
  <c r="C13" i="5" a="1"/>
  <c r="C13" i="5" l="1"/>
  <c r="E13" i="5" a="1"/>
  <c r="E13" i="5" l="1"/>
  <c r="F13" i="5" a="1"/>
  <c r="F13" i="5" l="1"/>
  <c r="G13" i="5" a="1"/>
  <c r="G13" i="5" l="1"/>
  <c r="H13" i="5" a="1"/>
  <c r="H13" i="5" l="1"/>
  <c r="I13" i="5" a="1"/>
  <c r="I13" i="5" l="1"/>
  <c r="J13" i="5" a="1"/>
  <c r="J13" i="5" l="1"/>
  <c r="CB12" i="5" a="1"/>
  <c r="CB12" i="5" l="1"/>
  <c r="CC12" i="5" a="1"/>
  <c r="CC12" i="5" l="1"/>
  <c r="CD12" i="5" a="1"/>
  <c r="CD12" i="5" l="1"/>
  <c r="CE12" i="5" a="1"/>
  <c r="CE12" i="5" l="1"/>
  <c r="CF12" i="5" a="1"/>
  <c r="CF12" i="5" l="1"/>
  <c r="CG12" i="5" a="1"/>
  <c r="CG12" i="5" l="1"/>
  <c r="B13" i="5" a="1"/>
  <c r="B13" i="5" l="1"/>
  <c r="BI16" i="5" a="1"/>
  <c r="BI16" i="5" l="1"/>
  <c r="BV12" i="5" a="1"/>
  <c r="BV12" i="5" l="1"/>
  <c r="BW12" i="5" a="1"/>
  <c r="BW12" i="5" l="1"/>
  <c r="BX12" i="5" a="1"/>
  <c r="BX12" i="5" l="1"/>
  <c r="BY12" i="5" a="1"/>
  <c r="BY12" i="5" l="1"/>
  <c r="BZ12" i="5" a="1"/>
  <c r="BZ12" i="5" l="1"/>
  <c r="CA12" i="5" a="1"/>
  <c r="CA12" i="5" l="1"/>
  <c r="BB16" i="5" a="1"/>
  <c r="BB16" i="5" l="1"/>
  <c r="BC16" i="5" a="1"/>
  <c r="BC16" i="5" l="1"/>
  <c r="BD16" i="5" a="1"/>
  <c r="BD16" i="5" l="1"/>
  <c r="BE16" i="5" a="1"/>
  <c r="BE16" i="5" l="1"/>
  <c r="BF16" i="5" a="1"/>
  <c r="BF16" i="5" l="1"/>
  <c r="BG16" i="5"/>
  <c r="BH16" i="5" a="1"/>
  <c r="BH16" i="5" l="1"/>
  <c r="AU12" i="5" a="1"/>
  <c r="AU12" i="5" l="1"/>
  <c r="AV12" i="5" a="1"/>
  <c r="AV12" i="5" l="1"/>
  <c r="AW12" i="5" a="1"/>
  <c r="AW12" i="5" l="1"/>
  <c r="AX16" i="5" a="1"/>
  <c r="AX16" i="5" l="1"/>
  <c r="AY16" i="5" a="1"/>
  <c r="AY16" i="5" l="1"/>
  <c r="AZ16" i="5" a="1"/>
  <c r="AZ16" i="5" l="1"/>
  <c r="BA16" i="5" a="1"/>
  <c r="BA16" i="5" l="1"/>
  <c r="AN12" i="5" a="1"/>
  <c r="AN12" i="5" l="1"/>
  <c r="AO12" i="5" a="1"/>
  <c r="AO12" i="5" l="1"/>
  <c r="AP12" i="5" a="1"/>
  <c r="AP12" i="5" l="1"/>
  <c r="AQ12" i="5" a="1"/>
  <c r="AQ12" i="5" l="1"/>
  <c r="AR12" i="5" a="1"/>
  <c r="AR12" i="5" l="1"/>
  <c r="AS12" i="5" a="1"/>
  <c r="AS12" i="5" l="1"/>
  <c r="AT12" i="5" a="1"/>
  <c r="AT12" i="5" l="1"/>
  <c r="AG12" i="5" a="1"/>
  <c r="AG12" i="5" l="1"/>
  <c r="AH12" i="5" a="1"/>
  <c r="AH12" i="5" l="1"/>
  <c r="AI12" i="5" a="1"/>
  <c r="AI12" i="5" l="1"/>
  <c r="AJ12" i="5" a="1"/>
  <c r="AJ12" i="5" l="1"/>
  <c r="AK12" i="5" a="1"/>
  <c r="AK12" i="5" l="1"/>
  <c r="AL12" i="5" a="1"/>
  <c r="AL12" i="5" l="1"/>
  <c r="AM12" i="5" a="1"/>
  <c r="AM12" i="5" l="1"/>
  <c r="Z12" i="5" a="1"/>
  <c r="Z12" i="5" l="1"/>
  <c r="AA12" i="5" a="1"/>
  <c r="AA12" i="5" l="1"/>
  <c r="AB12" i="5" a="1"/>
  <c r="AB12" i="5" l="1"/>
  <c r="AC12" i="5" a="1"/>
  <c r="AC12" i="5" l="1"/>
  <c r="AD12" i="5" a="1"/>
  <c r="AD12" i="5" l="1"/>
  <c r="AE12" i="5" a="1"/>
  <c r="AE12" i="5" l="1"/>
  <c r="AF12" i="5" a="1"/>
  <c r="AF12" i="5" l="1"/>
  <c r="R12" i="5" a="1"/>
  <c r="R12" i="5" l="1"/>
  <c r="S12" i="5" a="1"/>
  <c r="S12" i="5" l="1"/>
  <c r="U12" i="5" a="1"/>
  <c r="U12" i="5" l="1"/>
  <c r="V12" i="5" a="1"/>
  <c r="V12" i="5" l="1"/>
  <c r="W12" i="5" a="1"/>
  <c r="W12" i="5" l="1"/>
  <c r="X12" i="5" a="1"/>
  <c r="X12" i="5" l="1"/>
  <c r="Y12" i="5" a="1"/>
  <c r="Y12" i="5" l="1"/>
  <c r="K12" i="5" a="1"/>
  <c r="K12" i="5" l="1"/>
  <c r="L12" i="5" a="1"/>
  <c r="L12" i="5" l="1"/>
  <c r="M12" i="5" a="1"/>
  <c r="M12" i="5" l="1"/>
  <c r="N12" i="5" a="1"/>
  <c r="N12" i="5" l="1"/>
  <c r="O12" i="5" a="1"/>
  <c r="O12" i="5" l="1"/>
  <c r="P12" i="5" a="1"/>
  <c r="P12" i="5" l="1"/>
  <c r="Q12" i="5" a="1"/>
  <c r="Q12" i="5" l="1"/>
  <c r="C12" i="5" a="1"/>
  <c r="C12" i="5" l="1"/>
  <c r="E12" i="5" a="1"/>
  <c r="E12" i="5" l="1"/>
  <c r="F12" i="5" a="1"/>
  <c r="F12" i="5" l="1"/>
  <c r="G12" i="5" a="1"/>
  <c r="G12" i="5" l="1"/>
  <c r="H12" i="5" a="1"/>
  <c r="H12" i="5" l="1"/>
  <c r="I12" i="5" a="1"/>
  <c r="I12" i="5" l="1"/>
  <c r="J12" i="5" a="1"/>
  <c r="J12" i="5" l="1"/>
  <c r="CB11" i="5" a="1"/>
  <c r="CB11" i="5" l="1"/>
  <c r="CC11" i="5" a="1"/>
  <c r="CC11" i="5" l="1"/>
  <c r="CD11" i="5" a="1"/>
  <c r="CD11" i="5" l="1"/>
  <c r="CE11" i="5" a="1"/>
  <c r="CE11" i="5" l="1"/>
  <c r="CF11" i="5" a="1"/>
  <c r="CF11" i="5" l="1"/>
  <c r="CG11" i="5" a="1"/>
  <c r="CG11" i="5" l="1"/>
  <c r="B12" i="5" a="1"/>
  <c r="B12" i="5" l="1"/>
  <c r="BI15" i="5" a="1"/>
  <c r="BI15" i="5" l="1"/>
  <c r="BV11" i="5" a="1"/>
  <c r="BV11" i="5" l="1"/>
  <c r="BW11" i="5" a="1"/>
  <c r="BW11" i="5" l="1"/>
  <c r="BX11" i="5" a="1"/>
  <c r="BX11" i="5" l="1"/>
  <c r="BY11" i="5" a="1"/>
  <c r="BY11" i="5" l="1"/>
  <c r="BZ11" i="5" a="1"/>
  <c r="BZ11" i="5" l="1"/>
  <c r="CA11" i="5" a="1"/>
  <c r="CA11" i="5" l="1"/>
  <c r="BB15" i="5" a="1"/>
  <c r="BB15" i="5" l="1"/>
  <c r="BC15" i="5" a="1"/>
  <c r="BC15" i="5" l="1"/>
  <c r="BD15" i="5" a="1"/>
  <c r="BD15" i="5" l="1"/>
  <c r="BE15" i="5" a="1"/>
  <c r="BE15" i="5" l="1"/>
  <c r="BF15" i="5" a="1"/>
  <c r="BF15" i="5" l="1"/>
  <c r="BG15" i="5"/>
  <c r="BH15" i="5" a="1"/>
  <c r="BH15" i="5" l="1"/>
  <c r="AU11" i="5" a="1"/>
  <c r="AU11" i="5" l="1"/>
  <c r="AV11" i="5" a="1"/>
  <c r="AV11" i="5" l="1"/>
  <c r="AW11" i="5" a="1"/>
  <c r="AW11" i="5" l="1"/>
  <c r="AX15" i="5" a="1"/>
  <c r="AX15" i="5" l="1"/>
  <c r="AY15" i="5" a="1"/>
  <c r="AY15" i="5" l="1"/>
  <c r="AZ15" i="5" a="1"/>
  <c r="AZ15" i="5" l="1"/>
  <c r="BA15" i="5" a="1"/>
  <c r="BA15" i="5" l="1"/>
  <c r="AN11" i="5" a="1"/>
  <c r="AN11" i="5" l="1"/>
  <c r="AO11" i="5" a="1"/>
  <c r="AO11" i="5" l="1"/>
  <c r="AP11" i="5" a="1"/>
  <c r="AP11" i="5" l="1"/>
  <c r="AQ11" i="5" a="1"/>
  <c r="AQ11" i="5" l="1"/>
  <c r="AR11" i="5" a="1"/>
  <c r="AR11" i="5" l="1"/>
  <c r="AS11" i="5" a="1"/>
  <c r="AS11" i="5" l="1"/>
  <c r="AT11" i="5" a="1"/>
  <c r="AT11" i="5" l="1"/>
  <c r="AG11" i="5" a="1"/>
  <c r="AG11" i="5" l="1"/>
  <c r="AH11" i="5" a="1"/>
  <c r="AH11" i="5" l="1"/>
  <c r="AI11" i="5" a="1"/>
  <c r="AI11" i="5" l="1"/>
  <c r="AJ11" i="5" a="1"/>
  <c r="AJ11" i="5" l="1"/>
  <c r="AK11" i="5" a="1"/>
  <c r="AK11" i="5" l="1"/>
  <c r="AL11" i="5" a="1"/>
  <c r="AL11" i="5" l="1"/>
  <c r="AM11" i="5" a="1"/>
  <c r="AM11" i="5" l="1"/>
  <c r="Z11" i="5" a="1"/>
  <c r="Z11" i="5" l="1"/>
  <c r="AA11" i="5" a="1"/>
  <c r="AA11" i="5" l="1"/>
  <c r="AB11" i="5" a="1"/>
  <c r="AB11" i="5" l="1"/>
  <c r="AC11" i="5" a="1"/>
  <c r="AC11" i="5" l="1"/>
  <c r="AD11" i="5" a="1"/>
  <c r="AD11" i="5" l="1"/>
  <c r="AE11" i="5" a="1"/>
  <c r="AE11" i="5" l="1"/>
  <c r="AF11" i="5" a="1"/>
  <c r="AF11" i="5" l="1"/>
  <c r="S11" i="5" a="1"/>
  <c r="S11" i="5" l="1"/>
  <c r="T11" i="5" a="1"/>
  <c r="T11" i="5" l="1"/>
  <c r="U11" i="5" a="1"/>
  <c r="U11" i="5" l="1"/>
  <c r="V11" i="5" a="1"/>
  <c r="V11" i="5" l="1"/>
  <c r="W11" i="5" a="1"/>
  <c r="W11" i="5" l="1"/>
  <c r="X11" i="5" a="1"/>
  <c r="X11" i="5" l="1"/>
  <c r="Y11" i="5" a="1"/>
  <c r="Y11" i="5" l="1"/>
  <c r="L11" i="5" a="1"/>
  <c r="L11" i="5" l="1"/>
  <c r="M11" i="5" a="1"/>
  <c r="M11" i="5" l="1"/>
  <c r="N11" i="5" a="1"/>
  <c r="N11" i="5" l="1"/>
  <c r="O11" i="5" a="1"/>
  <c r="O11" i="5" l="1"/>
  <c r="P11" i="5" a="1"/>
  <c r="P11" i="5" l="1"/>
  <c r="Q11" i="5" a="1"/>
  <c r="Q11" i="5" l="1"/>
  <c r="R11" i="5" a="1"/>
  <c r="R11" i="5" l="1"/>
  <c r="E11" i="5" a="1"/>
  <c r="E11" i="5" l="1"/>
  <c r="F11" i="5" a="1"/>
  <c r="F11" i="5" l="1"/>
  <c r="G11" i="5" a="1"/>
  <c r="G11" i="5" l="1"/>
  <c r="H11" i="5" a="1"/>
  <c r="H11" i="5" l="1"/>
  <c r="I11" i="5" a="1"/>
  <c r="I11" i="5" l="1"/>
  <c r="J11" i="5" a="1"/>
  <c r="J11" i="5" l="1"/>
  <c r="K11" i="5" a="1"/>
  <c r="K11" i="5" l="1"/>
  <c r="CC10" i="5" a="1"/>
  <c r="CC10" i="5" l="1"/>
  <c r="CD10" i="5" a="1"/>
  <c r="CD10" i="5" l="1"/>
  <c r="CE10" i="5" a="1"/>
  <c r="CE10" i="5" l="1"/>
  <c r="CF10" i="5" a="1"/>
  <c r="CF10" i="5" l="1"/>
  <c r="CG10" i="5" a="1"/>
  <c r="CG10" i="5" l="1"/>
  <c r="B11" i="5" a="1"/>
  <c r="B11" i="5" l="1"/>
  <c r="C11" i="5" a="1"/>
  <c r="C11" i="5" l="1"/>
  <c r="BV10" i="5" a="1"/>
  <c r="BV10" i="5" l="1"/>
  <c r="BW10" i="5" a="1"/>
  <c r="BW10" i="5" l="1"/>
  <c r="BX10" i="5" a="1"/>
  <c r="BX10" i="5" l="1"/>
  <c r="BY10" i="5" a="1"/>
  <c r="BY10" i="5" l="1"/>
  <c r="BZ10" i="5" a="1"/>
  <c r="BZ10" i="5" l="1"/>
  <c r="CA10" i="5" a="1"/>
  <c r="CA10" i="5" l="1"/>
  <c r="CB10" i="5" a="1"/>
  <c r="CB10" i="5" l="1"/>
  <c r="BC14" i="5" a="1"/>
  <c r="BC14" i="5" l="1"/>
  <c r="BD14" i="5" a="1"/>
  <c r="BD14" i="5" l="1"/>
  <c r="BE14" i="5" a="1"/>
  <c r="BE14" i="5" l="1"/>
  <c r="BF14" i="5" a="1"/>
  <c r="BF14" i="5" l="1"/>
  <c r="BG14" i="5"/>
  <c r="BH14" i="5" a="1"/>
  <c r="BH14" i="5" l="1"/>
  <c r="BI14" i="5" a="1"/>
  <c r="BI14" i="5" l="1"/>
  <c r="AV10" i="5" a="1"/>
  <c r="AV10" i="5" l="1"/>
  <c r="AW10" i="5" a="1"/>
  <c r="AW10" i="5" l="1"/>
  <c r="AX14" i="5" a="1"/>
  <c r="AX14" i="5" l="1"/>
  <c r="AY14" i="5" a="1"/>
  <c r="AY14" i="5" l="1"/>
  <c r="AZ14" i="5" a="1"/>
  <c r="AZ14" i="5" l="1"/>
  <c r="BA14" i="5" a="1"/>
  <c r="BA14" i="5" l="1"/>
  <c r="BB14" i="5" a="1"/>
  <c r="BB14" i="5" l="1"/>
  <c r="AO10" i="5" a="1"/>
  <c r="AO10" i="5" l="1"/>
  <c r="AP10" i="5" a="1"/>
  <c r="AP10" i="5" l="1"/>
  <c r="AQ10" i="5" a="1"/>
  <c r="AQ10" i="5" l="1"/>
  <c r="AR10" i="5" a="1"/>
  <c r="AR10" i="5" l="1"/>
  <c r="AS10" i="5" a="1"/>
  <c r="AS10" i="5" l="1"/>
  <c r="AT10" i="5" a="1"/>
  <c r="AT10" i="5" l="1"/>
  <c r="AU10" i="5" a="1"/>
  <c r="AU10" i="5" l="1"/>
  <c r="AH10" i="5" a="1"/>
  <c r="AH10" i="5" l="1"/>
  <c r="AI10" i="5" a="1"/>
  <c r="AI10" i="5" l="1"/>
  <c r="AJ10" i="5" a="1"/>
  <c r="AJ10" i="5" l="1"/>
  <c r="AK10" i="5" a="1"/>
  <c r="AK10" i="5" l="1"/>
  <c r="AL10" i="5" a="1"/>
  <c r="AL10" i="5" l="1"/>
  <c r="AM10" i="5" a="1"/>
  <c r="AM10" i="5" l="1"/>
  <c r="AN10" i="5" a="1"/>
  <c r="AN10" i="5" l="1"/>
  <c r="AA10" i="5" a="1"/>
  <c r="AA10" i="5" l="1"/>
  <c r="AB10" i="5" a="1"/>
  <c r="AB10" i="5" l="1"/>
  <c r="AC10" i="5" a="1"/>
  <c r="AC10" i="5" l="1"/>
  <c r="AD10" i="5" a="1"/>
  <c r="AD10" i="5" l="1"/>
  <c r="AE10" i="5" a="1"/>
  <c r="AE10" i="5" l="1"/>
  <c r="AF10" i="5" a="1"/>
  <c r="AF10" i="5" l="1"/>
  <c r="AG10" i="5" a="1"/>
  <c r="AG10" i="5" l="1"/>
  <c r="T10" i="5" a="1"/>
  <c r="T10" i="5" l="1"/>
  <c r="U10" i="5" a="1"/>
  <c r="U10" i="5" l="1"/>
  <c r="V10" i="5" a="1"/>
  <c r="V10" i="5" l="1"/>
  <c r="W10" i="5" a="1"/>
  <c r="W10" i="5" l="1"/>
  <c r="X10" i="5" a="1"/>
  <c r="X10" i="5" l="1"/>
  <c r="Y10" i="5" a="1"/>
  <c r="Y10" i="5" l="1"/>
  <c r="Z10" i="5" a="1"/>
  <c r="Z10" i="5" l="1"/>
  <c r="M10" i="5" a="1"/>
  <c r="M10" i="5" l="1"/>
  <c r="N10" i="5" a="1"/>
  <c r="N10" i="5" l="1"/>
  <c r="O10" i="5" a="1"/>
  <c r="O10" i="5" l="1"/>
  <c r="P10" i="5" a="1"/>
  <c r="P10" i="5" l="1"/>
  <c r="Q10" i="5" a="1"/>
  <c r="Q10" i="5" l="1"/>
  <c r="R10" i="5" a="1"/>
  <c r="R10" i="5" l="1"/>
  <c r="S10" i="5" a="1"/>
  <c r="S10" i="5" l="1"/>
  <c r="F10" i="5" a="1"/>
  <c r="F10" i="5" l="1"/>
  <c r="G10" i="5" a="1"/>
  <c r="G10" i="5" l="1"/>
  <c r="H10" i="5" a="1"/>
  <c r="H10" i="5" l="1"/>
  <c r="I10" i="5" a="1"/>
  <c r="I10" i="5" l="1"/>
  <c r="J10" i="5" a="1"/>
  <c r="J10" i="5" l="1"/>
  <c r="K10" i="5" a="1"/>
  <c r="K10" i="5" l="1"/>
  <c r="L10" i="5" a="1"/>
  <c r="L10" i="5" l="1"/>
  <c r="CD9" i="5" a="1"/>
  <c r="CD9" i="5" l="1"/>
  <c r="CE9" i="5" a="1"/>
  <c r="CE9" i="5" l="1"/>
  <c r="CF9" i="5" a="1"/>
  <c r="CF9" i="5" l="1"/>
  <c r="CG9" i="5" a="1"/>
  <c r="CG9" i="5" l="1"/>
  <c r="B10" i="5" a="1"/>
  <c r="B10" i="5" l="1"/>
  <c r="C10" i="5" a="1"/>
  <c r="C10" i="5" l="1"/>
  <c r="E10" i="5" a="1"/>
  <c r="E10" i="5" l="1"/>
  <c r="BW9" i="5" a="1"/>
  <c r="BW9" i="5" l="1"/>
  <c r="BX9" i="5" a="1"/>
  <c r="BX9" i="5" l="1"/>
  <c r="BY9" i="5" a="1"/>
  <c r="BY9" i="5" l="1"/>
  <c r="BZ9" i="5" a="1"/>
  <c r="BZ9" i="5" l="1"/>
  <c r="CA9" i="5" a="1"/>
  <c r="CA9" i="5" l="1"/>
  <c r="CB9" i="5" a="1"/>
  <c r="CB9" i="5" l="1"/>
  <c r="CC9" i="5" a="1"/>
  <c r="CC9" i="5" l="1"/>
  <c r="BD13" i="5" a="1"/>
  <c r="BD13" i="5" l="1"/>
  <c r="BE13" i="5" a="1"/>
  <c r="BE13" i="5" l="1"/>
  <c r="BF13" i="5" a="1"/>
  <c r="BF13" i="5" l="1"/>
  <c r="BG13" i="5"/>
  <c r="BH13" i="5" a="1"/>
  <c r="BH13" i="5" l="1"/>
  <c r="BI13" i="5" a="1"/>
  <c r="BI13" i="5" l="1"/>
  <c r="BV9" i="5" a="1"/>
  <c r="BV9" i="5" l="1"/>
  <c r="AW9" i="5" a="1"/>
  <c r="AW9" i="5" l="1"/>
  <c r="AX13" i="5" a="1"/>
  <c r="AX13" i="5" l="1"/>
  <c r="AY13" i="5" a="1"/>
  <c r="AY13" i="5" l="1"/>
  <c r="AZ13" i="5" a="1"/>
  <c r="AZ13" i="5" l="1"/>
  <c r="BA13" i="5" a="1"/>
  <c r="BA13" i="5" l="1"/>
  <c r="BB13" i="5" a="1"/>
  <c r="BB13" i="5" l="1"/>
  <c r="BC13" i="5" a="1"/>
  <c r="BC13" i="5" l="1"/>
  <c r="AP9" i="5" a="1"/>
  <c r="AP9" i="5" l="1"/>
  <c r="AQ9" i="5" a="1"/>
  <c r="AQ9" i="5" l="1"/>
  <c r="AR9" i="5" a="1"/>
  <c r="AR9" i="5" l="1"/>
  <c r="AS9" i="5" a="1"/>
  <c r="AS9" i="5" l="1"/>
  <c r="AT9" i="5" a="1"/>
  <c r="AT9" i="5" l="1"/>
  <c r="AU9" i="5" a="1"/>
  <c r="AU9" i="5" l="1"/>
  <c r="AV9" i="5" a="1"/>
  <c r="AV9" i="5" l="1"/>
  <c r="AI9" i="5" a="1"/>
  <c r="AI9" i="5" l="1"/>
  <c r="AJ9" i="5" a="1"/>
  <c r="AJ9" i="5" l="1"/>
  <c r="AK9" i="5" a="1"/>
  <c r="AK9" i="5" l="1"/>
  <c r="AL9" i="5" a="1"/>
  <c r="AL9" i="5" l="1"/>
  <c r="AM9" i="5" a="1"/>
  <c r="AM9" i="5" l="1"/>
  <c r="AN9" i="5" a="1"/>
  <c r="AN9" i="5" l="1"/>
  <c r="AO9" i="5" a="1"/>
  <c r="AO9" i="5" l="1"/>
  <c r="AB9" i="5" a="1"/>
  <c r="AB9" i="5" l="1"/>
  <c r="AC9" i="5" a="1"/>
  <c r="AC9" i="5" l="1"/>
  <c r="AD9" i="5" a="1"/>
  <c r="AD9" i="5" l="1"/>
  <c r="AE9" i="5" a="1"/>
  <c r="AE9" i="5" l="1"/>
  <c r="AF9" i="5" a="1"/>
  <c r="AF9" i="5" l="1"/>
  <c r="AG9" i="5" a="1"/>
  <c r="AG9" i="5" l="1"/>
  <c r="AH9" i="5" a="1"/>
  <c r="AH9" i="5" l="1"/>
  <c r="U9" i="5" a="1"/>
  <c r="U9" i="5" l="1"/>
  <c r="V9" i="5" a="1"/>
  <c r="V9" i="5" l="1"/>
  <c r="W9" i="5" a="1"/>
  <c r="W9" i="5" l="1"/>
  <c r="X9" i="5" a="1"/>
  <c r="X9" i="5" l="1"/>
  <c r="Y9" i="5" a="1"/>
  <c r="Y9" i="5" l="1"/>
  <c r="Z9" i="5" a="1"/>
  <c r="Z9" i="5" l="1"/>
  <c r="AA9" i="5" a="1"/>
  <c r="AA9" i="5" l="1"/>
  <c r="N9" i="5" a="1"/>
  <c r="N9" i="5" l="1"/>
  <c r="O9" i="5" a="1"/>
  <c r="O9" i="5" l="1"/>
  <c r="P9" i="5" a="1"/>
  <c r="P9" i="5" l="1"/>
  <c r="Q9" i="5" a="1"/>
  <c r="Q9" i="5" l="1"/>
  <c r="R9" i="5" a="1"/>
  <c r="R9" i="5" l="1"/>
  <c r="S9" i="5" a="1"/>
  <c r="S9" i="5" l="1"/>
  <c r="T9" i="5" a="1"/>
  <c r="T9" i="5" l="1"/>
  <c r="G9" i="5" a="1"/>
  <c r="G9" i="5" l="1"/>
  <c r="H9" i="5" a="1"/>
  <c r="H9" i="5" l="1"/>
  <c r="I9" i="5" a="1"/>
  <c r="I9" i="5" l="1"/>
  <c r="J9" i="5" a="1"/>
  <c r="J9" i="5" l="1"/>
  <c r="K9" i="5" a="1"/>
  <c r="K9" i="5" l="1"/>
  <c r="L9" i="5" a="1"/>
  <c r="L9" i="5" l="1"/>
  <c r="M9" i="5" a="1"/>
  <c r="M9" i="5" l="1"/>
  <c r="CE8" i="5" a="1"/>
  <c r="CE8" i="5" l="1"/>
  <c r="CF8" i="5" a="1"/>
  <c r="CF8" i="5" l="1"/>
  <c r="CG8" i="5" a="1"/>
  <c r="CG8" i="5" l="1"/>
  <c r="B9" i="5" a="1"/>
  <c r="B9" i="5" l="1"/>
  <c r="C9" i="5" a="1"/>
  <c r="C9" i="5" l="1"/>
  <c r="E9" i="5" a="1"/>
  <c r="E9" i="5" l="1"/>
  <c r="F9" i="5" a="1"/>
  <c r="F9" i="5" l="1"/>
  <c r="BX8" i="5" a="1"/>
  <c r="BX8" i="5" l="1"/>
  <c r="BY8" i="5" a="1"/>
  <c r="BY8" i="5" l="1"/>
  <c r="BZ8" i="5" a="1"/>
  <c r="BZ8" i="5" l="1"/>
  <c r="CA8" i="5" a="1"/>
  <c r="CA8" i="5" l="1"/>
  <c r="CB8" i="5" a="1"/>
  <c r="CB8" i="5" l="1"/>
  <c r="CC8" i="5" a="1"/>
  <c r="CC8" i="5" l="1"/>
  <c r="CD8" i="5" a="1"/>
  <c r="CD8" i="5" l="1"/>
  <c r="BE12" i="5" a="1"/>
  <c r="BE12" i="5" l="1"/>
  <c r="BF12" i="5" a="1"/>
  <c r="BF12" i="5" l="1"/>
  <c r="BG12" i="5" a="1"/>
  <c r="BG12" i="5" l="1"/>
  <c r="BH12" i="5" a="1"/>
  <c r="BH12" i="5" l="1"/>
  <c r="BI12" i="5" a="1"/>
  <c r="BI12" i="5" l="1"/>
  <c r="BV8" i="5" a="1"/>
  <c r="BV8" i="5" l="1"/>
  <c r="BW8" i="5" a="1"/>
  <c r="BW8" i="5" l="1"/>
  <c r="AX12" i="5" a="1"/>
  <c r="AX12" i="5" l="1"/>
  <c r="AY12" i="5" a="1"/>
  <c r="AY12" i="5" l="1"/>
  <c r="AZ12" i="5" a="1"/>
  <c r="AZ12" i="5" l="1"/>
  <c r="BA12" i="5" a="1"/>
  <c r="BA12" i="5" l="1"/>
  <c r="BB12" i="5" a="1"/>
  <c r="BB12" i="5" l="1"/>
  <c r="BC12" i="5" a="1"/>
  <c r="BC12" i="5" l="1"/>
  <c r="BD12" i="5" a="1"/>
  <c r="BD12" i="5" l="1"/>
  <c r="AQ8" i="5" a="1"/>
  <c r="AQ8" i="5" l="1"/>
  <c r="AR8" i="5" a="1"/>
  <c r="AR8" i="5" l="1"/>
  <c r="AS8" i="5" a="1"/>
  <c r="AS8" i="5" l="1"/>
  <c r="AT8" i="5" a="1"/>
  <c r="AT8" i="5" l="1"/>
  <c r="AU8" i="5" a="1"/>
  <c r="AU8" i="5" l="1"/>
  <c r="AV8" i="5" a="1"/>
  <c r="AV8" i="5" l="1"/>
  <c r="AW8" i="5" a="1"/>
  <c r="AW8" i="5" l="1"/>
  <c r="AJ8" i="5" a="1"/>
  <c r="AJ8" i="5" l="1"/>
  <c r="AK8" i="5" a="1"/>
  <c r="AK8" i="5" l="1"/>
  <c r="AL8" i="5" a="1"/>
  <c r="AL8" i="5" l="1"/>
  <c r="AM8" i="5" a="1"/>
  <c r="AM8" i="5" l="1"/>
  <c r="AN8" i="5" a="1"/>
  <c r="AN8" i="5" l="1"/>
  <c r="AO8" i="5" a="1"/>
  <c r="AO8" i="5" l="1"/>
  <c r="AP8" i="5" a="1"/>
  <c r="AP8" i="5" l="1"/>
  <c r="AC8" i="5" a="1"/>
  <c r="AC8" i="5" l="1"/>
  <c r="AD8" i="5" a="1"/>
  <c r="AD8" i="5" l="1"/>
  <c r="AE8" i="5" a="1"/>
  <c r="AE8" i="5" l="1"/>
  <c r="AF8" i="5" a="1"/>
  <c r="AF8" i="5" l="1"/>
  <c r="AG8" i="5" a="1"/>
  <c r="AG8" i="5" l="1"/>
  <c r="AH8" i="5" a="1"/>
  <c r="AH8" i="5" l="1"/>
  <c r="AI8" i="5" a="1"/>
  <c r="AI8" i="5" l="1"/>
  <c r="V8" i="5" a="1"/>
  <c r="V8" i="5" l="1"/>
  <c r="W8" i="5" a="1"/>
  <c r="W8" i="5" l="1"/>
  <c r="X8" i="5" a="1"/>
  <c r="X8" i="5" l="1"/>
  <c r="Y8" i="5" a="1"/>
  <c r="Y8" i="5" l="1"/>
  <c r="Z8" i="5" a="1"/>
  <c r="Z8" i="5" l="1"/>
  <c r="AA8" i="5" a="1"/>
  <c r="AA8" i="5" l="1"/>
  <c r="AB8" i="5" a="1"/>
  <c r="AB8" i="5" l="1"/>
  <c r="O8" i="5" a="1"/>
  <c r="O8" i="5" l="1"/>
  <c r="P8" i="5" a="1"/>
  <c r="P8" i="5" l="1"/>
  <c r="Q8" i="5" a="1"/>
  <c r="Q8" i="5" l="1"/>
  <c r="R8" i="5" a="1"/>
  <c r="R8" i="5" l="1"/>
  <c r="S8" i="5" a="1"/>
  <c r="S8" i="5" l="1"/>
  <c r="T8" i="5" a="1"/>
  <c r="T8" i="5" l="1"/>
  <c r="U8" i="5" a="1"/>
  <c r="U8" i="5" l="1"/>
  <c r="H8" i="5" a="1"/>
  <c r="H8" i="5" l="1"/>
  <c r="I8" i="5" a="1"/>
  <c r="I8" i="5" l="1"/>
  <c r="J8" i="5" a="1"/>
  <c r="J8" i="5" l="1"/>
  <c r="K8" i="5" a="1"/>
  <c r="K8" i="5" l="1"/>
  <c r="L8" i="5" a="1"/>
  <c r="L8" i="5" l="1"/>
  <c r="M8" i="5" a="1"/>
  <c r="M8" i="5" l="1"/>
  <c r="N8" i="5" a="1"/>
  <c r="N8" i="5" l="1"/>
  <c r="CF7" i="5" a="1"/>
  <c r="CF7" i="5" l="1"/>
  <c r="CG7" i="5" a="1"/>
  <c r="CG7" i="5" l="1"/>
  <c r="B8" i="5" a="1"/>
  <c r="B8" i="5" l="1"/>
  <c r="C8" i="5" a="1"/>
  <c r="C8" i="5" l="1"/>
  <c r="E8" i="5" a="1"/>
  <c r="E8" i="5" l="1"/>
  <c r="F8" i="5" a="1"/>
  <c r="F8" i="5" l="1"/>
  <c r="G8" i="5" a="1"/>
  <c r="G8" i="5" l="1"/>
  <c r="BY7" i="5" a="1"/>
  <c r="BY7" i="5" l="1"/>
  <c r="BZ7" i="5" a="1"/>
  <c r="BZ7" i="5" l="1"/>
  <c r="CA7" i="5" a="1"/>
  <c r="CA7" i="5" l="1"/>
  <c r="CB7" i="5" a="1"/>
  <c r="CB7" i="5" l="1"/>
  <c r="CC7" i="5" a="1"/>
  <c r="CC7" i="5" l="1"/>
  <c r="CD7" i="5" a="1"/>
  <c r="CD7" i="5" l="1"/>
  <c r="CE7" i="5" a="1"/>
  <c r="CE7" i="5" l="1"/>
  <c r="BF11" i="5" a="1"/>
  <c r="BF11" i="5" l="1"/>
  <c r="BG11" i="5" a="1"/>
  <c r="BG11" i="5" l="1"/>
  <c r="BH11" i="5" a="1"/>
  <c r="BH11" i="5" l="1"/>
  <c r="BI11" i="5" a="1"/>
  <c r="BI11" i="5" l="1"/>
  <c r="BV7" i="5" a="1"/>
  <c r="BV7" i="5" l="1"/>
  <c r="BW7" i="5" a="1"/>
  <c r="BW7" i="5" l="1"/>
  <c r="BX7" i="5" a="1"/>
  <c r="BX7" i="5" l="1"/>
  <c r="AY11" i="5" a="1"/>
  <c r="AY11" i="5" l="1"/>
  <c r="AZ11" i="5" a="1"/>
  <c r="AZ11" i="5" l="1"/>
  <c r="BA11" i="5" a="1"/>
  <c r="BA11" i="5" l="1"/>
  <c r="BB11" i="5" a="1"/>
  <c r="BB11" i="5" l="1"/>
  <c r="BC11" i="5" a="1"/>
  <c r="BC11" i="5" l="1"/>
  <c r="BD11" i="5" a="1"/>
  <c r="BD11" i="5" l="1"/>
  <c r="BE11" i="5" a="1"/>
  <c r="BE11" i="5" l="1"/>
  <c r="BD7" i="5" a="1"/>
  <c r="BD7" i="5" l="1"/>
  <c r="BE7" i="5" a="1"/>
  <c r="BE7" i="5" l="1"/>
  <c r="BF7" i="5" a="1"/>
  <c r="BF7" i="5" l="1"/>
  <c r="BG7" i="5" a="1"/>
  <c r="BG7" i="5" l="1"/>
  <c r="BH7" i="5" a="1"/>
  <c r="BH7" i="5" l="1"/>
  <c r="BI7" i="5" a="1"/>
  <c r="BI7" i="5" l="1"/>
  <c r="AX11" i="5" a="1"/>
  <c r="AX11" i="5" l="1"/>
  <c r="AW7" i="5" a="1"/>
  <c r="AW7" i="5" l="1"/>
  <c r="AX7" i="5" a="1"/>
  <c r="AX7" i="5" l="1"/>
  <c r="AY7" i="5" a="1"/>
  <c r="AY7" i="5" l="1"/>
  <c r="AZ7" i="5" a="1"/>
  <c r="AZ7" i="5" l="1"/>
  <c r="BA7" i="5" a="1"/>
  <c r="BA7" i="5" l="1"/>
  <c r="BB7" i="5" a="1"/>
  <c r="BB7" i="5" l="1"/>
  <c r="BC7" i="5" a="1"/>
  <c r="BC7" i="5" l="1"/>
  <c r="AP7" i="5" a="1"/>
  <c r="AP7" i="5" l="1"/>
  <c r="AQ7" i="5" a="1"/>
  <c r="AQ7" i="5" l="1"/>
  <c r="AR7" i="5" a="1"/>
  <c r="AR7" i="5" l="1"/>
  <c r="AS7" i="5" a="1"/>
  <c r="AS7" i="5" l="1"/>
  <c r="AT7" i="5" a="1"/>
  <c r="AT7" i="5" l="1"/>
  <c r="AU7" i="5" a="1"/>
  <c r="AU7" i="5" l="1"/>
  <c r="AV7" i="5" a="1"/>
  <c r="AV7" i="5" l="1"/>
  <c r="AI7" i="5" a="1"/>
  <c r="AI7" i="5" l="1"/>
  <c r="AJ7" i="5" a="1"/>
  <c r="AJ7" i="5" l="1"/>
  <c r="AK7" i="5" a="1"/>
  <c r="AK7" i="5" l="1"/>
  <c r="AL7" i="5" a="1"/>
  <c r="AL7" i="5" l="1"/>
  <c r="AM7" i="5" a="1"/>
  <c r="AM7" i="5" l="1"/>
  <c r="AN7" i="5" a="1"/>
  <c r="AN7" i="5" l="1"/>
  <c r="AO7" i="5" a="1"/>
  <c r="AO7" i="5" l="1"/>
  <c r="AB7" i="5" a="1"/>
  <c r="AB7" i="5" l="1"/>
  <c r="AC7" i="5" a="1"/>
  <c r="AC7" i="5" l="1"/>
  <c r="AD7" i="5" a="1"/>
  <c r="AD7" i="5" l="1"/>
  <c r="AE7" i="5" a="1"/>
  <c r="AE7" i="5" l="1"/>
  <c r="AF7" i="5" a="1"/>
  <c r="AF7" i="5" l="1"/>
  <c r="AG7" i="5" a="1"/>
  <c r="AG7" i="5" l="1"/>
  <c r="AH7" i="5" a="1"/>
  <c r="AH7" i="5" l="1"/>
  <c r="U7" i="5" a="1"/>
  <c r="U7" i="5" l="1"/>
  <c r="V7" i="5" a="1"/>
  <c r="V7" i="5" l="1"/>
  <c r="W7" i="5" a="1"/>
  <c r="W7" i="5" l="1"/>
  <c r="X7" i="5" a="1"/>
  <c r="X7" i="5" l="1"/>
  <c r="Y7" i="5" a="1"/>
  <c r="Y7" i="5" l="1"/>
  <c r="Z7" i="5" a="1"/>
  <c r="Z7" i="5" l="1"/>
  <c r="AA7" i="5" a="1"/>
  <c r="AA7" i="5" l="1"/>
  <c r="N7" i="5" a="1"/>
  <c r="N7" i="5" l="1"/>
  <c r="O7" i="5" a="1"/>
  <c r="O7" i="5" l="1"/>
  <c r="P7" i="5" a="1"/>
  <c r="P7" i="5" l="1"/>
  <c r="Q7" i="5" a="1"/>
  <c r="Q7" i="5" l="1"/>
  <c r="R7" i="5" a="1"/>
  <c r="R7" i="5" l="1"/>
  <c r="S7" i="5" a="1"/>
  <c r="S7" i="5" l="1"/>
  <c r="T7" i="5" a="1"/>
  <c r="T7" i="5" l="1"/>
  <c r="G7" i="5" a="1"/>
  <c r="G7" i="5" l="1"/>
  <c r="H7" i="5" a="1"/>
  <c r="H7" i="5" l="1"/>
  <c r="I7" i="5" a="1"/>
  <c r="I7" i="5" l="1"/>
  <c r="J7" i="5" a="1"/>
  <c r="J7" i="5" l="1"/>
  <c r="K7" i="5" a="1"/>
  <c r="K7" i="5" l="1"/>
  <c r="L7" i="5" a="1"/>
  <c r="L7" i="5" l="1"/>
  <c r="M7" i="5" a="1"/>
  <c r="M7" i="5" l="1"/>
  <c r="CE6" i="5" a="1"/>
  <c r="CE6" i="5" l="1"/>
  <c r="CF6" i="5" a="1"/>
  <c r="CF6" i="5" l="1"/>
  <c r="CG6" i="5" a="1"/>
  <c r="CG6" i="5" l="1"/>
  <c r="B7" i="5" a="1"/>
  <c r="B7" i="5" l="1"/>
  <c r="C7" i="5" a="1"/>
  <c r="C7" i="5" l="1"/>
  <c r="E7" i="5" a="1"/>
  <c r="E7" i="5" l="1"/>
  <c r="F7" i="5" a="1"/>
  <c r="F7" i="5" l="1"/>
  <c r="BX6" i="5" a="1"/>
  <c r="BX6" i="5" l="1"/>
  <c r="BY6" i="5" a="1"/>
  <c r="BY6" i="5" l="1"/>
  <c r="BZ6" i="5" a="1"/>
  <c r="BZ6" i="5" l="1"/>
  <c r="CA6" i="5" a="1"/>
  <c r="CA6" i="5" l="1"/>
  <c r="CB6" i="5" a="1"/>
  <c r="CB6" i="5" l="1"/>
  <c r="CC6" i="5" a="1"/>
  <c r="CC6" i="5" l="1"/>
  <c r="CD6" i="5" a="1"/>
  <c r="CD6" i="5" l="1"/>
  <c r="BE10" i="5" a="1"/>
  <c r="BE10" i="5" l="1"/>
  <c r="BF10" i="5" a="1"/>
  <c r="BF10" i="5" l="1"/>
  <c r="BG10" i="5" a="1"/>
  <c r="BG10" i="5" l="1"/>
  <c r="BH10" i="5" a="1"/>
  <c r="BH10" i="5" l="1"/>
  <c r="BI10" i="5" a="1"/>
  <c r="BI10" i="5" l="1"/>
  <c r="BV6" i="5" a="1"/>
  <c r="BV6" i="5" l="1"/>
  <c r="BW6" i="5" a="1"/>
  <c r="BW6" i="5" l="1"/>
  <c r="AX10" i="5" a="1"/>
  <c r="AX10" i="5" l="1"/>
  <c r="AY10" i="5" a="1"/>
  <c r="AY10" i="5" l="1"/>
  <c r="AZ10" i="5" a="1"/>
  <c r="AZ10" i="5" l="1"/>
  <c r="BA10" i="5" a="1"/>
  <c r="BA10" i="5" l="1"/>
  <c r="BB10" i="5" a="1"/>
  <c r="BB10" i="5" l="1"/>
  <c r="BC10" i="5" a="1"/>
  <c r="BC10" i="5" l="1"/>
  <c r="BD10" i="5" a="1"/>
  <c r="BD10" i="5" l="1"/>
  <c r="BC6" i="5" a="1"/>
  <c r="BC6" i="5" l="1"/>
  <c r="BD6" i="5" a="1"/>
  <c r="BD6" i="5" l="1"/>
  <c r="BE6" i="5" a="1"/>
  <c r="BE6" i="5" l="1"/>
  <c r="BF6" i="5" a="1"/>
  <c r="BF6" i="5" l="1"/>
  <c r="BG6" i="5" a="1"/>
  <c r="BG6" i="5" l="1"/>
  <c r="BH6" i="5" a="1"/>
  <c r="BH6" i="5" l="1"/>
  <c r="BI6" i="5" a="1"/>
  <c r="BI6" i="5" l="1"/>
  <c r="AV6" i="5" a="1"/>
  <c r="AV6" i="5" l="1"/>
  <c r="AW6" i="5" a="1"/>
  <c r="AW6" i="5" l="1"/>
  <c r="AX6" i="5" a="1"/>
  <c r="AX6" i="5" l="1"/>
  <c r="AY6" i="5" a="1"/>
  <c r="AY6" i="5" l="1"/>
  <c r="AZ6" i="5" a="1"/>
  <c r="AZ6" i="5" l="1"/>
  <c r="BA6" i="5" a="1"/>
  <c r="BA6" i="5" l="1"/>
  <c r="BB6" i="5" a="1"/>
  <c r="BB6" i="5" l="1"/>
  <c r="AO6" i="5" a="1"/>
  <c r="AO6" i="5" l="1"/>
  <c r="AP6" i="5" a="1"/>
  <c r="AP6" i="5" l="1"/>
  <c r="AQ6" i="5" a="1"/>
  <c r="AQ6" i="5" l="1"/>
  <c r="AR6" i="5" a="1"/>
  <c r="AR6" i="5" l="1"/>
  <c r="AS6" i="5" a="1"/>
  <c r="AS6" i="5" l="1"/>
  <c r="AT6" i="5" a="1"/>
  <c r="AT6" i="5" l="1"/>
  <c r="AU6" i="5" a="1"/>
  <c r="AU6" i="5" l="1"/>
  <c r="AH6" i="5" a="1"/>
  <c r="AH6" i="5" l="1"/>
  <c r="AI6" i="5" a="1"/>
  <c r="AI6" i="5" l="1"/>
  <c r="AJ6" i="5" a="1"/>
  <c r="AJ6" i="5" l="1"/>
  <c r="AK6" i="5" a="1"/>
  <c r="AK6" i="5" l="1"/>
  <c r="AL6" i="5" a="1"/>
  <c r="AL6" i="5" l="1"/>
  <c r="AM6" i="5" a="1"/>
  <c r="AM6" i="5" l="1"/>
  <c r="AN6" i="5" a="1"/>
  <c r="AN6" i="5" l="1"/>
  <c r="AA6" i="5" a="1"/>
  <c r="AA6" i="5" l="1"/>
  <c r="AB6" i="5" a="1"/>
  <c r="AB6" i="5" l="1"/>
  <c r="AC6" i="5" a="1"/>
  <c r="AC6" i="5" l="1"/>
  <c r="AD6" i="5" a="1"/>
  <c r="AD6" i="5" l="1"/>
  <c r="AE6" i="5" a="1"/>
  <c r="AE6" i="5" l="1"/>
  <c r="AF6" i="5" a="1"/>
  <c r="AF6" i="5" l="1"/>
  <c r="AG6" i="5" a="1"/>
  <c r="AG6" i="5" l="1"/>
  <c r="T6" i="5" a="1"/>
  <c r="T6" i="5" l="1"/>
  <c r="U6" i="5" a="1"/>
  <c r="U6" i="5" l="1"/>
  <c r="V6" i="5" a="1"/>
  <c r="V6" i="5" l="1"/>
  <c r="W6" i="5" a="1"/>
  <c r="W6" i="5" l="1"/>
  <c r="X6" i="5" a="1"/>
  <c r="X6" i="5" l="1"/>
  <c r="Y6" i="5" a="1"/>
  <c r="Y6" i="5" l="1"/>
  <c r="Z6" i="5" a="1"/>
  <c r="Z6" i="5" l="1"/>
  <c r="M6" i="5" a="1"/>
  <c r="M6" i="5" l="1"/>
  <c r="N6" i="5" a="1"/>
  <c r="N6" i="5" l="1"/>
  <c r="O6" i="5" a="1"/>
  <c r="O6" i="5" l="1"/>
  <c r="P6" i="5" a="1"/>
  <c r="P6" i="5" l="1"/>
  <c r="Q6" i="5" a="1"/>
  <c r="Q6" i="5" l="1"/>
  <c r="R6" i="5" a="1"/>
  <c r="R6" i="5" l="1"/>
  <c r="S6" i="5" a="1"/>
  <c r="S6" i="5" l="1"/>
  <c r="F6" i="5" a="1"/>
  <c r="F6" i="5" l="1"/>
  <c r="G6" i="5" a="1"/>
  <c r="G6" i="5" l="1"/>
  <c r="H6" i="5" a="1"/>
  <c r="H6" i="5" l="1"/>
  <c r="I6" i="5" a="1"/>
  <c r="I6" i="5" l="1"/>
  <c r="J6" i="5" a="1"/>
  <c r="J6" i="5" l="1"/>
  <c r="K6" i="5" a="1"/>
  <c r="K6" i="5" l="1"/>
  <c r="L6" i="5" a="1"/>
  <c r="L6" i="5" l="1"/>
  <c r="CD5" i="5" a="1"/>
  <c r="CD5" i="5" l="1"/>
  <c r="CE5" i="5" a="1"/>
  <c r="CE5" i="5" l="1"/>
  <c r="CF5" i="5" a="1"/>
  <c r="CF5" i="5" l="1"/>
  <c r="CG5" i="5" a="1"/>
  <c r="CG5" i="5" l="1"/>
  <c r="B6" i="5" a="1"/>
  <c r="B6" i="5" l="1"/>
  <c r="C6" i="5" a="1"/>
  <c r="C6" i="5" l="1"/>
  <c r="E6" i="5" a="1"/>
  <c r="E6" i="5" l="1"/>
  <c r="BW5" i="5" a="1"/>
  <c r="BW5" i="5" l="1"/>
  <c r="BX5" i="5" a="1"/>
  <c r="BX5" i="5" l="1"/>
  <c r="BY5" i="5" a="1"/>
  <c r="BY5" i="5" l="1"/>
  <c r="BZ5" i="5" a="1"/>
  <c r="BZ5" i="5" l="1"/>
  <c r="CA5" i="5" a="1"/>
  <c r="CA5" i="5" l="1"/>
  <c r="CB5" i="5" a="1"/>
  <c r="CB5" i="5" l="1"/>
  <c r="CC5" i="5" a="1"/>
  <c r="CC5" i="5" l="1"/>
  <c r="BD9" i="5" a="1"/>
  <c r="BD9" i="5" l="1"/>
  <c r="BE9" i="5" a="1"/>
  <c r="BE9" i="5" l="1"/>
  <c r="BF9" i="5" a="1"/>
  <c r="BF9" i="5" l="1"/>
  <c r="BG9" i="5" a="1"/>
  <c r="BG9" i="5" l="1"/>
  <c r="BH9" i="5" a="1"/>
  <c r="BH9" i="5" l="1"/>
  <c r="BI9" i="5" a="1"/>
  <c r="BI9" i="5" l="1"/>
  <c r="BV5" i="5" a="1"/>
  <c r="BV5" i="5" l="1"/>
  <c r="BI5" i="5" a="1"/>
  <c r="BI5" i="5" l="1"/>
  <c r="AX9" i="5" a="1"/>
  <c r="AX9" i="5" l="1"/>
  <c r="AY9" i="5" a="1"/>
  <c r="AY9" i="5" l="1"/>
  <c r="AZ9" i="5" a="1"/>
  <c r="AZ9" i="5" l="1"/>
  <c r="BA9" i="5" a="1"/>
  <c r="BA9" i="5" l="1"/>
  <c r="BB9" i="5" a="1"/>
  <c r="BB9" i="5" l="1"/>
  <c r="BC9" i="5" a="1"/>
  <c r="BC9" i="5" l="1"/>
  <c r="BB5" i="5" a="1"/>
  <c r="BB5" i="5" l="1"/>
  <c r="BC5" i="5" a="1"/>
  <c r="BC5" i="5" l="1"/>
  <c r="BD5" i="5" a="1"/>
  <c r="BD5" i="5" l="1"/>
  <c r="BE5" i="5" a="1"/>
  <c r="BE5" i="5" l="1"/>
  <c r="BF5" i="5" a="1"/>
  <c r="BF5" i="5" l="1"/>
  <c r="BG5" i="5" a="1"/>
  <c r="BG5" i="5" l="1"/>
  <c r="BH5" i="5" a="1"/>
  <c r="BH5" i="5" l="1"/>
  <c r="AU5" i="5" a="1"/>
  <c r="AU5" i="5" l="1"/>
  <c r="AV5" i="5" a="1"/>
  <c r="AV5" i="5" l="1"/>
  <c r="AW5" i="5" a="1"/>
  <c r="AW5" i="5" l="1"/>
  <c r="AX5" i="5" a="1"/>
  <c r="AX5" i="5" l="1"/>
  <c r="AY5" i="5" a="1"/>
  <c r="AY5" i="5" l="1"/>
  <c r="AZ5" i="5" a="1"/>
  <c r="AZ5" i="5" l="1"/>
  <c r="BA5" i="5" a="1"/>
  <c r="BA5" i="5" l="1"/>
  <c r="AN5" i="5" a="1"/>
  <c r="AN5" i="5" l="1"/>
  <c r="AO5" i="5" a="1"/>
  <c r="AO5" i="5" l="1"/>
  <c r="AP5" i="5" a="1"/>
  <c r="AP5" i="5" l="1"/>
  <c r="AQ5" i="5" a="1"/>
  <c r="AQ5" i="5" l="1"/>
  <c r="AR5" i="5" a="1"/>
  <c r="AR5" i="5" l="1"/>
  <c r="AS5" i="5" a="1"/>
  <c r="AS5" i="5" l="1"/>
  <c r="AT5" i="5" a="1"/>
  <c r="AT5" i="5" l="1"/>
  <c r="AG5" i="5" a="1"/>
  <c r="AG5" i="5" l="1"/>
  <c r="AH5" i="5" a="1"/>
  <c r="AH5" i="5" l="1"/>
  <c r="AI5" i="5" a="1"/>
  <c r="AI5" i="5" l="1"/>
  <c r="AJ5" i="5" a="1"/>
  <c r="AJ5" i="5" l="1"/>
  <c r="AK5" i="5" a="1"/>
  <c r="AK5" i="5" l="1"/>
  <c r="AL5" i="5" a="1"/>
  <c r="AL5" i="5" l="1"/>
  <c r="AM5" i="5" a="1"/>
  <c r="AM5" i="5" l="1"/>
  <c r="Z5" i="5" a="1"/>
  <c r="Z5" i="5" l="1"/>
  <c r="AA5" i="5" a="1"/>
  <c r="AA5" i="5" l="1"/>
  <c r="AB5" i="5" a="1"/>
  <c r="AB5" i="5" l="1"/>
  <c r="AC5" i="5" a="1"/>
  <c r="AC5" i="5" l="1"/>
  <c r="AD5" i="5" a="1"/>
  <c r="AD5" i="5" l="1"/>
  <c r="AE5" i="5" a="1"/>
  <c r="AE5" i="5" l="1"/>
  <c r="AF5" i="5" a="1"/>
  <c r="AF5" i="5" l="1"/>
  <c r="S5" i="5" a="1"/>
  <c r="S5" i="5" l="1"/>
  <c r="T5" i="5" a="1"/>
  <c r="T5" i="5" l="1"/>
  <c r="U5" i="5" a="1"/>
  <c r="U5" i="5" l="1"/>
  <c r="V5" i="5" a="1"/>
  <c r="V5" i="5" l="1"/>
  <c r="W5" i="5" a="1"/>
  <c r="W5" i="5" l="1"/>
  <c r="X5" i="5" a="1"/>
  <c r="X5" i="5" l="1"/>
  <c r="Y5" i="5" a="1"/>
  <c r="Y5" i="5" l="1"/>
  <c r="L5" i="5" a="1"/>
  <c r="L5" i="5" l="1"/>
  <c r="M5" i="5" a="1"/>
  <c r="M5" i="5" l="1"/>
  <c r="N5" i="5" a="1"/>
  <c r="N5" i="5" l="1"/>
  <c r="O5" i="5" a="1"/>
  <c r="O5" i="5" l="1"/>
  <c r="P5" i="5" a="1"/>
  <c r="P5" i="5" l="1"/>
  <c r="Q5" i="5" a="1"/>
  <c r="Q5" i="5" l="1"/>
  <c r="R5" i="5" a="1"/>
  <c r="R5" i="5" l="1"/>
  <c r="E5" i="5" a="1"/>
  <c r="E5" i="5" l="1"/>
  <c r="F5" i="5" a="1"/>
  <c r="F5" i="5" l="1"/>
  <c r="G5" i="5" a="1"/>
  <c r="G5" i="5" l="1"/>
  <c r="H5" i="5" a="1"/>
  <c r="H5" i="5" l="1"/>
  <c r="I5" i="5" a="1"/>
  <c r="I5" i="5" l="1"/>
  <c r="J5" i="5" a="1"/>
  <c r="J5" i="5" l="1"/>
  <c r="K5" i="5" a="1"/>
  <c r="K5" i="5" l="1"/>
  <c r="CC4" i="5" a="1"/>
  <c r="CC4" i="5" l="1"/>
  <c r="CD4" i="5" a="1"/>
  <c r="CD4" i="5" l="1"/>
  <c r="CE4" i="5" a="1"/>
  <c r="CE4" i="5" l="1"/>
  <c r="CF4" i="5" a="1"/>
  <c r="CF4" i="5" l="1"/>
  <c r="CG4" i="5" a="1"/>
  <c r="CG4" i="5" l="1"/>
  <c r="B5" i="5" a="1"/>
  <c r="B5" i="5" l="1"/>
  <c r="C5" i="5" a="1"/>
  <c r="C5" i="5" l="1"/>
  <c r="BV4" i="5" a="1"/>
  <c r="BV4" i="5" l="1"/>
  <c r="BW4" i="5" a="1"/>
  <c r="BW4" i="5" l="1"/>
  <c r="BX4" i="5" a="1"/>
  <c r="BX4" i="5" l="1"/>
  <c r="BY4" i="5" a="1"/>
  <c r="BY4" i="5" l="1"/>
  <c r="BZ4" i="5" a="1"/>
  <c r="BZ4" i="5" l="1"/>
  <c r="CA4" i="5" a="1"/>
  <c r="CA4" i="5" l="1"/>
  <c r="CB4" i="5" a="1"/>
  <c r="CB4" i="5" l="1"/>
  <c r="BC8" i="5" a="1"/>
  <c r="BC8" i="5" l="1"/>
  <c r="BD8" i="5" a="1"/>
  <c r="BD8" i="5" l="1"/>
  <c r="BE8" i="5" a="1"/>
  <c r="BE8" i="5" l="1"/>
  <c r="BF8" i="5" a="1"/>
  <c r="BF8" i="5" l="1"/>
  <c r="BG8" i="5" a="1"/>
  <c r="BG8" i="5" l="1"/>
  <c r="BH8" i="5" a="1"/>
  <c r="BH8" i="5" l="1"/>
  <c r="BI8" i="5" a="1"/>
  <c r="BI8" i="5" l="1"/>
  <c r="BH4" i="5" a="1"/>
  <c r="BH4" i="5" l="1"/>
  <c r="BI4" i="5" a="1"/>
  <c r="BI4" i="5" l="1"/>
  <c r="AX8" i="5" a="1"/>
  <c r="AX8" i="5" l="1"/>
  <c r="AY8" i="5" a="1"/>
  <c r="AY8" i="5" l="1"/>
  <c r="AZ8" i="5" a="1"/>
  <c r="AZ8" i="5" l="1"/>
  <c r="BA8" i="5" a="1"/>
  <c r="BA8" i="5" l="1"/>
  <c r="BB8" i="5" a="1"/>
  <c r="BB8" i="5" l="1"/>
  <c r="BA4" i="5" a="1"/>
  <c r="BA4" i="5" l="1"/>
  <c r="BB4" i="5" a="1"/>
  <c r="BB4" i="5" l="1"/>
  <c r="BC4" i="5" a="1"/>
  <c r="BC4" i="5" l="1"/>
  <c r="BD4" i="5" a="1"/>
  <c r="BD4" i="5" l="1"/>
  <c r="BE4" i="5" a="1"/>
  <c r="BE4" i="5" l="1"/>
  <c r="BF4" i="5" a="1"/>
  <c r="BF4" i="5" l="1"/>
  <c r="BG4" i="5" a="1"/>
  <c r="BG4" i="5" l="1"/>
  <c r="AT4" i="5" a="1"/>
  <c r="AT4" i="5" l="1"/>
  <c r="AU4" i="5" a="1"/>
  <c r="AU4" i="5" l="1"/>
  <c r="AV4" i="5" a="1"/>
  <c r="AV4" i="5" l="1"/>
  <c r="AW4" i="5" a="1"/>
  <c r="AW4" i="5" l="1"/>
  <c r="AX4" i="5" a="1"/>
  <c r="AX4" i="5" l="1"/>
  <c r="AY4" i="5" a="1"/>
  <c r="AY4" i="5" l="1"/>
  <c r="AZ4" i="5" a="1"/>
  <c r="AZ4" i="5" l="1"/>
  <c r="AM4" i="5" a="1"/>
  <c r="AM4" i="5" l="1"/>
  <c r="AN4" i="5" a="1"/>
  <c r="AN4" i="5" l="1"/>
  <c r="AO4" i="5" a="1"/>
  <c r="AO4" i="5" l="1"/>
  <c r="AP4" i="5" a="1"/>
  <c r="AP4" i="5" l="1"/>
  <c r="AQ4" i="5" a="1"/>
  <c r="AQ4" i="5" l="1"/>
  <c r="AR4" i="5" a="1"/>
  <c r="AR4" i="5" l="1"/>
  <c r="AS4" i="5" a="1"/>
  <c r="AS4" i="5" l="1"/>
  <c r="AF4" i="5" a="1"/>
  <c r="AF4" i="5" l="1"/>
  <c r="AG4" i="5" a="1"/>
  <c r="AG4" i="5" l="1"/>
  <c r="AH4" i="5" a="1"/>
  <c r="AH4" i="5" l="1"/>
  <c r="AI4" i="5" a="1"/>
  <c r="AI4" i="5" l="1"/>
  <c r="AJ4" i="5" a="1"/>
  <c r="AJ4" i="5" l="1"/>
  <c r="AK4" i="5" a="1"/>
  <c r="AK4" i="5" l="1"/>
  <c r="AL4" i="5" a="1"/>
  <c r="AL4" i="5" l="1"/>
  <c r="Y4" i="5" a="1"/>
  <c r="Y4" i="5" l="1"/>
  <c r="Z4" i="5" a="1"/>
  <c r="Z4" i="5" l="1"/>
  <c r="AA4" i="5" a="1"/>
  <c r="AA4" i="5" l="1"/>
  <c r="AB4" i="5" a="1"/>
  <c r="AB4" i="5" l="1"/>
  <c r="AC4" i="5" a="1"/>
  <c r="AC4" i="5" l="1"/>
  <c r="AD4" i="5" a="1"/>
  <c r="AD4" i="5" l="1"/>
  <c r="AE4" i="5" a="1"/>
  <c r="AE4" i="5" l="1"/>
  <c r="R4" i="5" a="1"/>
  <c r="R4" i="5" l="1"/>
  <c r="S4" i="5" a="1"/>
  <c r="S4" i="5" l="1"/>
  <c r="T4" i="5" a="1"/>
  <c r="T4" i="5" l="1"/>
  <c r="U4" i="5" a="1"/>
  <c r="U4" i="5" l="1"/>
  <c r="V4" i="5" a="1"/>
  <c r="V4" i="5" l="1"/>
  <c r="W4" i="5" a="1"/>
  <c r="W4" i="5" l="1"/>
  <c r="X4" i="5" a="1"/>
  <c r="X4" i="5" l="1"/>
  <c r="K4" i="5" a="1"/>
  <c r="K4" i="5" l="1"/>
  <c r="L4" i="5" a="1"/>
  <c r="L4" i="5" l="1"/>
  <c r="M4" i="5" a="1"/>
  <c r="M4" i="5" l="1"/>
  <c r="N4" i="5" a="1"/>
  <c r="N4" i="5" l="1"/>
  <c r="O4" i="5" a="1"/>
  <c r="O4" i="5" l="1"/>
  <c r="P4" i="5" a="1"/>
  <c r="P4" i="5" l="1"/>
  <c r="Q4" i="5" a="1"/>
  <c r="Q4" i="5" l="1"/>
  <c r="C4" i="5" a="1"/>
  <c r="C4" i="5" l="1"/>
  <c r="E4" i="5" a="1"/>
  <c r="E4" i="5" l="1"/>
  <c r="F4" i="5" a="1"/>
  <c r="F4" i="5" l="1"/>
  <c r="G4" i="5" a="1"/>
  <c r="G4" i="5" l="1"/>
  <c r="H4" i="5" a="1"/>
  <c r="H4" i="5" l="1"/>
  <c r="I4" i="5" a="1"/>
  <c r="I4" i="5" l="1"/>
  <c r="J4" i="5" a="1"/>
  <c r="J4" i="5" l="1"/>
  <c r="D63" i="5" a="1"/>
  <c r="D63" i="5" l="1"/>
  <c r="D65" i="5" a="1"/>
  <c r="D65" i="5" l="1"/>
  <c r="D67" i="5" a="1"/>
  <c r="D67" i="5" l="1"/>
  <c r="B4" i="5" a="1"/>
  <c r="B4" i="5" l="1"/>
  <c r="D58" i="5" a="1"/>
  <c r="D58" i="5" l="1"/>
  <c r="D59" i="5" a="1"/>
  <c r="D59" i="5" l="1"/>
  <c r="D60" i="5" a="1"/>
  <c r="D60" i="5" l="1"/>
  <c r="D61" i="5" a="1"/>
  <c r="D61" i="5" l="1"/>
  <c r="D62" i="5" a="1"/>
  <c r="D62" i="5" l="1"/>
  <c r="D53" i="5" a="1"/>
  <c r="D53" i="5" l="1"/>
  <c r="D54" i="5" a="1"/>
  <c r="D54" i="5" l="1"/>
  <c r="D55" i="5" a="1"/>
  <c r="D55" i="5" l="1"/>
  <c r="D56" i="5" a="1"/>
  <c r="D56" i="5" l="1"/>
  <c r="D57" i="5" a="1"/>
  <c r="D57" i="5" l="1"/>
  <c r="D49" i="5" a="1"/>
  <c r="D49" i="5" l="1"/>
  <c r="D50" i="5" a="1"/>
  <c r="D50" i="5" l="1"/>
  <c r="D51" i="5" a="1"/>
  <c r="D51" i="5" l="1"/>
  <c r="D52" i="5" a="1"/>
  <c r="D52" i="5" l="1"/>
  <c r="D44" i="5" a="1"/>
  <c r="D44" i="5" l="1"/>
  <c r="D45" i="5" a="1"/>
  <c r="D45" i="5" l="1"/>
  <c r="D46" i="5" a="1"/>
  <c r="D46" i="5" l="1"/>
  <c r="D47" i="5" a="1"/>
  <c r="D47" i="5" l="1"/>
  <c r="D48" i="5" a="1"/>
  <c r="D48" i="5" l="1"/>
  <c r="D39" i="5" a="1"/>
  <c r="D39" i="5" l="1"/>
  <c r="D40" i="5" a="1"/>
  <c r="D40" i="5" l="1"/>
  <c r="D41" i="5" a="1"/>
  <c r="D41" i="5" l="1"/>
  <c r="D42" i="5" a="1"/>
  <c r="D42" i="5" l="1"/>
  <c r="D43" i="5" a="1"/>
  <c r="D43" i="5" l="1"/>
  <c r="D35" i="5" a="1"/>
  <c r="D35" i="5" l="1"/>
  <c r="D36" i="5" a="1"/>
  <c r="D36" i="5" l="1"/>
  <c r="D37" i="5" a="1"/>
  <c r="D37" i="5" l="1"/>
  <c r="D38" i="5" a="1"/>
  <c r="D38" i="5" l="1"/>
  <c r="D30" i="5" a="1"/>
  <c r="D30" i="5" l="1"/>
  <c r="D31" i="5" a="1"/>
  <c r="D31" i="5" l="1"/>
  <c r="D32" i="5" a="1"/>
  <c r="D32" i="5" l="1"/>
  <c r="D33" i="5" a="1"/>
  <c r="D33" i="5" l="1"/>
  <c r="D34" i="5" a="1"/>
  <c r="D34" i="5" l="1"/>
  <c r="D25" i="5" a="1"/>
  <c r="D25" i="5" l="1"/>
  <c r="D26" i="5" a="1"/>
  <c r="D26" i="5" l="1"/>
  <c r="D27" i="5" a="1"/>
  <c r="D27" i="5" l="1"/>
  <c r="D28" i="5" a="1"/>
  <c r="D28" i="5" l="1"/>
  <c r="D29" i="5" a="1"/>
  <c r="D29" i="5" l="1"/>
  <c r="D21" i="5" a="1"/>
  <c r="D21" i="5" l="1"/>
  <c r="D22" i="5" a="1"/>
  <c r="D22" i="5" l="1"/>
  <c r="D23" i="5" a="1"/>
  <c r="D23" i="5" l="1"/>
  <c r="D24" i="5" a="1"/>
  <c r="D24" i="5" l="1"/>
  <c r="D16" i="5" a="1"/>
  <c r="D16" i="5" l="1"/>
  <c r="D17" i="5" a="1"/>
  <c r="D17" i="5" l="1"/>
  <c r="D18" i="5" a="1"/>
  <c r="D18" i="5" l="1"/>
  <c r="D19" i="5" a="1"/>
  <c r="D19" i="5" l="1"/>
  <c r="D20" i="5" a="1"/>
  <c r="D20" i="5" l="1"/>
  <c r="D11" i="5" a="1"/>
  <c r="D11" i="5" l="1"/>
  <c r="D12" i="5" a="1"/>
  <c r="D12" i="5" l="1"/>
  <c r="D13" i="5" a="1"/>
  <c r="D13" i="5" l="1"/>
  <c r="D14" i="5" a="1"/>
  <c r="D14" i="5" l="1"/>
  <c r="D15" i="5" a="1"/>
  <c r="D15" i="5" l="1"/>
  <c r="D6" i="5" a="1"/>
  <c r="D6" i="5" l="1"/>
  <c r="D7" i="5" a="1"/>
  <c r="D7" i="5" l="1"/>
  <c r="D8" i="5" a="1"/>
  <c r="D8" i="5" l="1"/>
  <c r="D9" i="5" a="1"/>
  <c r="D9" i="5" l="1"/>
  <c r="D10" i="5" a="1"/>
  <c r="D10" i="5" l="1"/>
  <c r="D64" i="5" a="1"/>
  <c r="D64" i="5" l="1"/>
  <c r="D66" i="5" a="1"/>
  <c r="D66" i="5" l="1"/>
  <c r="D4" i="5" a="1"/>
  <c r="D4" i="5" l="1"/>
  <c r="D5" i="5" a="1"/>
  <c r="D5" i="5" l="1"/>
  <c r="A42" i="2"/>
  <c r="A63" i="2"/>
  <c r="A66" i="2"/>
  <c r="A52" i="2"/>
  <c r="A23" i="2"/>
  <c r="A25" i="2"/>
  <c r="A27" i="2"/>
  <c r="A46" i="2"/>
  <c r="A17" i="2"/>
  <c r="A41" i="2"/>
  <c r="A68" i="2"/>
  <c r="A43" i="2"/>
  <c r="A31" i="2"/>
  <c r="A33" i="2"/>
  <c r="A34" i="2"/>
  <c r="A53" i="2"/>
  <c r="A55" i="2"/>
  <c r="A58" i="2"/>
  <c r="A45" i="2"/>
  <c r="A47" i="2"/>
  <c r="A51" i="2"/>
  <c r="A36" i="2"/>
  <c r="A38" i="2"/>
  <c r="A60" i="2"/>
  <c r="A28" i="2"/>
  <c r="A64" i="2"/>
  <c r="A32" i="2"/>
  <c r="A35" i="2"/>
  <c r="A21" i="2"/>
  <c r="A22" i="2"/>
  <c r="A24" i="2"/>
  <c r="A57" i="2"/>
  <c r="A44" i="2"/>
  <c r="A13" i="2"/>
  <c r="A50" i="2"/>
  <c r="A61" i="2"/>
  <c r="A29" i="2"/>
  <c r="A65" i="2"/>
  <c r="A67" i="2"/>
  <c r="A54" i="2"/>
  <c r="A26" i="2"/>
  <c r="A12" i="2"/>
  <c r="A14" i="2"/>
  <c r="A48" i="2"/>
  <c r="A49" i="2"/>
  <c r="A19" i="2"/>
  <c r="A39" i="2"/>
  <c r="A62" i="2"/>
  <c r="A30" i="2"/>
  <c r="A20" i="2"/>
  <c r="A56" i="2"/>
  <c r="A59" i="2"/>
  <c r="A15" i="2"/>
  <c r="A16" i="2"/>
  <c r="A18" i="2"/>
  <c r="A37" i="2"/>
  <c r="A40" i="2"/>
  <c r="B5" i="2" a="1"/>
  <c r="B5" i="2" l="1"/>
  <c r="C5" i="2" a="1"/>
  <c r="C5" i="2" l="1"/>
  <c r="D5" i="2" a="1"/>
  <c r="D5" i="2" l="1"/>
  <c r="E5" i="2" a="1"/>
  <c r="E5" i="2" l="1"/>
  <c r="F5" i="2" a="1"/>
  <c r="F5" i="2" l="1"/>
  <c r="G5" i="2" a="1"/>
  <c r="G5" i="2" l="1"/>
  <c r="A9" i="2"/>
  <c r="A10" i="2"/>
  <c r="A11" i="2"/>
  <c r="D8" i="2"/>
  <c r="E8" i="2"/>
  <c r="F8" i="2"/>
  <c r="G8" i="2"/>
  <c r="AF8" i="2"/>
  <c r="AG8" i="2"/>
  <c r="A8" i="2"/>
  <c r="B8" i="2"/>
  <c r="C8" i="2"/>
  <c r="AH8" i="2"/>
  <c r="AI8" i="2"/>
  <c r="K6" i="42"/>
  <c r="E7" i="251" l="1" a="1"/>
  <c r="E7" i="251"/>
  <c r="L9" i="133"/>
  <c r="M9" i="133"/>
  <c r="N9" i="133"/>
  <c r="O9" i="133"/>
  <c r="P9" i="133"/>
  <c r="Q9" i="133"/>
  <c r="R9" i="133"/>
  <c r="S9" i="133"/>
  <c r="T9" i="133"/>
  <c r="U9" i="133"/>
  <c r="V9" i="133"/>
  <c r="X9" i="133"/>
  <c r="Y9" i="133"/>
  <c r="Z9" i="133"/>
  <c r="AA9" i="133"/>
  <c r="L10" i="133"/>
  <c r="M10" i="133"/>
  <c r="N10" i="133"/>
  <c r="O10" i="133"/>
  <c r="P10" i="133"/>
  <c r="Q10" i="133"/>
  <c r="R10" i="133"/>
  <c r="S10" i="133"/>
  <c r="T10" i="133"/>
  <c r="U10" i="133"/>
  <c r="V10" i="133"/>
  <c r="W10" i="133"/>
  <c r="X10" i="133"/>
  <c r="Y10" i="133"/>
  <c r="Z10" i="133"/>
  <c r="AA10" i="133"/>
  <c r="L11" i="133"/>
  <c r="M11" i="133"/>
  <c r="N11" i="133"/>
  <c r="O11" i="133"/>
  <c r="P11" i="133"/>
  <c r="Q11" i="133"/>
  <c r="R11" i="133"/>
  <c r="S11" i="133"/>
  <c r="T11" i="133"/>
  <c r="U11" i="133"/>
  <c r="V11" i="133"/>
  <c r="X11" i="133"/>
  <c r="Y11" i="133"/>
  <c r="Z11" i="133"/>
  <c r="AA11" i="133"/>
  <c r="L12" i="133"/>
  <c r="M12" i="133"/>
  <c r="N12" i="133"/>
  <c r="O12" i="133"/>
  <c r="P12" i="133"/>
  <c r="Q12" i="133"/>
  <c r="R12" i="133"/>
  <c r="S12" i="133"/>
  <c r="T12" i="133"/>
  <c r="U12" i="133"/>
  <c r="V12" i="133"/>
  <c r="W12" i="133"/>
  <c r="X12" i="133"/>
  <c r="Y12" i="133"/>
  <c r="Z12" i="133"/>
  <c r="AA12" i="133"/>
  <c r="L13" i="133"/>
  <c r="M13" i="133"/>
  <c r="N13" i="133"/>
  <c r="O13" i="133"/>
  <c r="P13" i="133"/>
  <c r="Q13" i="133"/>
  <c r="R13" i="133"/>
  <c r="S13" i="133"/>
  <c r="T13" i="133"/>
  <c r="U13" i="133"/>
  <c r="V13" i="133"/>
  <c r="X13" i="133"/>
  <c r="Y13" i="133"/>
  <c r="Z13" i="133"/>
  <c r="AA13" i="133"/>
  <c r="L14" i="133"/>
  <c r="M14" i="133"/>
  <c r="N14" i="133"/>
  <c r="O14" i="133"/>
  <c r="P14" i="133"/>
  <c r="Q14" i="133"/>
  <c r="R14" i="133"/>
  <c r="S14" i="133"/>
  <c r="T14" i="133"/>
  <c r="U14" i="133"/>
  <c r="V14" i="133"/>
  <c r="W14" i="133"/>
  <c r="X14" i="133"/>
  <c r="Y14" i="133"/>
  <c r="Z14" i="133"/>
  <c r="AA14" i="133"/>
  <c r="L15" i="133"/>
  <c r="M15" i="133"/>
  <c r="N15" i="133"/>
  <c r="O15" i="133"/>
  <c r="P15" i="133"/>
  <c r="Q15" i="133"/>
  <c r="R15" i="133"/>
  <c r="S15" i="133"/>
  <c r="T15" i="133"/>
  <c r="U15" i="133"/>
  <c r="V15" i="133"/>
  <c r="X15" i="133"/>
  <c r="Y15" i="133"/>
  <c r="Z15" i="133"/>
  <c r="AA15" i="133"/>
  <c r="L16" i="133"/>
  <c r="M16" i="133"/>
  <c r="N16" i="133"/>
  <c r="O16" i="133"/>
  <c r="P16" i="133"/>
  <c r="Q16" i="133"/>
  <c r="R16" i="133"/>
  <c r="S16" i="133"/>
  <c r="T16" i="133"/>
  <c r="U16" i="133"/>
  <c r="V16" i="133"/>
  <c r="W16" i="133"/>
  <c r="X16" i="133"/>
  <c r="Y16" i="133"/>
  <c r="Z16" i="133"/>
  <c r="AA16" i="133"/>
  <c r="L17" i="133"/>
  <c r="M17" i="133"/>
  <c r="N17" i="133"/>
  <c r="O17" i="133"/>
  <c r="P17" i="133"/>
  <c r="Q17" i="133"/>
  <c r="R17" i="133"/>
  <c r="S17" i="133"/>
  <c r="T17" i="133"/>
  <c r="U17" i="133"/>
  <c r="V17" i="133"/>
  <c r="X17" i="133"/>
  <c r="Y17" i="133"/>
  <c r="Z17" i="133"/>
  <c r="AA17" i="133"/>
  <c r="L18" i="133"/>
  <c r="M18" i="133"/>
  <c r="N18" i="133"/>
  <c r="O18" i="133"/>
  <c r="P18" i="133"/>
  <c r="Q18" i="133"/>
  <c r="R18" i="133"/>
  <c r="S18" i="133"/>
  <c r="T18" i="133"/>
  <c r="U18" i="133"/>
  <c r="V18" i="133"/>
  <c r="W18" i="133"/>
  <c r="X18" i="133"/>
  <c r="Y18" i="133"/>
  <c r="Z18" i="133"/>
  <c r="AA18" i="133"/>
  <c r="L19" i="133"/>
  <c r="M19" i="133"/>
  <c r="N19" i="133"/>
  <c r="O19" i="133"/>
  <c r="P19" i="133"/>
  <c r="Q19" i="133"/>
  <c r="R19" i="133"/>
  <c r="S19" i="133"/>
  <c r="T19" i="133"/>
  <c r="U19" i="133"/>
  <c r="V19" i="133"/>
  <c r="X19" i="133"/>
  <c r="Y19" i="133"/>
  <c r="Z19" i="133"/>
  <c r="AA19" i="133"/>
  <c r="L20" i="133"/>
  <c r="M20" i="133"/>
  <c r="N20" i="133"/>
  <c r="O20" i="133"/>
  <c r="P20" i="133"/>
  <c r="Q20" i="133"/>
  <c r="R20" i="133"/>
  <c r="S20" i="133"/>
  <c r="T20" i="133"/>
  <c r="U20" i="133"/>
  <c r="V20" i="133"/>
  <c r="W20" i="133"/>
  <c r="X20" i="133"/>
  <c r="Y20" i="133"/>
  <c r="Z20" i="133"/>
  <c r="AA20" i="133"/>
  <c r="L21" i="133"/>
  <c r="M21" i="133"/>
  <c r="N21" i="133"/>
  <c r="O21" i="133"/>
  <c r="P21" i="133"/>
  <c r="Q21" i="133"/>
  <c r="R21" i="133"/>
  <c r="S21" i="133"/>
  <c r="T21" i="133"/>
  <c r="U21" i="133"/>
  <c r="V21" i="133"/>
  <c r="X21" i="133"/>
  <c r="Y21" i="133"/>
  <c r="Z21" i="133"/>
  <c r="AA21" i="133"/>
  <c r="L22" i="133"/>
  <c r="M22" i="133"/>
  <c r="N22" i="133"/>
  <c r="O22" i="133"/>
  <c r="P22" i="133"/>
  <c r="Q22" i="133"/>
  <c r="R22" i="133"/>
  <c r="S22" i="133"/>
  <c r="T22" i="133"/>
  <c r="U22" i="133"/>
  <c r="V22" i="133"/>
  <c r="W22" i="133"/>
  <c r="X22" i="133"/>
  <c r="Y22" i="133"/>
  <c r="Z22" i="133"/>
  <c r="AA22" i="133"/>
  <c r="L23" i="133"/>
  <c r="M23" i="133"/>
  <c r="N23" i="133"/>
  <c r="O23" i="133"/>
  <c r="P23" i="133"/>
  <c r="Q23" i="133"/>
  <c r="R23" i="133"/>
  <c r="S23" i="133"/>
  <c r="T23" i="133"/>
  <c r="U23" i="133"/>
  <c r="V23" i="133"/>
  <c r="X23" i="133"/>
  <c r="Y23" i="133"/>
  <c r="Z23" i="133"/>
  <c r="AA23" i="133"/>
  <c r="L24" i="133"/>
  <c r="M24" i="133"/>
  <c r="N24" i="133"/>
  <c r="O24" i="133"/>
  <c r="P24" i="133"/>
  <c r="Q24" i="133"/>
  <c r="R24" i="133"/>
  <c r="S24" i="133"/>
  <c r="T24" i="133"/>
  <c r="U24" i="133"/>
  <c r="V24" i="133"/>
  <c r="W24" i="133"/>
  <c r="X24" i="133"/>
  <c r="Y24" i="133"/>
  <c r="Z24" i="133"/>
  <c r="AA24" i="133"/>
  <c r="L25" i="133"/>
  <c r="M25" i="133"/>
  <c r="N25" i="133"/>
  <c r="O25" i="133"/>
  <c r="P25" i="133"/>
  <c r="Q25" i="133"/>
  <c r="R25" i="133"/>
  <c r="S25" i="133"/>
  <c r="T25" i="133"/>
  <c r="U25" i="133"/>
  <c r="V25" i="133"/>
  <c r="X25" i="133"/>
  <c r="Y25" i="133"/>
  <c r="Z25" i="133"/>
  <c r="AA25" i="133"/>
  <c r="L26" i="133"/>
  <c r="M26" i="133"/>
  <c r="N26" i="133"/>
  <c r="O26" i="133"/>
  <c r="P26" i="133"/>
  <c r="Q26" i="133"/>
  <c r="R26" i="133"/>
  <c r="S26" i="133"/>
  <c r="T26" i="133"/>
  <c r="U26" i="133"/>
  <c r="V26" i="133"/>
  <c r="W26" i="133"/>
  <c r="X26" i="133"/>
  <c r="Y26" i="133"/>
  <c r="Z26" i="133"/>
  <c r="AA26" i="133"/>
  <c r="L27" i="133"/>
  <c r="M27" i="133"/>
  <c r="N27" i="133"/>
  <c r="O27" i="133"/>
  <c r="P27" i="133"/>
  <c r="Q27" i="133"/>
  <c r="R27" i="133"/>
  <c r="S27" i="133"/>
  <c r="T27" i="133"/>
  <c r="U27" i="133"/>
  <c r="V27" i="133"/>
  <c r="X27" i="133"/>
  <c r="Y27" i="133"/>
  <c r="Z27" i="133"/>
  <c r="AA27" i="133"/>
  <c r="L28" i="133"/>
  <c r="M28" i="133"/>
  <c r="N28" i="133"/>
  <c r="O28" i="133"/>
  <c r="P28" i="133"/>
  <c r="Q28" i="133"/>
  <c r="R28" i="133"/>
  <c r="S28" i="133"/>
  <c r="T28" i="133"/>
  <c r="U28" i="133"/>
  <c r="V28" i="133"/>
  <c r="W28" i="133"/>
  <c r="X28" i="133"/>
  <c r="Y28" i="133"/>
  <c r="Z28" i="133"/>
  <c r="AA28" i="133"/>
  <c r="L29" i="133"/>
  <c r="M29" i="133"/>
  <c r="N29" i="133"/>
  <c r="O29" i="133"/>
  <c r="P29" i="133"/>
  <c r="Q29" i="133"/>
  <c r="R29" i="133"/>
  <c r="S29" i="133"/>
  <c r="T29" i="133"/>
  <c r="U29" i="133"/>
  <c r="V29" i="133"/>
  <c r="X29" i="133"/>
  <c r="Y29" i="133"/>
  <c r="Z29" i="133"/>
  <c r="AA29" i="133"/>
  <c r="L30" i="133"/>
  <c r="M30" i="133"/>
  <c r="N30" i="133"/>
  <c r="O30" i="133"/>
  <c r="P30" i="133"/>
  <c r="Q30" i="133"/>
  <c r="R30" i="133"/>
  <c r="S30" i="133"/>
  <c r="T30" i="133"/>
  <c r="U30" i="133"/>
  <c r="V30" i="133"/>
  <c r="W30" i="133"/>
  <c r="X30" i="133"/>
  <c r="Y30" i="133"/>
  <c r="Z30" i="133"/>
  <c r="AA30" i="133"/>
  <c r="L31" i="133"/>
  <c r="M31" i="133"/>
  <c r="N31" i="133"/>
  <c r="O31" i="133"/>
  <c r="P31" i="133"/>
  <c r="Q31" i="133"/>
  <c r="R31" i="133"/>
  <c r="S31" i="133"/>
  <c r="T31" i="133"/>
  <c r="U31" i="133"/>
  <c r="V31" i="133"/>
  <c r="X31" i="133"/>
  <c r="Y31" i="133"/>
  <c r="Z31" i="133"/>
  <c r="AA31" i="133"/>
  <c r="L32" i="133"/>
  <c r="M32" i="133"/>
  <c r="N32" i="133"/>
  <c r="O32" i="133"/>
  <c r="P32" i="133"/>
  <c r="Q32" i="133"/>
  <c r="R32" i="133"/>
  <c r="S32" i="133"/>
  <c r="T32" i="133"/>
  <c r="U32" i="133"/>
  <c r="V32" i="133"/>
  <c r="W32" i="133"/>
  <c r="X32" i="133"/>
  <c r="Y32" i="133"/>
  <c r="Z32" i="133"/>
  <c r="AA32" i="133"/>
  <c r="L33" i="133"/>
  <c r="M33" i="133"/>
  <c r="N33" i="133"/>
  <c r="O33" i="133"/>
  <c r="P33" i="133"/>
  <c r="Q33" i="133"/>
  <c r="R33" i="133"/>
  <c r="S33" i="133"/>
  <c r="T33" i="133"/>
  <c r="U33" i="133"/>
  <c r="V33" i="133"/>
  <c r="X33" i="133"/>
  <c r="Y33" i="133"/>
  <c r="Z33" i="133"/>
  <c r="AA33" i="133"/>
  <c r="L34" i="133"/>
  <c r="M34" i="133"/>
  <c r="N34" i="133"/>
  <c r="O34" i="133"/>
  <c r="P34" i="133"/>
  <c r="Q34" i="133"/>
  <c r="R34" i="133"/>
  <c r="S34" i="133"/>
  <c r="T34" i="133"/>
  <c r="U34" i="133"/>
  <c r="V34" i="133"/>
  <c r="W34" i="133"/>
  <c r="X34" i="133"/>
  <c r="Y34" i="133"/>
  <c r="Z34" i="133"/>
  <c r="AA34" i="133"/>
  <c r="L35" i="133"/>
  <c r="M35" i="133"/>
  <c r="N35" i="133"/>
  <c r="O35" i="133"/>
  <c r="P35" i="133"/>
  <c r="Q35" i="133"/>
  <c r="R35" i="133"/>
  <c r="S35" i="133"/>
  <c r="T35" i="133"/>
  <c r="U35" i="133"/>
  <c r="V35" i="133"/>
  <c r="X35" i="133"/>
  <c r="Y35" i="133"/>
  <c r="Z35" i="133"/>
  <c r="AA35" i="133"/>
  <c r="L36" i="133"/>
  <c r="M36" i="133"/>
  <c r="N36" i="133"/>
  <c r="O36" i="133"/>
  <c r="P36" i="133"/>
  <c r="Q36" i="133"/>
  <c r="R36" i="133"/>
  <c r="S36" i="133"/>
  <c r="T36" i="133"/>
  <c r="U36" i="133"/>
  <c r="V36" i="133"/>
  <c r="W36" i="133"/>
  <c r="X36" i="133"/>
  <c r="Y36" i="133"/>
  <c r="Z36" i="133"/>
  <c r="AA36" i="133"/>
  <c r="L37" i="133"/>
  <c r="M37" i="133"/>
  <c r="N37" i="133"/>
  <c r="O37" i="133"/>
  <c r="P37" i="133"/>
  <c r="Q37" i="133"/>
  <c r="R37" i="133"/>
  <c r="S37" i="133"/>
  <c r="T37" i="133"/>
  <c r="U37" i="133"/>
  <c r="V37" i="133"/>
  <c r="X37" i="133"/>
  <c r="Y37" i="133"/>
  <c r="Z37" i="133"/>
  <c r="AA37" i="133"/>
  <c r="L38" i="133"/>
  <c r="M38" i="133"/>
  <c r="N38" i="133"/>
  <c r="O38" i="133"/>
  <c r="P38" i="133"/>
  <c r="Q38" i="133"/>
  <c r="R38" i="133"/>
  <c r="S38" i="133"/>
  <c r="T38" i="133"/>
  <c r="U38" i="133"/>
  <c r="V38" i="133"/>
  <c r="W38" i="133"/>
  <c r="X38" i="133"/>
  <c r="Y38" i="133"/>
  <c r="Z38" i="133"/>
  <c r="AA38" i="133"/>
  <c r="L39" i="133"/>
  <c r="M39" i="133"/>
  <c r="N39" i="133"/>
  <c r="O39" i="133"/>
  <c r="P39" i="133"/>
  <c r="Q39" i="133"/>
  <c r="R39" i="133"/>
  <c r="S39" i="133"/>
  <c r="T39" i="133"/>
  <c r="U39" i="133"/>
  <c r="V39" i="133"/>
  <c r="X39" i="133"/>
  <c r="Y39" i="133"/>
  <c r="Z39" i="133"/>
  <c r="AA39" i="133"/>
  <c r="L40" i="133"/>
  <c r="M40" i="133"/>
  <c r="N40" i="133"/>
  <c r="O40" i="133"/>
  <c r="P40" i="133"/>
  <c r="Q40" i="133"/>
  <c r="R40" i="133"/>
  <c r="S40" i="133"/>
  <c r="T40" i="133"/>
  <c r="U40" i="133"/>
  <c r="V40" i="133"/>
  <c r="W40" i="133"/>
  <c r="X40" i="133"/>
  <c r="Y40" i="133"/>
  <c r="Z40" i="133"/>
  <c r="AA40" i="133"/>
  <c r="L41" i="133"/>
  <c r="M41" i="133"/>
  <c r="N41" i="133"/>
  <c r="O41" i="133"/>
  <c r="P41" i="133"/>
  <c r="Q41" i="133"/>
  <c r="R41" i="133"/>
  <c r="S41" i="133"/>
  <c r="T41" i="133"/>
  <c r="U41" i="133"/>
  <c r="V41" i="133"/>
  <c r="X41" i="133"/>
  <c r="Y41" i="133"/>
  <c r="Z41" i="133"/>
  <c r="AA41" i="133"/>
  <c r="L42" i="133"/>
  <c r="M42" i="133"/>
  <c r="N42" i="133"/>
  <c r="O42" i="133"/>
  <c r="P42" i="133"/>
  <c r="Q42" i="133"/>
  <c r="R42" i="133"/>
  <c r="S42" i="133"/>
  <c r="T42" i="133"/>
  <c r="U42" i="133"/>
  <c r="V42" i="133"/>
  <c r="W42" i="133"/>
  <c r="X42" i="133"/>
  <c r="Y42" i="133"/>
  <c r="Z42" i="133"/>
  <c r="AA42" i="133"/>
  <c r="L43" i="133"/>
  <c r="M43" i="133"/>
  <c r="N43" i="133"/>
  <c r="O43" i="133"/>
  <c r="P43" i="133"/>
  <c r="Q43" i="133"/>
  <c r="R43" i="133"/>
  <c r="S43" i="133"/>
  <c r="T43" i="133"/>
  <c r="U43" i="133"/>
  <c r="V43" i="133"/>
  <c r="X43" i="133"/>
  <c r="Y43" i="133"/>
  <c r="Z43" i="133"/>
  <c r="AA43" i="133"/>
  <c r="L44" i="133"/>
  <c r="M44" i="133"/>
  <c r="N44" i="133"/>
  <c r="O44" i="133"/>
  <c r="P44" i="133"/>
  <c r="Q44" i="133"/>
  <c r="R44" i="133"/>
  <c r="S44" i="133"/>
  <c r="T44" i="133"/>
  <c r="U44" i="133"/>
  <c r="V44" i="133"/>
  <c r="W44" i="133"/>
  <c r="X44" i="133"/>
  <c r="Y44" i="133"/>
  <c r="Z44" i="133"/>
  <c r="AA44" i="133"/>
  <c r="L45" i="133"/>
  <c r="M45" i="133"/>
  <c r="N45" i="133"/>
  <c r="O45" i="133"/>
  <c r="P45" i="133"/>
  <c r="Q45" i="133"/>
  <c r="R45" i="133"/>
  <c r="S45" i="133"/>
  <c r="T45" i="133"/>
  <c r="U45" i="133"/>
  <c r="V45" i="133"/>
  <c r="X45" i="133"/>
  <c r="Y45" i="133"/>
  <c r="Z45" i="133"/>
  <c r="AA45" i="133"/>
  <c r="L46" i="133"/>
  <c r="M46" i="133"/>
  <c r="N46" i="133"/>
  <c r="O46" i="133"/>
  <c r="P46" i="133"/>
  <c r="Q46" i="133"/>
  <c r="R46" i="133"/>
  <c r="S46" i="133"/>
  <c r="T46" i="133"/>
  <c r="U46" i="133"/>
  <c r="V46" i="133"/>
  <c r="W46" i="133"/>
  <c r="X46" i="133"/>
  <c r="Y46" i="133"/>
  <c r="Z46" i="133"/>
  <c r="AA46" i="133"/>
  <c r="L47" i="133"/>
  <c r="M47" i="133"/>
  <c r="N47" i="133"/>
  <c r="O47" i="133"/>
  <c r="P47" i="133"/>
  <c r="Q47" i="133"/>
  <c r="R47" i="133"/>
  <c r="S47" i="133"/>
  <c r="T47" i="133"/>
  <c r="U47" i="133"/>
  <c r="V47" i="133"/>
  <c r="X47" i="133"/>
  <c r="Y47" i="133"/>
  <c r="Z47" i="133"/>
  <c r="AA47" i="133"/>
  <c r="L48" i="133"/>
  <c r="M48" i="133"/>
  <c r="N48" i="133"/>
  <c r="O48" i="133"/>
  <c r="P48" i="133"/>
  <c r="Q48" i="133"/>
  <c r="R48" i="133"/>
  <c r="S48" i="133"/>
  <c r="T48" i="133"/>
  <c r="U48" i="133"/>
  <c r="V48" i="133"/>
  <c r="W48" i="133"/>
  <c r="X48" i="133"/>
  <c r="Y48" i="133"/>
  <c r="Z48" i="133"/>
  <c r="AA48" i="133"/>
  <c r="L49" i="133"/>
  <c r="M49" i="133"/>
  <c r="N49" i="133"/>
  <c r="O49" i="133"/>
  <c r="P49" i="133"/>
  <c r="Q49" i="133"/>
  <c r="R49" i="133"/>
  <c r="S49" i="133"/>
  <c r="T49" i="133"/>
  <c r="U49" i="133"/>
  <c r="V49" i="133"/>
  <c r="X49" i="133"/>
  <c r="Y49" i="133"/>
  <c r="Z49" i="133"/>
  <c r="AA49" i="133"/>
  <c r="L50" i="133"/>
  <c r="M50" i="133"/>
  <c r="N50" i="133"/>
  <c r="O50" i="133"/>
  <c r="P50" i="133"/>
  <c r="Q50" i="133"/>
  <c r="R50" i="133"/>
  <c r="S50" i="133"/>
  <c r="T50" i="133"/>
  <c r="U50" i="133"/>
  <c r="V50" i="133"/>
  <c r="W50" i="133"/>
  <c r="X50" i="133"/>
  <c r="Y50" i="133"/>
  <c r="Z50" i="133"/>
  <c r="AA50" i="133"/>
  <c r="L51" i="133"/>
  <c r="M51" i="133"/>
  <c r="N51" i="133"/>
  <c r="O51" i="133"/>
  <c r="P51" i="133"/>
  <c r="Q51" i="133"/>
  <c r="R51" i="133"/>
  <c r="S51" i="133"/>
  <c r="T51" i="133"/>
  <c r="U51" i="133"/>
  <c r="V51" i="133"/>
  <c r="X51" i="133"/>
  <c r="Y51" i="133"/>
  <c r="Z51" i="133"/>
  <c r="AA51" i="133"/>
  <c r="L52" i="133"/>
  <c r="M52" i="133"/>
  <c r="N52" i="133"/>
  <c r="O52" i="133"/>
  <c r="P52" i="133"/>
  <c r="Q52" i="133"/>
  <c r="R52" i="133"/>
  <c r="S52" i="133"/>
  <c r="T52" i="133"/>
  <c r="U52" i="133"/>
  <c r="V52" i="133"/>
  <c r="W52" i="133"/>
  <c r="X52" i="133"/>
  <c r="Y52" i="133"/>
  <c r="Z52" i="133"/>
  <c r="AA52" i="133"/>
  <c r="L53" i="133"/>
  <c r="M53" i="133"/>
  <c r="N53" i="133"/>
  <c r="O53" i="133"/>
  <c r="P53" i="133"/>
  <c r="Q53" i="133"/>
  <c r="W53" i="133" s="1"/>
  <c r="R53" i="133"/>
  <c r="S53" i="133"/>
  <c r="T53" i="133"/>
  <c r="U53" i="133"/>
  <c r="V53" i="133"/>
  <c r="X53" i="133"/>
  <c r="Y53" i="133"/>
  <c r="Z53" i="133"/>
  <c r="AA53" i="133"/>
  <c r="L54" i="133"/>
  <c r="M54" i="133"/>
  <c r="N54" i="133"/>
  <c r="O54" i="133"/>
  <c r="P54" i="133"/>
  <c r="Q54" i="133"/>
  <c r="R54" i="133"/>
  <c r="S54" i="133"/>
  <c r="T54" i="133"/>
  <c r="U54" i="133"/>
  <c r="V54" i="133"/>
  <c r="W54" i="133"/>
  <c r="X54" i="133"/>
  <c r="Y54" i="133"/>
  <c r="Z54" i="133"/>
  <c r="AA54" i="133"/>
  <c r="L55" i="133"/>
  <c r="M55" i="133"/>
  <c r="N55" i="133"/>
  <c r="O55" i="133"/>
  <c r="P55" i="133"/>
  <c r="Q55" i="133"/>
  <c r="W55" i="133" s="1"/>
  <c r="R55" i="133"/>
  <c r="S55" i="133"/>
  <c r="T55" i="133"/>
  <c r="U55" i="133"/>
  <c r="V55" i="133"/>
  <c r="X55" i="133"/>
  <c r="Y55" i="133"/>
  <c r="Z55" i="133"/>
  <c r="AA55" i="133"/>
  <c r="L56" i="133"/>
  <c r="M56" i="133"/>
  <c r="N56" i="133"/>
  <c r="O56" i="133"/>
  <c r="P56" i="133"/>
  <c r="Q56" i="133"/>
  <c r="R56" i="133"/>
  <c r="S56" i="133"/>
  <c r="T56" i="133"/>
  <c r="U56" i="133"/>
  <c r="V56" i="133"/>
  <c r="W56" i="133"/>
  <c r="X56" i="133"/>
  <c r="Y56" i="133"/>
  <c r="Z56" i="133"/>
  <c r="AA56" i="133"/>
  <c r="L57" i="133"/>
  <c r="M57" i="133"/>
  <c r="N57" i="133"/>
  <c r="O57" i="133"/>
  <c r="P57" i="133"/>
  <c r="Q57" i="133"/>
  <c r="R57" i="133"/>
  <c r="S57" i="133"/>
  <c r="T57" i="133"/>
  <c r="U57" i="133"/>
  <c r="V57" i="133"/>
  <c r="X57" i="133"/>
  <c r="Y57" i="133"/>
  <c r="Z57" i="133"/>
  <c r="AA57" i="133"/>
  <c r="L58" i="133"/>
  <c r="M58" i="133"/>
  <c r="N58" i="133"/>
  <c r="O58" i="133"/>
  <c r="P58" i="133"/>
  <c r="Q58" i="133"/>
  <c r="R58" i="133"/>
  <c r="S58" i="133"/>
  <c r="T58" i="133"/>
  <c r="U58" i="133"/>
  <c r="V58" i="133"/>
  <c r="W58" i="133"/>
  <c r="X58" i="133"/>
  <c r="Y58" i="133"/>
  <c r="Z58" i="133"/>
  <c r="AA58" i="133"/>
  <c r="L59" i="133"/>
  <c r="M59" i="133"/>
  <c r="N59" i="133"/>
  <c r="O59" i="133"/>
  <c r="P59" i="133"/>
  <c r="Q59" i="133"/>
  <c r="R59" i="133"/>
  <c r="S59" i="133"/>
  <c r="T59" i="133"/>
  <c r="U59" i="133"/>
  <c r="V59" i="133"/>
  <c r="X59" i="133"/>
  <c r="Y59" i="133"/>
  <c r="Z59" i="133"/>
  <c r="AA59" i="133"/>
  <c r="L60" i="133"/>
  <c r="M60" i="133"/>
  <c r="N60" i="133"/>
  <c r="O60" i="133"/>
  <c r="P60" i="133"/>
  <c r="Q60" i="133"/>
  <c r="R60" i="133"/>
  <c r="S60" i="133"/>
  <c r="T60" i="133"/>
  <c r="U60" i="133"/>
  <c r="V60" i="133"/>
  <c r="W60" i="133"/>
  <c r="X60" i="133"/>
  <c r="Y60" i="133"/>
  <c r="Z60" i="133"/>
  <c r="AA60" i="133"/>
  <c r="L61" i="133"/>
  <c r="M61" i="133"/>
  <c r="N61" i="133"/>
  <c r="O61" i="133"/>
  <c r="P61" i="133"/>
  <c r="Q61" i="133"/>
  <c r="R61" i="133"/>
  <c r="S61" i="133"/>
  <c r="T61" i="133"/>
  <c r="U61" i="133"/>
  <c r="V61" i="133"/>
  <c r="X61" i="133"/>
  <c r="Y61" i="133"/>
  <c r="Z61" i="133"/>
  <c r="AA61" i="133"/>
  <c r="L62" i="133"/>
  <c r="M62" i="133"/>
  <c r="N62" i="133"/>
  <c r="O62" i="133"/>
  <c r="P62" i="133"/>
  <c r="Q62" i="133"/>
  <c r="R62" i="133"/>
  <c r="S62" i="133"/>
  <c r="T62" i="133"/>
  <c r="U62" i="133"/>
  <c r="V62" i="133"/>
  <c r="W62" i="133"/>
  <c r="X62" i="133"/>
  <c r="Y62" i="133"/>
  <c r="Z62" i="133"/>
  <c r="AA62" i="133"/>
  <c r="L63" i="133"/>
  <c r="M63" i="133"/>
  <c r="N63" i="133"/>
  <c r="O63" i="133"/>
  <c r="P63" i="133"/>
  <c r="Q63" i="133"/>
  <c r="R63" i="133"/>
  <c r="S63" i="133"/>
  <c r="T63" i="133"/>
  <c r="U63" i="133"/>
  <c r="V63" i="133"/>
  <c r="X63" i="133"/>
  <c r="Y63" i="133"/>
  <c r="Z63" i="133"/>
  <c r="AA63" i="133"/>
  <c r="L64" i="133"/>
  <c r="M64" i="133"/>
  <c r="N64" i="133"/>
  <c r="O64" i="133"/>
  <c r="P64" i="133"/>
  <c r="Q64" i="133"/>
  <c r="R64" i="133"/>
  <c r="S64" i="133"/>
  <c r="T64" i="133"/>
  <c r="U64" i="133"/>
  <c r="V64" i="133"/>
  <c r="W64" i="133"/>
  <c r="X64" i="133"/>
  <c r="Y64" i="133"/>
  <c r="Z64" i="133"/>
  <c r="AA64" i="133"/>
  <c r="L65" i="133"/>
  <c r="M65" i="133"/>
  <c r="N65" i="133"/>
  <c r="O65" i="133"/>
  <c r="P65" i="133"/>
  <c r="Q65" i="133"/>
  <c r="R65" i="133"/>
  <c r="S65" i="133"/>
  <c r="T65" i="133"/>
  <c r="U65" i="133"/>
  <c r="V65" i="133"/>
  <c r="X65" i="133"/>
  <c r="Y65" i="133"/>
  <c r="Z65" i="133"/>
  <c r="AA65" i="133"/>
  <c r="L66" i="133"/>
  <c r="M66" i="133"/>
  <c r="N66" i="133"/>
  <c r="O66" i="133"/>
  <c r="P66" i="133"/>
  <c r="Q66" i="133"/>
  <c r="R66" i="133"/>
  <c r="S66" i="133"/>
  <c r="T66" i="133"/>
  <c r="U66" i="133"/>
  <c r="V66" i="133"/>
  <c r="W66" i="133"/>
  <c r="X66" i="133"/>
  <c r="Y66" i="133"/>
  <c r="Z66" i="133"/>
  <c r="AA66" i="133"/>
  <c r="L67" i="133"/>
  <c r="M67" i="133"/>
  <c r="N67" i="133"/>
  <c r="O67" i="133"/>
  <c r="P67" i="133"/>
  <c r="Q67" i="133"/>
  <c r="R67" i="133"/>
  <c r="S67" i="133"/>
  <c r="T67" i="133"/>
  <c r="U67" i="133"/>
  <c r="V67" i="133"/>
  <c r="X67" i="133"/>
  <c r="Y67" i="133"/>
  <c r="Z67" i="133"/>
  <c r="AA67" i="133"/>
  <c r="L68" i="133"/>
  <c r="L4" i="126"/>
  <c r="S9" i="126" s="1" a="1"/>
  <c r="L6" i="126" a="1"/>
  <c r="L6" i="126"/>
  <c r="Y8" i="126" s="1" a="1"/>
  <c r="S6" i="126" a="1"/>
  <c r="S6" i="126"/>
  <c r="Y6" i="126"/>
  <c r="Z6" i="126"/>
  <c r="AA6" i="126"/>
  <c r="AB6" i="126"/>
  <c r="AC6" i="126"/>
  <c r="AD6" i="126"/>
  <c r="AF6" i="126"/>
  <c r="AG6" i="126"/>
  <c r="AH6" i="126"/>
  <c r="AI6" i="126"/>
  <c r="Y8" i="126"/>
  <c r="M9" i="126" a="1"/>
  <c r="N9" i="126" a="1"/>
  <c r="AA11" i="126" s="1"/>
  <c r="N9" i="126"/>
  <c r="O9" i="126" a="1"/>
  <c r="O9" i="126"/>
  <c r="P9" i="126" a="1"/>
  <c r="Q9" i="126" a="1"/>
  <c r="Q9" i="126"/>
  <c r="AD13" i="126" s="1"/>
  <c r="W24" i="126"/>
  <c r="W25" i="126"/>
  <c r="W26" i="126"/>
  <c r="T9" i="126" a="1"/>
  <c r="T9" i="126"/>
  <c r="U9" i="126" a="1"/>
  <c r="U9" i="126"/>
  <c r="V9" i="126" a="1"/>
  <c r="AD9" i="126"/>
  <c r="AG9" i="126"/>
  <c r="AH9" i="126"/>
  <c r="AG10" i="126"/>
  <c r="AH10" i="126"/>
  <c r="AD12" i="126"/>
  <c r="AG12" i="126"/>
  <c r="AH12" i="126"/>
  <c r="AD14" i="126"/>
  <c r="L4" i="73"/>
  <c r="L6" i="73" a="1"/>
  <c r="L6" i="73"/>
  <c r="S6" i="73" a="1"/>
  <c r="S6" i="73"/>
  <c r="Y6" i="73"/>
  <c r="Z6" i="73"/>
  <c r="AA6" i="73"/>
  <c r="AB6" i="73"/>
  <c r="AC6" i="73"/>
  <c r="AD6" i="73"/>
  <c r="AE6" i="73"/>
  <c r="AF6" i="73"/>
  <c r="AG6" i="73"/>
  <c r="AH6" i="73"/>
  <c r="AI6" i="73"/>
  <c r="L9" i="73" a="1"/>
  <c r="AO9" i="73"/>
  <c r="BO9" i="73" s="1" a="1"/>
  <c r="BO9" i="73" s="1"/>
  <c r="AO10" i="73"/>
  <c r="AO11" i="73"/>
  <c r="AO12" i="73"/>
  <c r="AO13" i="73"/>
  <c r="AO14" i="73"/>
  <c r="AO15" i="73"/>
  <c r="AO16" i="73"/>
  <c r="AO17" i="73"/>
  <c r="AO18" i="73"/>
  <c r="AO19" i="73"/>
  <c r="AO20" i="73"/>
  <c r="AO21" i="73"/>
  <c r="AO22" i="73"/>
  <c r="AO23" i="73"/>
  <c r="AO24" i="73"/>
  <c r="AO25" i="73"/>
  <c r="AO26" i="73"/>
  <c r="AO27" i="73"/>
  <c r="AO28" i="73"/>
  <c r="AO29" i="73"/>
  <c r="AO30" i="73"/>
  <c r="AO31" i="73"/>
  <c r="AO32" i="73"/>
  <c r="AO33" i="73"/>
  <c r="AO34" i="73"/>
  <c r="AO35" i="73"/>
  <c r="AO36" i="73"/>
  <c r="AO37" i="73"/>
  <c r="AO38" i="73"/>
  <c r="AO39" i="73"/>
  <c r="AO40" i="73"/>
  <c r="AO41" i="73"/>
  <c r="AO42" i="73"/>
  <c r="AO43" i="73"/>
  <c r="AO44" i="73"/>
  <c r="AO45" i="73"/>
  <c r="AO46" i="73"/>
  <c r="AO47" i="73"/>
  <c r="AO48" i="73"/>
  <c r="AO49" i="73"/>
  <c r="AO50" i="73"/>
  <c r="AO51" i="73"/>
  <c r="AO52" i="73"/>
  <c r="AO53" i="73"/>
  <c r="AO54" i="73"/>
  <c r="AO55" i="73"/>
  <c r="AO56" i="73"/>
  <c r="AO57" i="73"/>
  <c r="AO58" i="73"/>
  <c r="AO59" i="73"/>
  <c r="AO60" i="73"/>
  <c r="AO61" i="73"/>
  <c r="AO62" i="73"/>
  <c r="AO63" i="73"/>
  <c r="AO64" i="73"/>
  <c r="AO65" i="73"/>
  <c r="AO66" i="73"/>
  <c r="AO67" i="73"/>
  <c r="AO68" i="73"/>
  <c r="AO69" i="73"/>
  <c r="AO70" i="73"/>
  <c r="AO71" i="73"/>
  <c r="AO72" i="73"/>
  <c r="AO73" i="73"/>
  <c r="AO74" i="73"/>
  <c r="AO75" i="73"/>
  <c r="AO76" i="73"/>
  <c r="AO77" i="73"/>
  <c r="AO78" i="73"/>
  <c r="AO79" i="73"/>
  <c r="AO80" i="73"/>
  <c r="AO81" i="73"/>
  <c r="AO82" i="73"/>
  <c r="AO83" i="73"/>
  <c r="AO84" i="73"/>
  <c r="AO85" i="73"/>
  <c r="AO86" i="73"/>
  <c r="AO87" i="73"/>
  <c r="AO88" i="73"/>
  <c r="AO89" i="73"/>
  <c r="AO90" i="73"/>
  <c r="AO91" i="73"/>
  <c r="AO92" i="73"/>
  <c r="AO93" i="73"/>
  <c r="AO94" i="73"/>
  <c r="AO95" i="73"/>
  <c r="AO96" i="73"/>
  <c r="AO97" i="73"/>
  <c r="AO98" i="73"/>
  <c r="AO99" i="73"/>
  <c r="AO100" i="73"/>
  <c r="AO101" i="73"/>
  <c r="AO102" i="73"/>
  <c r="AO103" i="73"/>
  <c r="AO104" i="73"/>
  <c r="AO105" i="73"/>
  <c r="AO106" i="73"/>
  <c r="AO107" i="73"/>
  <c r="AO108" i="73"/>
  <c r="AO109" i="73"/>
  <c r="AO110" i="73"/>
  <c r="AO111" i="73"/>
  <c r="AO112" i="73"/>
  <c r="AO113" i="73"/>
  <c r="AO114" i="73"/>
  <c r="AO115" i="73"/>
  <c r="AO116" i="73"/>
  <c r="AO117" i="73"/>
  <c r="AO118" i="73"/>
  <c r="AO119" i="73"/>
  <c r="AO120" i="73"/>
  <c r="AO121" i="73"/>
  <c r="AO122" i="73"/>
  <c r="AO123" i="73"/>
  <c r="AO124" i="73"/>
  <c r="AO125" i="73"/>
  <c r="AO126" i="73"/>
  <c r="AO127" i="73"/>
  <c r="AO128" i="73"/>
  <c r="AO129" i="73"/>
  <c r="AO130" i="73"/>
  <c r="AO131" i="73"/>
  <c r="AO132" i="73"/>
  <c r="AO133" i="73"/>
  <c r="AO134" i="73"/>
  <c r="AO135" i="73"/>
  <c r="AO136" i="73"/>
  <c r="AO137" i="73"/>
  <c r="AO138" i="73"/>
  <c r="AO139" i="73"/>
  <c r="AO140" i="73"/>
  <c r="AO141" i="73"/>
  <c r="AO142" i="73"/>
  <c r="AO143" i="73"/>
  <c r="AO144" i="73"/>
  <c r="AO145" i="73"/>
  <c r="AO146" i="73"/>
  <c r="AO147" i="73"/>
  <c r="AO148" i="73"/>
  <c r="AO149" i="73"/>
  <c r="AO150" i="73"/>
  <c r="AO151" i="73"/>
  <c r="AO152" i="73"/>
  <c r="AO153" i="73"/>
  <c r="AO154" i="73"/>
  <c r="AO155" i="73"/>
  <c r="AO156" i="73"/>
  <c r="AO157" i="73"/>
  <c r="AO158" i="73"/>
  <c r="AO159" i="73"/>
  <c r="AO160" i="73"/>
  <c r="AO161" i="73"/>
  <c r="AO162" i="73"/>
  <c r="AO163" i="73"/>
  <c r="AO164" i="73"/>
  <c r="AO165" i="73"/>
  <c r="AO166" i="73"/>
  <c r="AO167" i="73"/>
  <c r="AO168" i="73"/>
  <c r="AO169" i="73"/>
  <c r="AO170" i="73"/>
  <c r="AO171" i="73"/>
  <c r="AO172" i="73"/>
  <c r="AO173" i="73"/>
  <c r="AO174" i="73"/>
  <c r="AO175" i="73"/>
  <c r="AO176" i="73"/>
  <c r="AO177" i="73"/>
  <c r="AO178" i="73"/>
  <c r="AO179" i="73"/>
  <c r="AO180" i="73"/>
  <c r="AO181" i="73"/>
  <c r="AO182" i="73"/>
  <c r="AO183" i="73"/>
  <c r="AO184" i="73"/>
  <c r="AO185" i="73"/>
  <c r="AO186" i="73"/>
  <c r="AO187" i="73"/>
  <c r="AO188" i="73"/>
  <c r="AO189" i="73"/>
  <c r="AO190" i="73"/>
  <c r="AO191" i="73"/>
  <c r="AO192" i="73"/>
  <c r="AO193" i="73"/>
  <c r="AO194" i="73"/>
  <c r="AO195" i="73"/>
  <c r="AO196" i="73"/>
  <c r="AO197" i="73"/>
  <c r="AO198" i="73"/>
  <c r="AO199" i="73"/>
  <c r="AO200" i="73"/>
  <c r="AO201" i="73"/>
  <c r="AO202" i="73"/>
  <c r="AO203" i="73"/>
  <c r="AO204" i="73"/>
  <c r="AO205" i="73"/>
  <c r="AO206" i="73"/>
  <c r="AO207" i="73"/>
  <c r="AO208" i="73"/>
  <c r="AO209" i="73"/>
  <c r="AO210" i="73"/>
  <c r="AO211" i="73"/>
  <c r="AO212" i="73"/>
  <c r="AO213" i="73"/>
  <c r="AO214" i="73"/>
  <c r="AO215" i="73"/>
  <c r="AO216" i="73"/>
  <c r="AO217" i="73"/>
  <c r="AO218" i="73"/>
  <c r="AO219" i="73"/>
  <c r="AO220" i="73"/>
  <c r="AO221" i="73"/>
  <c r="AO222" i="73"/>
  <c r="AO223" i="73"/>
  <c r="AO224" i="73"/>
  <c r="AO225" i="73"/>
  <c r="AO226" i="73"/>
  <c r="AO227" i="73"/>
  <c r="AO228" i="73"/>
  <c r="AO229" i="73"/>
  <c r="AO230" i="73"/>
  <c r="AO231" i="73"/>
  <c r="AO232" i="73"/>
  <c r="AO233" i="73"/>
  <c r="AO234" i="73"/>
  <c r="AO235" i="73"/>
  <c r="AO236" i="73"/>
  <c r="AO237" i="73"/>
  <c r="AO238" i="73"/>
  <c r="AO239" i="73"/>
  <c r="AO240" i="73"/>
  <c r="AO241" i="73"/>
  <c r="AO242" i="73"/>
  <c r="AO243" i="73"/>
  <c r="AO244" i="73"/>
  <c r="AO245" i="73"/>
  <c r="AO246" i="73"/>
  <c r="AO247" i="73"/>
  <c r="AO248" i="73"/>
  <c r="AO249" i="73"/>
  <c r="AO250" i="73"/>
  <c r="AO251" i="73"/>
  <c r="AO252" i="73"/>
  <c r="AO253" i="73"/>
  <c r="AO254" i="73"/>
  <c r="AO255" i="73"/>
  <c r="AO256" i="73"/>
  <c r="AO257" i="73"/>
  <c r="AO258" i="73"/>
  <c r="AO259" i="73"/>
  <c r="AO260" i="73"/>
  <c r="AO261" i="73"/>
  <c r="AO262" i="73"/>
  <c r="AO263" i="73"/>
  <c r="AO264" i="73"/>
  <c r="AO265" i="73"/>
  <c r="AO266" i="73"/>
  <c r="AO267" i="73"/>
  <c r="AO268" i="73"/>
  <c r="S9" i="73" a="1"/>
  <c r="S9" i="73" s="1"/>
  <c r="T9" i="73" a="1"/>
  <c r="U9" i="73" a="1"/>
  <c r="V9" i="73" a="1"/>
  <c r="V9" i="73" s="1"/>
  <c r="AM10" i="73"/>
  <c r="AM11" i="73" s="1"/>
  <c r="AM12" i="73"/>
  <c r="AM13" i="73" s="1"/>
  <c r="AM14" i="73"/>
  <c r="AM15" i="73"/>
  <c r="AM16" i="73" s="1"/>
  <c r="AM17" i="73" s="1"/>
  <c r="AM18" i="73" s="1"/>
  <c r="AM19" i="73" s="1"/>
  <c r="AM20" i="73" s="1"/>
  <c r="AM21" i="73" s="1"/>
  <c r="AM22" i="73" s="1"/>
  <c r="AM23" i="73"/>
  <c r="AM24" i="73" s="1"/>
  <c r="AM25" i="73" s="1"/>
  <c r="AM26" i="73" s="1"/>
  <c r="AM27" i="73" s="1"/>
  <c r="AM28" i="73" s="1"/>
  <c r="AM29" i="73" s="1"/>
  <c r="AO269" i="73"/>
  <c r="AG15" i="73" l="1"/>
  <c r="AA17" i="126"/>
  <c r="AH9" i="73"/>
  <c r="AH12" i="73"/>
  <c r="AH11" i="73"/>
  <c r="BY9" i="73" a="1"/>
  <c r="AH13" i="73"/>
  <c r="BA9" i="73" a="1"/>
  <c r="AH10" i="73"/>
  <c r="W63" i="133"/>
  <c r="T9" i="73"/>
  <c r="W67" i="133"/>
  <c r="W9" i="133"/>
  <c r="W13" i="126"/>
  <c r="W45" i="126"/>
  <c r="W47" i="126"/>
  <c r="W48" i="126"/>
  <c r="Z12" i="126"/>
  <c r="W17" i="126"/>
  <c r="W49" i="126"/>
  <c r="W14" i="126"/>
  <c r="W46" i="126"/>
  <c r="W15" i="126"/>
  <c r="W16" i="126"/>
  <c r="W29" i="126"/>
  <c r="W61" i="126"/>
  <c r="W27" i="126"/>
  <c r="W66" i="126"/>
  <c r="W28" i="126"/>
  <c r="W67" i="126"/>
  <c r="W30" i="126"/>
  <c r="W32" i="126"/>
  <c r="W33" i="126"/>
  <c r="W34" i="126"/>
  <c r="W10" i="126"/>
  <c r="W53" i="126"/>
  <c r="W11" i="126"/>
  <c r="W54" i="126"/>
  <c r="W12" i="126"/>
  <c r="W55" i="126"/>
  <c r="W56" i="126"/>
  <c r="W18" i="126"/>
  <c r="W64" i="126"/>
  <c r="W65" i="126"/>
  <c r="Z13" i="126"/>
  <c r="W20" i="126"/>
  <c r="W21" i="126"/>
  <c r="W22" i="126"/>
  <c r="W23" i="126"/>
  <c r="W19" i="126"/>
  <c r="W21" i="133"/>
  <c r="W58" i="126"/>
  <c r="W23" i="133"/>
  <c r="AI15" i="73"/>
  <c r="M9" i="73" a="1"/>
  <c r="N9" i="73" a="1"/>
  <c r="O9" i="73" a="1"/>
  <c r="P9" i="73" a="1"/>
  <c r="Y9" i="73"/>
  <c r="AR9" i="73" a="1"/>
  <c r="Y13" i="73"/>
  <c r="Y10" i="73"/>
  <c r="Y12" i="73"/>
  <c r="BP9" i="73" a="1"/>
  <c r="Y15" i="73"/>
  <c r="W65" i="133"/>
  <c r="AA15" i="126"/>
  <c r="W62" i="126"/>
  <c r="W60" i="126"/>
  <c r="AH15" i="73"/>
  <c r="W29" i="133"/>
  <c r="W50" i="126"/>
  <c r="S9" i="126"/>
  <c r="AF13" i="126"/>
  <c r="W45" i="133"/>
  <c r="W59" i="133"/>
  <c r="AC10" i="126"/>
  <c r="AC11" i="126"/>
  <c r="AC15" i="126"/>
  <c r="AC12" i="126"/>
  <c r="P9" i="126"/>
  <c r="AC13" i="126"/>
  <c r="AC9" i="126"/>
  <c r="AB9" i="126"/>
  <c r="AB13" i="126"/>
  <c r="AB15" i="126"/>
  <c r="AB12" i="126"/>
  <c r="AB10" i="126"/>
  <c r="BW9" i="73" a="1"/>
  <c r="AC14" i="126"/>
  <c r="W19" i="133"/>
  <c r="W59" i="126"/>
  <c r="W57" i="126"/>
  <c r="AE6" i="126"/>
  <c r="Q9" i="73" a="1"/>
  <c r="W42" i="126"/>
  <c r="W37" i="133"/>
  <c r="W37" i="126"/>
  <c r="W47" i="133"/>
  <c r="W57" i="133"/>
  <c r="AG9" i="73"/>
  <c r="AG12" i="73"/>
  <c r="AG10" i="73"/>
  <c r="W11" i="133"/>
  <c r="W13" i="133"/>
  <c r="Y11" i="73"/>
  <c r="W25" i="133"/>
  <c r="W51" i="126"/>
  <c r="W31" i="133"/>
  <c r="W44" i="126"/>
  <c r="W43" i="126"/>
  <c r="W39" i="133"/>
  <c r="W43" i="133"/>
  <c r="W36" i="126"/>
  <c r="W49" i="133"/>
  <c r="U9" i="73"/>
  <c r="AH14" i="73" s="1"/>
  <c r="W61" i="133"/>
  <c r="L9" i="73"/>
  <c r="AF9" i="73"/>
  <c r="AF11" i="73"/>
  <c r="AF10" i="73"/>
  <c r="AY9" i="73" a="1"/>
  <c r="AF15" i="73"/>
  <c r="AF13" i="73"/>
  <c r="AA9" i="126"/>
  <c r="AA12" i="126"/>
  <c r="AA10" i="126"/>
  <c r="AA13" i="126"/>
  <c r="AA16" i="126" s="1"/>
  <c r="AA14" i="126"/>
  <c r="W63" i="126"/>
  <c r="W17" i="133"/>
  <c r="AB14" i="126"/>
  <c r="W52" i="126"/>
  <c r="W27" i="133"/>
  <c r="W33" i="133"/>
  <c r="W40" i="126"/>
  <c r="W39" i="126"/>
  <c r="W38" i="126"/>
  <c r="AF12" i="73"/>
  <c r="W35" i="126"/>
  <c r="W51" i="133"/>
  <c r="AI9" i="73"/>
  <c r="AI12" i="73"/>
  <c r="AI11" i="73"/>
  <c r="BZ9" i="73" a="1"/>
  <c r="BB9" i="73" a="1"/>
  <c r="AI13" i="73"/>
  <c r="AI10" i="73"/>
  <c r="BX9" i="73" a="1"/>
  <c r="M9" i="126"/>
  <c r="W15" i="133"/>
  <c r="Y8" i="73" a="1"/>
  <c r="W35" i="133"/>
  <c r="AB11" i="126"/>
  <c r="W41" i="126"/>
  <c r="W41" i="133"/>
  <c r="AI14" i="73"/>
  <c r="AF14" i="73"/>
  <c r="Z10" i="126"/>
  <c r="W31" i="126"/>
  <c r="AH11" i="126"/>
  <c r="AH14" i="126"/>
  <c r="AH15" i="126"/>
  <c r="AH13" i="126"/>
  <c r="AG15" i="126"/>
  <c r="V9" i="126"/>
  <c r="AD11" i="126"/>
  <c r="AD15" i="126"/>
  <c r="AD10" i="126"/>
  <c r="AG13" i="126"/>
  <c r="AQ9" i="73" a="1"/>
  <c r="AQ9" i="73" s="1"/>
  <c r="L9" i="126" a="1"/>
  <c r="AG14" i="126"/>
  <c r="AG11" i="126"/>
  <c r="B1" i="5"/>
  <c r="N1" i="5"/>
  <c r="Z1" i="5"/>
  <c r="AL1" i="5"/>
  <c r="AX1" i="5"/>
  <c r="BV1" i="5"/>
  <c r="B2" i="5"/>
  <c r="H2" i="5"/>
  <c r="N2" i="5"/>
  <c r="T2" i="5"/>
  <c r="Z2" i="5"/>
  <c r="AF2" i="5"/>
  <c r="AL2" i="5"/>
  <c r="AR2" i="5"/>
  <c r="AX2" i="5"/>
  <c r="BJ2" i="5" s="1"/>
  <c r="BD2" i="5"/>
  <c r="BP2" i="5" s="1"/>
  <c r="A8" i="5"/>
  <c r="A12" i="5"/>
  <c r="A16" i="5"/>
  <c r="A20" i="5"/>
  <c r="A24" i="5"/>
  <c r="A28" i="5" s="1"/>
  <c r="A32" i="5" s="1"/>
  <c r="A36" i="5" s="1"/>
  <c r="A40" i="5" s="1"/>
  <c r="A44" i="5" s="1"/>
  <c r="A48" i="5" s="1"/>
  <c r="A52" i="5"/>
  <c r="A56" i="5" s="1"/>
  <c r="A60" i="5" s="1"/>
  <c r="A64" i="5"/>
  <c r="B3" i="5" a="1"/>
  <c r="B3" i="5" s="1"/>
  <c r="H3" i="5" s="1" a="1"/>
  <c r="H3" i="5" s="1"/>
  <c r="N3" i="5" s="1" a="1"/>
  <c r="A10" i="5"/>
  <c r="A14" i="5"/>
  <c r="A18" i="5" s="1"/>
  <c r="A22" i="5" s="1"/>
  <c r="A26" i="5" s="1"/>
  <c r="A30" i="5"/>
  <c r="A34" i="5" s="1"/>
  <c r="A38" i="5" s="1"/>
  <c r="A42" i="5" s="1"/>
  <c r="A46" i="5" s="1"/>
  <c r="A50" i="5"/>
  <c r="A54" i="5" s="1"/>
  <c r="A58" i="5" s="1"/>
  <c r="A62" i="5" s="1"/>
  <c r="A66" i="5" s="1"/>
  <c r="A9" i="5"/>
  <c r="A11" i="5"/>
  <c r="A13" i="5"/>
  <c r="A15" i="5"/>
  <c r="A17" i="5"/>
  <c r="A21" i="5" s="1"/>
  <c r="A19" i="5"/>
  <c r="A23" i="5"/>
  <c r="A27" i="5" s="1"/>
  <c r="A31" i="5" s="1"/>
  <c r="A25" i="5"/>
  <c r="A29" i="5" s="1"/>
  <c r="A33" i="5" s="1"/>
  <c r="A35" i="5"/>
  <c r="A39" i="5" s="1"/>
  <c r="A37" i="5"/>
  <c r="A41" i="5" s="1"/>
  <c r="A43" i="5"/>
  <c r="A47" i="5" s="1"/>
  <c r="A51" i="5" s="1"/>
  <c r="A55" i="5" s="1"/>
  <c r="A59" i="5" s="1"/>
  <c r="A63" i="5" s="1"/>
  <c r="A67" i="5" s="1"/>
  <c r="A45" i="5"/>
  <c r="A49" i="5" s="1"/>
  <c r="A53" i="5" s="1"/>
  <c r="A57" i="5" s="1"/>
  <c r="A61" i="5" s="1"/>
  <c r="A65" i="5" s="1"/>
  <c r="B3" i="2"/>
  <c r="H6" i="2" a="1"/>
  <c r="H6" i="2"/>
  <c r="N6" i="2" a="1"/>
  <c r="T6" i="2" s="1" a="1"/>
  <c r="N6" i="2"/>
  <c r="H9" i="2"/>
  <c r="I9" i="2"/>
  <c r="J9" i="2"/>
  <c r="K9" i="2"/>
  <c r="L9" i="2"/>
  <c r="M9" i="2"/>
  <c r="N9" i="2"/>
  <c r="O9" i="2"/>
  <c r="P9" i="2"/>
  <c r="Q9" i="2"/>
  <c r="R9" i="2"/>
  <c r="S9" i="2"/>
  <c r="U9" i="2"/>
  <c r="V9" i="2"/>
  <c r="W9" i="2"/>
  <c r="X9" i="2"/>
  <c r="Y9" i="2"/>
  <c r="BO10" i="5" l="1"/>
  <c r="BO56" i="5"/>
  <c r="BP6" i="5"/>
  <c r="BR60" i="5"/>
  <c r="BN53" i="5"/>
  <c r="BJ41" i="5"/>
  <c r="BR45" i="5"/>
  <c r="BO61" i="5"/>
  <c r="BL62" i="5"/>
  <c r="BS55" i="5"/>
  <c r="BT57" i="5"/>
  <c r="BT52" i="5"/>
  <c r="BS16" i="5"/>
  <c r="BS63" i="5"/>
  <c r="BS46" i="5"/>
  <c r="BS24" i="5"/>
  <c r="BM45" i="5"/>
  <c r="BP54" i="5"/>
  <c r="BT32" i="5"/>
  <c r="BU55" i="5"/>
  <c r="BN29" i="5"/>
  <c r="BI2" i="5"/>
  <c r="BN37" i="5"/>
  <c r="BU54" i="5"/>
  <c r="BS9" i="5"/>
  <c r="BS57" i="5"/>
  <c r="BO54" i="5"/>
  <c r="BN32" i="5"/>
  <c r="BQ25" i="5"/>
  <c r="BS28" i="5"/>
  <c r="BL61" i="5"/>
  <c r="BU6" i="5"/>
  <c r="BM40" i="5"/>
  <c r="BM19" i="5"/>
  <c r="BU12" i="5"/>
  <c r="BT6" i="5"/>
  <c r="BP40" i="5"/>
  <c r="BQ47" i="5"/>
  <c r="BU59" i="5"/>
  <c r="BN49" i="5"/>
  <c r="BK62" i="5"/>
  <c r="BL53" i="5"/>
  <c r="BR51" i="5"/>
  <c r="BJ62" i="5"/>
  <c r="BJ52" i="5"/>
  <c r="BK47" i="5"/>
  <c r="BR29" i="5"/>
  <c r="BJ7" i="5"/>
  <c r="BT59" i="5"/>
  <c r="BJ51" i="5"/>
  <c r="BM49" i="5"/>
  <c r="BQ57" i="5"/>
  <c r="BQ46" i="5"/>
  <c r="BJ50" i="5"/>
  <c r="BQ29" i="5"/>
  <c r="BO24" i="5"/>
  <c r="BU20" i="5"/>
  <c r="BP59" i="5"/>
  <c r="BK35" i="5"/>
  <c r="BM33" i="5"/>
  <c r="BT53" i="5"/>
  <c r="BS51" i="5"/>
  <c r="BO49" i="5"/>
  <c r="BU38" i="5"/>
  <c r="BL54" i="5"/>
  <c r="BS52" i="5"/>
  <c r="BK43" i="5"/>
  <c r="BT61" i="5"/>
  <c r="BP38" i="5"/>
  <c r="BR55" i="5"/>
  <c r="BR50" i="5"/>
  <c r="BK27" i="5"/>
  <c r="BL4" i="5"/>
  <c r="BN63" i="5"/>
  <c r="BU56" i="5"/>
  <c r="BQ52" i="5"/>
  <c r="BN38" i="5"/>
  <c r="BO46" i="5"/>
  <c r="BN62" i="5"/>
  <c r="BS22" i="5"/>
  <c r="BU45" i="5"/>
  <c r="BS42" i="5"/>
  <c r="BQ55" i="5"/>
  <c r="BJ27" i="5"/>
  <c r="BS60" i="5"/>
  <c r="BM38" i="5"/>
  <c r="BS61" i="5"/>
  <c r="BR61" i="5"/>
  <c r="BK48" i="5"/>
  <c r="BS29" i="5"/>
  <c r="BQ41" i="5"/>
  <c r="BJ43" i="5"/>
  <c r="BO39" i="5"/>
  <c r="BM52" i="5"/>
  <c r="BQ40" i="5"/>
  <c r="BS31" i="5"/>
  <c r="BM55" i="5"/>
  <c r="BM54" i="5"/>
  <c r="BK52" i="5"/>
  <c r="BQ49" i="5"/>
  <c r="BN35" i="5"/>
  <c r="BT46" i="5"/>
  <c r="BS30" i="5"/>
  <c r="BL45" i="5"/>
  <c r="BM32" i="5"/>
  <c r="BP25" i="5"/>
  <c r="BM5" i="5"/>
  <c r="BK49" i="5"/>
  <c r="BO48" i="5"/>
  <c r="BR16" i="5"/>
  <c r="BS33" i="5"/>
  <c r="BJ18" i="5"/>
  <c r="BR33" i="5"/>
  <c r="BK17" i="5"/>
  <c r="BO15" i="5"/>
  <c r="BM8" i="5"/>
  <c r="BS53" i="5"/>
  <c r="BO36" i="5"/>
  <c r="BQ30" i="5"/>
  <c r="BM63" i="5"/>
  <c r="BP62" i="5"/>
  <c r="BM57" i="5"/>
  <c r="BP51" i="5"/>
  <c r="BN36" i="5"/>
  <c r="BJ49" i="5"/>
  <c r="BN57" i="5"/>
  <c r="BO44" i="5"/>
  <c r="BJ59" i="5"/>
  <c r="BS47" i="5"/>
  <c r="BK44" i="5"/>
  <c r="BJ17" i="5"/>
  <c r="BN15" i="5"/>
  <c r="BO4" i="5"/>
  <c r="BL48" i="5"/>
  <c r="BO33" i="5"/>
  <c r="BS14" i="5"/>
  <c r="BR31" i="5"/>
  <c r="BJ61" i="5"/>
  <c r="BL57" i="5"/>
  <c r="BL55" i="5"/>
  <c r="BJ53" i="5"/>
  <c r="BU48" i="5"/>
  <c r="BO30" i="5"/>
  <c r="BQ26" i="5"/>
  <c r="BS20" i="5"/>
  <c r="BU62" i="5"/>
  <c r="BS59" i="5"/>
  <c r="BO58" i="5"/>
  <c r="BS56" i="5"/>
  <c r="BL46" i="5"/>
  <c r="BK42" i="5"/>
  <c r="BL40" i="5"/>
  <c r="BU39" i="5"/>
  <c r="BT23" i="5"/>
  <c r="BR63" i="5"/>
  <c r="BP16" i="5"/>
  <c r="BT13" i="5"/>
  <c r="BT5" i="5"/>
  <c r="BN25" i="5"/>
  <c r="BK57" i="5"/>
  <c r="BO7" i="5"/>
  <c r="BQ16" i="5"/>
  <c r="BU61" i="5"/>
  <c r="BK32" i="5"/>
  <c r="BM18" i="5"/>
  <c r="BS13" i="5"/>
  <c r="BQ63" i="5"/>
  <c r="BR62" i="5"/>
  <c r="BR48" i="5"/>
  <c r="BO47" i="5"/>
  <c r="BT44" i="5"/>
  <c r="BN43" i="5"/>
  <c r="BT41" i="5"/>
  <c r="BP39" i="5"/>
  <c r="BL25" i="5"/>
  <c r="BQ23" i="5"/>
  <c r="BO16" i="5"/>
  <c r="BK7" i="5"/>
  <c r="BS44" i="5"/>
  <c r="BS37" i="5"/>
  <c r="BT34" i="5"/>
  <c r="BM31" i="5"/>
  <c r="BO28" i="5"/>
  <c r="BS10" i="5"/>
  <c r="BU30" i="5"/>
  <c r="BP17" i="5"/>
  <c r="BU14" i="5"/>
  <c r="BK13" i="5"/>
  <c r="BT4" i="5"/>
  <c r="BS49" i="5"/>
  <c r="BM46" i="5"/>
  <c r="BR44" i="5"/>
  <c r="BU41" i="5"/>
  <c r="BU18" i="5"/>
  <c r="BR10" i="5"/>
  <c r="BP53" i="5"/>
  <c r="BN50" i="5"/>
  <c r="BU32" i="5"/>
  <c r="BT30" i="5"/>
  <c r="BR11" i="5"/>
  <c r="BS4" i="5"/>
  <c r="BU52" i="5"/>
  <c r="BM27" i="5"/>
  <c r="BU25" i="5"/>
  <c r="BS18" i="5"/>
  <c r="BL17" i="5"/>
  <c r="BO9" i="5"/>
  <c r="BU27" i="5"/>
  <c r="BP22" i="5"/>
  <c r="BK6" i="5"/>
  <c r="BL63" i="5"/>
  <c r="BT62" i="5"/>
  <c r="BK60" i="5"/>
  <c r="BS58" i="5"/>
  <c r="BQ14" i="5"/>
  <c r="BN9" i="5"/>
  <c r="BO59" i="5"/>
  <c r="BP55" i="5"/>
  <c r="BT54" i="5"/>
  <c r="BN51" i="5"/>
  <c r="BN47" i="5"/>
  <c r="BK46" i="5"/>
  <c r="BQ44" i="5"/>
  <c r="BP41" i="5"/>
  <c r="BM39" i="5"/>
  <c r="BK26" i="5"/>
  <c r="BN24" i="5"/>
  <c r="BR19" i="5"/>
  <c r="BT12" i="5"/>
  <c r="BS8" i="5"/>
  <c r="BS62" i="5"/>
  <c r="BP61" i="5"/>
  <c r="BU49" i="5"/>
  <c r="BT45" i="5"/>
  <c r="BN22" i="5"/>
  <c r="BM9" i="5"/>
  <c r="BQ58" i="5"/>
  <c r="BU57" i="5"/>
  <c r="BS54" i="5"/>
  <c r="BL43" i="5"/>
  <c r="BP34" i="5"/>
  <c r="BM13" i="5"/>
  <c r="BP48" i="5"/>
  <c r="BM47" i="5"/>
  <c r="BS45" i="5"/>
  <c r="BO41" i="5"/>
  <c r="BL39" i="5"/>
  <c r="BJ36" i="5"/>
  <c r="BL35" i="5"/>
  <c r="BT33" i="5"/>
  <c r="BJ26" i="5"/>
  <c r="BM22" i="5"/>
  <c r="BP11" i="5"/>
  <c r="BT35" i="5"/>
  <c r="BS34" i="5"/>
  <c r="BJ25" i="5"/>
  <c r="BK24" i="5"/>
  <c r="BL23" i="5"/>
  <c r="BS17" i="5"/>
  <c r="BN16" i="5"/>
  <c r="BS41" i="5"/>
  <c r="BS40" i="5"/>
  <c r="BS35" i="5"/>
  <c r="BM21" i="5"/>
  <c r="BL19" i="5"/>
  <c r="BT39" i="5"/>
  <c r="BS38" i="5"/>
  <c r="BL28" i="5"/>
  <c r="BO27" i="5"/>
  <c r="BR17" i="5"/>
  <c r="BM16" i="5"/>
  <c r="BQ7" i="5"/>
  <c r="BM6" i="5"/>
  <c r="BN60" i="5"/>
  <c r="BO51" i="5"/>
  <c r="BN44" i="5"/>
  <c r="BQ33" i="5"/>
  <c r="BL22" i="5"/>
  <c r="BT8" i="5"/>
  <c r="BS48" i="5"/>
  <c r="BR41" i="5"/>
  <c r="BR40" i="5"/>
  <c r="BS39" i="5"/>
  <c r="BN31" i="5"/>
  <c r="BL30" i="5"/>
  <c r="BU15" i="5"/>
  <c r="BK14" i="5"/>
  <c r="BL6" i="5"/>
  <c r="BL56" i="5"/>
  <c r="BT55" i="5"/>
  <c r="BT47" i="5"/>
  <c r="BK45" i="5"/>
  <c r="BQ39" i="5"/>
  <c r="BR38" i="5"/>
  <c r="BK28" i="5"/>
  <c r="BN27" i="5"/>
  <c r="BJ20" i="5"/>
  <c r="BQ17" i="5"/>
  <c r="BT27" i="5"/>
  <c r="BT25" i="5"/>
  <c r="BR24" i="5"/>
  <c r="BR5" i="5"/>
  <c r="BR53" i="5"/>
  <c r="BN41" i="5"/>
  <c r="BS32" i="5"/>
  <c r="BR28" i="5"/>
  <c r="BK22" i="5"/>
  <c r="BN7" i="5"/>
  <c r="BO8" i="5"/>
  <c r="BR46" i="5"/>
  <c r="BK33" i="5"/>
  <c r="BS27" i="5"/>
  <c r="BS26" i="5"/>
  <c r="BS25" i="5"/>
  <c r="BN23" i="5"/>
  <c r="BO18" i="5"/>
  <c r="BS12" i="5"/>
  <c r="BN10" i="5"/>
  <c r="BQ5" i="5"/>
  <c r="BS50" i="5"/>
  <c r="BM48" i="5"/>
  <c r="BU47" i="5"/>
  <c r="BR39" i="5"/>
  <c r="BO38" i="5"/>
  <c r="BL37" i="5"/>
  <c r="BT36" i="5"/>
  <c r="BP24" i="5"/>
  <c r="BP20" i="5"/>
  <c r="BJ19" i="5"/>
  <c r="BK15" i="5"/>
  <c r="BS11" i="5"/>
  <c r="BM7" i="5"/>
  <c r="BK51" i="5"/>
  <c r="BS43" i="5"/>
  <c r="BP42" i="5"/>
  <c r="BM41" i="5"/>
  <c r="BU40" i="5"/>
  <c r="BQ28" i="5"/>
  <c r="BS21" i="5"/>
  <c r="BP5" i="5"/>
  <c r="BN8" i="5"/>
  <c r="BS36" i="5"/>
  <c r="BM34" i="5"/>
  <c r="BU33" i="5"/>
  <c r="BJ33" i="5"/>
  <c r="BJ30" i="5"/>
  <c r="BO29" i="5"/>
  <c r="BR27" i="5"/>
  <c r="BR26" i="5"/>
  <c r="BN18" i="5"/>
  <c r="BL7" i="5"/>
  <c r="BM10" i="5"/>
  <c r="BP12" i="5"/>
  <c r="BL27" i="5"/>
  <c r="BU21" i="5"/>
  <c r="BP15" i="5"/>
  <c r="BL14" i="5"/>
  <c r="BJ9" i="5"/>
  <c r="BR25" i="5"/>
  <c r="BS23" i="5"/>
  <c r="BT20" i="5"/>
  <c r="BS19" i="5"/>
  <c r="BR7" i="5"/>
  <c r="BK12" i="5"/>
  <c r="BQ9" i="5"/>
  <c r="BJ28" i="5"/>
  <c r="BK23" i="5"/>
  <c r="BN20" i="5"/>
  <c r="BJ12" i="5"/>
  <c r="BL11" i="5"/>
  <c r="BS6" i="5"/>
  <c r="BP9" i="5"/>
  <c r="BL5" i="5"/>
  <c r="BJ8" i="5"/>
  <c r="BQ19" i="5"/>
  <c r="BQ27" i="5"/>
  <c r="BT18" i="5"/>
  <c r="BU17" i="5"/>
  <c r="BK5" i="5"/>
  <c r="BU4" i="5"/>
  <c r="BR18" i="5"/>
  <c r="BO17" i="5"/>
  <c r="BL16" i="5"/>
  <c r="BL9" i="5"/>
  <c r="BR8" i="5"/>
  <c r="BR4" i="5"/>
  <c r="BS15" i="5"/>
  <c r="BN17" i="5"/>
  <c r="BK16" i="5"/>
  <c r="BN13" i="5"/>
  <c r="BJ11" i="5"/>
  <c r="BR22" i="5"/>
  <c r="BO21" i="5"/>
  <c r="BL20" i="5"/>
  <c r="BT19" i="5"/>
  <c r="BP14" i="5"/>
  <c r="BQ8" i="5"/>
  <c r="BM24" i="5"/>
  <c r="BJ23" i="5"/>
  <c r="BT11" i="5"/>
  <c r="BU7" i="5"/>
  <c r="BN6" i="5"/>
  <c r="BP4" i="5"/>
  <c r="T6" i="2"/>
  <c r="Z6" i="2" a="1"/>
  <c r="BP9" i="73"/>
  <c r="CB13" i="73" s="1"/>
  <c r="CB9" i="73"/>
  <c r="Q9" i="73"/>
  <c r="AD9" i="73" s="1"/>
  <c r="AW9" i="73" a="1"/>
  <c r="BU9" i="73" a="1"/>
  <c r="AD14" i="73"/>
  <c r="AD12" i="73"/>
  <c r="BY9" i="73"/>
  <c r="CK11" i="73"/>
  <c r="CK14" i="73"/>
  <c r="CK9" i="73"/>
  <c r="CK12" i="73"/>
  <c r="CK10" i="73"/>
  <c r="CK15" i="73"/>
  <c r="CK13" i="73"/>
  <c r="BM12" i="73"/>
  <c r="BM9" i="73"/>
  <c r="BM14" i="73"/>
  <c r="BM13" i="73"/>
  <c r="BM11" i="73"/>
  <c r="BA9" i="73"/>
  <c r="BM10" i="73"/>
  <c r="BM15" i="73"/>
  <c r="AH16" i="73"/>
  <c r="AH17" i="73"/>
  <c r="N3" i="5"/>
  <c r="AH17" i="126"/>
  <c r="AH16" i="126"/>
  <c r="AC17" i="126"/>
  <c r="AC16" i="126"/>
  <c r="L9" i="126"/>
  <c r="Y9" i="126" s="1"/>
  <c r="Z7" i="126"/>
  <c r="AA18" i="126" s="1"/>
  <c r="AA19" i="126" s="1"/>
  <c r="Y14" i="126"/>
  <c r="Y13" i="126"/>
  <c r="Y11" i="126"/>
  <c r="Y10" i="126"/>
  <c r="Y18" i="73"/>
  <c r="Y19" i="73" s="1"/>
  <c r="Y17" i="73"/>
  <c r="Y16" i="73"/>
  <c r="AG14" i="73"/>
  <c r="AZ9" i="73" a="1"/>
  <c r="AG13" i="73"/>
  <c r="AG11" i="73"/>
  <c r="AY9" i="73"/>
  <c r="BK13" i="73" s="1"/>
  <c r="BK11" i="73"/>
  <c r="BK10" i="73"/>
  <c r="BK12" i="73"/>
  <c r="AB17" i="126"/>
  <c r="AB16" i="126"/>
  <c r="AI10" i="126"/>
  <c r="AI12" i="126"/>
  <c r="AI9" i="126"/>
  <c r="AI15" i="126"/>
  <c r="AI14" i="126"/>
  <c r="AI11" i="126"/>
  <c r="AI13" i="126"/>
  <c r="AF11" i="126"/>
  <c r="AF12" i="126"/>
  <c r="AF14" i="126"/>
  <c r="AF9" i="126"/>
  <c r="AF10" i="126"/>
  <c r="AF15" i="126"/>
  <c r="AR9" i="73"/>
  <c r="BD15" i="73" s="1"/>
  <c r="BE7" i="73"/>
  <c r="BD10" i="73"/>
  <c r="BD9" i="73"/>
  <c r="AF16" i="73"/>
  <c r="AF17" i="73"/>
  <c r="Y8" i="73"/>
  <c r="AR8" i="73" a="1"/>
  <c r="BX9" i="73"/>
  <c r="CJ12" i="73" s="1"/>
  <c r="W9" i="126"/>
  <c r="R9" i="126" s="1" a="1"/>
  <c r="Z14" i="126"/>
  <c r="Z9" i="126"/>
  <c r="Z11" i="126"/>
  <c r="Z15" i="126"/>
  <c r="Z7" i="73"/>
  <c r="AI18" i="73" s="1"/>
  <c r="AI19" i="73" s="1"/>
  <c r="Y14" i="73"/>
  <c r="BW9" i="73"/>
  <c r="CI11" i="73" s="1"/>
  <c r="CI10" i="73"/>
  <c r="CI13" i="73"/>
  <c r="CI15" i="73"/>
  <c r="BN12" i="73"/>
  <c r="BB9" i="73"/>
  <c r="BN13" i="73" s="1"/>
  <c r="BN14" i="73"/>
  <c r="BZ9" i="73"/>
  <c r="CL12" i="73" s="1"/>
  <c r="CL15" i="73"/>
  <c r="P9" i="73"/>
  <c r="AC10" i="73" s="1"/>
  <c r="AC13" i="73"/>
  <c r="AV9" i="73" a="1"/>
  <c r="AC11" i="73"/>
  <c r="AC15" i="73"/>
  <c r="BT9" i="73" a="1"/>
  <c r="AC12" i="73"/>
  <c r="O9" i="73"/>
  <c r="AB9" i="73" s="1"/>
  <c r="AB14" i="73"/>
  <c r="AB13" i="73"/>
  <c r="BS9" i="73" a="1"/>
  <c r="AB15" i="73"/>
  <c r="AB12" i="73"/>
  <c r="BR9" i="73" a="1"/>
  <c r="N9" i="73"/>
  <c r="AA15" i="73" s="1"/>
  <c r="AA13" i="73"/>
  <c r="AA11" i="73"/>
  <c r="AI16" i="73"/>
  <c r="AI17" i="73"/>
  <c r="AG17" i="126"/>
  <c r="AG16" i="126"/>
  <c r="W29" i="73"/>
  <c r="W61" i="73"/>
  <c r="W93" i="73"/>
  <c r="W125" i="73"/>
  <c r="W157" i="73"/>
  <c r="W189" i="73"/>
  <c r="W221" i="73"/>
  <c r="W253" i="73"/>
  <c r="W31" i="73"/>
  <c r="W63" i="73"/>
  <c r="W95" i="73"/>
  <c r="W127" i="73"/>
  <c r="W159" i="73"/>
  <c r="W191" i="73"/>
  <c r="W223" i="73"/>
  <c r="W255" i="73"/>
  <c r="M9" i="73"/>
  <c r="W32" i="73"/>
  <c r="W96" i="73"/>
  <c r="W160" i="73"/>
  <c r="W256" i="73"/>
  <c r="W33" i="73"/>
  <c r="W97" i="73"/>
  <c r="W129" i="73"/>
  <c r="W193" i="73"/>
  <c r="W257" i="73"/>
  <c r="W30" i="73"/>
  <c r="W62" i="73"/>
  <c r="W94" i="73"/>
  <c r="W126" i="73"/>
  <c r="W158" i="73"/>
  <c r="W190" i="73"/>
  <c r="W222" i="73"/>
  <c r="W254" i="73"/>
  <c r="W64" i="73"/>
  <c r="W128" i="73"/>
  <c r="W192" i="73"/>
  <c r="W224" i="73"/>
  <c r="W65" i="73"/>
  <c r="W161" i="73"/>
  <c r="W225" i="73"/>
  <c r="W15" i="73"/>
  <c r="W52" i="73"/>
  <c r="W89" i="73"/>
  <c r="W131" i="73"/>
  <c r="W168" i="73"/>
  <c r="W205" i="73"/>
  <c r="W242" i="73"/>
  <c r="W16" i="73"/>
  <c r="W53" i="73"/>
  <c r="W90" i="73"/>
  <c r="W132" i="73"/>
  <c r="W169" i="73"/>
  <c r="W206" i="73"/>
  <c r="W243" i="73"/>
  <c r="Z9" i="73"/>
  <c r="W17" i="73"/>
  <c r="W54" i="73"/>
  <c r="W91" i="73"/>
  <c r="W133" i="73"/>
  <c r="W170" i="73"/>
  <c r="W207" i="73"/>
  <c r="W244" i="73"/>
  <c r="W19" i="73"/>
  <c r="W56" i="73"/>
  <c r="W98" i="73"/>
  <c r="W135" i="73"/>
  <c r="W172" i="73"/>
  <c r="W209" i="73"/>
  <c r="W246" i="73"/>
  <c r="BQ9" i="73" a="1"/>
  <c r="W20" i="73"/>
  <c r="W57" i="73"/>
  <c r="W99" i="73"/>
  <c r="W136" i="73"/>
  <c r="W173" i="73"/>
  <c r="W210" i="73"/>
  <c r="W247" i="73"/>
  <c r="W21" i="73"/>
  <c r="W58" i="73"/>
  <c r="W100" i="73"/>
  <c r="W137" i="73"/>
  <c r="W174" i="73"/>
  <c r="W211" i="73"/>
  <c r="W248" i="73"/>
  <c r="W40" i="73"/>
  <c r="W77" i="73"/>
  <c r="W114" i="73"/>
  <c r="W151" i="73"/>
  <c r="W188" i="73"/>
  <c r="W230" i="73"/>
  <c r="W267" i="73"/>
  <c r="W41" i="73"/>
  <c r="W78" i="73"/>
  <c r="W115" i="73"/>
  <c r="W152" i="73"/>
  <c r="W194" i="73"/>
  <c r="W231" i="73"/>
  <c r="W268" i="73"/>
  <c r="W42" i="73"/>
  <c r="W79" i="73"/>
  <c r="W116" i="73"/>
  <c r="W153" i="73"/>
  <c r="W195" i="73"/>
  <c r="W232" i="73"/>
  <c r="Z13" i="73"/>
  <c r="W43" i="73"/>
  <c r="W117" i="73"/>
  <c r="W154" i="73"/>
  <c r="W196" i="73"/>
  <c r="W233" i="73"/>
  <c r="W34" i="73"/>
  <c r="W84" i="73"/>
  <c r="W142" i="73"/>
  <c r="W198" i="73"/>
  <c r="W251" i="73"/>
  <c r="W252" i="73"/>
  <c r="W258" i="73"/>
  <c r="W35" i="73"/>
  <c r="W85" i="73"/>
  <c r="W143" i="73"/>
  <c r="W199" i="73"/>
  <c r="Z10" i="73"/>
  <c r="W86" i="73"/>
  <c r="W144" i="73"/>
  <c r="W200" i="73"/>
  <c r="W44" i="73"/>
  <c r="W204" i="73"/>
  <c r="W150" i="73"/>
  <c r="Z15" i="73"/>
  <c r="W36" i="73"/>
  <c r="W37" i="73"/>
  <c r="W87" i="73"/>
  <c r="W145" i="73"/>
  <c r="W201" i="73"/>
  <c r="W259" i="73"/>
  <c r="W39" i="73"/>
  <c r="W92" i="73"/>
  <c r="W147" i="73"/>
  <c r="W203" i="73"/>
  <c r="W261" i="73"/>
  <c r="W101" i="73"/>
  <c r="W262" i="73"/>
  <c r="W263" i="73"/>
  <c r="W103" i="73"/>
  <c r="W38" i="73"/>
  <c r="W88" i="73"/>
  <c r="W146" i="73"/>
  <c r="W202" i="73"/>
  <c r="W260" i="73"/>
  <c r="W148" i="73"/>
  <c r="W45" i="73"/>
  <c r="W102" i="73"/>
  <c r="W149" i="73"/>
  <c r="W208" i="73"/>
  <c r="W46" i="73"/>
  <c r="W264" i="73"/>
  <c r="W212" i="73"/>
  <c r="W66" i="73"/>
  <c r="W130" i="73"/>
  <c r="W216" i="73"/>
  <c r="W71" i="73"/>
  <c r="W162" i="73"/>
  <c r="W163" i="73"/>
  <c r="W76" i="73"/>
  <c r="W166" i="73"/>
  <c r="W12" i="73"/>
  <c r="W105" i="73"/>
  <c r="W22" i="73"/>
  <c r="W178" i="73"/>
  <c r="W108" i="73"/>
  <c r="W180" i="73"/>
  <c r="W266" i="73"/>
  <c r="W112" i="73"/>
  <c r="W113" i="73"/>
  <c r="W48" i="73"/>
  <c r="W49" i="73"/>
  <c r="W186" i="73"/>
  <c r="W187" i="73"/>
  <c r="Z12" i="73"/>
  <c r="W197" i="73"/>
  <c r="W122" i="73"/>
  <c r="W67" i="73"/>
  <c r="W134" i="73"/>
  <c r="W217" i="73"/>
  <c r="AS9" i="73" a="1"/>
  <c r="W138" i="73"/>
  <c r="W69" i="73"/>
  <c r="W70" i="73"/>
  <c r="W156" i="73"/>
  <c r="W74" i="73"/>
  <c r="W237" i="73"/>
  <c r="W238" i="73"/>
  <c r="W13" i="73"/>
  <c r="Z11" i="73"/>
  <c r="W106" i="73"/>
  <c r="W110" i="73"/>
  <c r="W120" i="73"/>
  <c r="W51" i="73"/>
  <c r="W213" i="73"/>
  <c r="Z14" i="73"/>
  <c r="W123" i="73"/>
  <c r="W215" i="73"/>
  <c r="W68" i="73"/>
  <c r="W218" i="73"/>
  <c r="W139" i="73"/>
  <c r="W140" i="73"/>
  <c r="W226" i="73"/>
  <c r="W72" i="73"/>
  <c r="W228" i="73"/>
  <c r="W234" i="73"/>
  <c r="W235" i="73"/>
  <c r="W10" i="73"/>
  <c r="W236" i="73"/>
  <c r="W11" i="73"/>
  <c r="W167" i="73"/>
  <c r="W83" i="73"/>
  <c r="W14" i="73"/>
  <c r="W241" i="73"/>
  <c r="W249" i="73"/>
  <c r="W24" i="73"/>
  <c r="W25" i="73"/>
  <c r="W181" i="73"/>
  <c r="W182" i="73"/>
  <c r="W55" i="73"/>
  <c r="W59" i="73"/>
  <c r="W124" i="73"/>
  <c r="W219" i="73"/>
  <c r="W220" i="73"/>
  <c r="W141" i="73"/>
  <c r="W227" i="73"/>
  <c r="W75" i="73"/>
  <c r="W165" i="73"/>
  <c r="W81" i="73"/>
  <c r="W82" i="73"/>
  <c r="W239" i="73"/>
  <c r="W175" i="73"/>
  <c r="W176" i="73"/>
  <c r="W245" i="73"/>
  <c r="W23" i="73"/>
  <c r="W250" i="73"/>
  <c r="W109" i="73"/>
  <c r="W27" i="73"/>
  <c r="W185" i="73"/>
  <c r="W50" i="73"/>
  <c r="W121" i="73"/>
  <c r="W73" i="73"/>
  <c r="W229" i="73"/>
  <c r="W164" i="73"/>
  <c r="W80" i="73"/>
  <c r="W104" i="73"/>
  <c r="W18" i="73"/>
  <c r="W179" i="73"/>
  <c r="W265" i="73"/>
  <c r="W26" i="73"/>
  <c r="W183" i="73"/>
  <c r="W184" i="73"/>
  <c r="W214" i="73"/>
  <c r="W155" i="73"/>
  <c r="W171" i="73"/>
  <c r="W240" i="73"/>
  <c r="W177" i="73"/>
  <c r="W107" i="73"/>
  <c r="W111" i="73"/>
  <c r="W28" i="73"/>
  <c r="W47" i="73"/>
  <c r="W118" i="73"/>
  <c r="W119" i="73"/>
  <c r="W60" i="73"/>
  <c r="AD17" i="126"/>
  <c r="AD16" i="126"/>
  <c r="T9" i="2"/>
  <c r="AE9" i="2"/>
  <c r="AD9" i="2"/>
  <c r="AC9" i="2"/>
  <c r="AB9" i="2"/>
  <c r="AA9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AA10" i="2"/>
  <c r="AB10" i="2"/>
  <c r="AC10" i="2"/>
  <c r="AD10" i="2"/>
  <c r="AE10" i="2"/>
  <c r="CI17" i="73" l="1"/>
  <c r="CI16" i="73"/>
  <c r="AZ9" i="73"/>
  <c r="BL14" i="73" s="1"/>
  <c r="BL11" i="73"/>
  <c r="BL12" i="73"/>
  <c r="BL10" i="73"/>
  <c r="BL15" i="73"/>
  <c r="BM4" i="5"/>
  <c r="BK40" i="5"/>
  <c r="BK39" i="5"/>
  <c r="CI12" i="73"/>
  <c r="BR36" i="5"/>
  <c r="BO5" i="5"/>
  <c r="BU9" i="5"/>
  <c r="BU50" i="5"/>
  <c r="BK38" i="5"/>
  <c r="BO35" i="5"/>
  <c r="BL12" i="5"/>
  <c r="BP8" i="5"/>
  <c r="BO53" i="5"/>
  <c r="BM51" i="5"/>
  <c r="BU35" i="5"/>
  <c r="Z18" i="73"/>
  <c r="Z19" i="73" s="1"/>
  <c r="Z17" i="73"/>
  <c r="Z16" i="73"/>
  <c r="AC18" i="73"/>
  <c r="AC19" i="73" s="1"/>
  <c r="AC16" i="73"/>
  <c r="AC17" i="73"/>
  <c r="BU16" i="5"/>
  <c r="BQ42" i="5"/>
  <c r="BO14" i="5"/>
  <c r="BQ38" i="5"/>
  <c r="BM29" i="5"/>
  <c r="BN4" i="5"/>
  <c r="Y15" i="126"/>
  <c r="BO31" i="5"/>
  <c r="BU5" i="5"/>
  <c r="Y12" i="126"/>
  <c r="BU23" i="5"/>
  <c r="BT29" i="5"/>
  <c r="BP50" i="5"/>
  <c r="BN45" i="5"/>
  <c r="BL8" i="5"/>
  <c r="BN30" i="5"/>
  <c r="BP37" i="5"/>
  <c r="BN42" i="5"/>
  <c r="BM62" i="5"/>
  <c r="BM58" i="5"/>
  <c r="AD13" i="73"/>
  <c r="BJ48" i="5"/>
  <c r="BL41" i="5"/>
  <c r="BL49" i="5"/>
  <c r="BR32" i="5"/>
  <c r="BK58" i="5"/>
  <c r="BU46" i="5"/>
  <c r="BT58" i="5"/>
  <c r="CJ15" i="73"/>
  <c r="BJ5" i="5"/>
  <c r="BL42" i="5"/>
  <c r="BR6" i="5"/>
  <c r="BJ13" i="5"/>
  <c r="BN40" i="5"/>
  <c r="BP63" i="5"/>
  <c r="T3" i="5" a="1"/>
  <c r="BJ4" i="5"/>
  <c r="BJ32" i="5"/>
  <c r="BM37" i="5"/>
  <c r="BJ58" i="5"/>
  <c r="CJ11" i="73"/>
  <c r="BO22" i="5"/>
  <c r="BQ48" i="5"/>
  <c r="BT14" i="5"/>
  <c r="BQ59" i="5"/>
  <c r="BP57" i="5"/>
  <c r="BN5" i="5"/>
  <c r="BR13" i="5"/>
  <c r="BM36" i="5"/>
  <c r="BJ55" i="5"/>
  <c r="BP56" i="5"/>
  <c r="BP46" i="5"/>
  <c r="BO11" i="5"/>
  <c r="BK18" i="73"/>
  <c r="BK19" i="73" s="1"/>
  <c r="BK16" i="73"/>
  <c r="BK17" i="73"/>
  <c r="BQ18" i="5"/>
  <c r="BK8" i="5"/>
  <c r="BM30" i="5"/>
  <c r="BR59" i="5"/>
  <c r="BU51" i="5"/>
  <c r="BM23" i="5"/>
  <c r="BR35" i="5"/>
  <c r="BJ29" i="5"/>
  <c r="BK50" i="5"/>
  <c r="BM15" i="5"/>
  <c r="BU31" i="5"/>
  <c r="BT50" i="5"/>
  <c r="BJ24" i="5"/>
  <c r="BU53" i="5"/>
  <c r="BQ43" i="5"/>
  <c r="AA9" i="73"/>
  <c r="BN11" i="73"/>
  <c r="AF18" i="73"/>
  <c r="AF19" i="73" s="1"/>
  <c r="BK14" i="73"/>
  <c r="CB11" i="73"/>
  <c r="BK10" i="5"/>
  <c r="BN52" i="5"/>
  <c r="BQ13" i="5"/>
  <c r="BP29" i="5"/>
  <c r="BQ20" i="5"/>
  <c r="BQ34" i="5"/>
  <c r="BQ11" i="5"/>
  <c r="BM35" i="5"/>
  <c r="BJ16" i="5"/>
  <c r="BR9" i="5"/>
  <c r="BN39" i="5"/>
  <c r="BS5" i="5"/>
  <c r="BR54" i="5"/>
  <c r="BK37" i="5"/>
  <c r="BJ63" i="5"/>
  <c r="BN54" i="5"/>
  <c r="BT22" i="5"/>
  <c r="BJ34" i="5"/>
  <c r="BN21" i="5"/>
  <c r="BU24" i="5"/>
  <c r="BN46" i="5"/>
  <c r="CK17" i="73"/>
  <c r="CK16" i="73"/>
  <c r="BP47" i="5"/>
  <c r="BN34" i="5"/>
  <c r="BQ35" i="5"/>
  <c r="BT26" i="5"/>
  <c r="BQ22" i="5"/>
  <c r="BN12" i="5"/>
  <c r="AW9" i="73"/>
  <c r="BI12" i="73" s="1"/>
  <c r="BI10" i="73"/>
  <c r="BR12" i="5"/>
  <c r="BJ15" i="5"/>
  <c r="BP30" i="5"/>
  <c r="BP21" i="5"/>
  <c r="BP13" i="5"/>
  <c r="AE11" i="126"/>
  <c r="AE10" i="126"/>
  <c r="R9" i="126"/>
  <c r="AE13" i="126"/>
  <c r="AE12" i="126"/>
  <c r="AE15" i="126"/>
  <c r="AE14" i="126"/>
  <c r="AE9" i="126"/>
  <c r="BM25" i="5"/>
  <c r="AS9" i="73"/>
  <c r="BE10" i="73" s="1"/>
  <c r="BE14" i="73"/>
  <c r="BE11" i="73"/>
  <c r="BE15" i="73"/>
  <c r="BK20" i="5"/>
  <c r="BP60" i="5"/>
  <c r="BP31" i="5"/>
  <c r="BL33" i="5"/>
  <c r="BQ56" i="5"/>
  <c r="BQ62" i="5"/>
  <c r="AA12" i="73"/>
  <c r="CB10" i="73"/>
  <c r="BR43" i="5"/>
  <c r="CJ9" i="73"/>
  <c r="BL32" i="5"/>
  <c r="BL26" i="5"/>
  <c r="AT9" i="73" a="1"/>
  <c r="CB15" i="73"/>
  <c r="BU42" i="5"/>
  <c r="BT37" i="5"/>
  <c r="BR21" i="5"/>
  <c r="BK54" i="5"/>
  <c r="BM50" i="5"/>
  <c r="BQ6" i="5"/>
  <c r="BR9" i="73"/>
  <c r="CD11" i="73" s="1"/>
  <c r="BQ24" i="5"/>
  <c r="BP44" i="5"/>
  <c r="BT60" i="5"/>
  <c r="BM44" i="5"/>
  <c r="BO20" i="5"/>
  <c r="W9" i="73"/>
  <c r="R9" i="73" s="1" a="1"/>
  <c r="AA10" i="73"/>
  <c r="BN10" i="73"/>
  <c r="BK9" i="73"/>
  <c r="BM18" i="73"/>
  <c r="BM19" i="73" s="1"/>
  <c r="BM16" i="73"/>
  <c r="BM17" i="73"/>
  <c r="Z6" i="2"/>
  <c r="AJ6" i="2" a="1"/>
  <c r="BT10" i="5"/>
  <c r="BM17" i="5"/>
  <c r="BJ22" i="5"/>
  <c r="BQ53" i="5"/>
  <c r="BK30" i="5"/>
  <c r="BL52" i="5"/>
  <c r="BQ36" i="5"/>
  <c r="BK59" i="5"/>
  <c r="BT7" i="5"/>
  <c r="BO40" i="5"/>
  <c r="BO34" i="5"/>
  <c r="BR20" i="5"/>
  <c r="BJ45" i="5"/>
  <c r="BP28" i="5"/>
  <c r="BO19" i="5"/>
  <c r="BM42" i="5"/>
  <c r="BN55" i="5"/>
  <c r="BO50" i="5"/>
  <c r="BO37" i="5"/>
  <c r="BK18" i="5"/>
  <c r="BL24" i="5"/>
  <c r="BN11" i="5"/>
  <c r="BQ61" i="5"/>
  <c r="BQ45" i="5"/>
  <c r="BU13" i="5"/>
  <c r="BU44" i="5"/>
  <c r="BD13" i="73"/>
  <c r="Y18" i="126"/>
  <c r="Y19" i="126" s="1"/>
  <c r="Y17" i="126"/>
  <c r="Y16" i="126"/>
  <c r="BO57" i="5"/>
  <c r="CF9" i="73"/>
  <c r="CF10" i="73"/>
  <c r="CF11" i="73"/>
  <c r="CF15" i="73"/>
  <c r="CF14" i="73"/>
  <c r="CF13" i="73"/>
  <c r="CF12" i="73"/>
  <c r="BT9" i="73"/>
  <c r="BT21" i="5"/>
  <c r="CG14" i="73"/>
  <c r="BU9" i="73"/>
  <c r="CG10" i="73" s="1"/>
  <c r="CG12" i="73"/>
  <c r="CG13" i="73"/>
  <c r="BM14" i="5"/>
  <c r="BR34" i="5"/>
  <c r="BL36" i="5"/>
  <c r="BO26" i="5"/>
  <c r="Z17" i="126"/>
  <c r="Z18" i="126"/>
  <c r="Z19" i="126" s="1"/>
  <c r="Z16" i="126"/>
  <c r="BL58" i="5"/>
  <c r="AC18" i="126"/>
  <c r="AC19" i="126" s="1"/>
  <c r="AD15" i="73"/>
  <c r="BO60" i="5"/>
  <c r="BM59" i="5"/>
  <c r="CJ13" i="73"/>
  <c r="BT17" i="5"/>
  <c r="BQ51" i="5"/>
  <c r="BK34" i="5"/>
  <c r="BU58" i="5"/>
  <c r="CL13" i="73"/>
  <c r="BT48" i="5"/>
  <c r="CL10" i="73"/>
  <c r="CJ14" i="73"/>
  <c r="BQ4" i="5"/>
  <c r="BN26" i="5"/>
  <c r="BO12" i="5"/>
  <c r="BL18" i="5"/>
  <c r="BK11" i="5"/>
  <c r="BL10" i="5"/>
  <c r="BL29" i="5"/>
  <c r="BJ10" i="5"/>
  <c r="BO63" i="5"/>
  <c r="BL13" i="5"/>
  <c r="AA14" i="73"/>
  <c r="F7" i="251" a="1"/>
  <c r="G7" i="251" a="1"/>
  <c r="BT43" i="5"/>
  <c r="BP19" i="5"/>
  <c r="BN28" i="5"/>
  <c r="BK61" i="5"/>
  <c r="BK15" i="73"/>
  <c r="BT9" i="5"/>
  <c r="BQ31" i="5"/>
  <c r="BQ15" i="5"/>
  <c r="BK4" i="5"/>
  <c r="BT40" i="5"/>
  <c r="BN56" i="5"/>
  <c r="AB11" i="73"/>
  <c r="BN9" i="73"/>
  <c r="BD11" i="73"/>
  <c r="BR15" i="5"/>
  <c r="BU11" i="5"/>
  <c r="BT15" i="5"/>
  <c r="BL44" i="5"/>
  <c r="BK53" i="5"/>
  <c r="BK36" i="5"/>
  <c r="BR52" i="5"/>
  <c r="BL31" i="5"/>
  <c r="BJ54" i="5"/>
  <c r="BK55" i="5"/>
  <c r="BU43" i="5"/>
  <c r="BR30" i="5"/>
  <c r="BL38" i="5"/>
  <c r="BU22" i="5"/>
  <c r="BP52" i="5"/>
  <c r="BQ50" i="5"/>
  <c r="BO42" i="5"/>
  <c r="BR57" i="5"/>
  <c r="BT51" i="5"/>
  <c r="BQ60" i="5"/>
  <c r="BJ39" i="5"/>
  <c r="BM43" i="5"/>
  <c r="BQ9" i="73"/>
  <c r="CC15" i="73" s="1"/>
  <c r="CC14" i="73"/>
  <c r="CC10" i="73"/>
  <c r="CC13" i="73"/>
  <c r="CC9" i="73"/>
  <c r="AB10" i="73"/>
  <c r="CI14" i="73"/>
  <c r="CI9" i="73"/>
  <c r="BP36" i="5"/>
  <c r="AC14" i="73"/>
  <c r="BR23" i="5"/>
  <c r="BU37" i="5"/>
  <c r="BL59" i="5"/>
  <c r="CJ10" i="73"/>
  <c r="BR56" i="5"/>
  <c r="BM61" i="5"/>
  <c r="BL50" i="5"/>
  <c r="BJ44" i="5"/>
  <c r="AD11" i="73"/>
  <c r="BP7" i="5"/>
  <c r="BL15" i="5"/>
  <c r="AB18" i="126"/>
  <c r="AB19" i="126" s="1"/>
  <c r="BP32" i="5"/>
  <c r="BP27" i="5"/>
  <c r="CL9" i="73"/>
  <c r="BK9" i="5"/>
  <c r="BU28" i="5"/>
  <c r="BR49" i="5"/>
  <c r="BM28" i="5"/>
  <c r="BK31" i="5"/>
  <c r="BK21" i="5"/>
  <c r="CL11" i="73"/>
  <c r="BM12" i="5"/>
  <c r="BQ37" i="5"/>
  <c r="AR8" i="73"/>
  <c r="BP8" i="73" s="1" a="1"/>
  <c r="BD8" i="73" a="1"/>
  <c r="BD8" i="73" s="1"/>
  <c r="BO13" i="5"/>
  <c r="BJ37" i="5"/>
  <c r="BO62" i="5"/>
  <c r="BN19" i="5"/>
  <c r="BN59" i="5"/>
  <c r="CB12" i="73"/>
  <c r="AD18" i="126"/>
  <c r="AD19" i="126" s="1"/>
  <c r="BO6" i="5"/>
  <c r="BM11" i="5"/>
  <c r="BT24" i="5"/>
  <c r="BP18" i="5"/>
  <c r="BS7" i="5"/>
  <c r="BN14" i="5"/>
  <c r="BO45" i="5"/>
  <c r="BK19" i="5"/>
  <c r="BL51" i="5"/>
  <c r="BQ54" i="5"/>
  <c r="BO43" i="5"/>
  <c r="BU26" i="5"/>
  <c r="BQ32" i="5"/>
  <c r="BM56" i="5"/>
  <c r="BU8" i="5"/>
  <c r="BM20" i="5"/>
  <c r="BJ42" i="5"/>
  <c r="BP26" i="5"/>
  <c r="BU60" i="5"/>
  <c r="BN61" i="5"/>
  <c r="BO55" i="5"/>
  <c r="BM26" i="5"/>
  <c r="BT31" i="5"/>
  <c r="BU34" i="5"/>
  <c r="BU19" i="5"/>
  <c r="BS9" i="73"/>
  <c r="CE12" i="73" s="1"/>
  <c r="BD12" i="73"/>
  <c r="BP49" i="5"/>
  <c r="BO25" i="5"/>
  <c r="BR47" i="5"/>
  <c r="BQ21" i="5"/>
  <c r="AV9" i="73"/>
  <c r="BH13" i="73" s="1"/>
  <c r="BH11" i="73"/>
  <c r="AF17" i="126"/>
  <c r="AF18" i="126"/>
  <c r="AF19" i="126" s="1"/>
  <c r="AF16" i="126"/>
  <c r="BR58" i="5"/>
  <c r="BJ14" i="5"/>
  <c r="BK29" i="5"/>
  <c r="BU10" i="5"/>
  <c r="AI17" i="126"/>
  <c r="AI18" i="126"/>
  <c r="AI19" i="126" s="1"/>
  <c r="AI16" i="126"/>
  <c r="BP43" i="5"/>
  <c r="AG18" i="126"/>
  <c r="AG19" i="126" s="1"/>
  <c r="AD10" i="73"/>
  <c r="BT49" i="5"/>
  <c r="AC9" i="73"/>
  <c r="BP33" i="5"/>
  <c r="BJ21" i="5"/>
  <c r="BK25" i="5"/>
  <c r="BJ35" i="5"/>
  <c r="BM60" i="5"/>
  <c r="BJ46" i="5"/>
  <c r="BO23" i="5"/>
  <c r="BN33" i="5"/>
  <c r="AH18" i="126"/>
  <c r="AH19" i="126" s="1"/>
  <c r="BT28" i="5"/>
  <c r="AA18" i="73"/>
  <c r="AA19" i="73" s="1"/>
  <c r="AA16" i="73"/>
  <c r="AA17" i="73"/>
  <c r="BR42" i="5"/>
  <c r="BJ60" i="5"/>
  <c r="BU36" i="5"/>
  <c r="BP35" i="5"/>
  <c r="BT42" i="5"/>
  <c r="BK41" i="5"/>
  <c r="CC7" i="73"/>
  <c r="CD7" i="73" s="1"/>
  <c r="BQ10" i="5"/>
  <c r="BR37" i="5"/>
  <c r="BN58" i="5"/>
  <c r="BM53" i="5"/>
  <c r="CL14" i="73"/>
  <c r="CB14" i="73"/>
  <c r="BU29" i="5"/>
  <c r="BU63" i="5"/>
  <c r="BP58" i="5"/>
  <c r="BP23" i="5"/>
  <c r="AH18" i="73"/>
  <c r="AH19" i="73" s="1"/>
  <c r="BK63" i="5"/>
  <c r="BR14" i="5"/>
  <c r="BJ6" i="5"/>
  <c r="BJ57" i="5"/>
  <c r="BQ12" i="5"/>
  <c r="AU9" i="73" a="1"/>
  <c r="BN15" i="73"/>
  <c r="BD14" i="73"/>
  <c r="AG16" i="73"/>
  <c r="AG18" i="73"/>
  <c r="AG19" i="73" s="1"/>
  <c r="AG17" i="73"/>
  <c r="BP10" i="5"/>
  <c r="BJ40" i="5"/>
  <c r="BJ47" i="5"/>
  <c r="BO52" i="5"/>
  <c r="BL21" i="5"/>
  <c r="BJ31" i="5"/>
  <c r="BT38" i="5"/>
  <c r="BN48" i="5"/>
  <c r="BL60" i="5"/>
  <c r="BJ56" i="5"/>
  <c r="BP45" i="5"/>
  <c r="BT56" i="5"/>
  <c r="BL47" i="5"/>
  <c r="BO32" i="5"/>
  <c r="BL34" i="5"/>
  <c r="BJ38" i="5"/>
  <c r="BT16" i="5"/>
  <c r="BT63" i="5"/>
  <c r="BK56" i="5"/>
  <c r="Z10" i="2"/>
  <c r="Z9" i="2"/>
  <c r="AO10" i="2"/>
  <c r="AN10" i="2"/>
  <c r="AM10" i="2"/>
  <c r="AL10" i="2"/>
  <c r="AK10" i="2"/>
  <c r="AO9" i="2"/>
  <c r="AN9" i="2"/>
  <c r="AM9" i="2"/>
  <c r="AL9" i="2"/>
  <c r="AK9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K11" i="2"/>
  <c r="AL11" i="2"/>
  <c r="AM11" i="2"/>
  <c r="AN11" i="2"/>
  <c r="AO11" i="2"/>
  <c r="BP8" i="73" l="1"/>
  <c r="CB8" i="73" s="1" a="1"/>
  <c r="CB8" i="73" s="1"/>
  <c r="AE18" i="126"/>
  <c r="AE19" i="126" s="1"/>
  <c r="AE16" i="126"/>
  <c r="AE17" i="126"/>
  <c r="CE15" i="73"/>
  <c r="AJ6" i="2"/>
  <c r="AB18" i="73"/>
  <c r="AB19" i="73" s="1"/>
  <c r="AB16" i="73"/>
  <c r="AB17" i="73"/>
  <c r="BI9" i="73"/>
  <c r="BH16" i="73"/>
  <c r="BH17" i="73"/>
  <c r="BH18" i="73"/>
  <c r="BH19" i="73" s="1"/>
  <c r="BL13" i="73"/>
  <c r="BE13" i="73"/>
  <c r="BE17" i="73" s="1"/>
  <c r="BH9" i="73"/>
  <c r="CD14" i="73"/>
  <c r="BH15" i="73"/>
  <c r="CG11" i="73"/>
  <c r="CD12" i="73"/>
  <c r="CE14" i="73"/>
  <c r="AE9" i="73"/>
  <c r="AE11" i="73"/>
  <c r="AE10" i="73"/>
  <c r="AE15" i="73"/>
  <c r="AX9" i="73" a="1"/>
  <c r="AE13" i="73"/>
  <c r="AE12" i="73"/>
  <c r="R9" i="73"/>
  <c r="AE14" i="73"/>
  <c r="BV9" i="73" a="1"/>
  <c r="BN16" i="73"/>
  <c r="BN17" i="73"/>
  <c r="BN18" i="73"/>
  <c r="BN19" i="73" s="1"/>
  <c r="L3" i="251"/>
  <c r="L2" i="251"/>
  <c r="G7" i="251"/>
  <c r="BL9" i="73"/>
  <c r="CD13" i="73"/>
  <c r="CD16" i="73" s="1"/>
  <c r="CK18" i="73"/>
  <c r="CK19" i="73" s="1"/>
  <c r="CD15" i="73"/>
  <c r="CG15" i="73"/>
  <c r="CD10" i="73"/>
  <c r="AT9" i="73"/>
  <c r="BF13" i="73" s="1"/>
  <c r="BF10" i="73"/>
  <c r="BF11" i="73"/>
  <c r="BF9" i="73"/>
  <c r="BF15" i="73"/>
  <c r="CF16" i="73"/>
  <c r="CF17" i="73"/>
  <c r="CF18" i="73"/>
  <c r="CF19" i="73" s="1"/>
  <c r="CE10" i="73"/>
  <c r="BI14" i="73"/>
  <c r="BL18" i="73"/>
  <c r="BL19" i="73" s="1"/>
  <c r="BL16" i="73"/>
  <c r="BL17" i="73"/>
  <c r="BH12" i="73"/>
  <c r="BE9" i="73"/>
  <c r="CI18" i="73"/>
  <c r="CI19" i="73" s="1"/>
  <c r="CG9" i="73"/>
  <c r="CE13" i="73"/>
  <c r="CE11" i="73"/>
  <c r="BI15" i="73"/>
  <c r="CC12" i="73"/>
  <c r="K3" i="251"/>
  <c r="K2" i="251"/>
  <c r="F7" i="251"/>
  <c r="BE12" i="73"/>
  <c r="BH14" i="73"/>
  <c r="CE9" i="73"/>
  <c r="BD18" i="73"/>
  <c r="BD19" i="73" s="1"/>
  <c r="BD17" i="73"/>
  <c r="BD16" i="73"/>
  <c r="BI13" i="73"/>
  <c r="CC11" i="73"/>
  <c r="T3" i="5"/>
  <c r="Z3" i="5" a="1"/>
  <c r="BH10" i="73"/>
  <c r="CD9" i="73"/>
  <c r="AD16" i="73"/>
  <c r="AD18" i="73"/>
  <c r="AD19" i="73" s="1"/>
  <c r="AD17" i="73"/>
  <c r="AU9" i="73"/>
  <c r="BG10" i="73" s="1"/>
  <c r="BG9" i="73"/>
  <c r="BG12" i="73"/>
  <c r="BI11" i="73"/>
  <c r="CB18" i="73"/>
  <c r="CB19" i="73" s="1"/>
  <c r="CB16" i="73"/>
  <c r="CB17" i="73"/>
  <c r="CL18" i="73"/>
  <c r="CL19" i="73" s="1"/>
  <c r="CL17" i="73"/>
  <c r="CL16" i="73"/>
  <c r="CJ18" i="73"/>
  <c r="CJ19" i="73" s="1"/>
  <c r="CJ16" i="73"/>
  <c r="CJ17" i="73"/>
  <c r="AJ11" i="2"/>
  <c r="AJ10" i="2"/>
  <c r="AJ9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J12" i="2"/>
  <c r="AK12" i="2"/>
  <c r="AL12" i="2"/>
  <c r="AM12" i="2"/>
  <c r="AN12" i="2"/>
  <c r="AO12" i="2"/>
  <c r="BF17" i="73" l="1"/>
  <c r="BF16" i="73"/>
  <c r="BF18" i="73"/>
  <c r="BF19" i="73" s="1"/>
  <c r="BF12" i="73"/>
  <c r="BF14" i="73"/>
  <c r="BG13" i="73"/>
  <c r="AE16" i="73"/>
  <c r="AE17" i="73"/>
  <c r="AE18" i="73"/>
  <c r="AE19" i="73" s="1"/>
  <c r="BG15" i="73"/>
  <c r="AP6" i="2" a="1"/>
  <c r="L4" i="251"/>
  <c r="L8" i="251" s="1"/>
  <c r="L12" i="251" s="1"/>
  <c r="L5" i="251"/>
  <c r="L9" i="251" s="1"/>
  <c r="L13" i="251" s="1"/>
  <c r="L6" i="251"/>
  <c r="L10" i="251" s="1"/>
  <c r="L14" i="251" s="1"/>
  <c r="CE16" i="73"/>
  <c r="CE17" i="73"/>
  <c r="CE18" i="73"/>
  <c r="CE19" i="73" s="1"/>
  <c r="CD18" i="73"/>
  <c r="CD19" i="73" s="1"/>
  <c r="Z3" i="5"/>
  <c r="AF3" i="5" a="1"/>
  <c r="BE18" i="73"/>
  <c r="BE19" i="73" s="1"/>
  <c r="BE16" i="73"/>
  <c r="BV9" i="73"/>
  <c r="CH13" i="73" s="1"/>
  <c r="CD17" i="73"/>
  <c r="BJ9" i="73"/>
  <c r="AX9" i="73"/>
  <c r="BJ14" i="73" s="1"/>
  <c r="BJ12" i="73"/>
  <c r="BJ10" i="73"/>
  <c r="CG17" i="73"/>
  <c r="CG16" i="73"/>
  <c r="CG18" i="73"/>
  <c r="CG19" i="73" s="1"/>
  <c r="CC17" i="73"/>
  <c r="CC18" i="73"/>
  <c r="CC19" i="73" s="1"/>
  <c r="CC16" i="73"/>
  <c r="K4" i="251"/>
  <c r="K8" i="251" s="1"/>
  <c r="K12" i="251" s="1"/>
  <c r="K5" i="251"/>
  <c r="K9" i="251" s="1"/>
  <c r="K13" i="251" s="1"/>
  <c r="K6" i="251"/>
  <c r="K10" i="251" s="1"/>
  <c r="K14" i="251" s="1"/>
  <c r="BI16" i="73"/>
  <c r="BI17" i="73"/>
  <c r="BI18" i="73"/>
  <c r="BI19" i="73" s="1"/>
  <c r="BG11" i="73"/>
  <c r="BG14" i="73"/>
  <c r="AU12" i="2"/>
  <c r="AT12" i="2"/>
  <c r="AS12" i="2"/>
  <c r="AR12" i="2"/>
  <c r="AQ12" i="2"/>
  <c r="AU11" i="2"/>
  <c r="AT11" i="2"/>
  <c r="AS11" i="2"/>
  <c r="AR11" i="2"/>
  <c r="AQ11" i="2"/>
  <c r="AU10" i="2"/>
  <c r="AT10" i="2"/>
  <c r="AS10" i="2"/>
  <c r="AR10" i="2"/>
  <c r="AQ10" i="2"/>
  <c r="AU9" i="2"/>
  <c r="AT9" i="2"/>
  <c r="AS9" i="2"/>
  <c r="AR9" i="2"/>
  <c r="AQ9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J13" i="2"/>
  <c r="AK13" i="2"/>
  <c r="AL13" i="2"/>
  <c r="AM13" i="2"/>
  <c r="AN13" i="2"/>
  <c r="AO13" i="2"/>
  <c r="AQ13" i="2"/>
  <c r="AR13" i="2"/>
  <c r="AS13" i="2"/>
  <c r="AT13" i="2"/>
  <c r="AU13" i="2"/>
  <c r="CH14" i="73" l="1"/>
  <c r="AP6" i="2"/>
  <c r="CH10" i="73"/>
  <c r="CH15" i="73"/>
  <c r="CH11" i="73"/>
  <c r="CH9" i="73"/>
  <c r="BG16" i="73"/>
  <c r="BG17" i="73"/>
  <c r="BG18" i="73"/>
  <c r="BG19" i="73" s="1"/>
  <c r="CH12" i="73"/>
  <c r="BJ13" i="73"/>
  <c r="BJ11" i="73"/>
  <c r="BJ15" i="73"/>
  <c r="AF3" i="5"/>
  <c r="AR3" i="5" a="1"/>
  <c r="AR3" i="5" s="1"/>
  <c r="AL3" i="5" a="1"/>
  <c r="AP13" i="2"/>
  <c r="AP12" i="2"/>
  <c r="AP11" i="2"/>
  <c r="AP10" i="2"/>
  <c r="AP9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CH17" i="73" l="1"/>
  <c r="CH16" i="73"/>
  <c r="CH18" i="73"/>
  <c r="CH19" i="73" s="1"/>
  <c r="AL3" i="5"/>
  <c r="AX3" i="5" a="1"/>
  <c r="BJ17" i="73"/>
  <c r="BJ16" i="73"/>
  <c r="BJ18" i="73"/>
  <c r="BJ19" i="73" s="1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X3" i="5" l="1"/>
  <c r="BD3" i="5" a="1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BD3" i="5" l="1"/>
  <c r="BJ3" i="5" a="1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BJ3" i="5" l="1"/>
  <c r="BP3" i="5" a="1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BV3" i="5" l="1" a="1"/>
  <c r="BP3" i="5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BV3" i="5" l="1"/>
  <c r="CB3" i="5" a="1"/>
  <c r="CB3" i="5" s="1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J24" i="2"/>
  <c r="AK24" i="2"/>
  <c r="AL24" i="2"/>
  <c r="AM24" i="2"/>
  <c r="AN24" i="2"/>
  <c r="AO24" i="2"/>
  <c r="AP24" i="2"/>
  <c r="AQ24" i="2"/>
  <c r="AR24" i="2"/>
  <c r="AS24" i="2"/>
  <c r="AT24" i="2"/>
  <c r="AU24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J26" i="2"/>
  <c r="AK26" i="2"/>
  <c r="AL26" i="2"/>
  <c r="AM26" i="2"/>
  <c r="AN26" i="2"/>
  <c r="AO26" i="2"/>
  <c r="AP26" i="2"/>
  <c r="AQ26" i="2"/>
  <c r="AR26" i="2"/>
  <c r="AS26" i="2"/>
  <c r="AT26" i="2"/>
  <c r="AU26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J29" i="2"/>
  <c r="AK29" i="2"/>
  <c r="AL29" i="2"/>
  <c r="AM29" i="2"/>
  <c r="AN29" i="2"/>
  <c r="AO29" i="2"/>
  <c r="AP29" i="2"/>
  <c r="AQ29" i="2"/>
  <c r="AR29" i="2"/>
  <c r="AS29" i="2"/>
  <c r="AT29" i="2"/>
  <c r="AU29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J30" i="2"/>
  <c r="AK30" i="2"/>
  <c r="AL30" i="2"/>
  <c r="AM30" i="2"/>
  <c r="AN30" i="2"/>
  <c r="AO30" i="2"/>
  <c r="AP30" i="2"/>
  <c r="AQ30" i="2"/>
  <c r="AR30" i="2"/>
  <c r="AS30" i="2"/>
  <c r="AT30" i="2"/>
  <c r="AU30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J33" i="2"/>
  <c r="AK33" i="2"/>
  <c r="AL33" i="2"/>
  <c r="AM33" i="2"/>
  <c r="AN33" i="2"/>
  <c r="AO33" i="2"/>
  <c r="AP33" i="2"/>
  <c r="AQ33" i="2"/>
  <c r="AR33" i="2"/>
  <c r="AS33" i="2"/>
  <c r="AT33" i="2"/>
  <c r="AU33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J34" i="2"/>
  <c r="AK34" i="2"/>
  <c r="AL34" i="2"/>
  <c r="AM34" i="2"/>
  <c r="AN34" i="2"/>
  <c r="AO34" i="2"/>
  <c r="AP34" i="2"/>
  <c r="AQ34" i="2"/>
  <c r="AR34" i="2"/>
  <c r="AS34" i="2"/>
  <c r="AT34" i="2"/>
  <c r="AU34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J35" i="2"/>
  <c r="AK35" i="2"/>
  <c r="AL35" i="2"/>
  <c r="AM35" i="2"/>
  <c r="AN35" i="2"/>
  <c r="AO35" i="2"/>
  <c r="AP35" i="2"/>
  <c r="AQ35" i="2"/>
  <c r="AR35" i="2"/>
  <c r="AS35" i="2"/>
  <c r="AT35" i="2"/>
  <c r="AU35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J36" i="2"/>
  <c r="AK36" i="2"/>
  <c r="AL36" i="2"/>
  <c r="AM36" i="2"/>
  <c r="AN36" i="2"/>
  <c r="AO36" i="2"/>
  <c r="AP36" i="2"/>
  <c r="AQ36" i="2"/>
  <c r="AR36" i="2"/>
  <c r="AS36" i="2"/>
  <c r="AT36" i="2"/>
  <c r="AU36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J37" i="2"/>
  <c r="AK37" i="2"/>
  <c r="AL37" i="2"/>
  <c r="AM37" i="2"/>
  <c r="AN37" i="2"/>
  <c r="AO37" i="2"/>
  <c r="AP37" i="2"/>
  <c r="AQ37" i="2"/>
  <c r="AR37" i="2"/>
  <c r="AS37" i="2"/>
  <c r="AT37" i="2"/>
  <c r="AU37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J38" i="2"/>
  <c r="AK38" i="2"/>
  <c r="AL38" i="2"/>
  <c r="AM38" i="2"/>
  <c r="AN38" i="2"/>
  <c r="AO38" i="2"/>
  <c r="AP38" i="2"/>
  <c r="AQ38" i="2"/>
  <c r="AR38" i="2"/>
  <c r="AS38" i="2"/>
  <c r="AT38" i="2"/>
  <c r="AU38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J39" i="2"/>
  <c r="AK39" i="2"/>
  <c r="AL39" i="2"/>
  <c r="AM39" i="2"/>
  <c r="AN39" i="2"/>
  <c r="AO39" i="2"/>
  <c r="AP39" i="2"/>
  <c r="AQ39" i="2"/>
  <c r="AR39" i="2"/>
  <c r="AS39" i="2"/>
  <c r="AT39" i="2"/>
  <c r="AU39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J40" i="2"/>
  <c r="AK40" i="2"/>
  <c r="AL40" i="2"/>
  <c r="AM40" i="2"/>
  <c r="AN40" i="2"/>
  <c r="AO40" i="2"/>
  <c r="AP40" i="2"/>
  <c r="AQ40" i="2"/>
  <c r="AR40" i="2"/>
  <c r="AS40" i="2"/>
  <c r="AT40" i="2"/>
  <c r="AU40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J41" i="2"/>
  <c r="AK41" i="2"/>
  <c r="AL41" i="2"/>
  <c r="AM41" i="2"/>
  <c r="AN41" i="2"/>
  <c r="AO41" i="2"/>
  <c r="AP41" i="2"/>
  <c r="AQ41" i="2"/>
  <c r="AR41" i="2"/>
  <c r="AS41" i="2"/>
  <c r="AT41" i="2"/>
  <c r="AU41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J42" i="2"/>
  <c r="AK42" i="2"/>
  <c r="AL42" i="2"/>
  <c r="AM42" i="2"/>
  <c r="AN42" i="2"/>
  <c r="AO42" i="2"/>
  <c r="AP42" i="2"/>
  <c r="AQ42" i="2"/>
  <c r="AR42" i="2"/>
  <c r="AS42" i="2"/>
  <c r="AT42" i="2"/>
  <c r="AU42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J43" i="2"/>
  <c r="AK43" i="2"/>
  <c r="AL43" i="2"/>
  <c r="AM43" i="2"/>
  <c r="AN43" i="2"/>
  <c r="AO43" i="2"/>
  <c r="AP43" i="2"/>
  <c r="AQ43" i="2"/>
  <c r="AR43" i="2"/>
  <c r="AS43" i="2"/>
  <c r="AT43" i="2"/>
  <c r="AU43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J44" i="2"/>
  <c r="AK44" i="2"/>
  <c r="AL44" i="2"/>
  <c r="AM44" i="2"/>
  <c r="AN44" i="2"/>
  <c r="AO44" i="2"/>
  <c r="AP44" i="2"/>
  <c r="AQ44" i="2"/>
  <c r="AR44" i="2"/>
  <c r="AS44" i="2"/>
  <c r="AT44" i="2"/>
  <c r="AU44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J45" i="2"/>
  <c r="AK45" i="2"/>
  <c r="AL45" i="2"/>
  <c r="AM45" i="2"/>
  <c r="AN45" i="2"/>
  <c r="AO45" i="2"/>
  <c r="AP45" i="2"/>
  <c r="AQ45" i="2"/>
  <c r="AR45" i="2"/>
  <c r="AS45" i="2"/>
  <c r="AT45" i="2"/>
  <c r="AU45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J46" i="2"/>
  <c r="AK46" i="2"/>
  <c r="AL46" i="2"/>
  <c r="AM46" i="2"/>
  <c r="AN46" i="2"/>
  <c r="AO46" i="2"/>
  <c r="AP46" i="2"/>
  <c r="AQ46" i="2"/>
  <c r="AR46" i="2"/>
  <c r="AS46" i="2"/>
  <c r="AT46" i="2"/>
  <c r="AU46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J48" i="2"/>
  <c r="AK48" i="2"/>
  <c r="AL48" i="2"/>
  <c r="AM48" i="2"/>
  <c r="AN48" i="2"/>
  <c r="AO48" i="2"/>
  <c r="AP48" i="2"/>
  <c r="AQ48" i="2"/>
  <c r="AR48" i="2"/>
  <c r="AS48" i="2"/>
  <c r="AT48" i="2"/>
  <c r="AU48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J49" i="2"/>
  <c r="AK49" i="2"/>
  <c r="AL49" i="2"/>
  <c r="AM49" i="2"/>
  <c r="AN49" i="2"/>
  <c r="AO49" i="2"/>
  <c r="AP49" i="2"/>
  <c r="AQ49" i="2"/>
  <c r="AR49" i="2"/>
  <c r="AS49" i="2"/>
  <c r="AT49" i="2"/>
  <c r="AU49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J50" i="2"/>
  <c r="AK50" i="2"/>
  <c r="AL50" i="2"/>
  <c r="AM50" i="2"/>
  <c r="AN50" i="2"/>
  <c r="AO50" i="2"/>
  <c r="AP50" i="2"/>
  <c r="AQ50" i="2"/>
  <c r="AR50" i="2"/>
  <c r="AS50" i="2"/>
  <c r="AT50" i="2"/>
  <c r="AU50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AJ51" i="2"/>
  <c r="AK51" i="2"/>
  <c r="AL51" i="2"/>
  <c r="AM51" i="2"/>
  <c r="AN51" i="2"/>
  <c r="AO51" i="2"/>
  <c r="AP51" i="2"/>
  <c r="AQ51" i="2"/>
  <c r="AR51" i="2"/>
  <c r="AS51" i="2"/>
  <c r="AT51" i="2"/>
  <c r="AU51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J52" i="2"/>
  <c r="AK52" i="2"/>
  <c r="AL52" i="2"/>
  <c r="AM52" i="2"/>
  <c r="AN52" i="2"/>
  <c r="AO52" i="2"/>
  <c r="AP52" i="2"/>
  <c r="AQ52" i="2"/>
  <c r="AR52" i="2"/>
  <c r="AS52" i="2"/>
  <c r="AT52" i="2"/>
  <c r="AU52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AE53" i="2"/>
  <c r="AJ53" i="2"/>
  <c r="AK53" i="2"/>
  <c r="AL53" i="2"/>
  <c r="AM53" i="2"/>
  <c r="AN53" i="2"/>
  <c r="AO53" i="2"/>
  <c r="AP53" i="2"/>
  <c r="AQ53" i="2"/>
  <c r="AR53" i="2"/>
  <c r="AS53" i="2"/>
  <c r="AT53" i="2"/>
  <c r="AU53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AE54" i="2"/>
  <c r="AJ54" i="2"/>
  <c r="AK54" i="2"/>
  <c r="AL54" i="2"/>
  <c r="AM54" i="2"/>
  <c r="AN54" i="2"/>
  <c r="AO54" i="2"/>
  <c r="AP54" i="2"/>
  <c r="AQ54" i="2"/>
  <c r="AR54" i="2"/>
  <c r="AS54" i="2"/>
  <c r="AT54" i="2"/>
  <c r="AU54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AE55" i="2"/>
  <c r="AJ55" i="2"/>
  <c r="AK55" i="2"/>
  <c r="AL55" i="2"/>
  <c r="AM55" i="2"/>
  <c r="AN55" i="2"/>
  <c r="AO55" i="2"/>
  <c r="AP55" i="2"/>
  <c r="AQ55" i="2"/>
  <c r="AR55" i="2"/>
  <c r="AS55" i="2"/>
  <c r="AT55" i="2"/>
  <c r="AU55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AE56" i="2"/>
  <c r="AJ56" i="2"/>
  <c r="AK56" i="2"/>
  <c r="AL56" i="2"/>
  <c r="AM56" i="2"/>
  <c r="AN56" i="2"/>
  <c r="AO56" i="2"/>
  <c r="AP56" i="2"/>
  <c r="AQ56" i="2"/>
  <c r="AR56" i="2"/>
  <c r="AS56" i="2"/>
  <c r="AT56" i="2"/>
  <c r="AU56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E57" i="2"/>
  <c r="AJ57" i="2"/>
  <c r="AK57" i="2"/>
  <c r="AL57" i="2"/>
  <c r="AM57" i="2"/>
  <c r="AN57" i="2"/>
  <c r="AO57" i="2"/>
  <c r="AP57" i="2"/>
  <c r="AQ57" i="2"/>
  <c r="AR57" i="2"/>
  <c r="AS57" i="2"/>
  <c r="AT57" i="2"/>
  <c r="AU57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AE58" i="2"/>
  <c r="AJ58" i="2"/>
  <c r="AK58" i="2"/>
  <c r="AL58" i="2"/>
  <c r="AM58" i="2"/>
  <c r="AN58" i="2"/>
  <c r="AO58" i="2"/>
  <c r="AP58" i="2"/>
  <c r="AQ58" i="2"/>
  <c r="AR58" i="2"/>
  <c r="AS58" i="2"/>
  <c r="AT58" i="2"/>
  <c r="AU58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J59" i="2"/>
  <c r="AK59" i="2"/>
  <c r="AL59" i="2"/>
  <c r="AM59" i="2"/>
  <c r="AN59" i="2"/>
  <c r="AO59" i="2"/>
  <c r="AP59" i="2"/>
  <c r="AQ59" i="2"/>
  <c r="AR59" i="2"/>
  <c r="AS59" i="2"/>
  <c r="AT59" i="2"/>
  <c r="AU59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AE60" i="2"/>
  <c r="AJ60" i="2"/>
  <c r="AK60" i="2"/>
  <c r="AL60" i="2"/>
  <c r="AM60" i="2"/>
  <c r="AN60" i="2"/>
  <c r="AO60" i="2"/>
  <c r="AP60" i="2"/>
  <c r="AQ60" i="2"/>
  <c r="AR60" i="2"/>
  <c r="AS60" i="2"/>
  <c r="AT60" i="2"/>
  <c r="AU60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J61" i="2"/>
  <c r="AK61" i="2"/>
  <c r="AL61" i="2"/>
  <c r="AM61" i="2"/>
  <c r="AN61" i="2"/>
  <c r="AO61" i="2"/>
  <c r="AP61" i="2"/>
  <c r="AQ61" i="2"/>
  <c r="AR61" i="2"/>
  <c r="AS61" i="2"/>
  <c r="AT61" i="2"/>
  <c r="AU61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AJ62" i="2"/>
  <c r="AK62" i="2"/>
  <c r="AL62" i="2"/>
  <c r="AM62" i="2"/>
  <c r="AN62" i="2"/>
  <c r="AO62" i="2"/>
  <c r="AP62" i="2"/>
  <c r="AQ62" i="2"/>
  <c r="AR62" i="2"/>
  <c r="AS62" i="2"/>
  <c r="AT62" i="2"/>
  <c r="AU62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AE63" i="2"/>
  <c r="AJ63" i="2"/>
  <c r="AK63" i="2"/>
  <c r="AL63" i="2"/>
  <c r="AM63" i="2"/>
  <c r="AN63" i="2"/>
  <c r="AO63" i="2"/>
  <c r="AP63" i="2"/>
  <c r="AQ63" i="2"/>
  <c r="AR63" i="2"/>
  <c r="AS63" i="2"/>
  <c r="AT63" i="2"/>
  <c r="AU63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AJ64" i="2"/>
  <c r="AK64" i="2"/>
  <c r="AL64" i="2"/>
  <c r="AM64" i="2"/>
  <c r="AN64" i="2"/>
  <c r="AO64" i="2"/>
  <c r="AP64" i="2"/>
  <c r="AQ64" i="2"/>
  <c r="AR64" i="2"/>
  <c r="AS64" i="2"/>
  <c r="AT64" i="2"/>
  <c r="AU64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J65" i="2"/>
  <c r="AK65" i="2"/>
  <c r="AL65" i="2"/>
  <c r="AM65" i="2"/>
  <c r="AN65" i="2"/>
  <c r="AO65" i="2"/>
  <c r="AP65" i="2"/>
  <c r="AQ65" i="2"/>
  <c r="AR65" i="2"/>
  <c r="AS65" i="2"/>
  <c r="AT65" i="2"/>
  <c r="AU65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J66" i="2"/>
  <c r="AK66" i="2"/>
  <c r="AL66" i="2"/>
  <c r="AM66" i="2"/>
  <c r="AN66" i="2"/>
  <c r="AO66" i="2"/>
  <c r="AP66" i="2"/>
  <c r="AQ66" i="2"/>
  <c r="AR66" i="2"/>
  <c r="AS66" i="2"/>
  <c r="AT66" i="2"/>
  <c r="AU66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J67" i="2"/>
  <c r="AK67" i="2"/>
  <c r="AL67" i="2"/>
  <c r="AM67" i="2"/>
  <c r="AN67" i="2"/>
  <c r="AO67" i="2"/>
  <c r="AP67" i="2"/>
  <c r="AQ67" i="2"/>
  <c r="AR67" i="2"/>
  <c r="AS67" i="2"/>
  <c r="AT67" i="2"/>
  <c r="AU67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AJ68" i="2"/>
  <c r="AK68" i="2"/>
  <c r="AL68" i="2"/>
  <c r="AM68" i="2"/>
  <c r="AN68" i="2"/>
  <c r="AO68" i="2"/>
  <c r="AP68" i="2"/>
  <c r="AQ68" i="2"/>
  <c r="AR68" i="2"/>
  <c r="AS68" i="2"/>
  <c r="AT68" i="2"/>
  <c r="AU68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AD69" i="2"/>
  <c r="AE69" i="2"/>
  <c r="AJ69" i="2"/>
  <c r="AK69" i="2"/>
  <c r="AL69" i="2"/>
  <c r="AM69" i="2"/>
  <c r="AN69" i="2"/>
  <c r="AO69" i="2"/>
  <c r="AP69" i="2"/>
  <c r="AQ69" i="2"/>
  <c r="AR69" i="2"/>
  <c r="AS69" i="2"/>
  <c r="AT69" i="2"/>
  <c r="AU69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AE70" i="2"/>
  <c r="AJ70" i="2"/>
  <c r="AK70" i="2"/>
  <c r="AL70" i="2"/>
  <c r="AM70" i="2"/>
  <c r="AN70" i="2"/>
  <c r="AO70" i="2"/>
  <c r="AP70" i="2"/>
  <c r="AQ70" i="2"/>
  <c r="AR70" i="2"/>
  <c r="AS70" i="2"/>
  <c r="AT70" i="2"/>
  <c r="AU70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AE71" i="2"/>
  <c r="AJ71" i="2"/>
  <c r="AK71" i="2"/>
  <c r="AL71" i="2"/>
  <c r="AM71" i="2"/>
  <c r="AN71" i="2"/>
  <c r="AO71" i="2"/>
  <c r="AP71" i="2"/>
  <c r="AQ71" i="2"/>
  <c r="AR71" i="2"/>
  <c r="AS71" i="2"/>
  <c r="AT71" i="2"/>
  <c r="AU71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AA72" i="2"/>
  <c r="AB72" i="2"/>
  <c r="AC72" i="2"/>
  <c r="AD72" i="2"/>
  <c r="AE72" i="2"/>
  <c r="AJ72" i="2"/>
  <c r="AK72" i="2"/>
  <c r="AL72" i="2"/>
  <c r="AM72" i="2"/>
  <c r="AN72" i="2"/>
  <c r="AO72" i="2"/>
  <c r="AP72" i="2"/>
  <c r="AQ72" i="2"/>
  <c r="AR72" i="2"/>
  <c r="AS72" i="2"/>
  <c r="AT72" i="2"/>
  <c r="AU72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X73" i="2"/>
  <c r="Y73" i="2"/>
  <c r="Z73" i="2"/>
  <c r="AA73" i="2"/>
  <c r="AB73" i="2"/>
  <c r="AC73" i="2"/>
  <c r="AD73" i="2"/>
  <c r="AE73" i="2"/>
  <c r="AJ73" i="2"/>
  <c r="AK73" i="2"/>
  <c r="AL73" i="2"/>
  <c r="AM73" i="2"/>
  <c r="AN73" i="2"/>
  <c r="AO73" i="2"/>
  <c r="AP73" i="2"/>
  <c r="AQ73" i="2"/>
  <c r="AR73" i="2"/>
  <c r="AS73" i="2"/>
  <c r="AT73" i="2"/>
  <c r="AU73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Y74" i="2"/>
  <c r="Z74" i="2"/>
  <c r="AA74" i="2"/>
  <c r="AB74" i="2"/>
  <c r="AC74" i="2"/>
  <c r="AD74" i="2"/>
  <c r="AE74" i="2"/>
  <c r="AJ74" i="2"/>
  <c r="AK74" i="2"/>
  <c r="AL74" i="2"/>
  <c r="AM74" i="2"/>
  <c r="AN74" i="2"/>
  <c r="AO74" i="2"/>
  <c r="AP74" i="2"/>
  <c r="AQ74" i="2"/>
  <c r="AR74" i="2"/>
  <c r="AS74" i="2"/>
  <c r="AT74" i="2"/>
  <c r="AU74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AA75" i="2"/>
  <c r="AB75" i="2"/>
  <c r="AC75" i="2"/>
  <c r="AD75" i="2"/>
  <c r="AE75" i="2"/>
  <c r="AJ75" i="2"/>
  <c r="AK75" i="2"/>
  <c r="AL75" i="2"/>
  <c r="AM75" i="2"/>
  <c r="AN75" i="2"/>
  <c r="AO75" i="2"/>
  <c r="AP75" i="2"/>
  <c r="AQ75" i="2"/>
  <c r="AR75" i="2"/>
  <c r="AS75" i="2"/>
  <c r="AT75" i="2"/>
  <c r="AU75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X76" i="2"/>
  <c r="Y76" i="2"/>
  <c r="Z76" i="2"/>
  <c r="AA76" i="2"/>
  <c r="AB76" i="2"/>
  <c r="AC76" i="2"/>
  <c r="AD76" i="2"/>
  <c r="AE76" i="2"/>
  <c r="AJ76" i="2"/>
  <c r="AK76" i="2"/>
  <c r="AL76" i="2"/>
  <c r="AM76" i="2"/>
  <c r="AN76" i="2"/>
  <c r="AO76" i="2"/>
  <c r="AP76" i="2"/>
  <c r="AQ76" i="2"/>
  <c r="AR76" i="2"/>
  <c r="AS76" i="2"/>
  <c r="AT76" i="2"/>
  <c r="AU76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X77" i="2"/>
  <c r="Y77" i="2"/>
  <c r="Z77" i="2"/>
  <c r="AA77" i="2"/>
  <c r="AB77" i="2"/>
  <c r="AC77" i="2"/>
  <c r="AD77" i="2"/>
  <c r="AE77" i="2"/>
  <c r="AJ77" i="2"/>
  <c r="AK77" i="2"/>
  <c r="AL77" i="2"/>
  <c r="AM77" i="2"/>
  <c r="AN77" i="2"/>
  <c r="AO77" i="2"/>
  <c r="AP77" i="2"/>
  <c r="AQ77" i="2"/>
  <c r="AR77" i="2"/>
  <c r="AS77" i="2"/>
  <c r="AT77" i="2"/>
  <c r="AU77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Y78" i="2"/>
  <c r="Z78" i="2"/>
  <c r="AA78" i="2"/>
  <c r="AB78" i="2"/>
  <c r="AC78" i="2"/>
  <c r="AD78" i="2"/>
  <c r="AE78" i="2"/>
  <c r="AJ78" i="2"/>
  <c r="AK78" i="2"/>
  <c r="AL78" i="2"/>
  <c r="AM78" i="2"/>
  <c r="AN78" i="2"/>
  <c r="AO78" i="2"/>
  <c r="AP78" i="2"/>
  <c r="AQ78" i="2"/>
  <c r="AR78" i="2"/>
  <c r="AS78" i="2"/>
  <c r="AT78" i="2"/>
  <c r="AU78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Y79" i="2"/>
  <c r="Z79" i="2"/>
  <c r="AA79" i="2"/>
  <c r="AB79" i="2"/>
  <c r="AC79" i="2"/>
  <c r="AD79" i="2"/>
  <c r="AE79" i="2"/>
  <c r="AJ79" i="2"/>
  <c r="AK79" i="2"/>
  <c r="AL79" i="2"/>
  <c r="AM79" i="2"/>
  <c r="AN79" i="2"/>
  <c r="AO79" i="2"/>
  <c r="AP79" i="2"/>
  <c r="AQ79" i="2"/>
  <c r="AR79" i="2"/>
  <c r="AS79" i="2"/>
  <c r="AT79" i="2"/>
  <c r="AU79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Y80" i="2"/>
  <c r="Z80" i="2"/>
  <c r="AA80" i="2"/>
  <c r="AB80" i="2"/>
  <c r="AC80" i="2"/>
  <c r="AD80" i="2"/>
  <c r="AE80" i="2"/>
  <c r="AJ80" i="2"/>
  <c r="AK80" i="2"/>
  <c r="AL80" i="2"/>
  <c r="AM80" i="2"/>
  <c r="AN80" i="2"/>
  <c r="AO80" i="2"/>
  <c r="AP80" i="2"/>
  <c r="AQ80" i="2"/>
  <c r="AR80" i="2"/>
  <c r="AS80" i="2"/>
  <c r="AT80" i="2"/>
  <c r="AU80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X81" i="2"/>
  <c r="Y81" i="2"/>
  <c r="Z81" i="2"/>
  <c r="AA81" i="2"/>
  <c r="AB81" i="2"/>
  <c r="AC81" i="2"/>
  <c r="AD81" i="2"/>
  <c r="AE81" i="2"/>
  <c r="AJ81" i="2"/>
  <c r="AK81" i="2"/>
  <c r="AL81" i="2"/>
  <c r="AM81" i="2"/>
  <c r="AN81" i="2"/>
  <c r="AO81" i="2"/>
  <c r="AP81" i="2"/>
  <c r="AQ81" i="2"/>
  <c r="AR81" i="2"/>
  <c r="AS81" i="2"/>
  <c r="AT81" i="2"/>
  <c r="AU81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AD82" i="2"/>
  <c r="AE82" i="2"/>
  <c r="AJ82" i="2"/>
  <c r="AK82" i="2"/>
  <c r="AL82" i="2"/>
  <c r="AM82" i="2"/>
  <c r="AN82" i="2"/>
  <c r="AO82" i="2"/>
  <c r="AP82" i="2"/>
  <c r="AQ82" i="2"/>
  <c r="AR82" i="2"/>
  <c r="AS82" i="2"/>
  <c r="AT82" i="2"/>
  <c r="AU82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Y83" i="2"/>
  <c r="Z83" i="2"/>
  <c r="AA83" i="2"/>
  <c r="AB83" i="2"/>
  <c r="AC83" i="2"/>
  <c r="AD83" i="2"/>
  <c r="AE83" i="2"/>
  <c r="AJ83" i="2"/>
  <c r="AK83" i="2"/>
  <c r="AL83" i="2"/>
  <c r="AM83" i="2"/>
  <c r="AN83" i="2"/>
  <c r="AO83" i="2"/>
  <c r="AP83" i="2"/>
  <c r="AQ83" i="2"/>
  <c r="AR83" i="2"/>
  <c r="AS83" i="2"/>
  <c r="AT83" i="2"/>
  <c r="AU83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Z84" i="2"/>
  <c r="AA84" i="2"/>
  <c r="AB84" i="2"/>
  <c r="AC84" i="2"/>
  <c r="AD84" i="2"/>
  <c r="AE84" i="2"/>
  <c r="AJ84" i="2"/>
  <c r="AK84" i="2"/>
  <c r="AL84" i="2"/>
  <c r="AM84" i="2"/>
  <c r="AN84" i="2"/>
  <c r="AO84" i="2"/>
  <c r="AP84" i="2"/>
  <c r="AQ84" i="2"/>
  <c r="AR84" i="2"/>
  <c r="AS84" i="2"/>
  <c r="AT84" i="2"/>
  <c r="AU84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AD85" i="2"/>
  <c r="AE85" i="2"/>
  <c r="AJ85" i="2"/>
  <c r="AK85" i="2"/>
  <c r="AL85" i="2"/>
  <c r="AM85" i="2"/>
  <c r="AN85" i="2"/>
  <c r="AO85" i="2"/>
  <c r="AP85" i="2"/>
  <c r="AQ85" i="2"/>
  <c r="AR85" i="2"/>
  <c r="AS85" i="2"/>
  <c r="AT85" i="2"/>
  <c r="AU85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AE86" i="2"/>
  <c r="AJ86" i="2"/>
  <c r="AK86" i="2"/>
  <c r="AL86" i="2"/>
  <c r="AM86" i="2"/>
  <c r="AN86" i="2"/>
  <c r="AO86" i="2"/>
  <c r="AP86" i="2"/>
  <c r="AQ86" i="2"/>
  <c r="AR86" i="2"/>
  <c r="AS86" i="2"/>
  <c r="AT86" i="2"/>
  <c r="AU86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Y87" i="2"/>
  <c r="Z87" i="2"/>
  <c r="AA87" i="2"/>
  <c r="AB87" i="2"/>
  <c r="AC87" i="2"/>
  <c r="AD87" i="2"/>
  <c r="AE87" i="2"/>
  <c r="AJ87" i="2"/>
  <c r="AK87" i="2"/>
  <c r="AL87" i="2"/>
  <c r="AM87" i="2"/>
  <c r="AN87" i="2"/>
  <c r="AO87" i="2"/>
  <c r="AP87" i="2"/>
  <c r="AQ87" i="2"/>
  <c r="AR87" i="2"/>
  <c r="AS87" i="2"/>
  <c r="AT87" i="2"/>
  <c r="AU87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Z88" i="2"/>
  <c r="AA88" i="2"/>
  <c r="AB88" i="2"/>
  <c r="AC88" i="2"/>
  <c r="AD88" i="2"/>
  <c r="AE88" i="2"/>
  <c r="AJ88" i="2"/>
  <c r="AK88" i="2"/>
  <c r="AL88" i="2"/>
  <c r="AM88" i="2"/>
  <c r="AN88" i="2"/>
  <c r="AO88" i="2"/>
  <c r="AP88" i="2"/>
  <c r="AQ88" i="2"/>
  <c r="AR88" i="2"/>
  <c r="AS88" i="2"/>
  <c r="AT88" i="2"/>
  <c r="AU88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Y89" i="2"/>
  <c r="Z89" i="2"/>
  <c r="AA89" i="2"/>
  <c r="AB89" i="2"/>
  <c r="AC89" i="2"/>
  <c r="AD89" i="2"/>
  <c r="AE89" i="2"/>
  <c r="AJ89" i="2"/>
  <c r="AK89" i="2"/>
  <c r="AL89" i="2"/>
  <c r="AM89" i="2"/>
  <c r="AN89" i="2"/>
  <c r="AO89" i="2"/>
  <c r="AP89" i="2"/>
  <c r="AQ89" i="2"/>
  <c r="AR89" i="2"/>
  <c r="AS89" i="2"/>
  <c r="AT89" i="2"/>
  <c r="AU89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Y90" i="2"/>
  <c r="Z90" i="2"/>
  <c r="AA90" i="2"/>
  <c r="AB90" i="2"/>
  <c r="AC90" i="2"/>
  <c r="AD90" i="2"/>
  <c r="AE90" i="2"/>
  <c r="AJ90" i="2"/>
  <c r="AK90" i="2"/>
  <c r="AL90" i="2"/>
  <c r="AM90" i="2"/>
  <c r="AN90" i="2"/>
  <c r="AO90" i="2"/>
  <c r="AP90" i="2"/>
  <c r="AQ90" i="2"/>
  <c r="AR90" i="2"/>
  <c r="AS90" i="2"/>
  <c r="AT90" i="2"/>
  <c r="AU90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Y91" i="2"/>
  <c r="Z91" i="2"/>
  <c r="AA91" i="2"/>
  <c r="AB91" i="2"/>
  <c r="AC91" i="2"/>
  <c r="AD91" i="2"/>
  <c r="AE91" i="2"/>
  <c r="AJ91" i="2"/>
  <c r="AK91" i="2"/>
  <c r="AL91" i="2"/>
  <c r="AM91" i="2"/>
  <c r="AN91" i="2"/>
  <c r="AO91" i="2"/>
  <c r="AP91" i="2"/>
  <c r="AQ91" i="2"/>
  <c r="AR91" i="2"/>
  <c r="AS91" i="2"/>
  <c r="AT91" i="2"/>
  <c r="AU91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AA92" i="2"/>
  <c r="AB92" i="2"/>
  <c r="AC92" i="2"/>
  <c r="AD92" i="2"/>
  <c r="AE92" i="2"/>
  <c r="AJ92" i="2"/>
  <c r="AK92" i="2"/>
  <c r="AL92" i="2"/>
  <c r="AM92" i="2"/>
  <c r="AN92" i="2"/>
  <c r="AO92" i="2"/>
  <c r="AP92" i="2"/>
  <c r="AQ92" i="2"/>
  <c r="AR92" i="2"/>
  <c r="AS92" i="2"/>
  <c r="AT92" i="2"/>
  <c r="AU92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Y93" i="2"/>
  <c r="Z93" i="2"/>
  <c r="AA93" i="2"/>
  <c r="AB93" i="2"/>
  <c r="AC93" i="2"/>
  <c r="AD93" i="2"/>
  <c r="AE93" i="2"/>
  <c r="AJ93" i="2"/>
  <c r="AK93" i="2"/>
  <c r="AL93" i="2"/>
  <c r="AM93" i="2"/>
  <c r="AN93" i="2"/>
  <c r="AO93" i="2"/>
  <c r="AP93" i="2"/>
  <c r="AQ93" i="2"/>
  <c r="AR93" i="2"/>
  <c r="AS93" i="2"/>
  <c r="AT93" i="2"/>
  <c r="AU93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AB94" i="2"/>
  <c r="AC94" i="2"/>
  <c r="AD94" i="2"/>
  <c r="AE94" i="2"/>
  <c r="AJ94" i="2"/>
  <c r="AK94" i="2"/>
  <c r="AL94" i="2"/>
  <c r="AM94" i="2"/>
  <c r="AN94" i="2"/>
  <c r="AO94" i="2"/>
  <c r="AP94" i="2"/>
  <c r="AQ94" i="2"/>
  <c r="AR94" i="2"/>
  <c r="AS94" i="2"/>
  <c r="AT94" i="2"/>
  <c r="AU94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Y95" i="2"/>
  <c r="Z95" i="2"/>
  <c r="AA95" i="2"/>
  <c r="AB95" i="2"/>
  <c r="AC95" i="2"/>
  <c r="AD95" i="2"/>
  <c r="AE95" i="2"/>
  <c r="AJ95" i="2"/>
  <c r="AK95" i="2"/>
  <c r="AL95" i="2"/>
  <c r="AM95" i="2"/>
  <c r="AN95" i="2"/>
  <c r="AO95" i="2"/>
  <c r="AP95" i="2"/>
  <c r="AQ95" i="2"/>
  <c r="AR95" i="2"/>
  <c r="AS95" i="2"/>
  <c r="AT95" i="2"/>
  <c r="AU95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Y96" i="2"/>
  <c r="Z96" i="2"/>
  <c r="AA96" i="2"/>
  <c r="AB96" i="2"/>
  <c r="AC96" i="2"/>
  <c r="AD96" i="2"/>
  <c r="AE96" i="2"/>
  <c r="AJ96" i="2"/>
  <c r="AK96" i="2"/>
  <c r="AL96" i="2"/>
  <c r="AM96" i="2"/>
  <c r="AN96" i="2"/>
  <c r="AO96" i="2"/>
  <c r="AP96" i="2"/>
  <c r="AQ96" i="2"/>
  <c r="AR96" i="2"/>
  <c r="AS96" i="2"/>
  <c r="AT96" i="2"/>
  <c r="AU96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Y97" i="2"/>
  <c r="Z97" i="2"/>
  <c r="AA97" i="2"/>
  <c r="AB97" i="2"/>
  <c r="AC97" i="2"/>
  <c r="AD97" i="2"/>
  <c r="AE97" i="2"/>
  <c r="AJ97" i="2"/>
  <c r="AK97" i="2"/>
  <c r="AL97" i="2"/>
  <c r="AM97" i="2"/>
  <c r="AN97" i="2"/>
  <c r="AO97" i="2"/>
  <c r="AP97" i="2"/>
  <c r="AQ97" i="2"/>
  <c r="AR97" i="2"/>
  <c r="AS97" i="2"/>
  <c r="AT97" i="2"/>
  <c r="AU97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Y98" i="2"/>
  <c r="Z98" i="2"/>
  <c r="AA98" i="2"/>
  <c r="AB98" i="2"/>
  <c r="AC98" i="2"/>
  <c r="AD98" i="2"/>
  <c r="AE98" i="2"/>
  <c r="AJ98" i="2"/>
  <c r="AK98" i="2"/>
  <c r="AL98" i="2"/>
  <c r="AM98" i="2"/>
  <c r="AN98" i="2"/>
  <c r="AO98" i="2"/>
  <c r="AP98" i="2"/>
  <c r="AQ98" i="2"/>
  <c r="AR98" i="2"/>
  <c r="AS98" i="2"/>
  <c r="AT98" i="2"/>
  <c r="AU98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X99" i="2"/>
  <c r="Y99" i="2"/>
  <c r="Z99" i="2"/>
  <c r="AA99" i="2"/>
  <c r="AB99" i="2"/>
  <c r="AC99" i="2"/>
  <c r="AD99" i="2"/>
  <c r="AE99" i="2"/>
  <c r="AJ99" i="2"/>
  <c r="AK99" i="2"/>
  <c r="AL99" i="2"/>
  <c r="AM99" i="2"/>
  <c r="AN99" i="2"/>
  <c r="AO99" i="2"/>
  <c r="AP99" i="2"/>
  <c r="AQ99" i="2"/>
  <c r="AR99" i="2"/>
  <c r="AS99" i="2"/>
  <c r="AT99" i="2"/>
  <c r="AU99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J100" i="2"/>
  <c r="AK100" i="2"/>
  <c r="AL100" i="2"/>
  <c r="AM100" i="2"/>
  <c r="AN100" i="2"/>
  <c r="AO100" i="2"/>
  <c r="AP100" i="2"/>
  <c r="AQ100" i="2"/>
  <c r="AR100" i="2"/>
  <c r="AS100" i="2"/>
  <c r="AT100" i="2"/>
  <c r="AU100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AB101" i="2"/>
  <c r="AC101" i="2"/>
  <c r="AD101" i="2"/>
  <c r="AE101" i="2"/>
  <c r="AJ101" i="2"/>
  <c r="AK101" i="2"/>
  <c r="AL101" i="2"/>
  <c r="AM101" i="2"/>
  <c r="AN101" i="2"/>
  <c r="AO101" i="2"/>
  <c r="AP101" i="2"/>
  <c r="AQ101" i="2"/>
  <c r="AR101" i="2"/>
  <c r="AS101" i="2"/>
  <c r="AT101" i="2"/>
  <c r="AU101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Z102" i="2"/>
  <c r="AA102" i="2"/>
  <c r="AB102" i="2"/>
  <c r="AC102" i="2"/>
  <c r="AD102" i="2"/>
  <c r="AE102" i="2"/>
  <c r="AJ102" i="2"/>
  <c r="AK102" i="2"/>
  <c r="AL102" i="2"/>
  <c r="AM102" i="2"/>
  <c r="AN102" i="2"/>
  <c r="AO102" i="2"/>
  <c r="AP102" i="2"/>
  <c r="AQ102" i="2"/>
  <c r="AR102" i="2"/>
  <c r="AS102" i="2"/>
  <c r="AT102" i="2"/>
  <c r="AU102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J103" i="2"/>
  <c r="AK103" i="2"/>
  <c r="AL103" i="2"/>
  <c r="AM103" i="2"/>
  <c r="AN103" i="2"/>
  <c r="AO103" i="2"/>
  <c r="AP103" i="2"/>
  <c r="AQ103" i="2"/>
  <c r="AR103" i="2"/>
  <c r="AS103" i="2"/>
  <c r="AT103" i="2"/>
  <c r="AU103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J104" i="2"/>
  <c r="AK104" i="2"/>
  <c r="AL104" i="2"/>
  <c r="AM104" i="2"/>
  <c r="AN104" i="2"/>
  <c r="AO104" i="2"/>
  <c r="AP104" i="2"/>
  <c r="AQ104" i="2"/>
  <c r="AR104" i="2"/>
  <c r="AS104" i="2"/>
  <c r="AT104" i="2"/>
  <c r="AU104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J105" i="2"/>
  <c r="AK105" i="2"/>
  <c r="AL105" i="2"/>
  <c r="AM105" i="2"/>
  <c r="AN105" i="2"/>
  <c r="AO105" i="2"/>
  <c r="AP105" i="2"/>
  <c r="AQ105" i="2"/>
  <c r="AR105" i="2"/>
  <c r="AS105" i="2"/>
  <c r="AT105" i="2"/>
  <c r="AU105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J106" i="2"/>
  <c r="AK106" i="2"/>
  <c r="AL106" i="2"/>
  <c r="AM106" i="2"/>
  <c r="AN106" i="2"/>
  <c r="AO106" i="2"/>
  <c r="AP106" i="2"/>
  <c r="AQ106" i="2"/>
  <c r="AR106" i="2"/>
  <c r="AS106" i="2"/>
  <c r="AT106" i="2"/>
  <c r="AU106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X107" i="2"/>
  <c r="Y107" i="2"/>
  <c r="Z107" i="2"/>
  <c r="AA107" i="2"/>
  <c r="AB107" i="2"/>
  <c r="AC107" i="2"/>
  <c r="AD107" i="2"/>
  <c r="AE107" i="2"/>
  <c r="AJ107" i="2"/>
  <c r="AK107" i="2"/>
  <c r="AL107" i="2"/>
  <c r="AM107" i="2"/>
  <c r="AN107" i="2"/>
  <c r="AO107" i="2"/>
  <c r="AP107" i="2"/>
  <c r="AQ107" i="2"/>
  <c r="AR107" i="2"/>
  <c r="AS107" i="2"/>
  <c r="AT107" i="2"/>
  <c r="AU107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J108" i="2"/>
  <c r="AK108" i="2"/>
  <c r="AL108" i="2"/>
  <c r="AM108" i="2"/>
  <c r="AN108" i="2"/>
  <c r="AO108" i="2"/>
  <c r="AP108" i="2"/>
  <c r="AQ108" i="2"/>
  <c r="AR108" i="2"/>
  <c r="AS108" i="2"/>
  <c r="AT108" i="2"/>
  <c r="AU108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J109" i="2"/>
  <c r="AK109" i="2"/>
  <c r="AL109" i="2"/>
  <c r="AM109" i="2"/>
  <c r="AN109" i="2"/>
  <c r="AO109" i="2"/>
  <c r="AP109" i="2"/>
  <c r="AQ109" i="2"/>
  <c r="AR109" i="2"/>
  <c r="AS109" i="2"/>
  <c r="AT109" i="2"/>
  <c r="AU109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X110" i="2"/>
  <c r="Y110" i="2"/>
  <c r="Z110" i="2"/>
  <c r="AA110" i="2"/>
  <c r="AB110" i="2"/>
  <c r="AC110" i="2"/>
  <c r="AD110" i="2"/>
  <c r="AE110" i="2"/>
  <c r="AJ110" i="2"/>
  <c r="AK110" i="2"/>
  <c r="AL110" i="2"/>
  <c r="AM110" i="2"/>
  <c r="AN110" i="2"/>
  <c r="AO110" i="2"/>
  <c r="AP110" i="2"/>
  <c r="AQ110" i="2"/>
  <c r="AR110" i="2"/>
  <c r="AS110" i="2"/>
  <c r="AT110" i="2"/>
  <c r="AU110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J111" i="2"/>
  <c r="AK111" i="2"/>
  <c r="AL111" i="2"/>
  <c r="AM111" i="2"/>
  <c r="AN111" i="2"/>
  <c r="AO111" i="2"/>
  <c r="AP111" i="2"/>
  <c r="AQ111" i="2"/>
  <c r="AR111" i="2"/>
  <c r="AS111" i="2"/>
  <c r="AT111" i="2"/>
  <c r="AU111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J112" i="2"/>
  <c r="AK112" i="2"/>
  <c r="AL112" i="2"/>
  <c r="AM112" i="2"/>
  <c r="AN112" i="2"/>
  <c r="AO112" i="2"/>
  <c r="AP112" i="2"/>
  <c r="AQ112" i="2"/>
  <c r="AR112" i="2"/>
  <c r="AS112" i="2"/>
  <c r="AT112" i="2"/>
  <c r="AU112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J113" i="2"/>
  <c r="AK113" i="2"/>
  <c r="AL113" i="2"/>
  <c r="AM113" i="2"/>
  <c r="AN113" i="2"/>
  <c r="AO113" i="2"/>
  <c r="AP113" i="2"/>
  <c r="AQ113" i="2"/>
  <c r="AR113" i="2"/>
  <c r="AS113" i="2"/>
  <c r="AT113" i="2"/>
  <c r="AU113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J114" i="2"/>
  <c r="AK114" i="2"/>
  <c r="AL114" i="2"/>
  <c r="AM114" i="2"/>
  <c r="AN114" i="2"/>
  <c r="AO114" i="2"/>
  <c r="AP114" i="2"/>
  <c r="AQ114" i="2"/>
  <c r="AR114" i="2"/>
  <c r="AS114" i="2"/>
  <c r="AT114" i="2"/>
  <c r="AU114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X115" i="2"/>
  <c r="Y115" i="2"/>
  <c r="Z115" i="2"/>
  <c r="AA115" i="2"/>
  <c r="AB115" i="2"/>
  <c r="AC115" i="2"/>
  <c r="AD115" i="2"/>
  <c r="AE115" i="2"/>
  <c r="AJ115" i="2"/>
  <c r="AK115" i="2"/>
  <c r="AL115" i="2"/>
  <c r="AM115" i="2"/>
  <c r="AN115" i="2"/>
  <c r="AO115" i="2"/>
  <c r="AP115" i="2"/>
  <c r="AQ115" i="2"/>
  <c r="AR115" i="2"/>
  <c r="AS115" i="2"/>
  <c r="AT115" i="2"/>
  <c r="AU115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J116" i="2"/>
  <c r="AK116" i="2"/>
  <c r="AL116" i="2"/>
  <c r="AM116" i="2"/>
  <c r="AN116" i="2"/>
  <c r="AO116" i="2"/>
  <c r="AP116" i="2"/>
  <c r="AQ116" i="2"/>
  <c r="AR116" i="2"/>
  <c r="AS116" i="2"/>
  <c r="AT116" i="2"/>
  <c r="AU116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J117" i="2"/>
  <c r="AK117" i="2"/>
  <c r="AL117" i="2"/>
  <c r="AM117" i="2"/>
  <c r="AN117" i="2"/>
  <c r="AO117" i="2"/>
  <c r="AP117" i="2"/>
  <c r="AQ117" i="2"/>
  <c r="AR117" i="2"/>
  <c r="AS117" i="2"/>
  <c r="AT117" i="2"/>
  <c r="AU117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W118" i="2"/>
  <c r="X118" i="2"/>
  <c r="Y118" i="2"/>
  <c r="Z118" i="2"/>
  <c r="AA118" i="2"/>
  <c r="AB118" i="2"/>
  <c r="AC118" i="2"/>
  <c r="AD118" i="2"/>
  <c r="AE118" i="2"/>
  <c r="AJ118" i="2"/>
  <c r="AK118" i="2"/>
  <c r="AL118" i="2"/>
  <c r="AM118" i="2"/>
  <c r="AN118" i="2"/>
  <c r="AO118" i="2"/>
  <c r="AP118" i="2"/>
  <c r="AQ118" i="2"/>
  <c r="AR118" i="2"/>
  <c r="AS118" i="2"/>
  <c r="AT118" i="2"/>
  <c r="AU118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J119" i="2"/>
  <c r="AK119" i="2"/>
  <c r="AL119" i="2"/>
  <c r="AM119" i="2"/>
  <c r="AN119" i="2"/>
  <c r="AO119" i="2"/>
  <c r="AP119" i="2"/>
  <c r="AQ119" i="2"/>
  <c r="AR119" i="2"/>
  <c r="AS119" i="2"/>
  <c r="AT119" i="2"/>
  <c r="AU119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J120" i="2"/>
  <c r="AK120" i="2"/>
  <c r="AL120" i="2"/>
  <c r="AM120" i="2"/>
  <c r="AN120" i="2"/>
  <c r="AO120" i="2"/>
  <c r="AP120" i="2"/>
  <c r="AQ120" i="2"/>
  <c r="AR120" i="2"/>
  <c r="AS120" i="2"/>
  <c r="AT120" i="2"/>
  <c r="AU120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J121" i="2"/>
  <c r="AK121" i="2"/>
  <c r="AL121" i="2"/>
  <c r="AM121" i="2"/>
  <c r="AN121" i="2"/>
  <c r="AO121" i="2"/>
  <c r="AP121" i="2"/>
  <c r="AQ121" i="2"/>
  <c r="AR121" i="2"/>
  <c r="AS121" i="2"/>
  <c r="AT121" i="2"/>
  <c r="AU121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J122" i="2"/>
  <c r="AK122" i="2"/>
  <c r="AL122" i="2"/>
  <c r="AM122" i="2"/>
  <c r="AN122" i="2"/>
  <c r="AO122" i="2"/>
  <c r="AP122" i="2"/>
  <c r="AQ122" i="2"/>
  <c r="AR122" i="2"/>
  <c r="AS122" i="2"/>
  <c r="AT122" i="2"/>
  <c r="AU122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X123" i="2"/>
  <c r="Y123" i="2"/>
  <c r="Z123" i="2"/>
  <c r="AA123" i="2"/>
  <c r="AB123" i="2"/>
  <c r="AC123" i="2"/>
  <c r="AD123" i="2"/>
  <c r="AE123" i="2"/>
  <c r="AJ123" i="2"/>
  <c r="AK123" i="2"/>
  <c r="AL123" i="2"/>
  <c r="AM123" i="2"/>
  <c r="AN123" i="2"/>
  <c r="AO123" i="2"/>
  <c r="AP123" i="2"/>
  <c r="AQ123" i="2"/>
  <c r="AR123" i="2"/>
  <c r="AS123" i="2"/>
  <c r="AT123" i="2"/>
  <c r="AU123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J124" i="2"/>
  <c r="AK124" i="2"/>
  <c r="AL124" i="2"/>
  <c r="AM124" i="2"/>
  <c r="AN124" i="2"/>
  <c r="AO124" i="2"/>
  <c r="AP124" i="2"/>
  <c r="AQ124" i="2"/>
  <c r="AR124" i="2"/>
  <c r="AS124" i="2"/>
  <c r="AT124" i="2"/>
  <c r="AU124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J125" i="2"/>
  <c r="AK125" i="2"/>
  <c r="AL125" i="2"/>
  <c r="AM125" i="2"/>
  <c r="AN125" i="2"/>
  <c r="AO125" i="2"/>
  <c r="AP125" i="2"/>
  <c r="AQ125" i="2"/>
  <c r="AR125" i="2"/>
  <c r="AS125" i="2"/>
  <c r="AT125" i="2"/>
  <c r="AU125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X126" i="2"/>
  <c r="Y126" i="2"/>
  <c r="Z126" i="2"/>
  <c r="AA126" i="2"/>
  <c r="AB126" i="2"/>
  <c r="AC126" i="2"/>
  <c r="AD126" i="2"/>
  <c r="AE126" i="2"/>
  <c r="AJ126" i="2"/>
  <c r="AK126" i="2"/>
  <c r="AL126" i="2"/>
  <c r="AM126" i="2"/>
  <c r="AN126" i="2"/>
  <c r="AO126" i="2"/>
  <c r="AP126" i="2"/>
  <c r="AQ126" i="2"/>
  <c r="AR126" i="2"/>
  <c r="AS126" i="2"/>
  <c r="AT126" i="2"/>
  <c r="AU126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J127" i="2"/>
  <c r="AK127" i="2"/>
  <c r="AL127" i="2"/>
  <c r="AM127" i="2"/>
  <c r="AN127" i="2"/>
  <c r="AO127" i="2"/>
  <c r="AP127" i="2"/>
  <c r="AQ127" i="2"/>
  <c r="AR127" i="2"/>
  <c r="AS127" i="2"/>
  <c r="AT127" i="2"/>
  <c r="AU127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J128" i="2"/>
  <c r="AK128" i="2"/>
  <c r="AL128" i="2"/>
  <c r="AM128" i="2"/>
  <c r="AN128" i="2"/>
  <c r="AO128" i="2"/>
  <c r="AP128" i="2"/>
  <c r="AQ128" i="2"/>
  <c r="AR128" i="2"/>
  <c r="AS128" i="2"/>
  <c r="AT128" i="2"/>
  <c r="AU128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J129" i="2"/>
  <c r="AK129" i="2"/>
  <c r="AL129" i="2"/>
  <c r="AM129" i="2"/>
  <c r="AN129" i="2"/>
  <c r="AO129" i="2"/>
  <c r="AP129" i="2"/>
  <c r="AQ129" i="2"/>
  <c r="AR129" i="2"/>
  <c r="AS129" i="2"/>
  <c r="AT129" i="2"/>
  <c r="AU129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J130" i="2"/>
  <c r="AK130" i="2"/>
  <c r="AL130" i="2"/>
  <c r="AM130" i="2"/>
  <c r="AN130" i="2"/>
  <c r="AO130" i="2"/>
  <c r="AP130" i="2"/>
  <c r="AQ130" i="2"/>
  <c r="AR130" i="2"/>
  <c r="AS130" i="2"/>
  <c r="AT130" i="2"/>
  <c r="AU130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Z131" i="2"/>
  <c r="AA131" i="2"/>
  <c r="AB131" i="2"/>
  <c r="AC131" i="2"/>
  <c r="AD131" i="2"/>
  <c r="AE131" i="2"/>
  <c r="AJ131" i="2"/>
  <c r="AK131" i="2"/>
  <c r="AL131" i="2"/>
  <c r="AM131" i="2"/>
  <c r="AN131" i="2"/>
  <c r="AO131" i="2"/>
  <c r="AP131" i="2"/>
  <c r="AQ131" i="2"/>
  <c r="AR131" i="2"/>
  <c r="AS131" i="2"/>
  <c r="AT131" i="2"/>
  <c r="AU131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J132" i="2"/>
  <c r="AK132" i="2"/>
  <c r="AL132" i="2"/>
  <c r="AM132" i="2"/>
  <c r="AN132" i="2"/>
  <c r="AO132" i="2"/>
  <c r="AP132" i="2"/>
  <c r="AQ132" i="2"/>
  <c r="AR132" i="2"/>
  <c r="AS132" i="2"/>
  <c r="AT132" i="2"/>
  <c r="AU132" i="2"/>
  <c r="H133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J133" i="2"/>
  <c r="AK133" i="2"/>
  <c r="AL133" i="2"/>
  <c r="AM133" i="2"/>
  <c r="AN133" i="2"/>
  <c r="AO133" i="2"/>
  <c r="AP133" i="2"/>
  <c r="AQ133" i="2"/>
  <c r="AR133" i="2"/>
  <c r="AS133" i="2"/>
  <c r="AT133" i="2"/>
  <c r="AU133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V134" i="2"/>
  <c r="W134" i="2"/>
  <c r="X134" i="2"/>
  <c r="Y134" i="2"/>
  <c r="Z134" i="2"/>
  <c r="AA134" i="2"/>
  <c r="AB134" i="2"/>
  <c r="AC134" i="2"/>
  <c r="AD134" i="2"/>
  <c r="AE134" i="2"/>
  <c r="AJ134" i="2"/>
  <c r="AK134" i="2"/>
  <c r="AL134" i="2"/>
  <c r="AM134" i="2"/>
  <c r="AN134" i="2"/>
  <c r="AO134" i="2"/>
  <c r="AP134" i="2"/>
  <c r="AQ134" i="2"/>
  <c r="AR134" i="2"/>
  <c r="AS134" i="2"/>
  <c r="AT134" i="2"/>
  <c r="AU134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J135" i="2"/>
  <c r="AK135" i="2"/>
  <c r="AL135" i="2"/>
  <c r="AM135" i="2"/>
  <c r="AN135" i="2"/>
  <c r="AO135" i="2"/>
  <c r="AP135" i="2"/>
  <c r="AQ135" i="2"/>
  <c r="AR135" i="2"/>
  <c r="AS135" i="2"/>
  <c r="AT135" i="2"/>
  <c r="AU135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J136" i="2"/>
  <c r="AK136" i="2"/>
  <c r="AL136" i="2"/>
  <c r="AM136" i="2"/>
  <c r="AN136" i="2"/>
  <c r="AO136" i="2"/>
  <c r="AP136" i="2"/>
  <c r="AQ136" i="2"/>
  <c r="AR136" i="2"/>
  <c r="AS136" i="2"/>
  <c r="AT136" i="2"/>
  <c r="AU136" i="2"/>
  <c r="H137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J137" i="2"/>
  <c r="AK137" i="2"/>
  <c r="AL137" i="2"/>
  <c r="AM137" i="2"/>
  <c r="AN137" i="2"/>
  <c r="AO137" i="2"/>
  <c r="AP137" i="2"/>
  <c r="AQ137" i="2"/>
  <c r="AR137" i="2"/>
  <c r="AS137" i="2"/>
  <c r="AT137" i="2"/>
  <c r="AU137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J138" i="2"/>
  <c r="AK138" i="2"/>
  <c r="AL138" i="2"/>
  <c r="AM138" i="2"/>
  <c r="AN138" i="2"/>
  <c r="AO138" i="2"/>
  <c r="AP138" i="2"/>
  <c r="AQ138" i="2"/>
  <c r="AR138" i="2"/>
  <c r="AS138" i="2"/>
  <c r="AT138" i="2"/>
  <c r="AU138" i="2"/>
  <c r="H139" i="2"/>
  <c r="I139" i="2"/>
  <c r="J139" i="2"/>
  <c r="K139" i="2"/>
  <c r="L139" i="2"/>
  <c r="M139" i="2"/>
  <c r="N139" i="2"/>
  <c r="O139" i="2"/>
  <c r="P139" i="2"/>
  <c r="Q139" i="2"/>
  <c r="R139" i="2"/>
  <c r="S139" i="2"/>
  <c r="T139" i="2"/>
  <c r="U139" i="2"/>
  <c r="V139" i="2"/>
  <c r="W139" i="2"/>
  <c r="X139" i="2"/>
  <c r="Y139" i="2"/>
  <c r="Z139" i="2"/>
  <c r="AA139" i="2"/>
  <c r="AB139" i="2"/>
  <c r="AC139" i="2"/>
  <c r="AD139" i="2"/>
  <c r="AE139" i="2"/>
  <c r="AJ139" i="2"/>
  <c r="AK139" i="2"/>
  <c r="AL139" i="2"/>
  <c r="AM139" i="2"/>
  <c r="AN139" i="2"/>
  <c r="AO139" i="2"/>
  <c r="AP139" i="2"/>
  <c r="AQ139" i="2"/>
  <c r="AR139" i="2"/>
  <c r="AS139" i="2"/>
  <c r="AT139" i="2"/>
  <c r="AU139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J140" i="2"/>
  <c r="AK140" i="2"/>
  <c r="AL140" i="2"/>
  <c r="AM140" i="2"/>
  <c r="AN140" i="2"/>
  <c r="AO140" i="2"/>
  <c r="AP140" i="2"/>
  <c r="AQ140" i="2"/>
  <c r="AR140" i="2"/>
  <c r="AS140" i="2"/>
  <c r="AT140" i="2"/>
  <c r="AU140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J141" i="2"/>
  <c r="AK141" i="2"/>
  <c r="AL141" i="2"/>
  <c r="AM141" i="2"/>
  <c r="AN141" i="2"/>
  <c r="AO141" i="2"/>
  <c r="AP141" i="2"/>
  <c r="AQ141" i="2"/>
  <c r="AR141" i="2"/>
  <c r="AS141" i="2"/>
  <c r="AT141" i="2"/>
  <c r="AU141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W142" i="2"/>
  <c r="X142" i="2"/>
  <c r="Y142" i="2"/>
  <c r="Z142" i="2"/>
  <c r="AA142" i="2"/>
  <c r="AB142" i="2"/>
  <c r="AC142" i="2"/>
  <c r="AD142" i="2"/>
  <c r="AE142" i="2"/>
  <c r="AJ142" i="2"/>
  <c r="AK142" i="2"/>
  <c r="AL142" i="2"/>
  <c r="AM142" i="2"/>
  <c r="AN142" i="2"/>
  <c r="AO142" i="2"/>
  <c r="AP142" i="2"/>
  <c r="AQ142" i="2"/>
  <c r="AR142" i="2"/>
  <c r="AS142" i="2"/>
  <c r="AT142" i="2"/>
  <c r="AU142" i="2"/>
  <c r="H143" i="2"/>
  <c r="I143" i="2"/>
  <c r="J143" i="2"/>
  <c r="K143" i="2"/>
  <c r="L143" i="2"/>
  <c r="M143" i="2"/>
  <c r="N143" i="2"/>
  <c r="O143" i="2"/>
  <c r="P143" i="2"/>
  <c r="Q143" i="2"/>
  <c r="R143" i="2"/>
  <c r="S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J143" i="2"/>
  <c r="AK143" i="2"/>
  <c r="AL143" i="2"/>
  <c r="AM143" i="2"/>
  <c r="AN143" i="2"/>
  <c r="AO143" i="2"/>
  <c r="AP143" i="2"/>
  <c r="AQ143" i="2"/>
  <c r="AR143" i="2"/>
  <c r="AS143" i="2"/>
  <c r="AT143" i="2"/>
  <c r="AU143" i="2"/>
  <c r="H144" i="2"/>
  <c r="I144" i="2"/>
  <c r="J144" i="2"/>
  <c r="K144" i="2"/>
  <c r="L144" i="2"/>
  <c r="M144" i="2"/>
  <c r="N144" i="2"/>
  <c r="O144" i="2"/>
  <c r="P144" i="2"/>
  <c r="Q144" i="2"/>
  <c r="R144" i="2"/>
  <c r="S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J144" i="2"/>
  <c r="AK144" i="2"/>
  <c r="AL144" i="2"/>
  <c r="AM144" i="2"/>
  <c r="AN144" i="2"/>
  <c r="AO144" i="2"/>
  <c r="AP144" i="2"/>
  <c r="AQ144" i="2"/>
  <c r="AR144" i="2"/>
  <c r="AS144" i="2"/>
  <c r="AT144" i="2"/>
  <c r="AU144" i="2"/>
  <c r="H145" i="2"/>
  <c r="I145" i="2"/>
  <c r="J145" i="2"/>
  <c r="K145" i="2"/>
  <c r="L145" i="2"/>
  <c r="M145" i="2"/>
  <c r="N145" i="2"/>
  <c r="O145" i="2"/>
  <c r="P145" i="2"/>
  <c r="Q145" i="2"/>
  <c r="R145" i="2"/>
  <c r="S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J145" i="2"/>
  <c r="AK145" i="2"/>
  <c r="AL145" i="2"/>
  <c r="AM145" i="2"/>
  <c r="AN145" i="2"/>
  <c r="AO145" i="2"/>
  <c r="AP145" i="2"/>
  <c r="AQ145" i="2"/>
  <c r="AR145" i="2"/>
  <c r="AS145" i="2"/>
  <c r="AT145" i="2"/>
  <c r="AU145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J146" i="2"/>
  <c r="AK146" i="2"/>
  <c r="AL146" i="2"/>
  <c r="AM146" i="2"/>
  <c r="AN146" i="2"/>
  <c r="AO146" i="2"/>
  <c r="AP146" i="2"/>
  <c r="AQ146" i="2"/>
  <c r="AR146" i="2"/>
  <c r="AS146" i="2"/>
  <c r="AT146" i="2"/>
  <c r="AU146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U147" i="2"/>
  <c r="V147" i="2"/>
  <c r="W147" i="2"/>
  <c r="X147" i="2"/>
  <c r="Y147" i="2"/>
  <c r="Z147" i="2"/>
  <c r="AA147" i="2"/>
  <c r="AB147" i="2"/>
  <c r="AC147" i="2"/>
  <c r="AD147" i="2"/>
  <c r="AE147" i="2"/>
  <c r="AJ147" i="2"/>
  <c r="AK147" i="2"/>
  <c r="AL147" i="2"/>
  <c r="AM147" i="2"/>
  <c r="AN147" i="2"/>
  <c r="AO147" i="2"/>
  <c r="AP147" i="2"/>
  <c r="AQ147" i="2"/>
  <c r="AR147" i="2"/>
  <c r="AS147" i="2"/>
  <c r="AT147" i="2"/>
  <c r="AU147" i="2"/>
  <c r="H148" i="2"/>
  <c r="I148" i="2"/>
  <c r="J148" i="2"/>
  <c r="K148" i="2"/>
  <c r="L148" i="2"/>
  <c r="M148" i="2"/>
  <c r="N148" i="2"/>
  <c r="O148" i="2"/>
  <c r="P148" i="2"/>
  <c r="Q148" i="2"/>
  <c r="R148" i="2"/>
  <c r="S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J148" i="2"/>
  <c r="AK148" i="2"/>
  <c r="AL148" i="2"/>
  <c r="AM148" i="2"/>
  <c r="AN148" i="2"/>
  <c r="AO148" i="2"/>
  <c r="AP148" i="2"/>
  <c r="AQ148" i="2"/>
  <c r="AR148" i="2"/>
  <c r="AS148" i="2"/>
  <c r="AT148" i="2"/>
  <c r="AU148" i="2"/>
  <c r="H149" i="2"/>
  <c r="I149" i="2"/>
  <c r="J149" i="2"/>
  <c r="K149" i="2"/>
  <c r="L149" i="2"/>
  <c r="M149" i="2"/>
  <c r="N149" i="2"/>
  <c r="O149" i="2"/>
  <c r="P149" i="2"/>
  <c r="Q149" i="2"/>
  <c r="R149" i="2"/>
  <c r="S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J149" i="2"/>
  <c r="AK149" i="2"/>
  <c r="AL149" i="2"/>
  <c r="AM149" i="2"/>
  <c r="AN149" i="2"/>
  <c r="AO149" i="2"/>
  <c r="AP149" i="2"/>
  <c r="AQ149" i="2"/>
  <c r="AR149" i="2"/>
  <c r="AS149" i="2"/>
  <c r="AT149" i="2"/>
  <c r="AU149" i="2"/>
  <c r="H150" i="2"/>
  <c r="I150" i="2"/>
  <c r="J150" i="2"/>
  <c r="K150" i="2"/>
  <c r="L150" i="2"/>
  <c r="M150" i="2"/>
  <c r="N150" i="2"/>
  <c r="O150" i="2"/>
  <c r="P150" i="2"/>
  <c r="Q150" i="2"/>
  <c r="R150" i="2"/>
  <c r="S150" i="2"/>
  <c r="T150" i="2"/>
  <c r="U150" i="2"/>
  <c r="V150" i="2"/>
  <c r="W150" i="2"/>
  <c r="X150" i="2"/>
  <c r="Y150" i="2"/>
  <c r="Z150" i="2"/>
  <c r="AA150" i="2"/>
  <c r="AB150" i="2"/>
  <c r="AC150" i="2"/>
  <c r="AD150" i="2"/>
  <c r="AE150" i="2"/>
  <c r="AJ150" i="2"/>
  <c r="AK150" i="2"/>
  <c r="AL150" i="2"/>
  <c r="AM150" i="2"/>
  <c r="AN150" i="2"/>
  <c r="AO150" i="2"/>
  <c r="AP150" i="2"/>
  <c r="AQ150" i="2"/>
  <c r="AR150" i="2"/>
  <c r="AS150" i="2"/>
  <c r="AT150" i="2"/>
  <c r="AU150" i="2"/>
  <c r="H151" i="2"/>
  <c r="I151" i="2"/>
  <c r="J151" i="2"/>
  <c r="K151" i="2"/>
  <c r="L151" i="2"/>
  <c r="M151" i="2"/>
  <c r="N151" i="2"/>
  <c r="O151" i="2"/>
  <c r="P151" i="2"/>
  <c r="Q151" i="2"/>
  <c r="R151" i="2"/>
  <c r="S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J151" i="2"/>
  <c r="AK151" i="2"/>
  <c r="AL151" i="2"/>
  <c r="AM151" i="2"/>
  <c r="AN151" i="2"/>
  <c r="AO151" i="2"/>
  <c r="AP151" i="2"/>
  <c r="AQ151" i="2"/>
  <c r="AR151" i="2"/>
  <c r="AS151" i="2"/>
  <c r="AT151" i="2"/>
  <c r="AU151" i="2"/>
  <c r="H152" i="2"/>
  <c r="I152" i="2"/>
  <c r="J152" i="2"/>
  <c r="K152" i="2"/>
  <c r="L152" i="2"/>
  <c r="M152" i="2"/>
  <c r="N152" i="2"/>
  <c r="O152" i="2"/>
  <c r="P152" i="2"/>
  <c r="Q152" i="2"/>
  <c r="R152" i="2"/>
  <c r="S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J152" i="2"/>
  <c r="AK152" i="2"/>
  <c r="AL152" i="2"/>
  <c r="AM152" i="2"/>
  <c r="AN152" i="2"/>
  <c r="AO152" i="2"/>
  <c r="AP152" i="2"/>
  <c r="AQ152" i="2"/>
  <c r="AR152" i="2"/>
  <c r="AS152" i="2"/>
  <c r="AT152" i="2"/>
  <c r="AU152" i="2"/>
  <c r="H153" i="2"/>
  <c r="I153" i="2"/>
  <c r="J153" i="2"/>
  <c r="K153" i="2"/>
  <c r="L153" i="2"/>
  <c r="M153" i="2"/>
  <c r="N153" i="2"/>
  <c r="O153" i="2"/>
  <c r="P153" i="2"/>
  <c r="Q153" i="2"/>
  <c r="R153" i="2"/>
  <c r="S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J153" i="2"/>
  <c r="AK153" i="2"/>
  <c r="AL153" i="2"/>
  <c r="AM153" i="2"/>
  <c r="AN153" i="2"/>
  <c r="AO153" i="2"/>
  <c r="AP153" i="2"/>
  <c r="AQ153" i="2"/>
  <c r="AR153" i="2"/>
  <c r="AS153" i="2"/>
  <c r="AT153" i="2"/>
  <c r="AU153" i="2"/>
  <c r="H154" i="2"/>
  <c r="I154" i="2"/>
  <c r="J154" i="2"/>
  <c r="K154" i="2"/>
  <c r="L154" i="2"/>
  <c r="M154" i="2"/>
  <c r="N154" i="2"/>
  <c r="O154" i="2"/>
  <c r="P154" i="2"/>
  <c r="Q154" i="2"/>
  <c r="R154" i="2"/>
  <c r="S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J154" i="2"/>
  <c r="AK154" i="2"/>
  <c r="AL154" i="2"/>
  <c r="AM154" i="2"/>
  <c r="AN154" i="2"/>
  <c r="AO154" i="2"/>
  <c r="AP154" i="2"/>
  <c r="AQ154" i="2"/>
  <c r="AR154" i="2"/>
  <c r="AS154" i="2"/>
  <c r="AT154" i="2"/>
  <c r="AU154" i="2"/>
  <c r="H155" i="2"/>
  <c r="I155" i="2"/>
  <c r="J155" i="2"/>
  <c r="K155" i="2"/>
  <c r="L155" i="2"/>
  <c r="M155" i="2"/>
  <c r="N155" i="2"/>
  <c r="O155" i="2"/>
  <c r="P155" i="2"/>
  <c r="Q155" i="2"/>
  <c r="R155" i="2"/>
  <c r="S155" i="2"/>
  <c r="T155" i="2"/>
  <c r="U155" i="2"/>
  <c r="V155" i="2"/>
  <c r="W155" i="2"/>
  <c r="X155" i="2"/>
  <c r="Y155" i="2"/>
  <c r="Z155" i="2"/>
  <c r="AA155" i="2"/>
  <c r="AB155" i="2"/>
  <c r="AC155" i="2"/>
  <c r="AD155" i="2"/>
  <c r="AE155" i="2"/>
  <c r="AJ155" i="2"/>
  <c r="AK155" i="2"/>
  <c r="AL155" i="2"/>
  <c r="AM155" i="2"/>
  <c r="AN155" i="2"/>
  <c r="AO155" i="2"/>
  <c r="AP155" i="2"/>
  <c r="AQ155" i="2"/>
  <c r="AR155" i="2"/>
  <c r="AS155" i="2"/>
  <c r="AT155" i="2"/>
  <c r="AU155" i="2"/>
  <c r="H156" i="2"/>
  <c r="I156" i="2"/>
  <c r="J156" i="2"/>
  <c r="K156" i="2"/>
  <c r="L156" i="2"/>
  <c r="M156" i="2"/>
  <c r="N156" i="2"/>
  <c r="O156" i="2"/>
  <c r="P156" i="2"/>
  <c r="Q156" i="2"/>
  <c r="R156" i="2"/>
  <c r="S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J156" i="2"/>
  <c r="AK156" i="2"/>
  <c r="AL156" i="2"/>
  <c r="AM156" i="2"/>
  <c r="AN156" i="2"/>
  <c r="AO156" i="2"/>
  <c r="AP156" i="2"/>
  <c r="AQ156" i="2"/>
  <c r="AR156" i="2"/>
  <c r="AS156" i="2"/>
  <c r="AT156" i="2"/>
  <c r="AU156" i="2"/>
  <c r="H157" i="2"/>
  <c r="I157" i="2"/>
  <c r="J157" i="2"/>
  <c r="K157" i="2"/>
  <c r="L157" i="2"/>
  <c r="M157" i="2"/>
  <c r="N157" i="2"/>
  <c r="O157" i="2"/>
  <c r="P157" i="2"/>
  <c r="Q157" i="2"/>
  <c r="R157" i="2"/>
  <c r="S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J157" i="2"/>
  <c r="AK157" i="2"/>
  <c r="AL157" i="2"/>
  <c r="AM157" i="2"/>
  <c r="AN157" i="2"/>
  <c r="AO157" i="2"/>
  <c r="AP157" i="2"/>
  <c r="AQ157" i="2"/>
  <c r="AR157" i="2"/>
  <c r="AS157" i="2"/>
  <c r="AT157" i="2"/>
  <c r="AU157" i="2"/>
  <c r="H158" i="2"/>
  <c r="I158" i="2"/>
  <c r="J158" i="2"/>
  <c r="K158" i="2"/>
  <c r="L158" i="2"/>
  <c r="M158" i="2"/>
  <c r="N158" i="2"/>
  <c r="O158" i="2"/>
  <c r="P158" i="2"/>
  <c r="Q158" i="2"/>
  <c r="R158" i="2"/>
  <c r="S158" i="2"/>
  <c r="T158" i="2"/>
  <c r="U158" i="2"/>
  <c r="V158" i="2"/>
  <c r="W158" i="2"/>
  <c r="X158" i="2"/>
  <c r="Y158" i="2"/>
  <c r="Z158" i="2"/>
  <c r="AA158" i="2"/>
  <c r="AB158" i="2"/>
  <c r="AC158" i="2"/>
  <c r="AD158" i="2"/>
  <c r="AE158" i="2"/>
  <c r="AJ158" i="2"/>
  <c r="AK158" i="2"/>
  <c r="AL158" i="2"/>
  <c r="AM158" i="2"/>
  <c r="AN158" i="2"/>
  <c r="AO158" i="2"/>
  <c r="AP158" i="2"/>
  <c r="AQ158" i="2"/>
  <c r="AR158" i="2"/>
  <c r="AS158" i="2"/>
  <c r="AT158" i="2"/>
  <c r="AU158" i="2"/>
  <c r="H159" i="2"/>
  <c r="I159" i="2"/>
  <c r="J159" i="2"/>
  <c r="K159" i="2"/>
  <c r="L159" i="2"/>
  <c r="M159" i="2"/>
  <c r="N159" i="2"/>
  <c r="O159" i="2"/>
  <c r="P159" i="2"/>
  <c r="Q159" i="2"/>
  <c r="R159" i="2"/>
  <c r="S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J159" i="2"/>
  <c r="AK159" i="2"/>
  <c r="AL159" i="2"/>
  <c r="AM159" i="2"/>
  <c r="AN159" i="2"/>
  <c r="AO159" i="2"/>
  <c r="AP159" i="2"/>
  <c r="AQ159" i="2"/>
  <c r="AR159" i="2"/>
  <c r="AS159" i="2"/>
  <c r="AT159" i="2"/>
  <c r="AU159" i="2"/>
  <c r="H160" i="2"/>
  <c r="I160" i="2"/>
  <c r="J160" i="2"/>
  <c r="K160" i="2"/>
  <c r="L160" i="2"/>
  <c r="M160" i="2"/>
  <c r="N160" i="2"/>
  <c r="O160" i="2"/>
  <c r="P160" i="2"/>
  <c r="Q160" i="2"/>
  <c r="R160" i="2"/>
  <c r="S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J160" i="2"/>
  <c r="AK160" i="2"/>
  <c r="AL160" i="2"/>
  <c r="AM160" i="2"/>
  <c r="AN160" i="2"/>
  <c r="AO160" i="2"/>
  <c r="AP160" i="2"/>
  <c r="AQ160" i="2"/>
  <c r="AR160" i="2"/>
  <c r="AS160" i="2"/>
  <c r="AT160" i="2"/>
  <c r="AU160" i="2"/>
  <c r="H161" i="2"/>
  <c r="I161" i="2"/>
  <c r="J161" i="2"/>
  <c r="K161" i="2"/>
  <c r="L161" i="2"/>
  <c r="M161" i="2"/>
  <c r="N161" i="2"/>
  <c r="O161" i="2"/>
  <c r="P161" i="2"/>
  <c r="Q161" i="2"/>
  <c r="R161" i="2"/>
  <c r="S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J161" i="2"/>
  <c r="AK161" i="2"/>
  <c r="AL161" i="2"/>
  <c r="AM161" i="2"/>
  <c r="AN161" i="2"/>
  <c r="AO161" i="2"/>
  <c r="AP161" i="2"/>
  <c r="AQ161" i="2"/>
  <c r="AR161" i="2"/>
  <c r="AS161" i="2"/>
  <c r="AT161" i="2"/>
  <c r="AU161" i="2"/>
  <c r="H162" i="2"/>
  <c r="I162" i="2"/>
  <c r="J162" i="2"/>
  <c r="K162" i="2"/>
  <c r="L162" i="2"/>
  <c r="M162" i="2"/>
  <c r="N162" i="2"/>
  <c r="O162" i="2"/>
  <c r="P162" i="2"/>
  <c r="Q162" i="2"/>
  <c r="R162" i="2"/>
  <c r="S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J162" i="2"/>
  <c r="AK162" i="2"/>
  <c r="AL162" i="2"/>
  <c r="AM162" i="2"/>
  <c r="AN162" i="2"/>
  <c r="AO162" i="2"/>
  <c r="AP162" i="2"/>
  <c r="AQ162" i="2"/>
  <c r="AR162" i="2"/>
  <c r="AS162" i="2"/>
  <c r="AT162" i="2"/>
  <c r="AU162" i="2"/>
  <c r="H163" i="2"/>
  <c r="I163" i="2"/>
  <c r="J163" i="2"/>
  <c r="K163" i="2"/>
  <c r="L163" i="2"/>
  <c r="M163" i="2"/>
  <c r="N163" i="2"/>
  <c r="O163" i="2"/>
  <c r="P163" i="2"/>
  <c r="Q163" i="2"/>
  <c r="R163" i="2"/>
  <c r="S163" i="2"/>
  <c r="T163" i="2"/>
  <c r="U163" i="2"/>
  <c r="V163" i="2"/>
  <c r="W163" i="2"/>
  <c r="X163" i="2"/>
  <c r="Y163" i="2"/>
  <c r="Z163" i="2"/>
  <c r="AA163" i="2"/>
  <c r="AB163" i="2"/>
  <c r="AC163" i="2"/>
  <c r="AD163" i="2"/>
  <c r="AE163" i="2"/>
  <c r="AJ163" i="2"/>
  <c r="AK163" i="2"/>
  <c r="AL163" i="2"/>
  <c r="AM163" i="2"/>
  <c r="AN163" i="2"/>
  <c r="AO163" i="2"/>
  <c r="AP163" i="2"/>
  <c r="AQ163" i="2"/>
  <c r="AR163" i="2"/>
  <c r="AS163" i="2"/>
  <c r="AT163" i="2"/>
  <c r="AU163" i="2"/>
  <c r="H164" i="2"/>
  <c r="I164" i="2"/>
  <c r="J164" i="2"/>
  <c r="K164" i="2"/>
  <c r="L164" i="2"/>
  <c r="M164" i="2"/>
  <c r="N164" i="2"/>
  <c r="O164" i="2"/>
  <c r="P164" i="2"/>
  <c r="Q164" i="2"/>
  <c r="R164" i="2"/>
  <c r="S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J164" i="2"/>
  <c r="AK164" i="2"/>
  <c r="AL164" i="2"/>
  <c r="AM164" i="2"/>
  <c r="AN164" i="2"/>
  <c r="AO164" i="2"/>
  <c r="AP164" i="2"/>
  <c r="AQ164" i="2"/>
  <c r="AR164" i="2"/>
  <c r="AS164" i="2"/>
  <c r="AT164" i="2"/>
  <c r="AU164" i="2"/>
  <c r="H165" i="2"/>
  <c r="I165" i="2"/>
  <c r="J165" i="2"/>
  <c r="K165" i="2"/>
  <c r="L165" i="2"/>
  <c r="M165" i="2"/>
  <c r="N165" i="2"/>
  <c r="O165" i="2"/>
  <c r="P165" i="2"/>
  <c r="Q165" i="2"/>
  <c r="R165" i="2"/>
  <c r="S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J165" i="2"/>
  <c r="AK165" i="2"/>
  <c r="AL165" i="2"/>
  <c r="AM165" i="2"/>
  <c r="AN165" i="2"/>
  <c r="AO165" i="2"/>
  <c r="AP165" i="2"/>
  <c r="AQ165" i="2"/>
  <c r="AR165" i="2"/>
  <c r="AS165" i="2"/>
  <c r="AT165" i="2"/>
  <c r="AU165" i="2"/>
  <c r="H166" i="2"/>
  <c r="I166" i="2"/>
  <c r="J166" i="2"/>
  <c r="K166" i="2"/>
  <c r="L166" i="2"/>
  <c r="M166" i="2"/>
  <c r="N166" i="2"/>
  <c r="O166" i="2"/>
  <c r="P166" i="2"/>
  <c r="Q166" i="2"/>
  <c r="R166" i="2"/>
  <c r="S166" i="2"/>
  <c r="T166" i="2"/>
  <c r="U166" i="2"/>
  <c r="V166" i="2"/>
  <c r="W166" i="2"/>
  <c r="X166" i="2"/>
  <c r="Y166" i="2"/>
  <c r="Z166" i="2"/>
  <c r="AA166" i="2"/>
  <c r="AB166" i="2"/>
  <c r="AC166" i="2"/>
  <c r="AD166" i="2"/>
  <c r="AE166" i="2"/>
  <c r="AJ166" i="2"/>
  <c r="AK166" i="2"/>
  <c r="AL166" i="2"/>
  <c r="AM166" i="2"/>
  <c r="AN166" i="2"/>
  <c r="AO166" i="2"/>
  <c r="AP166" i="2"/>
  <c r="AQ166" i="2"/>
  <c r="AR166" i="2"/>
  <c r="AS166" i="2"/>
  <c r="AT166" i="2"/>
  <c r="AU166" i="2"/>
  <c r="H167" i="2"/>
  <c r="I167" i="2"/>
  <c r="J167" i="2"/>
  <c r="K167" i="2"/>
  <c r="L167" i="2"/>
  <c r="M167" i="2"/>
  <c r="N167" i="2"/>
  <c r="O167" i="2"/>
  <c r="P167" i="2"/>
  <c r="Q167" i="2"/>
  <c r="R167" i="2"/>
  <c r="S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J167" i="2"/>
  <c r="AK167" i="2"/>
  <c r="AL167" i="2"/>
  <c r="AM167" i="2"/>
  <c r="AN167" i="2"/>
  <c r="AO167" i="2"/>
  <c r="AP167" i="2"/>
  <c r="AQ167" i="2"/>
  <c r="AR167" i="2"/>
  <c r="AS167" i="2"/>
  <c r="AT167" i="2"/>
  <c r="AU167" i="2"/>
  <c r="H168" i="2"/>
  <c r="I168" i="2"/>
  <c r="J168" i="2"/>
  <c r="K168" i="2"/>
  <c r="L168" i="2"/>
  <c r="M168" i="2"/>
  <c r="N168" i="2"/>
  <c r="O168" i="2"/>
  <c r="P168" i="2"/>
  <c r="Q168" i="2"/>
  <c r="R168" i="2"/>
  <c r="S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J168" i="2"/>
  <c r="AK168" i="2"/>
  <c r="AL168" i="2"/>
  <c r="AM168" i="2"/>
  <c r="AN168" i="2"/>
  <c r="AO168" i="2"/>
  <c r="AP168" i="2"/>
  <c r="AQ168" i="2"/>
  <c r="AR168" i="2"/>
  <c r="AS168" i="2"/>
  <c r="AT168" i="2"/>
  <c r="AU168" i="2"/>
  <c r="H169" i="2"/>
  <c r="I169" i="2"/>
  <c r="J169" i="2"/>
  <c r="K169" i="2"/>
  <c r="L169" i="2"/>
  <c r="M169" i="2"/>
  <c r="N169" i="2"/>
  <c r="O169" i="2"/>
  <c r="P169" i="2"/>
  <c r="Q169" i="2"/>
  <c r="R169" i="2"/>
  <c r="S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J169" i="2"/>
  <c r="AK169" i="2"/>
  <c r="AL169" i="2"/>
  <c r="AM169" i="2"/>
  <c r="AN169" i="2"/>
  <c r="AO169" i="2"/>
  <c r="AP169" i="2"/>
  <c r="AQ169" i="2"/>
  <c r="AR169" i="2"/>
  <c r="AS169" i="2"/>
  <c r="AT169" i="2"/>
  <c r="AU169" i="2"/>
  <c r="H170" i="2"/>
  <c r="I170" i="2"/>
  <c r="J170" i="2"/>
  <c r="K170" i="2"/>
  <c r="L170" i="2"/>
  <c r="M170" i="2"/>
  <c r="N170" i="2"/>
  <c r="O170" i="2"/>
  <c r="P170" i="2"/>
  <c r="Q170" i="2"/>
  <c r="R170" i="2"/>
  <c r="S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J170" i="2"/>
  <c r="AK170" i="2"/>
  <c r="AL170" i="2"/>
  <c r="AM170" i="2"/>
  <c r="AN170" i="2"/>
  <c r="AO170" i="2"/>
  <c r="AP170" i="2"/>
  <c r="AQ170" i="2"/>
  <c r="AR170" i="2"/>
  <c r="AS170" i="2"/>
  <c r="AT170" i="2"/>
  <c r="AU170" i="2"/>
  <c r="H171" i="2"/>
  <c r="I171" i="2"/>
  <c r="J171" i="2"/>
  <c r="K171" i="2"/>
  <c r="L171" i="2"/>
  <c r="M171" i="2"/>
  <c r="N171" i="2"/>
  <c r="O171" i="2"/>
  <c r="P171" i="2"/>
  <c r="Q171" i="2"/>
  <c r="R171" i="2"/>
  <c r="S171" i="2"/>
  <c r="T171" i="2"/>
  <c r="U171" i="2"/>
  <c r="V171" i="2"/>
  <c r="W171" i="2"/>
  <c r="X171" i="2"/>
  <c r="Y171" i="2"/>
  <c r="Z171" i="2"/>
  <c r="AA171" i="2"/>
  <c r="AB171" i="2"/>
  <c r="AC171" i="2"/>
  <c r="AD171" i="2"/>
  <c r="AE171" i="2"/>
  <c r="AJ171" i="2"/>
  <c r="AK171" i="2"/>
  <c r="AL171" i="2"/>
  <c r="AM171" i="2"/>
  <c r="AN171" i="2"/>
  <c r="AO171" i="2"/>
  <c r="AP171" i="2"/>
  <c r="AQ171" i="2"/>
  <c r="AR171" i="2"/>
  <c r="AS171" i="2"/>
  <c r="AT171" i="2"/>
  <c r="AU171" i="2"/>
  <c r="H172" i="2"/>
  <c r="I172" i="2"/>
  <c r="J172" i="2"/>
  <c r="K172" i="2"/>
  <c r="L172" i="2"/>
  <c r="M172" i="2"/>
  <c r="N172" i="2"/>
  <c r="O172" i="2"/>
  <c r="P172" i="2"/>
  <c r="Q172" i="2"/>
  <c r="R172" i="2"/>
  <c r="S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J172" i="2"/>
  <c r="AK172" i="2"/>
  <c r="AL172" i="2"/>
  <c r="AM172" i="2"/>
  <c r="AN172" i="2"/>
  <c r="AO172" i="2"/>
  <c r="AP172" i="2"/>
  <c r="AQ172" i="2"/>
  <c r="AR172" i="2"/>
  <c r="AS172" i="2"/>
  <c r="AT172" i="2"/>
  <c r="AU172" i="2"/>
  <c r="H173" i="2"/>
  <c r="I173" i="2"/>
  <c r="J173" i="2"/>
  <c r="K173" i="2"/>
  <c r="L173" i="2"/>
  <c r="M173" i="2"/>
  <c r="N173" i="2"/>
  <c r="O173" i="2"/>
  <c r="P173" i="2"/>
  <c r="Q173" i="2"/>
  <c r="R173" i="2"/>
  <c r="S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J173" i="2"/>
  <c r="AK173" i="2"/>
  <c r="AL173" i="2"/>
  <c r="AM173" i="2"/>
  <c r="AN173" i="2"/>
  <c r="AO173" i="2"/>
  <c r="AP173" i="2"/>
  <c r="AQ173" i="2"/>
  <c r="AR173" i="2"/>
  <c r="AS173" i="2"/>
  <c r="AT173" i="2"/>
  <c r="AU173" i="2"/>
  <c r="H174" i="2"/>
  <c r="I174" i="2"/>
  <c r="J174" i="2"/>
  <c r="K174" i="2"/>
  <c r="L174" i="2"/>
  <c r="M174" i="2"/>
  <c r="N174" i="2"/>
  <c r="O174" i="2"/>
  <c r="P174" i="2"/>
  <c r="Q174" i="2"/>
  <c r="R174" i="2"/>
  <c r="S174" i="2"/>
  <c r="T174" i="2"/>
  <c r="U174" i="2"/>
  <c r="V174" i="2"/>
  <c r="W174" i="2"/>
  <c r="X174" i="2"/>
  <c r="Y174" i="2"/>
  <c r="Z174" i="2"/>
  <c r="AA174" i="2"/>
  <c r="AB174" i="2"/>
  <c r="AC174" i="2"/>
  <c r="AD174" i="2"/>
  <c r="AE174" i="2"/>
  <c r="AJ174" i="2"/>
  <c r="AK174" i="2"/>
  <c r="AL174" i="2"/>
  <c r="AM174" i="2"/>
  <c r="AN174" i="2"/>
  <c r="AO174" i="2"/>
  <c r="AP174" i="2"/>
  <c r="AQ174" i="2"/>
  <c r="AR174" i="2"/>
  <c r="AS174" i="2"/>
  <c r="AT174" i="2"/>
  <c r="AU174" i="2"/>
  <c r="H175" i="2"/>
  <c r="I175" i="2"/>
  <c r="J175" i="2"/>
  <c r="K175" i="2"/>
  <c r="L175" i="2"/>
  <c r="M175" i="2"/>
  <c r="N175" i="2"/>
  <c r="O175" i="2"/>
  <c r="P175" i="2"/>
  <c r="Q175" i="2"/>
  <c r="R175" i="2"/>
  <c r="S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J175" i="2"/>
  <c r="AK175" i="2"/>
  <c r="AL175" i="2"/>
  <c r="AM175" i="2"/>
  <c r="AN175" i="2"/>
  <c r="AO175" i="2"/>
  <c r="AP175" i="2"/>
  <c r="AQ175" i="2"/>
  <c r="AR175" i="2"/>
  <c r="AS175" i="2"/>
  <c r="AT175" i="2"/>
  <c r="AU175" i="2"/>
  <c r="H176" i="2"/>
  <c r="I176" i="2"/>
  <c r="J176" i="2"/>
  <c r="K176" i="2"/>
  <c r="L176" i="2"/>
  <c r="M176" i="2"/>
  <c r="N176" i="2"/>
  <c r="O176" i="2"/>
  <c r="P176" i="2"/>
  <c r="Q176" i="2"/>
  <c r="R176" i="2"/>
  <c r="S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J176" i="2"/>
  <c r="AK176" i="2"/>
  <c r="AL176" i="2"/>
  <c r="AM176" i="2"/>
  <c r="AN176" i="2"/>
  <c r="AO176" i="2"/>
  <c r="AP176" i="2"/>
  <c r="AQ176" i="2"/>
  <c r="AR176" i="2"/>
  <c r="AS176" i="2"/>
  <c r="AT176" i="2"/>
  <c r="AU176" i="2"/>
  <c r="H177" i="2"/>
  <c r="I177" i="2"/>
  <c r="J177" i="2"/>
  <c r="K177" i="2"/>
  <c r="L177" i="2"/>
  <c r="M177" i="2"/>
  <c r="N177" i="2"/>
  <c r="O177" i="2"/>
  <c r="P177" i="2"/>
  <c r="Q177" i="2"/>
  <c r="R177" i="2"/>
  <c r="S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J177" i="2"/>
  <c r="AK177" i="2"/>
  <c r="AL177" i="2"/>
  <c r="AM177" i="2"/>
  <c r="AN177" i="2"/>
  <c r="AO177" i="2"/>
  <c r="AP177" i="2"/>
  <c r="AQ177" i="2"/>
  <c r="AR177" i="2"/>
  <c r="AS177" i="2"/>
  <c r="AT177" i="2"/>
  <c r="AU177" i="2"/>
  <c r="H178" i="2"/>
  <c r="I178" i="2"/>
  <c r="J178" i="2"/>
  <c r="K178" i="2"/>
  <c r="L178" i="2"/>
  <c r="M178" i="2"/>
  <c r="N178" i="2"/>
  <c r="O178" i="2"/>
  <c r="P178" i="2"/>
  <c r="Q178" i="2"/>
  <c r="R178" i="2"/>
  <c r="S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J178" i="2"/>
  <c r="AK178" i="2"/>
  <c r="AL178" i="2"/>
  <c r="AM178" i="2"/>
  <c r="AN178" i="2"/>
  <c r="AO178" i="2"/>
  <c r="AP178" i="2"/>
  <c r="AQ178" i="2"/>
  <c r="AR178" i="2"/>
  <c r="AS178" i="2"/>
  <c r="AT178" i="2"/>
  <c r="AU178" i="2"/>
  <c r="H179" i="2"/>
  <c r="I179" i="2"/>
  <c r="J179" i="2"/>
  <c r="K179" i="2"/>
  <c r="L179" i="2"/>
  <c r="M179" i="2"/>
  <c r="N179" i="2"/>
  <c r="O179" i="2"/>
  <c r="P179" i="2"/>
  <c r="Q179" i="2"/>
  <c r="R179" i="2"/>
  <c r="S179" i="2"/>
  <c r="T179" i="2"/>
  <c r="U179" i="2"/>
  <c r="V179" i="2"/>
  <c r="W179" i="2"/>
  <c r="X179" i="2"/>
  <c r="Y179" i="2"/>
  <c r="Z179" i="2"/>
  <c r="AA179" i="2"/>
  <c r="AB179" i="2"/>
  <c r="AC179" i="2"/>
  <c r="AD179" i="2"/>
  <c r="AE179" i="2"/>
  <c r="AJ179" i="2"/>
  <c r="AK179" i="2"/>
  <c r="AL179" i="2"/>
  <c r="AM179" i="2"/>
  <c r="AN179" i="2"/>
  <c r="AO179" i="2"/>
  <c r="AP179" i="2"/>
  <c r="AQ179" i="2"/>
  <c r="AR179" i="2"/>
  <c r="AS179" i="2"/>
  <c r="AT179" i="2"/>
  <c r="AU179" i="2"/>
  <c r="H180" i="2"/>
  <c r="I180" i="2"/>
  <c r="J180" i="2"/>
  <c r="K180" i="2"/>
  <c r="L180" i="2"/>
  <c r="M180" i="2"/>
  <c r="N180" i="2"/>
  <c r="O180" i="2"/>
  <c r="P180" i="2"/>
  <c r="Q180" i="2"/>
  <c r="R180" i="2"/>
  <c r="S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J180" i="2"/>
  <c r="AK180" i="2"/>
  <c r="AL180" i="2"/>
  <c r="AM180" i="2"/>
  <c r="AN180" i="2"/>
  <c r="AO180" i="2"/>
  <c r="AP180" i="2"/>
  <c r="AQ180" i="2"/>
  <c r="AR180" i="2"/>
  <c r="AS180" i="2"/>
  <c r="AT180" i="2"/>
  <c r="AU180" i="2"/>
  <c r="H181" i="2"/>
  <c r="I181" i="2"/>
  <c r="J181" i="2"/>
  <c r="K181" i="2"/>
  <c r="L181" i="2"/>
  <c r="M181" i="2"/>
  <c r="N181" i="2"/>
  <c r="O181" i="2"/>
  <c r="P181" i="2"/>
  <c r="Q181" i="2"/>
  <c r="R181" i="2"/>
  <c r="S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J181" i="2"/>
  <c r="AK181" i="2"/>
  <c r="AL181" i="2"/>
  <c r="AM181" i="2"/>
  <c r="AN181" i="2"/>
  <c r="AO181" i="2"/>
  <c r="AP181" i="2"/>
  <c r="AQ181" i="2"/>
  <c r="AR181" i="2"/>
  <c r="AS181" i="2"/>
  <c r="AT181" i="2"/>
  <c r="AU181" i="2"/>
  <c r="H182" i="2"/>
  <c r="I182" i="2"/>
  <c r="J182" i="2"/>
  <c r="K182" i="2"/>
  <c r="L182" i="2"/>
  <c r="M182" i="2"/>
  <c r="N182" i="2"/>
  <c r="O182" i="2"/>
  <c r="P182" i="2"/>
  <c r="Q182" i="2"/>
  <c r="R182" i="2"/>
  <c r="S182" i="2"/>
  <c r="T182" i="2"/>
  <c r="U182" i="2"/>
  <c r="V182" i="2"/>
  <c r="W182" i="2"/>
  <c r="X182" i="2"/>
  <c r="Y182" i="2"/>
  <c r="Z182" i="2"/>
  <c r="AA182" i="2"/>
  <c r="AB182" i="2"/>
  <c r="AC182" i="2"/>
  <c r="AD182" i="2"/>
  <c r="AE182" i="2"/>
  <c r="AJ182" i="2"/>
  <c r="AK182" i="2"/>
  <c r="AL182" i="2"/>
  <c r="AM182" i="2"/>
  <c r="AN182" i="2"/>
  <c r="AO182" i="2"/>
  <c r="AP182" i="2"/>
  <c r="AQ182" i="2"/>
  <c r="AR182" i="2"/>
  <c r="AS182" i="2"/>
  <c r="AT182" i="2"/>
  <c r="AU182" i="2"/>
  <c r="H183" i="2"/>
  <c r="I183" i="2"/>
  <c r="J183" i="2"/>
  <c r="K183" i="2"/>
  <c r="L183" i="2"/>
  <c r="M183" i="2"/>
  <c r="N183" i="2"/>
  <c r="O183" i="2"/>
  <c r="P183" i="2"/>
  <c r="Q183" i="2"/>
  <c r="R183" i="2"/>
  <c r="S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J183" i="2"/>
  <c r="AK183" i="2"/>
  <c r="AL183" i="2"/>
  <c r="AM183" i="2"/>
  <c r="AN183" i="2"/>
  <c r="AO183" i="2"/>
  <c r="AP183" i="2"/>
  <c r="AQ183" i="2"/>
  <c r="AR183" i="2"/>
  <c r="AS183" i="2"/>
  <c r="AT183" i="2"/>
  <c r="AU183" i="2"/>
  <c r="H184" i="2"/>
  <c r="I184" i="2"/>
  <c r="J184" i="2"/>
  <c r="K184" i="2"/>
  <c r="L184" i="2"/>
  <c r="M184" i="2"/>
  <c r="N184" i="2"/>
  <c r="O184" i="2"/>
  <c r="P184" i="2"/>
  <c r="Q184" i="2"/>
  <c r="R184" i="2"/>
  <c r="S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J184" i="2"/>
  <c r="AK184" i="2"/>
  <c r="AL184" i="2"/>
  <c r="AM184" i="2"/>
  <c r="AN184" i="2"/>
  <c r="AO184" i="2"/>
  <c r="AP184" i="2"/>
  <c r="AQ184" i="2"/>
  <c r="AR184" i="2"/>
  <c r="AS184" i="2"/>
  <c r="AT184" i="2"/>
  <c r="AU184" i="2"/>
  <c r="H185" i="2"/>
  <c r="I185" i="2"/>
  <c r="J185" i="2"/>
  <c r="K185" i="2"/>
  <c r="L185" i="2"/>
  <c r="M185" i="2"/>
  <c r="N185" i="2"/>
  <c r="O185" i="2"/>
  <c r="P185" i="2"/>
  <c r="Q185" i="2"/>
  <c r="R185" i="2"/>
  <c r="S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J185" i="2"/>
  <c r="AK185" i="2"/>
  <c r="AL185" i="2"/>
  <c r="AM185" i="2"/>
  <c r="AN185" i="2"/>
  <c r="AO185" i="2"/>
  <c r="AP185" i="2"/>
  <c r="AQ185" i="2"/>
  <c r="AR185" i="2"/>
  <c r="AS185" i="2"/>
  <c r="AT185" i="2"/>
  <c r="AU185" i="2"/>
  <c r="H186" i="2"/>
  <c r="I186" i="2"/>
  <c r="J186" i="2"/>
  <c r="K186" i="2"/>
  <c r="L186" i="2"/>
  <c r="M186" i="2"/>
  <c r="N186" i="2"/>
  <c r="O186" i="2"/>
  <c r="P186" i="2"/>
  <c r="Q186" i="2"/>
  <c r="R186" i="2"/>
  <c r="S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J186" i="2"/>
  <c r="AK186" i="2"/>
  <c r="AL186" i="2"/>
  <c r="AM186" i="2"/>
  <c r="AN186" i="2"/>
  <c r="AO186" i="2"/>
  <c r="AP186" i="2"/>
  <c r="AQ186" i="2"/>
  <c r="AR186" i="2"/>
  <c r="AS186" i="2"/>
  <c r="AT186" i="2"/>
  <c r="AU186" i="2"/>
  <c r="H187" i="2"/>
  <c r="I187" i="2"/>
  <c r="J187" i="2"/>
  <c r="K187" i="2"/>
  <c r="L187" i="2"/>
  <c r="M187" i="2"/>
  <c r="N187" i="2"/>
  <c r="O187" i="2"/>
  <c r="P187" i="2"/>
  <c r="Q187" i="2"/>
  <c r="R187" i="2"/>
  <c r="S187" i="2"/>
  <c r="T187" i="2"/>
  <c r="U187" i="2"/>
  <c r="V187" i="2"/>
  <c r="W187" i="2"/>
  <c r="X187" i="2"/>
  <c r="Y187" i="2"/>
  <c r="Z187" i="2"/>
  <c r="AA187" i="2"/>
  <c r="AB187" i="2"/>
  <c r="AC187" i="2"/>
  <c r="AD187" i="2"/>
  <c r="AE187" i="2"/>
  <c r="AJ187" i="2"/>
  <c r="AK187" i="2"/>
  <c r="AL187" i="2"/>
  <c r="AM187" i="2"/>
  <c r="AN187" i="2"/>
  <c r="AO187" i="2"/>
  <c r="AP187" i="2"/>
  <c r="AQ187" i="2"/>
  <c r="AR187" i="2"/>
  <c r="AS187" i="2"/>
  <c r="AT187" i="2"/>
  <c r="AU187" i="2"/>
  <c r="H188" i="2"/>
  <c r="I188" i="2"/>
  <c r="J188" i="2"/>
  <c r="K188" i="2"/>
  <c r="L188" i="2"/>
  <c r="M188" i="2"/>
  <c r="N188" i="2"/>
  <c r="O188" i="2"/>
  <c r="P188" i="2"/>
  <c r="Q188" i="2"/>
  <c r="R188" i="2"/>
  <c r="S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J188" i="2"/>
  <c r="AK188" i="2"/>
  <c r="AL188" i="2"/>
  <c r="AM188" i="2"/>
  <c r="AN188" i="2"/>
  <c r="AO188" i="2"/>
  <c r="AP188" i="2"/>
  <c r="AQ188" i="2"/>
  <c r="AR188" i="2"/>
  <c r="AS188" i="2"/>
  <c r="AT188" i="2"/>
  <c r="AU18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<sst xmlns="http://schemas.openxmlformats.org/spreadsheetml/2006/main" count="3308" uniqueCount="2531">
  <si>
    <t>End Date</t>
  </si>
  <si>
    <t>Span</t>
  </si>
  <si>
    <t>Frequency</t>
  </si>
  <si>
    <t>COP</t>
  </si>
  <si>
    <t>IQ_PRICEDATE</t>
  </si>
  <si>
    <t>Start Date</t>
  </si>
  <si>
    <t>IQ_CLOSEPRICE_ADJ</t>
  </si>
  <si>
    <t>XOM</t>
  </si>
  <si>
    <t>CVX</t>
  </si>
  <si>
    <t>EOG</t>
  </si>
  <si>
    <t>BP</t>
  </si>
  <si>
    <t>PE-From Ifind</t>
  </si>
  <si>
    <t>EV/EBITDA-From Ifind</t>
  </si>
  <si>
    <t>Oil Price</t>
  </si>
  <si>
    <t>^cl</t>
  </si>
  <si>
    <t>IQ_Closeprice</t>
  </si>
  <si>
    <t>单位</t>
  </si>
  <si>
    <t>%</t>
  </si>
  <si>
    <t>指标名称</t>
  </si>
  <si>
    <t>美国:供应管理协会(ISM):制造业PMI</t>
  </si>
  <si>
    <t>美国:CPI:当月同比</t>
  </si>
  <si>
    <t>频率</t>
  </si>
  <si>
    <t>月</t>
  </si>
  <si>
    <t>指标ID</t>
  </si>
  <si>
    <t>G002601508</t>
  </si>
  <si>
    <t>G002600362</t>
  </si>
  <si>
    <t>更新时间</t>
  </si>
  <si>
    <t>^HG</t>
  </si>
  <si>
    <t>Copper-Price Per Pound</t>
  </si>
  <si>
    <t>CBOE:波动率指数(VIX):收盘</t>
  </si>
  <si>
    <t>日</t>
  </si>
  <si>
    <t>G003082203</t>
  </si>
  <si>
    <t>倍</t>
  </si>
  <si>
    <t>美国:标普500:市盈率</t>
  </si>
  <si>
    <t>G020673282</t>
  </si>
  <si>
    <t>1899-12-31</t>
  </si>
  <si>
    <t>1899-11-30</t>
  </si>
  <si>
    <t>1899-10-31</t>
  </si>
  <si>
    <t>1899-09-30</t>
  </si>
  <si>
    <t>1899-08-31</t>
  </si>
  <si>
    <t>1899-07-31</t>
  </si>
  <si>
    <t>1899-06-30</t>
  </si>
  <si>
    <t>1899-05-31</t>
  </si>
  <si>
    <t>1899-04-30</t>
  </si>
  <si>
    <t>1899-03-31</t>
  </si>
  <si>
    <t>1899-02-28</t>
  </si>
  <si>
    <t>1899-01-31</t>
  </si>
  <si>
    <t>1898-12-31</t>
  </si>
  <si>
    <t>1898-11-30</t>
  </si>
  <si>
    <t>1898-10-31</t>
  </si>
  <si>
    <t>1898-09-30</t>
  </si>
  <si>
    <t>1898-08-31</t>
  </si>
  <si>
    <t>1898-07-31</t>
  </si>
  <si>
    <t>1898-06-30</t>
  </si>
  <si>
    <t>1898-05-31</t>
  </si>
  <si>
    <t>1898-04-30</t>
  </si>
  <si>
    <t>1898-03-31</t>
  </si>
  <si>
    <t>1898-02-28</t>
  </si>
  <si>
    <t>1898-01-31</t>
  </si>
  <si>
    <t>1897-12-31</t>
  </si>
  <si>
    <t>1897-11-30</t>
  </si>
  <si>
    <t>1897-10-31</t>
  </si>
  <si>
    <t>1897-09-30</t>
  </si>
  <si>
    <t>1897-08-31</t>
  </si>
  <si>
    <t>1897-07-31</t>
  </si>
  <si>
    <t>1897-06-30</t>
  </si>
  <si>
    <t>1897-05-31</t>
  </si>
  <si>
    <t>1897-04-30</t>
  </si>
  <si>
    <t>1897-03-31</t>
  </si>
  <si>
    <t>1897-02-28</t>
  </si>
  <si>
    <t>1897-01-31</t>
  </si>
  <si>
    <t>1896-12-31</t>
  </si>
  <si>
    <t>1896-11-30</t>
  </si>
  <si>
    <t>1896-10-31</t>
  </si>
  <si>
    <t>1896-09-30</t>
  </si>
  <si>
    <t>1896-08-31</t>
  </si>
  <si>
    <t>1896-07-31</t>
  </si>
  <si>
    <t>1896-06-30</t>
  </si>
  <si>
    <t>1896-05-31</t>
  </si>
  <si>
    <t>1896-04-30</t>
  </si>
  <si>
    <t>1896-03-31</t>
  </si>
  <si>
    <t>1896-02-29</t>
  </si>
  <si>
    <t>1896-01-31</t>
  </si>
  <si>
    <t>1895-12-31</t>
  </si>
  <si>
    <t>1895-11-30</t>
  </si>
  <si>
    <t>1895-10-31</t>
  </si>
  <si>
    <t>1895-09-30</t>
  </si>
  <si>
    <t>1895-08-31</t>
  </si>
  <si>
    <t>1895-07-31</t>
  </si>
  <si>
    <t>1895-06-30</t>
  </si>
  <si>
    <t>1895-05-31</t>
  </si>
  <si>
    <t>1895-04-30</t>
  </si>
  <si>
    <t>1895-03-31</t>
  </si>
  <si>
    <t>1895-02-28</t>
  </si>
  <si>
    <t>1895-01-31</t>
  </si>
  <si>
    <t>1894-12-31</t>
  </si>
  <si>
    <t>1894-11-30</t>
  </si>
  <si>
    <t>1894-10-31</t>
  </si>
  <si>
    <t>1894-09-30</t>
  </si>
  <si>
    <t>1894-08-31</t>
  </si>
  <si>
    <t>1894-07-31</t>
  </si>
  <si>
    <t>1894-06-30</t>
  </si>
  <si>
    <t>1894-05-31</t>
  </si>
  <si>
    <t>1894-04-30</t>
  </si>
  <si>
    <t>1894-03-31</t>
  </si>
  <si>
    <t>1894-02-28</t>
  </si>
  <si>
    <t>1894-01-31</t>
  </si>
  <si>
    <t>1893-12-31</t>
  </si>
  <si>
    <t>1893-11-30</t>
  </si>
  <si>
    <t>1893-10-31</t>
  </si>
  <si>
    <t>1893-09-30</t>
  </si>
  <si>
    <t>1893-08-31</t>
  </si>
  <si>
    <t>1893-07-31</t>
  </si>
  <si>
    <t>1893-06-30</t>
  </si>
  <si>
    <t>1893-05-31</t>
  </si>
  <si>
    <t>1893-04-30</t>
  </si>
  <si>
    <t>1893-03-31</t>
  </si>
  <si>
    <t>1893-02-28</t>
  </si>
  <si>
    <t>1893-01-31</t>
  </si>
  <si>
    <t>1892-12-31</t>
  </si>
  <si>
    <t>1892-11-30</t>
  </si>
  <si>
    <t>1892-10-31</t>
  </si>
  <si>
    <t>1892-09-30</t>
  </si>
  <si>
    <t>1892-08-31</t>
  </si>
  <si>
    <t>1892-07-31</t>
  </si>
  <si>
    <t>1892-06-30</t>
  </si>
  <si>
    <t>1892-05-31</t>
  </si>
  <si>
    <t>1892-04-30</t>
  </si>
  <si>
    <t>1892-03-31</t>
  </si>
  <si>
    <t>1892-02-29</t>
  </si>
  <si>
    <t>1892-01-31</t>
  </si>
  <si>
    <t>1891-12-31</t>
  </si>
  <si>
    <t>1891-11-30</t>
  </si>
  <si>
    <t>1891-10-31</t>
  </si>
  <si>
    <t>1891-09-30</t>
  </si>
  <si>
    <t>1891-08-31</t>
  </si>
  <si>
    <t>1891-07-31</t>
  </si>
  <si>
    <t>1891-06-30</t>
  </si>
  <si>
    <t>1891-05-31</t>
  </si>
  <si>
    <t>1891-04-30</t>
  </si>
  <si>
    <t>1891-03-31</t>
  </si>
  <si>
    <t>1891-02-28</t>
  </si>
  <si>
    <t>1891-01-31</t>
  </si>
  <si>
    <t>1890-12-31</t>
  </si>
  <si>
    <t>1890-11-30</t>
  </si>
  <si>
    <t>1890-10-31</t>
  </si>
  <si>
    <t>1890-09-30</t>
  </si>
  <si>
    <t>1890-08-31</t>
  </si>
  <si>
    <t>1890-07-31</t>
  </si>
  <si>
    <t>1890-06-30</t>
  </si>
  <si>
    <t>1890-05-31</t>
  </si>
  <si>
    <t>1890-04-30</t>
  </si>
  <si>
    <t>1890-03-31</t>
  </si>
  <si>
    <t>1890-02-28</t>
  </si>
  <si>
    <t>1890-01-31</t>
  </si>
  <si>
    <t>1889-12-31</t>
  </si>
  <si>
    <t>1889-11-30</t>
  </si>
  <si>
    <t>1889-10-31</t>
  </si>
  <si>
    <t>1889-09-30</t>
  </si>
  <si>
    <t>1889-08-31</t>
  </si>
  <si>
    <t>1889-07-31</t>
  </si>
  <si>
    <t>1889-06-30</t>
  </si>
  <si>
    <t>1889-05-31</t>
  </si>
  <si>
    <t>1889-04-30</t>
  </si>
  <si>
    <t>1889-03-31</t>
  </si>
  <si>
    <t>1889-02-28</t>
  </si>
  <si>
    <t>1889-01-31</t>
  </si>
  <si>
    <t>1888-12-31</t>
  </si>
  <si>
    <t>1888-11-30</t>
  </si>
  <si>
    <t>1888-10-31</t>
  </si>
  <si>
    <t>1888-09-30</t>
  </si>
  <si>
    <t>1888-08-31</t>
  </si>
  <si>
    <t>1888-07-31</t>
  </si>
  <si>
    <t>1888-06-30</t>
  </si>
  <si>
    <t>1888-05-31</t>
  </si>
  <si>
    <t>1888-04-30</t>
  </si>
  <si>
    <t>1888-03-31</t>
  </si>
  <si>
    <t>1888-02-29</t>
  </si>
  <si>
    <t>1888-01-31</t>
  </si>
  <si>
    <t>1887-12-31</t>
  </si>
  <si>
    <t>1887-11-30</t>
  </si>
  <si>
    <t>1887-10-31</t>
  </si>
  <si>
    <t>1887-09-30</t>
  </si>
  <si>
    <t>1887-08-31</t>
  </si>
  <si>
    <t>1887-07-31</t>
  </si>
  <si>
    <t>1887-06-30</t>
  </si>
  <si>
    <t>1887-05-31</t>
  </si>
  <si>
    <t>1887-04-30</t>
  </si>
  <si>
    <t>1887-03-31</t>
  </si>
  <si>
    <t>1887-02-28</t>
  </si>
  <si>
    <t>1887-01-31</t>
  </si>
  <si>
    <t>1886-12-31</t>
  </si>
  <si>
    <t>1886-11-30</t>
  </si>
  <si>
    <t>1886-10-31</t>
  </si>
  <si>
    <t>1886-09-30</t>
  </si>
  <si>
    <t>1886-08-31</t>
  </si>
  <si>
    <t>1886-07-31</t>
  </si>
  <si>
    <t>1886-06-30</t>
  </si>
  <si>
    <t>1886-05-31</t>
  </si>
  <si>
    <t>1886-04-30</t>
  </si>
  <si>
    <t>1886-03-31</t>
  </si>
  <si>
    <t>1886-02-28</t>
  </si>
  <si>
    <t>1886-01-31</t>
  </si>
  <si>
    <t>1885-12-31</t>
  </si>
  <si>
    <t>1885-11-30</t>
  </si>
  <si>
    <t>1885-10-31</t>
  </si>
  <si>
    <t>1885-09-30</t>
  </si>
  <si>
    <t>1885-08-31</t>
  </si>
  <si>
    <t>1885-07-31</t>
  </si>
  <si>
    <t>1885-06-30</t>
  </si>
  <si>
    <t>1885-05-31</t>
  </si>
  <si>
    <t>1885-04-30</t>
  </si>
  <si>
    <t>1885-03-31</t>
  </si>
  <si>
    <t>1885-02-28</t>
  </si>
  <si>
    <t>1885-01-31</t>
  </si>
  <si>
    <t>1884-12-31</t>
  </si>
  <si>
    <t>1884-11-30</t>
  </si>
  <si>
    <t>1884-10-31</t>
  </si>
  <si>
    <t>1884-09-30</t>
  </si>
  <si>
    <t>1884-08-31</t>
  </si>
  <si>
    <t>1884-07-31</t>
  </si>
  <si>
    <t>1884-06-30</t>
  </si>
  <si>
    <t>1884-05-31</t>
  </si>
  <si>
    <t>1884-04-30</t>
  </si>
  <si>
    <t>1884-03-31</t>
  </si>
  <si>
    <t>1884-02-29</t>
  </si>
  <si>
    <t>1884-01-31</t>
  </si>
  <si>
    <t>1883-12-31</t>
  </si>
  <si>
    <t>1883-11-30</t>
  </si>
  <si>
    <t>1883-10-31</t>
  </si>
  <si>
    <t>1883-09-30</t>
  </si>
  <si>
    <t>1883-08-31</t>
  </si>
  <si>
    <t>1883-07-31</t>
  </si>
  <si>
    <t>1883-06-30</t>
  </si>
  <si>
    <t>1883-05-31</t>
  </si>
  <si>
    <t>1883-04-30</t>
  </si>
  <si>
    <t>1883-03-31</t>
  </si>
  <si>
    <t>1883-02-28</t>
  </si>
  <si>
    <t>1883-01-31</t>
  </si>
  <si>
    <t>1882-12-31</t>
  </si>
  <si>
    <t>1882-11-30</t>
  </si>
  <si>
    <t>1882-10-31</t>
  </si>
  <si>
    <t>1882-09-30</t>
  </si>
  <si>
    <t>1882-08-31</t>
  </si>
  <si>
    <t>1882-07-31</t>
  </si>
  <si>
    <t>1882-06-30</t>
  </si>
  <si>
    <t>1882-05-31</t>
  </si>
  <si>
    <t>1882-04-30</t>
  </si>
  <si>
    <t>1882-03-31</t>
  </si>
  <si>
    <t>1882-02-28</t>
  </si>
  <si>
    <t>1882-01-31</t>
  </si>
  <si>
    <t>1881-12-31</t>
  </si>
  <si>
    <t>1881-11-30</t>
  </si>
  <si>
    <t>1881-10-31</t>
  </si>
  <si>
    <t>1881-09-30</t>
  </si>
  <si>
    <t>1881-08-31</t>
  </si>
  <si>
    <t>1881-07-31</t>
  </si>
  <si>
    <t>1881-06-30</t>
  </si>
  <si>
    <t>1881-05-31</t>
  </si>
  <si>
    <t>1881-04-30</t>
  </si>
  <si>
    <t>1881-03-31</t>
  </si>
  <si>
    <t>1881-02-28</t>
  </si>
  <si>
    <t>1881-01-31</t>
  </si>
  <si>
    <t>1880-12-31</t>
  </si>
  <si>
    <t>1880-11-30</t>
  </si>
  <si>
    <t>1880-10-31</t>
  </si>
  <si>
    <t>1880-09-30</t>
  </si>
  <si>
    <t>1880-08-31</t>
  </si>
  <si>
    <t>1880-07-31</t>
  </si>
  <si>
    <t>1880-06-30</t>
  </si>
  <si>
    <t>1880-05-31</t>
  </si>
  <si>
    <t>1880-04-30</t>
  </si>
  <si>
    <t>1880-03-31</t>
  </si>
  <si>
    <t>1880-02-29</t>
  </si>
  <si>
    <t>1880-01-31</t>
  </si>
  <si>
    <t>1879-12-31</t>
  </si>
  <si>
    <t>1879-11-30</t>
  </si>
  <si>
    <t>1879-10-31</t>
  </si>
  <si>
    <t>1879-09-30</t>
  </si>
  <si>
    <t>1879-08-31</t>
  </si>
  <si>
    <t>1879-07-31</t>
  </si>
  <si>
    <t>1879-06-30</t>
  </si>
  <si>
    <t>1879-05-31</t>
  </si>
  <si>
    <t>1879-04-30</t>
  </si>
  <si>
    <t>1879-03-31</t>
  </si>
  <si>
    <t>1879-02-28</t>
  </si>
  <si>
    <t>1879-01-31</t>
  </si>
  <si>
    <t>1878-12-31</t>
  </si>
  <si>
    <t>1878-11-30</t>
  </si>
  <si>
    <t>1878-10-31</t>
  </si>
  <si>
    <t>1878-09-30</t>
  </si>
  <si>
    <t>1878-08-31</t>
  </si>
  <si>
    <t>1878-07-31</t>
  </si>
  <si>
    <t>1878-06-30</t>
  </si>
  <si>
    <t>1878-05-31</t>
  </si>
  <si>
    <t>1878-04-30</t>
  </si>
  <si>
    <t>1878-03-31</t>
  </si>
  <si>
    <t>1878-02-28</t>
  </si>
  <si>
    <t>1878-01-31</t>
  </si>
  <si>
    <t>1877-12-31</t>
  </si>
  <si>
    <t>1877-11-30</t>
  </si>
  <si>
    <t>1877-10-31</t>
  </si>
  <si>
    <t>1877-09-30</t>
  </si>
  <si>
    <t>1877-08-31</t>
  </si>
  <si>
    <t>1877-07-31</t>
  </si>
  <si>
    <t>1877-06-30</t>
  </si>
  <si>
    <t>1877-05-31</t>
  </si>
  <si>
    <t>1877-04-30</t>
  </si>
  <si>
    <t>1877-03-31</t>
  </si>
  <si>
    <t>1877-02-28</t>
  </si>
  <si>
    <t>1877-01-31</t>
  </si>
  <si>
    <t>1876-12-31</t>
  </si>
  <si>
    <t>1876-11-30</t>
  </si>
  <si>
    <t>1876-10-31</t>
  </si>
  <si>
    <t>1876-09-30</t>
  </si>
  <si>
    <t>1876-08-31</t>
  </si>
  <si>
    <t>1876-07-31</t>
  </si>
  <si>
    <t>1876-06-30</t>
  </si>
  <si>
    <t>1876-05-31</t>
  </si>
  <si>
    <t>1876-04-30</t>
  </si>
  <si>
    <t>1876-03-31</t>
  </si>
  <si>
    <t>1876-02-29</t>
  </si>
  <si>
    <t>1876-01-31</t>
  </si>
  <si>
    <t>1875-12-31</t>
  </si>
  <si>
    <t>1875-11-30</t>
  </si>
  <si>
    <t>1875-10-31</t>
  </si>
  <si>
    <t>1875-09-30</t>
  </si>
  <si>
    <t>1875-08-31</t>
  </si>
  <si>
    <t>1875-07-31</t>
  </si>
  <si>
    <t>1875-06-30</t>
  </si>
  <si>
    <t>1875-05-31</t>
  </si>
  <si>
    <t>1875-04-30</t>
  </si>
  <si>
    <t>1875-03-31</t>
  </si>
  <si>
    <t>1875-02-28</t>
  </si>
  <si>
    <t>1875-01-31</t>
  </si>
  <si>
    <t>1874-12-31</t>
  </si>
  <si>
    <t>1874-11-30</t>
  </si>
  <si>
    <t>1874-10-31</t>
  </si>
  <si>
    <t>1874-09-30</t>
  </si>
  <si>
    <t>1874-08-31</t>
  </si>
  <si>
    <t>1874-07-31</t>
  </si>
  <si>
    <t>1874-06-30</t>
  </si>
  <si>
    <t>1874-05-31</t>
  </si>
  <si>
    <t>1874-04-30</t>
  </si>
  <si>
    <t>1874-03-31</t>
  </si>
  <si>
    <t>1874-02-28</t>
  </si>
  <si>
    <t>1874-01-31</t>
  </si>
  <si>
    <t>1873-12-31</t>
  </si>
  <si>
    <t>1873-11-30</t>
  </si>
  <si>
    <t>1873-10-31</t>
  </si>
  <si>
    <t>1873-09-30</t>
  </si>
  <si>
    <t>1873-08-31</t>
  </si>
  <si>
    <t>1873-07-31</t>
  </si>
  <si>
    <t>1873-06-30</t>
  </si>
  <si>
    <t>1873-05-31</t>
  </si>
  <si>
    <t>1873-04-30</t>
  </si>
  <si>
    <t>1873-03-31</t>
  </si>
  <si>
    <t>1873-02-28</t>
  </si>
  <si>
    <t>1873-01-31</t>
  </si>
  <si>
    <t>1872-12-31</t>
  </si>
  <si>
    <t>1872-11-30</t>
  </si>
  <si>
    <t>1872-10-31</t>
  </si>
  <si>
    <t>1872-09-30</t>
  </si>
  <si>
    <t>1872-08-31</t>
  </si>
  <si>
    <t>1872-07-31</t>
  </si>
  <si>
    <t>1872-06-30</t>
  </si>
  <si>
    <t>1872-05-31</t>
  </si>
  <si>
    <t>1872-04-30</t>
  </si>
  <si>
    <t>1872-03-31</t>
  </si>
  <si>
    <t>1872-02-29</t>
  </si>
  <si>
    <t>1872-01-31</t>
  </si>
  <si>
    <t>1871-12-31</t>
  </si>
  <si>
    <t>1871-11-30</t>
  </si>
  <si>
    <t>1871-10-31</t>
  </si>
  <si>
    <t>1871-09-30</t>
  </si>
  <si>
    <t>1871-08-31</t>
  </si>
  <si>
    <t>1871-07-31</t>
  </si>
  <si>
    <t>1871-06-30</t>
  </si>
  <si>
    <t>1871-05-31</t>
  </si>
  <si>
    <t>1871-04-30</t>
  </si>
  <si>
    <t>1871-03-31</t>
  </si>
  <si>
    <t>1871-02-28</t>
  </si>
  <si>
    <t>1871-01-31</t>
  </si>
  <si>
    <t>^SP500-10</t>
  </si>
  <si>
    <t>^SPX</t>
  </si>
  <si>
    <t>Energy Sector Index</t>
  </si>
  <si>
    <t>SPX</t>
  </si>
  <si>
    <t>PB</t>
  </si>
  <si>
    <t>PS</t>
  </si>
  <si>
    <t>DVN</t>
  </si>
  <si>
    <t>Market Cap in Million</t>
  </si>
  <si>
    <t>EV without Cash in Million</t>
  </si>
  <si>
    <t>ConocoPhillips</t>
  </si>
  <si>
    <t>Exxon Mobil Corporation</t>
  </si>
  <si>
    <t>Chevron Corporation</t>
  </si>
  <si>
    <t>EOG Resources, Inc.</t>
  </si>
  <si>
    <t>BP p.l.c.</t>
  </si>
  <si>
    <t>Devon Energy Corporation</t>
  </si>
  <si>
    <t>Return</t>
  </si>
  <si>
    <t xml:space="preserve">Mean </t>
  </si>
  <si>
    <t>Medium</t>
  </si>
  <si>
    <t>Standard Deviation</t>
  </si>
  <si>
    <t>Skewness</t>
  </si>
  <si>
    <t>Peers Average</t>
  </si>
  <si>
    <t>Peers Agregate -Cal</t>
  </si>
  <si>
    <t>Statistics Weekly</t>
  </si>
  <si>
    <t>Min</t>
  </si>
  <si>
    <t>Max</t>
  </si>
  <si>
    <t>Excesssive Kurtosis</t>
  </si>
  <si>
    <t>Bin</t>
  </si>
  <si>
    <t>More</t>
  </si>
  <si>
    <t>95% CI-Lower</t>
  </si>
  <si>
    <t xml:space="preserve">                -Upper</t>
  </si>
  <si>
    <t xml:space="preserve">Covid Period </t>
  </si>
  <si>
    <t>Covid</t>
  </si>
  <si>
    <t>（1 -covid, nil -normal)</t>
  </si>
  <si>
    <t>T-Statistics (&gt;0)</t>
  </si>
  <si>
    <t>P value one tail</t>
  </si>
  <si>
    <t>F-Test Two-Sample for Variances</t>
  </si>
  <si>
    <t>Variable 1</t>
  </si>
  <si>
    <t>Variable 2</t>
  </si>
  <si>
    <t>Mean</t>
  </si>
  <si>
    <t>Variance</t>
  </si>
  <si>
    <t>Observations</t>
  </si>
  <si>
    <t>df</t>
  </si>
  <si>
    <t>F</t>
  </si>
  <si>
    <t>P(F&lt;=f) one-tail</t>
  </si>
  <si>
    <t>F Critical one-tail</t>
  </si>
  <si>
    <t>The Variance of two period are different</t>
  </si>
  <si>
    <t>t-Test: Two-Sample Assuming Unequal Variances</t>
  </si>
  <si>
    <t>Hypothesized Mean Difference</t>
  </si>
  <si>
    <t>t Stat</t>
  </si>
  <si>
    <t>P(T&lt;=t) one-tail</t>
  </si>
  <si>
    <t>t Critical one-tail</t>
  </si>
  <si>
    <t>P(T&lt;=t) two-tail</t>
  </si>
  <si>
    <t>t Critical two-tail</t>
  </si>
  <si>
    <t>Can not reject the H0 under 5% significant level, or the mean returns within covid and afterward are significantly different</t>
  </si>
  <si>
    <t>For COP</t>
  </si>
  <si>
    <t>For Peers Group</t>
  </si>
  <si>
    <t>Variances are different</t>
  </si>
  <si>
    <t>Weekly Post Covid return higher that covid period</t>
  </si>
  <si>
    <t>For SPX</t>
  </si>
  <si>
    <t>Variances can be the same</t>
  </si>
  <si>
    <t>t-Test: Two-Sample Assuming Equal Variances</t>
  </si>
  <si>
    <t>Pooled Variance</t>
  </si>
  <si>
    <t>Mean return be the same</t>
  </si>
  <si>
    <t>Compare COP with SPX</t>
  </si>
  <si>
    <t>Variance different</t>
  </si>
  <si>
    <t>Can not reject H0</t>
  </si>
  <si>
    <t>Compare with Peers Group Average</t>
  </si>
  <si>
    <t>Can not reject that return are the same as peers group average</t>
  </si>
  <si>
    <t>M</t>
  </si>
  <si>
    <t>COP Vs SPX</t>
  </si>
  <si>
    <t>Still the same!!!</t>
  </si>
  <si>
    <t>The 1-month TBill rate data until 202405 are from Ibbotson Associates. Starting from 202406</t>
  </si>
  <si>
    <t xml:space="preserve"> the 1-month TBill rate is from ICE BofA US 1-Month Treasury Bill Index. </t>
  </si>
  <si>
    <t xml:space="preserve">The annual TBill return is compounded from the monthly T-bill rates from January to December. </t>
  </si>
  <si>
    <t>Mkt-RF</t>
  </si>
  <si>
    <t>SMB</t>
  </si>
  <si>
    <t>HML</t>
  </si>
  <si>
    <t>RF</t>
  </si>
  <si>
    <t>Month</t>
  </si>
  <si>
    <t>Date</t>
  </si>
  <si>
    <t>const</t>
  </si>
  <si>
    <t>alpha</t>
  </si>
  <si>
    <t>sum_sq</t>
  </si>
  <si>
    <t>mean_sq</t>
  </si>
  <si>
    <t>PR(&gt;F)</t>
  </si>
  <si>
    <t>Regression</t>
  </si>
  <si>
    <t>Residual</t>
  </si>
  <si>
    <t>Total</t>
  </si>
  <si>
    <t>CAPM - Beta Summary (All Variables)</t>
  </si>
  <si>
    <t>FF3 - Beta Summary (All Variables)</t>
  </si>
  <si>
    <t>FF3_COVID - Beta Summary (All Variables)</t>
  </si>
  <si>
    <t>beta_SMB</t>
  </si>
  <si>
    <t>beta_HML</t>
  </si>
  <si>
    <t>COMPREHENSIVE REGRESSION OUTPUT</t>
  </si>
  <si>
    <t>Variables: COP, ^SP500-10, Peers Average</t>
  </si>
  <si>
    <t>Statistic</t>
  </si>
  <si>
    <t>Value</t>
  </si>
  <si>
    <t>R-squared</t>
  </si>
  <si>
    <t>Adj. R-squared</t>
  </si>
  <si>
    <t>F-statistic</t>
  </si>
  <si>
    <t>Prob (F-statistic)</t>
  </si>
  <si>
    <t>AIC</t>
  </si>
  <si>
    <t>BIC</t>
  </si>
  <si>
    <t>N</t>
  </si>
  <si>
    <t>Variable</t>
  </si>
  <si>
    <t>P&gt;|t|</t>
  </si>
  <si>
    <t>[0.025</t>
  </si>
  <si>
    <t>0.975]</t>
  </si>
  <si>
    <t>ANOVA:</t>
  </si>
  <si>
    <t>beta_Mkt</t>
  </si>
  <si>
    <t>pval_Mkt</t>
  </si>
  <si>
    <t>pval_Mkt_corrected</t>
  </si>
  <si>
    <t>R2_adj</t>
  </si>
  <si>
    <t>beta_Covid</t>
  </si>
  <si>
    <t>[ COP ]</t>
  </si>
  <si>
    <t>CAPM</t>
  </si>
  <si>
    <t>Diagnostic Tests:</t>
  </si>
  <si>
    <t>Test</t>
  </si>
  <si>
    <t>Durbin-Watson</t>
  </si>
  <si>
    <t>Breusch-Pagan p-value</t>
  </si>
  <si>
    <t>Correction Applied</t>
  </si>
  <si>
    <t>Yes (HAC)</t>
  </si>
  <si>
    <t>Model Summary:</t>
  </si>
  <si>
    <t>Coefficients (Original):</t>
  </si>
  <si>
    <t>Coef</t>
  </si>
  <si>
    <t>Std Err</t>
  </si>
  <si>
    <t>t</t>
  </si>
  <si>
    <t>Coefficients (HAC Corrected):</t>
  </si>
  <si>
    <t>FF3</t>
  </si>
  <si>
    <t>No</t>
  </si>
  <si>
    <t>FF3_COVID</t>
  </si>
  <si>
    <t>[ ^SP500-10 ]</t>
  </si>
  <si>
    <t>[ Peers Average ]</t>
  </si>
  <si>
    <t>HAC Correction Applied When:</t>
  </si>
  <si>
    <t>• Durbin-Watson &lt; 1.5 or &gt; 2.5 (autocorrelation detected), OR</t>
  </si>
  <si>
    <t>• Breusch-Pagan p-value &lt; 0.05 (heteroskedasticity detected)</t>
  </si>
  <si>
    <t>IQ_BETA_5YR</t>
  </si>
  <si>
    <t>Beta 5 Y from Capital IQ</t>
  </si>
  <si>
    <t>IQ_CQ</t>
  </si>
  <si>
    <t>IQ_LTM</t>
  </si>
  <si>
    <t>IQ_EBITDA growth</t>
  </si>
  <si>
    <t>NTc2Mi40ODQ4ODMzNjkxMgIAAAAQNTY0OC4zOTcyMzYzMTY3NgIAAAAQNTUyMi4zMDE4MzY4OTQ2NgIAAAAQNTQ2MC40ODI2MjExNDk1MgIAAAAQNTI3Ny41MDczNDUyNjU1OAIAAAAQNTAzNS42OTE2Nzg0NTk1MgIAAAAQNTI1NC4zNTQ0MDEyNjI0MQIAAAAQNTA5Ni4yNjk0OTk4NjIyNAIAAAAQNDg0NS42NDcxNzU3MzE0NQIAAAAQNDc2OS44Mjk0MTA3OTA2NwIAAAAQNDU2Ny43OTg2NDIyNzU1MwIAAAAQNDE5My44MDA5NTUyNDc0NwIAAAAQNDI4OC4wNTQxMjI2Mzk5MgIAAAAQNDUwNy42NjE3OTE5NTkyOQIAAAAQNDU4OC45NjExMzg0OTc4NQIAAAAQNDQ1MC4zODEzMTE4MDkyMQIAAAAQNDE3OS44MjU0NjE2NjczNQIAAAAQNDE2OS40ODE0MDA2MzU5OAIAAAAQNDEwOS4zMTI0NDQ2MjE0NwIAAAAQMzk3MC4xNTM0NDI0ODY2NAIAAAAQNDA3Ni42MDM4MTk0MDI3OAIAAAAQMzgzOS40OTY1ODY2NzY4MQIAAAAQNDA4MC4xMDY1NTIxNzkyNAIAAAAQMzg3MS45NzcyMjE0MTY3NAIAAAAQMzU4NS42MjQxMDM1NDg2OAIAAAAQMzk1NC45OTkwMDEwMjc3NwIAAAAQNDEzMC4yODU3NzM4MTkxNgIAAAAQMzc4NS4zODQ4NDU5MzExNAIAAAAQNDEzMi4xNDc3ODE5NjE4OQIAAAAPNDEzMS45MjY0MTAzNzc2AgAAABA0NTMwLjQxMzQ1MTY4MzQ3AgAAABA0MzczLjkzOTE0ODgwNDQ0AgAAAAs0NTE1LjU0NzU3</t>
  </si>
  <si>
    <t>OQIAAAAQNDc2Ni4xODI5NzI0MjgzMQIAAAAQNDU2Ny4wMDE0OTQwMDkyNAIAAAAPNDYwNS4zNzY2NDgxNzc2AgAAABA0MzA3LjUzODc1MDc4OTcxAgAAABA0NTIyLjY4MDExOTM2NDU1AgAAABA0Mzk1LjI2Mzk3MjE2MzE4AgAAABA0Mjk3LjQ5NjYzMTg4MTg4AgAAABA0MjA0LjExMDU0NTY1MzY0AgAAABA0MTgxLjE3NDg5NTQ0MDc5AgAAABAzOTcyLjg5MjIwODQzMDI1AgAAABAzODExLjE0OTc0OTU5ODI4AgAAABAzNzE0LjI0MjY4OTc3NjY0AgAAAA8zNzU2LjA3MTQ2ODk1NzICAAAAEDM2MjEuNjMzNDMwNjk0NjVgahcbfCTeCPvBOBt8JN4IUENJUVJBTkdFVi5EVk4uSVFfQ0xPU0VQUklDRV9BREouMTEvMTQvMjAyMC4xMS8xNC8yMDI1Li4uREVTQy5NLklRX0NMT1NFUFJJQ0VfQURKBAAAAA4RBAA8AAAAAgAAAAUzMi40OQIAAAAFMzUuMDYCAAAACDM1Ljg1MDgyAgAAAAkzMi45OTA2OTkCAAAACTMxLjU5MDQzMQIAAAAJMjkuODQxMDQ0AgAAAAkyOS45ODg5NjcCAAAACTM2Ljg4MjE4OQIAAAAJMzUuNDY0ODI5AgAAAAgzMy4zODkwMwIAAAAJMzIuMDQ3NTk0AgAAAAkzNi45MTkyMzYCAAAACTM3LjYyOTQwOAIAAAAJMzguMDU3NDU3AgAAAAk0My4wODQ2NDQCAAAACDQ1LjI0OTQ2AgAAAAk0NS42MDU0NTICAAAACTQ2Ljg2MDY2NgIAAAAJNDguODY1NzA3AgAAAAk0Ny45MTA5MjYCAAAACTQxLjY3</t>
  </si>
  <si>
    <t>NzI0NQIAAAAJMzkuNzQ3NTY4AgAAAAk0Mi44NTAxODYCAAAACDQxLjc5NzMyAgAAAAk0My4yODQ0MzkCAAAACTQ0LjMzNDcxNgIAAAAJNDcuMDI2MTYyAgAAAAk0OS43MDQ2OTICAAAACTQ0LjQ5NDkwNAIAAAAJNDEuODI2NzczAgAAAAg0OC40NzczMgIAAAAINDUuOTE4NzICAAAACTQ4LjA1MDc0MgIAAAAJNTYuMzU2MjQ4AgAAAAk1NC44MTQ1NjECAAAACTU5Ljc2MzM1NgIAAAAJNjcuNDY0OTA5AgAAAAk1Mi40NDU1NzICAAAACDYwLjIwOTUyAgAAAAk1My41ODQ5MzgCAAAACTQ2Ljk4NTkzMwIAAAAJNjIuODE2ODI5AgAAAAg0OC43ODU3OAIAAAAJNDkuNTkwOTA5AgAAAAk0OS4xMTg2MDECAAAACTQxLjcxMTYzMQIAAAAJMzYuMzMzNzQyAgAAAAkzNC4wNDM0NDQCAAAACTMyLjQ0MDgyOAIAAAAJMjguNzQxODYxAgAAAAkyMy41MDU4ODQCAAAACTIwLjU1NDcyMwIAAAAJMjMuMjE5NTE4AgAAAAkyMC44ODMwNDECAAAACTE4LjM4MjczNwIAAAAIMTcuMTc5NzYCAAAACTE2LjcyOTgxOQIAAAAJMTIuNzg0MjUzAgAAAAkxMi4yNzk0MDcCAAAACTEwLjc4OTc1N2BqFxt8JN4I+8E4G3wk3ghPQ0lRUkFOR0VWLkJQLklRX0NMT1NFUFJJQ0VfQURKLjExLzE0LzIwMjAuMTEvMTQvMjAyNS4uLkRFU0MuTS5JUV9DTE9TRVBSSUNFX0FESgQAAADiBAYAPAAAAAIAAAAJMzQuNjU0MjE5AgAAAAkzMy45OTMyOTMC</t>
  </si>
  <si>
    <t>AAAACTM0Ljc1Mjg2NQIAAAAJMzEuMjYyMTE1AgAAAAkyOS4xMDM0MjQCAAAACTI4LjI5NjM0NgIAAAAJMjYuMjgwNDA3AgAAAAgzMi4zMzg0OQIAAAAJMzEuNjk3MjcyAgAAAAkyOS4zMTgyNjYCAAAACTI3LjkwMjM4MQIAAAAHMjcuNjY2NAIAAAAJMjcuMjc4OTk5AgAAAAkyOS4xNjUxMTUCAAAACTMxLjU1Mjk1NgIAAAAJMzIuNDE1MzY4AgAAAAkzMy4wNjU2OTECAAAACTM0LjQxMjEzMwIAAAAJMzUuMTA1NzQ5AgAAAAkzNC4xMTg3NjcCAAAACTMxLjY4MzAwNgIAAAAIMzEuMzk5MzcCAAAACDMxLjY2Nzc0AgAAAAkzMi40NjM5MDcCAAAACTMyLjMxOTAyNQIAAAAIMzQuMjA5NzUCAAAACTMyLjg0OTEzNQIAAAAJMzIuNTc1NDA2AgAAAAkzMC44MjAwMDICAAAACTI5LjQ0MDEzMwIAAAAJMzQuODAzMDk3AgAAAAkzMi43ODEyNjkCAAAACTM0LjIxNTU1NwIAAAAJMzEuMDAzOTEyAgAAAAkyOS44OTE0MzQCAAAACTMwLjcyMTUxMwIAAAAJMjguMTc5Mzk5AgAAAAkyNC4xNzQzMzQCAAAACTI2LjExMzM2MQIAAAAJMjQuNTkwMTAyAgAAAAkyMy43MjgwMjUCAAAACTI3LjA5MjYzNAIAAAAHMjMuNzgxMQIAAAAJMjQuMzQ0MTYyAgAAAAkyNC4xODY4MzYCAAAACTI1LjM0ODQ3OAIAAAAHMjEuODMxNQIAAAAJMjEuMjgyMjI4AgAAAAkyMy4zMzIyODMCAAAACTIyLjE0OTA1NQIAAAAIMTkuODIzMTICAAAACTE5</t>
  </si>
  <si>
    <t>LjM1MzcwOQIAAAAJMjEuMTQ2NjA4AgAAAAkyMC45OTQ1MzICAAAACTE5LjkwNDk4OAIAAAAJMTkuMjY0MTY3AgAAAAkxOS4zMTE2MzYCAAAACDE3LjM0Nzk0AgAAAAgxNi4wMjA2OQIAAAAJMTUuMjcxMTg0YGoXG3wk3gj7wTgbfCTeCFBDSVFSQU5HRVYuRU9HLklRX0NMT1NFUFJJQ0VfQURKLjExLzE0LzIwMjAuMTEvMTQvMjAyNS4uLkRFU0MuTS5JUV9DTE9TRVBSSUNFX0FESgQAAABcHQQAPAAAAAIAAAAGMTA1Ljg0AgAAAAoxMTEuMDUzNjg0AgAAAAoxMjMuNjMyOTAxAgAAAAoxMTguODc4NTUxAgAAAAoxMTcuNTAwMTM5AgAAAAoxMDYuNjU0ODc5AgAAAAoxMDguMzgzODMzAgAAAAoxMjQuODM1MTA3AgAAAAoxMjMuNTY5NjIzAgAAAAoxMjIuNDUwMTU2AgAAAAoxMTguNDgyNjMxAgAAAAkxMjguODA1NjQCAAAACjExNy44ODMzNTUCAAAACjExNy45NzE5NDQCAAAACjEyMy42MjQzODYCAAAACjEyMS42ODU4NTgCAAAACjExOS45NTc1ODUCAAAACjExOC42OTk1ODkCAAAACjEyNS45MjM1MzgCAAAACjEyMS4wMTU1NTICAAAACjEwOC4zNDk4MTMCAAAACjEwNy43MTU1NzkCAAAACjExMy41OTU1NjUCAAAACjExNC4xMjMyODgCAAAACjExNy4wNzIxMTQCAAAACjExNi44MjA0ODMCAAAACjExOC41MzQ2MzYCAAAACjEyMi4xMzgwNDUCAAAACjEwNC43NTY2NDECAAAACTk4LjIxMTYzOQIAAAAKMTA5LjM2</t>
  </si>
  <si>
    <t>MTAyNgIAAAAKMTA0LjIyMjc5MQIAAAAKMTAxLjgxNzk0NgIAAAAKMTE5LjE0MTk1MQIAAAAKMTE1Ljk0NDYwNgIAAAAKMTI1LjU1ODY1NQIAAAAKMTIwLjc3MjY4OAIAAAAIOTguMjYwMDECAAAACjEwNS4zNzQzODQCAAAACTk2LjYxNzc5OQIAAAAJOTUuMjE2MjM4AgAAAAoxMTYuNDc5MjE2AgAAAAk5OS4yOTk4OTMCAAAACTEwMC43OTAwMwIAAAAJOTYuMzE0MDE5AgAAAAk5My40MzA5NjgCAAAACTczLjkwNDc3NwIAAAAJNzAuNzM3NzYzAgAAAAk3NS4xNzcxNjgCAAAACTY0Ljk2Nzk3MgIAAAAINTQuNjQ4NTMCAAAACTU4Ljk3MDU1NQIAAAAJNjYuMzM2MTg4AgAAAAk2My44NzE2MzcCAAAACTU4LjU0NTAyNQIAAAAJNTcuMzQxNjQ3AgAAAAk1MS4wNDA2MjgCAAAACTQwLjI4ODU3NQIAAAAJMzkuMTgyMzI3AgAAAAkzNi44MzMxMTZgahcbfCTeCPvBOBt8JN4ISENJUVJBTkdFVi5eQ0wuSVFfQ0xPU0VQUklDRS4xMS8xNC8yMDIwLjExLzE0LzIwMjUuLi5ERVNDLk0uSVFfQ0xPU0VQUklDRQQAAABTgDUDPAAAAAIAAAAFNjAuOTgCAAAABTYxLjk2AgAAAAU2NC4wMQIAAAAFNjkuMjYCAAAABTY1LjExAgAAAAU2MC43OQIAAAAFNTguMjECAAAABTcxLjQ4AgAAAAU2OS43NgIAAAAFNzIuNTMCAAAABTcxLjcyAgAAAAI2OAIAAAAFNjkuMjYCAAAABTY4LjE3AgAAAAU3My41NQIAAAAFNzcuOTECAAAABTgx</t>
  </si>
  <si>
    <t>LjU0AgAAAAU3Ni45OQIAAAAFODEuOTMCAAAABTgzLjE3AgAAAAU3OC4yNgIAAAAFNzUuODUCAAAABTcxLjY1AgAAAAU3NS45NgIAAAAFODEuMDICAAAABTkwLjc5AgAAAAU4My42MwIAAAAEODEuOAIAAAAFNzAuNjQCAAAABTY4LjA5AgAAAAU3Ni43OAIAAAAFNzUuNjcCAAAABTc3LjA1AgAAAAU3OC44NwIAAAAFODAuMjYCAAAABTgwLjU1AgAAAAU4Ni41MwIAAAAFNzguNzICAAAABTg5LjU1AgAAAAU5OC42MgIAAAAGMTA1Ljc2AgAAAAYxMTQuNjcCAAAABjEwNC42OQIAAAAGMTAwLjI4AgAAAAU5NS43MgIAAAAFODguMTUCAAAABTc1LjIxAgAAAAU2Ni4xOAIAAAAFODMuNTcCAAAABTc1LjAzAgAAAAQ2OC41AgAAAAU3My45NQIAAAAFNzMuNDcCAAAABTY2LjMyAgAAAAU2My41OAIAAAAFNTkuMTYCAAAABDYxLjUCAAAABDUyLjICAAAABTQ4LjUyAgAAAAU0NS4zNGBqFxt8JN4I+8E4G3wk3ghOQ0lRUkFOR0VWLl5TUDUwMC0xMC5JUV9DTE9TRVBSSUNFLjExLzE0LzIwMjAuMTEvMTQvMjAyNS4uLkRFU0MuTS5JUV9DTE9TRVBSSUNFBAAAAE7DKAA8AAAAAgAAABA2NzQuNzM2ODYxNDg5NzU0AgAAABA2ODIuODIyMjUwMTY3NDIzAgAAABA2ODYuMzkzNjU4MjQ5Njg5AgAAABA2NjYuOTA3NDUwNzE4MjI5AgAAABA2NDguNjgxMjM1NzExODA1AgAAABA2MTkuMzQwMzA1NzQ2OTc4AgAAABA2MTcuNDY4Nzg5</t>
  </si>
  <si>
    <t>MTUwNzk3AgAAAA83MTUuNzUxMjExNzcxNjgCAAAAEDY4OS44ODEwNzYwMDg5MDYCAAAAEDY2Ny45NTM4MDQyNTMwMTECAAAADzY1NC44NDYzMTc4NDMzMgIAAAAQNzI0LjA1NTk2MjY4NTY5MwIAAAAQNjgxLjI1MjA3MzgwMzI4OAIAAAAQNjc2LjQ3MzEyNzg3NTE2NgIAAAAQNjk1Ljg2MTMwMTcxMzE2MgIAAAAQNzEyLjQxODEwODA1NjQwOQIAAAAQNjk4LjIzMjA3MjI2MzcxMQIAAAAQNzA4LjA0NDcwMjQ3NTgyMgIAAAAQNzE0Ljk0OTUzNDc0MzYxNQIAAAAQNzIxLjI0MjI2Nzc4NTA4MgIAAAAQNjUzLjE0NDUxMjYwMDU1NQIAAAAQNjM2LjczMDYwNjY1MDg3NgIAAAAQNjQwLjA0ODA1MzY5OTUwNgIAAAAQNjQxLjI4MzUyMzg3OTA4MQIAAAAQNjUyLjAxMzA0NTI0NDA5NQIAAAAQNjk0LjE5MTM2MjE3Njc4MgIAAAAQNjc3LjQ5MDc2MzM1MTYzNwIAAAAQNjY4Ljk4MTg4OTMwMTU2OQIAAAAQNjIzLjU1NzA1MzI1MTI2MwIAAAAQNTg1LjY2MjQ3Nzg3NDIyMgIAAAAQNjU1LjE5NjE0MDE0NTExMgIAAAAQNjM0LjkwMTAwNzc2MDc1MgIAAAAQNjM4LjAxMDkxNjc0MzA4NQIAAAAQNjkwLjU4OTk1NDg5MDk1MQIAAAAQNjcyLjM0MzU4NzUxMjg5OAIAAAAQNjk0LjI5NTAwMDEwMjk0MgIAAAAQNjg5LjgzMjY2ODUyMzI1OQIAAAAQNTUyLjU2MTEyNzE2Mzk4OAIAAAAQNjExLjc5OTMwODA0MTgzNQIAAAAQ</t>
  </si>
  <si>
    <t>NTk4LjczNTI3MzQxOTA3MwIAAAAQNTQ2LjI0MDE4MjUxNzYyNgIAAAAQNjU4LjAwNDYzNjUxODExNQIAAAAQNTcyLjQxMDY4ODg5NzUxNAIAAAAQNTgxLjkyNzI5NzIzNjE4NwIAAAAQNTM0Ljk0NTk2MzcxODc2OAIAAAAQNTAyLjkyNjgyOTE4MDI3NQIAAAAQNDIyLjczNjQ3ODk4OTU0MwIAAAAQNDEwLjY5OTI2MzkyMjYyNgIAAAAQNDM2LjE5NDQzMDA3ODc1NwIAAAAQMzk1Ljg4MDA3NzYwMzkxOAIAAAAQMzYyLjI1NjQxNTk0MzU3MwIAAAAQMzcyLjk4Njc4NDM2NjUzMwIAAAAQNDA3LjM2NjcxODI4MjM4NwIAAAAQMzg5LjgxNjU4NzkzOTgxMQIAAAAQMzcxLjYwMDY4MjQ5MzY4OQIAAAAQMzY5Ljg4NjY4Mzg3NjE2NwIAAAAQMzYwLjE5MDA2NjEzMzM1MgIAAAAQMjk2LjUxNTMzMjIxNTcxNAIAAAAQMjg2LjE0MTQwNDU0OTQ5NwIAAAAQMjc0LjQxODA5ODM5NjExN2BqFxt8JN4I+8E4G3wk3ghIQ0lRUkFOR0VWLl5IRy5JUV9DTE9TRVBSSUNFLjExLzE0LzIwMjAuMTEvMTQvMjAyNS4uLkRFU0MuTS5JUV9DTE9TRVBSSUNFBAAAAGaBNQM8AAAAAgAAAAU1LjA4OQIAAAAGNC44NTY1AgAAAAY0LjUxODUCAAAABjQuMzU0NQIAAAAGNS4wODI1AgAAAAY0LjY3NzUCAAAABTQuNjA5AgAAAAU1LjAzNAIAAAAFNC41NDgCAAAABTQuMjc5AgAAAAY0LjAyNjUCAAAABjQuMDgwNQIAAAAENC4zNAIAAAAFNC41</t>
  </si>
  <si>
    <t>NTMCAAAABTQuMTY3AgAAAAY0LjE3NjUCAAAABjQuMzkxNQIAAAAFNC42MDICAAAABjQuNTY0NQIAAAAFNC4wMDcCAAAABTMuODQ3AgAAAAUzLjkwNgIAAAAGMy44OTA1AgAAAAUzLjgyOQIAAAAFMy42NDkCAAAABjMuNzM3NQIAAAAGMy43NzI1AgAAAAU0LjAwOAIAAAAGMy43NTk1AgAAAAUzLjYzNwIAAAAGMy44OTA1AgAAAAY0LjA5NDUCAAAABjQuMDg5NQIAAAAFNC4yMjYCAAAABjMuODEwNQIAAAAGMy43Mjk1AgAAAAUzLjM3NQIAAAAGMy40MTI1AgAAAAYzLjUxODUCAAAABjMuNTczNQIAAAAEMy43MQIAAAAFNC4yOTYCAAAABjQuNDA4NQIAAAAFNC43NTECAAAABjQuNDU0NQIAAAAGNC4zMjQ1AgAAAAY0LjQ2MzUCAAAABTQuMjc4AgAAAAU0LjM2OAIAAAAFNC4wODkCAAAABDQuMzYCAAAABjQuNDgyNQIAAAAFNC4yODkCAAAABjQuNjc3NQIAAAAFNC40NjgCAAAABjMuOTk1NQIAAAAGNC4wOTI1AgAAAAUzLjU1NgIAAAAFMy41MTkCAAAABjMuNDIwNWBqFxt8JN4I+8E4G3wk3ghGQ0lRUkFOR0VWLkNPUC5JUV9QUklDRURBVEUuMTEvMTQvMjAyMC4xMS8xNC8yMDI1Li4uREVTQy5NLklRX1BSSUNFREFURQQAAABPhgQAPAAAAAUAAAAKMTAvMzEvMjAyNQUAAAAJOS8zMC8yMDI1BQAAAAk4LzI5LzIwMjUFAAAACTcvMzEvMjAyNQUAAAAJNi8zMC8yMDI1BQAAAAk1LzMwLzIwMjUFAAAACTQvMzAvMjAy</t>
  </si>
  <si>
    <t>NQUAAAAJMy8zMS8yMDI1BQAAAAkyLzI4LzIwMjUFAAAACTEvMzEvMjAyNQUAAAAKMTIvMzEvMjAyNAUAAAAKMTEvMjkvMjAyNAUAAAAKMTAvMzEvMjAyNAUAAAAJOS8zMC8yMDI0BQAAAAk4LzMwLzIwMjQFAAAACTcvMzEvMjAyNAUAAAAJNi8yOC8yMDI0BQAAAAk1LzMxLzIwMjQFAAAACTQvMzAvMjAyNAUAAAAJMy8yOC8yMDI0BQAAAAkyLzI5LzIwMjQFAAAACTEvMzEvMjAyNAUAAAAKMTIvMjkvMjAyMwUAAAAKMTEvMzAvMjAyMwUAAAAKMTAvMzEvMjAyMwUAAAAJOS8yOS8yMDIzBQAAAAk4LzMxLzIwMjMFAAAACTcvMzEvMjAyMwUAAAAJNi8zMC8yMDIzBQAAAAk1LzMxLzIwMjMFAAAACTQvMjgvMjAyMwUAAAAJMy8zMS8yMDIzBQAAAAkyLzI4LzIwMjMFAAAACTEvMzEvMjAyMwUAAAAKMTIvMzAvMjAyMgUAAAAKMTEvMzAvMjAyMgUAAAAKMTAvMzEvMjAyMgUAAAAJOS8zMC8yMDIyBQAAAAk4LzMxLzIwMjIFAAAACTcvMjkvMjAyMgUAAAAJNi8zMC8yMDIyBQAAAAk1LzMxLzIwMjIFAAAACTQvMjkvMjAyMgUAAAAJMy8zMS8yMDIyBQAAAAkyLzI4LzIwMjIFAAAACTEvMzEvMjAyMgUAAAAKMTIvMzEvMjAyMQUAAAAKMTEvMzAvMjAyMQUAAAAKMTAvMjkvMjAyMQUAAAAJOS8zMC8yMDIxBQAAAAk4LzMxLzIwMjEFAAAACTcvMzAvMjAyMQUAAAAJNi8zMC8yMDIxBQAAAAk1LzI4LzIwMjEFAAAACTQvMzAv</t>
  </si>
  <si>
    <t>MjAyMQUAAAAJMy8zMS8yMDIxBQAAAAkyLzI2LzIwMjEFAAAACTEvMjkvMjAyMQUAAAAKMTIvMzEvMjAyMAUAAAAKMTEvMzAvMjAyMGBqFxt8JN4I+8E4G3wk3ghQQ0lRUkFOR0VWLlhPTS5JUV9DTE9TRVBSSUNFX0FESi4xMS8xNC8yMDIwLjExLzE0LzIwMjUuLi5ERVNDLk0uSVFfQ0xPU0VQUklDRV9BREoEAAAAQjMGADwAAAACAAAACjExMy4zNjg0MTECAAAACjExMS43NzIzNzECAAAACjExMy4yOTkwMTgCAAAACjEwOS42NTE2NDUCAAAACjEwNS44ODAwMzcCAAAACjEwMC40Nzc5OTQCAAAACjEwMi44MDE4NjQCAAAACTExNS43NDU3NwIAAAAKMTA4LjM0OTI1MgIAAAAKMTAzLjA0ODAwMQIAAAAKMTAzLjc2MTgwNAIAAAAKMTEzLjc4Mzk3NwIAAAAJMTExLjcyNzY3AgAAAAoxMTIuMTQ4NjM0AgAAAAoxMTIuODM3NDg0AgAAAAoxMTIuNTUzMjE0AgAAAAoxMDkuMjU5ODUzAgAAAAoxMTEuMjkwOTE3AgAAAAkxMTEuMzQ1MTECAAAACTEwOS40MzM5NwIAAAAJOTguNDAwMTk0AgAAAAk5NS44OTkwNjICAAAACTkzLjI1OTI5NgIAAAAJOTUuODMzNzY3AgAAAAk5Ny44NDAwMzQCAAAACjEwOC42ODIzOTICAAAACjEwMi43NzU5NDECAAAACTk4LjMxODg4NAIAAAAJOTguMzI4MDUyAgAAAAk5My42Nzk4MTcCAAAACjEwNy41NjIxMzMCAAAACTk5LjY3MjY2OAIAAAAJOTkuODk5ODk5AgAAAAkxMDQuNjM5MTUC</t>
  </si>
  <si>
    <t>AAAACTk5LjQ4ODgyMgIAAAAKMTAwLjQyNjg4NQIAAAAJOTkuMTUwNjQ2AgAAAAc3OC4xMjMzAgAAAAk4NS41MzIwODQCAAAACTg1Ljg5NjQ5OQIAAAAJNzUuODkxNjM1AgAAAAk4NS4wNzIzNjECAAAACTc0Ljc4MDAzNgIAAAAJNzIuNDQ2NzI0AgAAAAk2OC43ODg4NjECAAAACTY1LjkwMDQxOQIAAAAJNTMuMDg2NDQ5AgAAAAk1MS45MTUyMzMCAAAACTU1LjE5MDM1NQIAAAAJNTAuMzUzNjAxAgAAAAk0Ni42NzI1MzICAAAACTQ4LjU0ODcwNAIAAAAINTMuMTk1MjgCAAAACTQ5LjIyMzM0MwIAAAAINDcuNTc3MzECAAAACTQ2LjQwNTMzMwIAAAAJNDUuMTkxNzk1AgAAAAkzNi42NDgxODcCAAAACTMzLjY4OTUyNAIAAAAJMzEuMTY0MDM2YGoXG3wk3gj7wTgbfCTeCFBDSVFSQU5HRVYuQ09QLklRX0NMT1NFUFJJQ0VfQURKLjExLzE0LzIwMjAuMTEvMTQvMjAyNS4uLkRFU0MuTS5JUV9DTE9TRVBSSUNFX0FESgQAAABPhgQAPAAAAAIAAAAFODguODYCAAAABTk0LjU5AgAAAAU5OC45NwIAAAAJOTQuNTU5OTE4AgAAAAk4OS4wMDU3MzgCAAAACTg0LjY1MTY1NwIAAAAJODcuNjQ0ODk3AgAAAAoxMDMuMjgxNzIyAgAAAAk5Ny41MDg4ODICAAAACDk2LjQxMTgxAgAAAAk5Ni43NDM0OTECAAAACjEwNS42ODkxMTgCAAAACjEwNi4xMTgyMDMCAAAACjEwMS45OTEyNzYCAAAACjExMC4yMzU0NDICAAAACjEwNi45</t>
  </si>
  <si>
    <t>NTI2OTQCAAAACjExMC4wMTEyMzMCAAAACjExMi4wMzEwMjMCAAAACjEyMC4wNTgxNTMCAAAACjEyMS42NDQ2NTYCAAAACjEwNy41NTcyNzICAAAACjEwNi4xNTk2MjQCAAAACjExMC4xNDUyMzYCAAAACjEwOS42NzA3NTkCAAAACjExMi4xNzAzMDMCAAAACjExMy4xMTQ0OTgCAAAACjExMS44MjYxODYCAAAACjExMC4xMTYyMTICAAAACTk2LjkxNzYwNwIAAAAJOTIuMzMxMjM1AgAAAAk5NS4xNzg1ODICAAAACTkxLjc3NDM5MgIAAAAJOTUuMDE1NjUyAgAAAAkxMTEuNTQ1NTQCAAAACjEwOC4wMDMzOTQCAAAACjExMi4zNDU2OTUCAAAACjExNC4yNTU4MzcCAAAACTkyLjczNDg5MQIAAAAJOTcuNzcxNjYzAgAAAAk4Ni42NDQ1NTcCAAAACTc5Ljg2ODA4NwIAAAAJOTkuMTUyNDI1AgAAAAk4My45MTUxMzcCAAAACTg3Ljg1MDg1NQIAAAAJODMuMDg3MDI5AgAAAAk3Ny4yMzI5ODECAAAABzYyLjkwNTQCAAAACTYwLjk0OTY5MwIAAAAJNjQuNzM4OTUxAgAAAAk1OC41NDY5MDICAAAACTQ3Ljk3MjY5NAIAAAAJNDguNDMwNTY0AgAAAAk1Mi4yMTI2NjECAAAACTQ3Ljc4ODczMQIAAAAJNDMuNTA2Mzc3AgAAAAk0NS4wNjMyMTUCAAAACTQ0LjI0NjUxMwIAAAAJMzMuNzQ0ODQxAgAAAAkzMy43MTExMjECAAAACTMzLjM0ODYzNmBqFxt8JN4I+8E4G3wk3ghQQ0lRUkFOR0VWLkNWWC5JUV9DTE9TRVBSSUNFX0FE</t>
  </si>
  <si>
    <t>Si4xMS8xNC8yMDIwLjExLzE0LzIwMjUuLi5ERVNDLk0uSVFfQ0xPU0VQUklDRV9BREoEAAAAyoABADwAAAACAAAABjE1Ny43MgIAAAAGMTU1LjI5AgAAAAUxNjAuNgIAAAAKMTQ5Ljk3MDUxNQIAAAAKMTQxLjYxMzU0NgIAAAAKMTM1LjE5NDk5NwIAAAAKMTMyLjk0Mjc1NAIAAAAKMTYzLjQ1NzI0OQIAAAAKMTU0Ljk4NTg4NQIAAAAJMTQ0LjE3MjgyAgAAAAoxMzkuOTY5MTA4AgAAAAkxNTYuNDg0MzgCAAAACjE0Mi4zNjMwMzMCAAAACjE0MC44ODAyODQCAAAACjE0MS41MzA3ODECAAAACjE1MS44MDg1MjgCAAAACjE0Ny45NzcxMjkCAAAACjE1My41Mzk3NTICAAAACjE1MS4wNDAxNjICAAAACTE0Ny43MzQwOAIAAAAKMTQyLjM2NzU1MQIAAAAKMTM2LjU4NzY2MQIAAAAKMTM4LjE5MDQzMwIAAAAKMTMzLjAzOTMyOAIAAAAKMTMzLjYxMjA5OAIAAAAKMTU0LjU5ODcyNAIAAAAKMTQ3LjcwNDAzNQIAAAAKMTQ4LjYyMjgyNQIAAAAKMTQyLjg5MjU5MQIAAAAKMTM2Ljc4MDk0OAIAAAAKMTUxLjYwNjE3MwIAAAAKMTQ2LjczMTg5NwIAAAAKMTQ0LjU4MjUzOQIAAAAKMTU1LjEyNzA3NgIAAAAKMTYwLjAwMzIxMQIAAAAKMTYzLjQwODQ4MwIAAAAKMTYwLjAyMjI4MwIAAAAKMTI3LjA4OTAwOAIAAAAKMTM5LjgxODI1NAIAAAAKMTQzLjU3MzU2MQIAAAAKMTI2LjkxNzY5NgIAAAAKMTUzLjExMTIzNgIAAAAK</t>
  </si>
  <si>
    <t>MTM2LjIyMDEyNwIAAAAKMTQxLjU3NjA3MwIAAAAKMTI1LjIwMzkyMQIAAAAKMTEzLjAwMTMwNgIAAAAKMTAwLjk3MjM4NAIAAAAJOTcuMTE3NjIzAgAAAAk5Ny4zODU5NzQCAAAACTg2LjI5NDA2MQIAAAAJODIuMzEzMjIxAgAAAAk4NS40NDgyNDYCAAAACTg3LjkwNzM2OQIAAAAJODcuMTEwMDQyAgAAAAk4NS40NTk2NTgCAAAACTg2Ljg4NTc4MgIAAAAJODIuOTE0MTkzAgAAAAk2OS42NTgyNDICAAAACTY5LjA0NTA1NAIAAAAJNzEuMjc3MDYxYGoXG3wk3gj7wTgbfCTeCCtDSVEuLklRX1RPVEFMX1JFVl8xWVJfQU5OX0dST1dUSC4uLkwuLlVTRC5IBQAAAAEAAAAIAAAAFChJbnZhbGlkIElkZW50aWZpZXIpd9FQLHwk3gh30VAsfCTeCBlDSVEuLklRX0VCSVREQS4uLkwuLlVTRC5IBQAAAAEAAAAIAAAAFChJbnZhbGlkIElkZW50aWZpZXIpd9FQLHwk3gh30VAsfCTeCBtDSVEuLklRX05JLklRX0xUTS4uTC4uVVNELkgFAAAAAQAAAAgAAAAUKEludmFsaWQgSWRlbnRpZmllcil30VAsfCTeCHfRUCx8JN4IJENJUS4uSVFfTklfMVlSX0FOTl9HUk9XVEguLi5MLi5VU0QuSAUAAAABAAAACAAAABQoSW52YWxpZCBJZGVudGlmaWVyKXfRUCx8JN4Id9FQLHwk3ggwQ0lRLi5JUV9UT1RBTF9SRVZfMVlSX0FOTl9HUk9XVEguSVFfQ1EuLkwuLlVTRC5IBQAAAAEAAAAIAAAAFChJbnZhbGlkIElkZW50aWZpZXIp</t>
  </si>
  <si>
    <t>TC4uVVNELkgBAAAA4gQGAAIAAAAFMjg2NTgBCAAAAAUAAAABMQEAAAALLTE5MTg2NDY3MTMDAAAAAzE2MAIAAAAENDA1MQQAAAABMAcAAAAKMTEvMTUvMjAyNQgAAAAJOS8zMC8yMDI1CQAAAAEwldgSLHwk3giV2BIsfCTeCCJDSVEuRFZOLklRX0VCSVREQS5JUV9MVE0uLkwuLlVTRC5IAQAAAA4RBAACAAAABDc2NzABCAAAAAUAAAABMQEAAAALLTE5MTgwMjc0MzUDAAAAAzE2MAIAAAAENDA1MQQAAAABMAcAAAAKMTEvMTUvMjAyNQgAAAAJOS8zMC8yMDI1CQAAAAEwldgSLHwk3giV2BIsfCTeCD9DSVFSQU5HRVYuXlNQWC5JUV9DTE9TRVBSSUNFLi4xMS8xNC8yMDI1Li4uREVTQy5NLklRX0NMT1NFUFJJQ0UFAAAAAQAAAAgAAAASKEludmFsaWQgRW5kIERhdGUpVoNQLHwk3ghWg1AsfCTeCEZDSVFSQU5HRVYuRFZOLklRX0NMT1NFUFJJQ0VfQURKLi4xMS8xNC8yMDI1Li4uREVTQy5NLklRX0NMT1NFUFJJQ0VfQURKBQAAAAEAAAAIAAAAEihJbnZhbGlkIEVuZCBEYXRlKVaDUCx8JN4IVoNQLHwk3ghFQ0lRUkFOR0VWLkJQLklRX0NMT1NFUFJJQ0VfQURKLi4xMS8xNC8yMDI1Li4uREVTQy5NLklRX0NMT1NFUFJJQ0VfQURKBQAAAAEAAAAIAAAAEihJbnZhbGlkIEVuZCBEYXRlKVaDUCx8JN4IVoNQLHwk3ghGQ0lRUkFOR0VWLkVPRy5JUV9DTE9TRVBSSUNFX0FESi4uMTEvMTQvMjAyNS4uLkRFU0MuTS5J</t>
  </si>
  <si>
    <t>UV9DTE9TRVBSSUNFX0FESgUAAAABAAAACAAAABIoSW52YWxpZCBFbmQgRGF0ZSlWg1AsfCTeCFaDUCx8JN4IPkNJUVJBTkdFVi5eQ0wuSVFfQ0xPU0VQUklDRS4uMTEvMTQvMjAyNS4uLkRFU0MuTS5JUV9DTE9TRVBSSUNFBQAAAAEAAAAIAAAAEihJbnZhbGlkIEVuZCBEYXRlKVaDUCx8JN4IVoNQLHwk3ghEQ0lRUkFOR0VWLl5TUDUwMC0xMC5JUV9DTE9TRVBSSUNFLi4xMS8xNC8yMDI1Li4uREVTQy5NLklRX0NMT1NFUFJJQ0UFAAAAAQAAAAgAAAASKEludmFsaWQgRW5kIERhdGUpVoNQLHwk3ghWg1AsfCTeCD5DSVFSQU5HRVYuXkhHLklRX0NMT1NFUFJJQ0UuLjExLzE0LzIwMjUuLi5ERVNDLk0uSVFfQ0xPU0VQUklDRQUAAAABAAAACAAAABIoSW52YWxpZCBFbmQgRGF0ZSlWg1AsfCTeCFaDUCx8JN4IPENJUVJBTkdFVi5DT1AuSVFfUFJJQ0VEQVRFLi4xMS8xNC8yMDI1Li4uREVTQy5NLklRX1BSSUNFREFURQUAAAABAAAACAAAABIoSW52YWxpZCBFbmQgRGF0ZSlWg1AsfCTeCFaDUCx8JN4IRkNJUVJBTkdFVi5YT00uSVFfQ0xPU0VQUklDRV9BREouLjExLzE0LzIwMjUuLi5ERVNDLk0uSVFfQ0xPU0VQUklDRV9BREoFAAAAAQAAAAgAAAASKEludmFsaWQgRW5kIERhdGUpVoNQLHwk3ghWg1AsfCTeCEZDSVFSQU5HRVYuQ09QLklRX0NMT1NFUFJJQ0VfQURKLi4xMS8xNC8yMDI1Li4uREVTQy5NLklR</t>
  </si>
  <si>
    <t>Mzk4NAMAAAADMTYwAgAAAAQ0MTk5BAAAAAEwBwAAAAk2LzMwLzIwMjIIAAAACTYvMzAvMjAyMgkAAAABMHfRUCx8JN4I2I2MMHwk3ggwQ0lRLkRWTi5JUV9OSV8xWVJfQU5OX0dST1dUSC4uNi8zMC8yMDIyLkwuLlVTRC5IAQAAAA4RBAACAAAACTE4MTQuNTQ1NAEIAAAABQAAAAExAQAAAAstMjAyMDQ1Nzc1NAMAAAADMTYwAgAAAAQ0MTk5BAAAAAEwBwAAAAk2LzMwLzIwMjIIAAAACTYvMzAvMjAyMgkAAAABMHfRUCx8JN4I2I2MMHwk3ggwQ0lRLkNWWC5JUV9OSV8xWVJfQU5OX0dST1dUSC4uNi8zMC8yMDIyLkwuLlVTRC5IAQAAAMqAAQACAAAACDcwOS43ODUzAQgAAAAFAAAAATEBAAAACy0yMDIxNDA4NDMxAwAAAAMxNjACAAAABDQxOTkEAAAAATAHAAAACTYvMzAvMjAyMggAAAAJNi8zMC8yMDIyCQAAAAEwd9FQLHwk3gjYjYwwfCTeCDBDSVEuWE9NLklRX05JXzFZUl9BTk5fR1JPV1RILi42LzMwLzIwMjIuTC4uVVNELkgBAAAAQjMGAAMAAAACTk0BCAAAAAUAAAABMQEAAAALLTIwMzYxNjU2ODkDAAAAAzE2MAIAAAAENDE5OQQAAAABMAcAAAAJNi8zMC8yMDIyCAAAAAk2LzMwLzIwMjIJAAAAATB30VAsfCTeCNiNjDB8JN4IMENJUS5FT0cuSVFfTklfMVlSX0FOTl9HUk9XVEguLjYvMzAvMjAyMi5MLi5VU0QuSAEAAABcHQQAAgAAAAgyMDMuNzc4NgEIAAAABQAAAAExAQAAAAstMjAzNTc1NDM0OAMA</t>
  </si>
  <si>
    <t>AAADMTYwAgAAAAQ0MTk5BAAAAAEwBwAAAAk2LzMwLzIwMjIIAAAACTYvMzAvMjAyMgkAAAABMHfRUCx8JN4I2I2MMHwk3ghGQ0lRUkFOR0VWLkNPUC5JUV9QUklDRURBVEUuMTEvMTMvMjAxMC4xMS8xMy8yMDI1Li4uREVTQy5NLklRX1BSSUNFREFURQQAAABPhgQAtAAAAAUAAAAKMTAvMzEvMjAyNQUAAAAJOS8zMC8yMDI1BQAAAAk4LzI5LzIwMjUFAAAACTcvMzEvMjAyNQUAAAAJNi8zMC8yMDI1BQAAAAk1LzMwLzIwMjUFAAAACTQvMzAvMjAyNQUAAAAJMy8zMS8yMDI1BQAAAAkyLzI4LzIwMjUFAAAACTEvMzEvMjAyNQUAAAAKMTIvMzEvMjAyNAUAAAAKMTEvMjkvMjAyNAUAAAAKMTAvMzEvMjAyNAUAAAAJOS8zMC8yMDI0BQAAAAk4LzMwLzIwMjQFAAAACTcvMzEvMjAyNAUAAAAJNi8yOC8yMDI0BQAAAAk1LzMxLzIwMjQFAAAACTQvMzAvMjAyNAUAAAAJMy8yOC8yMDI0BQAAAAkyLzI5LzIwMjQFAAAACTEvMzEvMjAyNAUAAAAKMTIvMjkvMjAyMwUAAAAKMTEvMzAvMjAyMwUAAAAKMTAvMzEvMjAyMwUAAAAJOS8yOS8yMDIzBQAAAAk4LzMxLzIwMjMFAAAACTcvMzEvMjAyMwUAAAAJNi8zMC8yMDIzBQAAAAk1LzMxLzIwMjMFAAAACTQvMjgvMjAyMwUAAAAJMy8zMS8yMDIzBQAAAAkyLzI4LzIwMjMFAAAACTEvMzEvMjAyMwUAAAAKMTIvMzAvMjAyMgUAAAAKMTEvMzAvMjAyMgUAAAAKMTAvMzEvMjAy</t>
  </si>
  <si>
    <t>MgUAAAAJOS8zMC8yMDIyBQAAAAk4LzMxLzIwMjIFAAAACTcvMjkvMjAyMgUAAAAJNi8zMC8yMDIyBQAAAAk1LzMxLzIwMjIFAAAACTQvMjkvMjAyMgUAAAAJMy8zMS8yMDIyBQAAAAkyLzI4LzIwMjIFAAAACTEvMzEvMjAyMgUAAAAKMTIvMzEvMjAyMQUAAAAKMTEvMzAvMjAyMQUAAAAKMTAvMjkvMjAyMQUAAAAJOS8zMC8yMDIxBQAAAAk4LzMxLzIwMjEFAAAACTcvMzAvMjAyMQUAAAAJNi8zMC8yMDIxBQAAAAk1LzI4LzIwMjEFAAAACTQvMzAvMjAyMQUAAAAJMy8zMS8yMDIxBQAAAAkyLzI2LzIwMjEFAAAACTEvMjkvMjAyMQUAAAAKMTIvMzEvMjAyMAUAAAAKMTEvMzAvMjAyMAUAAAAKMTAvMzAvMjAyMAUAAAAJOS8zMC8yMDIwBQAAAAk4LzMxLzIwMjAFAAAACTcvMzEvMjAyMAUAAAAJNi8zMC8yMDIwBQAAAAk1LzI5LzIwMjAFAAAACTQvMzAvMjAyMAUAAAAJMy8zMS8yMDIwBQAAAAkyLzI4LzIwMjAFAAAACTEvMzEvMjAyMAUAAAAKMTIvMzEvMjAxOQUAAAAKMTEvMjkvMjAxOQUAAAAKMTAvMzEvMjAxOQUAAAAJOS8zMC8yMDE5BQAAAAk4LzMwLzIwMTkFAAAACTcvMzEvMjAxOQUAAAAJNi8yOC8yMDE5BQAAAAk1LzMxLzIwMTkFAAAACTQvMzAvMjAxOQUAAAAJMy8yOS8yMDE5BQAAAAkyLzI4LzIwMTkFAAAACTEvMzEvMjAxOQUAAAAKMTIvMzEvMjAxOAUAAAAKMTEvMzAvMjAxOAUAAAAKMTAvMzEv</t>
  </si>
  <si>
    <t>MjAxOAUAAAAJOS8yOC8yMDE4BQAAAAk4LzMxLzIwMTgFAAAACTcvMzEvMjAxOAUAAAAJNi8yOS8yMDE4BQAAAAk1LzMxLzIwMTgFAAAACTQvMzAvMjAxOAUAAAAJMy8yOS8yMDE4BQAAAAkyLzI4LzIwMTgFAAAACTEvMzEvMjAxOAUAAAAKMTIvMjkvMjAxNwUAAAAKMTEvMzAvMjAxNwUAAAAKMTAvMzEvMjAxNwUAAAAJOS8yOS8yMDE3BQAAAAk4LzMxLzIwMTcFAAAACTcvMzEvMjAxNwUAAAAJNi8zMC8yMDE3BQAAAAk1LzMxLzIwMTcFAAAACTQvMjgvMjAxNwUAAAAJMy8zMS8yMDE3BQAAAAkyLzI4LzIwMTcFAAAACTEvMzEvMjAxNwUAAAAKMTIvMzAvMjAxNgUAAAAKMTEvMzAvMjAxNgUAAAAKMTAvMzEvMjAxNgUAAAAJOS8zMC8yMDE2BQAAAAk4LzMxLzIwMTYFAAAACTcvMjkvMjAxNgUAAAAJNi8zMC8yMDE2BQAAAAk1LzMxLzIwMTYFAAAACTQvMjkvMjAxNgUAAAAJMy8zMS8yMDE2BQAAAAkyLzI5LzIwMTYFAAAACTEvMjkvMjAxNgUAAAAKMTIvMzEvMjAxNQUAAAAKMTEvMzAvMjAxNQUAAAAKMTAvMzAvMjAxNQUAAAAJOS8zMC8yMDE1BQAAAAk4LzMxLzIwMTUFAAAACTcvMzEvMjAxNQUAAAAJNi8zMC8yMDE1BQAAAAk1LzI5LzIwMTUFAAAACTQvMzAvMjAxNQUAAAAJMy8zMS8yMDE1BQAAAAkyLzI3LzIwMTUFAAAACTEvMzAvMjAxNQUAAAAKMTIvMzEvMjAxNAUAAAAKMTEvMjgvMjAxNAUAAAAKMTAv</t>
  </si>
  <si>
    <t>MzEvMjAxNAUAAAAJOS8zMC8yMDE0BQAAAAk4LzI5LzIwMTQFAAAACTcvMzEvMjAxNAUAAAAJNi8zMC8yMDE0BQAAAAk1LzMwLzIwMTQFAAAACTQvMzAvMjAxNAUAAAAJMy8zMS8yMDE0BQAAAAkyLzI4LzIwMTQFAAAACTEvMzEvMjAxNAUAAAAKMTIvMzEvMjAxMwUAAAAKMTEvMjkvMjAxMwUAAAAKMTAvMzEvMjAxMwUAAAAJOS8zMC8yMDEzBQAAAAk4LzMwLzIwMTMFAAAACTcvMzEvMjAxMwUAAAAJNi8yOC8yMDEzBQAAAAk1LzMxLzIwMTMFAAAACTQvMzAvMjAxMwUAAAAJMy8yOC8yMDEzBQAAAAkyLzI4LzIwMTMFAAAACTEvMzEvMjAxMwUAAAAKMTIvMzEvMjAxMgUAAAAKMTEvMzAvMjAxMgUAAAAKMTAvMzEvMjAxMgUAAAAJOS8yOC8yMDEyBQAAAAk4LzMxLzIwMTIFAAAACTcvMzEvMjAxMgUAAAAJNi8yOS8yMDEyBQAAAAk1LzMxLzIwMTIFAAAACTQvMzAvMjAxMgUAAAAJMy8zMC8yMDEyBQAAAAkyLzI5LzIwMTIFAAAACTEvMzEvMjAxMgUAAAAKMTIvMzAvMjAxMQUAAAAKMTEvMzAvMjAxMQUAAAAKMTAvMzEvMjAxMQUAAAAJOS8zMC8yMDExBQAAAAk4LzMxLzIwMTEFAAAACTcvMjkvMjAxMQUAAAAJNi8zMC8yMDExBQAAAAk1LzMxLzIwMTEFAAAACTQvMjkvMjAxMQUAAAAJMy8zMS8yMDExBQAAAAkyLzI4LzIwMTEFAAAACTEvMzEvMjAxMQUAAAAKMTIvMzEvMjAxMAUAAAAKMTEvMzAvMjAxMJfbRl47</t>
  </si>
  <si>
    <t>Jd4IHiIhXzsl3ghIQ0lRUkFOR0VWLl5IRy5JUV9DTE9TRVBSSUNFLjExLzEzLzIwMTAuMTEvMTMvMjAyNS4uLkRFU0MuTS5JUV9DTE9TRVBSSUNFBAAAAGaBNQO0AAAAAgAAAAU1LjA4OQIAAAAGNC44NTY1AgAAAAY0LjUxODUCAAAABjQuMzU0NQIAAAAGNS4wODI1AgAAAAY0LjY3NzUCAAAABTQuNjA5AgAAAAU1LjAzNAIAAAAFNC41NDgCAAAABTQuMjc5AgAAAAY0LjAyNjUCAAAABjQuMDgwNQIAAAAENC4zNAIAAAAFNC41NTMCAAAABTQuMTY3AgAAAAY0LjE3NjUCAAAABjQuMzkxNQIAAAAFNC42MDICAAAABjQuNTY0NQIAAAAFNC4wMDcCAAAABTMuODQ3AgAAAAUzLjkwNgIAAAAGMy44OTA1AgAAAAUzLjgyOQIAAAAFMy42NDkCAAAABjMuNzM3NQIAAAAGMy43NzI1AgAAAAU0LjAwOAIAAAAGMy43NTk1AgAAAAUzLjYzNwIAAAAGMy44OTA1AgAAAAY0LjA5NDUCAAAABjQuMDg5NQIAAAAFNC4yMjYCAAAABjMuODEwNQIAAAAGMy43Mjk1AgAAAAUzLjM3NQIAAAAGMy40MTI1AgAAAAYzLjUxODUCAAAABjMuNTczNQIAAAAEMy43MQIAAAAFNC4yOTYCAAAABjQuNDA4NQIAAAAFNC43NTECAAAABjQuNDU0NQIAAAAGNC4zMjQ1AgAAAAY0LjQ2MzUCAAAABTQuMjc4AgAAAAU0LjM2OAIAAAAFNC4wODkCAAAABDQuMzYCAAAABjQuNDgyNQIAAAAFNC4yODkCAAAABjQuNjc3NQIAAAAFNC40NjgCAAAABjMuOTk1</t>
  </si>
  <si>
    <t>NQIAAAAGNC4wOTI1AgAAAAUzLjU1NgIAAAAFMy41MTkCAAAABjMuNDIwNQIAAAAGMy4wNDM1AgAAAAYzLjAyODUCAAAABTMuMDQ4AgAAAAUyLjg1OQIAAAAEMi43MgIAAAAGMi40MjY1AgAAAAYyLjM0NTUCAAAABDIuMjQCAAAABjIuNTQzNQIAAAAEMi41MgIAAAAFMi44MDMCAAAABTIuNjY2AgAAAAYyLjY1MDUCAAAABTIuNTk0AgAAAAUyLjU2NgIAAAAGMi42OTI1AgAAAAUyLjczMQIAAAAFMi42NTMCAAAABjIuOTQwNQIAAAAGMi45NTY1AgAAAAYyLjk2NzUCAAAABTIuODIyAgAAAAUyLjY1NgIAAAAFMi44MDUCAAAABjIuNzMwNQIAAAAFMi44NjcCAAAABTIuNzYxAgAAAAUyLjk0MgIAAAAFMy4wNjMCAAAABjMuMTkxNQIAAAAFMy4xOTcCAAAABTMuMTQ2AgAAAAYzLjI0MTUCAAAABjMuMzAwNQIAAAAGMy4zNzQ1AgAAAAUzLjEyMgIAAAAFMy4xNzICAAAABjMuMDEzNQIAAAAFMy4xNDYCAAAABjIuOTYxNQIAAAAFMi43NTYCAAAABjIuNjQ0NQIAAAAFMi42NjgCAAAABjIuNzI5NQIAAAAFMi43NjYCAAAABjIuNzY1NQIAAAAFMi41MjECAAAABTIuNjM1AgAAAAYyLjIyODUCAAAABTIuMjM1AgAAAAYyLjA5MDUCAAAABjIuMjQzNQIAAAAGMi4yMjA1AgAAAAYyLjExODUCAAAABjIuMjk4NQIAAAAFMi4yMDgCAAAABTIuMTQ3AgAAAAUyLjA4NgIAAAAFMi4xNjMCAAAABTIuMDgzAgAAAAYyLjMzNTUCAAAA</t>
  </si>
  <si>
    <t>BjIuMzU0NQIAAAAGMi4zNjY1AgAAAAUyLjQyNQIAAAAFMi41MzMCAAAABTIuNjQyAgAAAAYyLjg5NTUCAAAABjIuNzQzNQIAAAAGMi42ODk1AgAAAAYyLjQ5MjUCAAAABTIuODMyAgAAAAYyLjg1NjUCAAAABTMuMDM1AgAAAAYzLjAxNzUCAAAABjMuMTc1NQIAAAAFMy4yMjgCAAAABjMuMjAyNQIAAAADMy4xAgAAAAYzLjAyNDUCAAAABjMuMDUwNQIAAAAFMy4xNzICAAAABjMuMTg5NQIAAAAFMy4zNDgCAAAABjMuMjI1NQIAAAAGMy4zMzk1AgAAAAYzLjM4MDUCAAAABjMuMjk1NQIAAAAGMy4wOTg1AgAAAAYzLjEzODUCAAAABTMuMzgxAgAAAAUzLjI3OAIAAAAFMy40MDICAAAABjMuNTQ3NQIAAAAFMy43MzICAAAABjMuNjUyNQIAAAAGMy42Mjk1AgAAAAYzLjUxNzUCAAAABTMuNzU4AgAAAAUzLjQ1NAIAAAAGMy40MTc1AgAAAAYzLjQ5NjUCAAAABjMuMzczNQIAAAAGMy44MjU1AgAAAAYzLjg0MjUCAAAABjMuODk4NQIAAAAGMy44MTg1AgAAAAQzLjQ2AgAAAAUzLjU5NgIAAAAFMy42NjkCAAAABjMuMjAxNQIAAAAENC4yMwIAAAAFNC40OTcCAAAABjQuMjg5NQIAAAAFNC4yMTcCAAAABjQuMjAwNQIAAAAGNC4zMzE1AgAAAAY0LjQ2NjUCAAAABTQuMzM2AgAAAAU0LjI0NgIAAAAGMy42NzQ1l9tGXjsl3ggK+yBfOyXeCE5DSVFSQU5HRVYuXlNQNTAwLTEwLklRX0NMT1NFUFJJQ0UuMTEvMTMvMjAxMC4x</t>
  </si>
  <si>
    <t>MS8xMy8yMDI1Li4uREVTQy5NLklRX0NMT1NFUFJJQ0UEAAAATsMoALQAAAACAAAAEDY3NC43MzY4NjE0ODk3NTQCAAAAEDY4Mi44MjIyNTAxNjc0MjMCAAAAEDY4Ni4zOTM2NTgyNDk2ODkCAAAAEDY2Ni45MDc0NTA3MTgyMjkCAAAAEDY0OC42ODEyMzU3MTE4MDUCAAAAEDYxOS4zNDAzMDU3NDY5NzgCAAAAEDYxNy40Njg3ODkxNTA3OTcCAAAADzcxNS43NTEyMTE3NzE2OAIAAAAQNjg5Ljg4MTA3NjAwODkwNgIAAAAQNjY3Ljk1MzgwNDI1MzAxMQIAAAAPNjU0Ljg0NjMxNzg0MzMyAgAAABA3MjQuMDU1OTYyNjg1NjkzAgAAABA2ODEuMjUyMDczODAzMjg4AgAAABA2NzYuNDczMTI3ODc1MTY2AgAAABA2OTUuODYxMzAxNzEzMTYyAgAAABA3MTIuNDE4MTA4MDU2NDA5AgAAABA2OTguMjMyMDcyMjYzNzExAgAAABA3MDguMDQ0NzAyNDc1ODIyAgAAABA3MTQuOTQ5NTM0NzQzNjE1AgAAABA3MjEuMjQyMjY3Nzg1MDgyAgAAABA2NTMuMTQ0NTEyNjAwNTU1AgAAABA2MzYuNzMwNjA2NjUwODc2AgAAABA2NDAuMDQ4MDUzNjk5NTA2AgAAABA2NDEuMjgzNTIzODc5MDgxAgAAABA2NTIuMDEzMDQ1MjQ0MDk1AgAAABA2OTQuMTkxMzYyMTc2NzgyAgAAABA2NzcuNDkwNzYzMzUxNjM3AgAAABA2NjguOTgxODg5MzAxNTY5AgAAABA2MjMuNTU3MDUzMjUxMjYzAgAAABA1ODUuNjYyNDc3ODc0MjIyAgAAABA2NTUu</t>
  </si>
  <si>
    <t>MTk2MTQwMTQ1MTEyAgAAABA2MzQuOTAxMDA3NzYwNzUyAgAAABA2MzguMDEwOTE2NzQzMDg1AgAAABA2OTAuNTg5OTU0ODkwOTUxAgAAABA2NzIuMzQzNTg3NTEyODk4AgAAABA2OTQuMjk1MDAwMTAyOTQyAgAAABA2ODkuODMyNjY4NTIzMjU5AgAAABA1NTIuNTYxMTI3MTYzOTg4AgAAABA2MTEuNzk5MzA4MDQxODM1AgAAABA1OTguNzM1MjczNDE5MDczAgAAABA1NDYuMjQwMTgyNTE3NjI2AgAAABA2NTguMDA0NjM2NTE4MTE1AgAAABA1NzIuNDEwNjg4ODk3NTE0AgAAABA1ODEuOTI3Mjk3MjM2MTg3AgAAABA1MzQuOTQ1OTYzNzE4NzY4AgAAABA1MDIuOTI2ODI5MTgwMjc1AgAAABA0MjIuNzM2NDc4OTg5NTQzAgAAABA0MTAuNjk5MjYzOTIyNjI2AgAAABA0MzYuMTk0NDMwMDc4NzU3AgAAABAzOTUuODgwMDc3NjAzOTE4AgAAABAzNjIuMjU2NDE1OTQzNTczAgAAABAzNzIuOTg2Nzg0MzY2NTMzAgAAABA0MDcuMzY2NzE4MjgyMzg3AgAAABAzODkuODE2NTg3OTM5ODExAgAAABAzNzEuNjAwNjgyNDkzNjg5AgAAABAzNjkuODg2NjgzODc2MTY3AgAAABAzNjAuMTkwMDY2MTMzMzUyAgAAABAyOTYuNTE1MzMyMjE1NzE0AgAAABAyODYuMTQxNDA0NTQ5NDk3AgAAABAyNzQuNDE4MDk4Mzk2MTE3AgAAABAyMTYuODIxMjY3MTU3NjQ5AgAAABAyMjcuNDg4NDczNDI2NjkyAgAAABAyNjYuNDk2Njc4NDc5</t>
  </si>
  <si>
    <t>NzI3AgAAABAyNzIuMDk0Nzk2ODUyMjk1AgAAABAyODcuNDYxNzU1NzgzMjI1AgAAABAyOTEuNTkyNzc5OTU5ODA0AgAAABAyODkuNjUwNTQ0ODUxNzgzAgAAAA8yMjMuMzk2NDg2NDM2MTQCAAAADzM0My41MzE3MzIxODQ0MQIAAAAQNDA1LjQ1MDQ3MTI4NzM5NgIAAAAPNDU2LjQ1ODk3Nzg0MTg0AgAAABA0MzEuMzY4NjI2NDQxODAzAgAAABA0MjYuNjU3OTIzNDYwMjg4AgAAABA0MzcuMTMwNDg4OTg3NDM4AgAAABA0MjIuMDg5Njk4NjgxNDMxAgAAABA0NjIuNDY3MDc4NTQ5MTc0AgAAABA0NzEuMjg0MzI2OTgxOTc1AgAAABA0MzIuMDk3NzI5NTUzODgzAgAAABA0ODkuMzgzOTIyMzIxNzc4AgAAABA0ODkuNDQ5ODg2MDc5OTk2AgAAABA0NzkuOTQwMjQxMjA4MzczAgAAABA0NzAuODA1NTQ4NzU1OTUzAgAAABA0MjQuMDY2OTk0ODY0OTc0AgAAABA0ODYuNDI0MDk0NzIyMzA5AgAAABA0OTcuMzcxMzEyNTk4OTAyAgAAAA81NjAuOTA1ODkyMzUyNDECAAAAEDU0Ny41ODA2OTkzNzc5NTMCAAAAEDU2OS4xNjIwNTI3MjY2NDICAAAAEDU2MS41NDIwMzY1MzQ3NDYCAAAAEDU1OC4zNDgyMzM4MDE0MTYCAAAADzU0NC41NTc3NTg1OTk0OQIAAAAQNDk4LjI4OTYyMDM2NTE4MwIAAAAQNDkwLjY2Njc2NDI0MTU4NwIAAAAQNTUzLjQ1NDU1NDc5OTM0OAIAAAAQNTMzLjQwNzI0NTI3Njc2MQIAAAAQNTA5LjI4</t>
  </si>
  <si>
    <t>MjA0NTQyOTQ3MQIAAAAQNTAzLjA3MzUzODgzNjgwOQIAAAAQNTA2LjcxNTI0MjkwNTM1NwIAAAAQNDYxLjYxMDc0NTA5NzYwOQIAAAAQNDg5LjU2NTM1MDEzMzMxOQIAAAAQNDc3LjkwNTE1NTczMzc1OAIAAAAQNDc5LjE5MTc0ODk4NjY2NAIAAAAQNDk4Ljk0NjY0NDYzMDUzMQIAAAAQNTE0LjAxMjc1NTkyODM5NAIAAAAQNTE5LjczNTMyMzE2MTExMwIAAAAQNTM0LjM0MjI0MzQ5OTkzNQIAAAAQNTU0LjUwMDkyODAxMzQ1NwIAAAAQNTQ0LjY3MjEzNjEwMTM1NQIAAAAQNTA0Ljg4OTM5ODI4MzIzOQIAAAAQNTIwLjM1MTU1NDM3Mjc5MQIAAAAPNTA1LjQ0ODMxNTU4NDkyAgAAABA1MDIuMjI1NDYxOTgxMDU2AgAAABA1MTIuMzg4ODM3ODk4NDYyAgAAAA80OTYuNTQxMDczMDYxNDkCAAAAEDUwMi40MTc0MjE5NzQzODQCAAAAEDQ2Mi40MTI5OTMwMjIyMzkCAAAAEDQyMy41MzUxMTczMTI0ODUCAAAAEDQzNC42NzE1NDY1NTEzMDkCAAAAEDQ0OC40NDE2MDQ1MTY5ODkCAAAAEDQ5OC4yNTk5NzA2MjAzMzcCAAAAEDUwMi4xMTA5MzA2OTg0MzYCAAAAEDQ1MS4zMzIyMzQ3NDE0OTQCAAAAEDQ4NC4yMDY4MzUxNTg3MDcCAAAADzUwOC4wNTEzMDEyMDM4NgIAAAAQNTUxLjEwNzAxMjYyMTE1NgIAAAAQNTcxLjQwNjY4NjgwMTQ0MQIAAAAQNjAyLjg5MDY1MzMwMzA5NgIAAAAQNTY1Ljc1NTA2MjY2NjUyOQIA</t>
  </si>
  <si>
    <t>AAAQNTc3LjUxMDc2NzY5Nzc5NQIAAAAQNTU3Ljk0NjgxMjcyOTQ5NwIAAAAQNTg2LjU5MjgxNjI3MDk4NAIAAAAQNTg0LjU4MDExMDAwMTUyMwIAAAAQNjQxLjMxOTc1Mzg2MzkwMQIAAAAQNjYxLjA1NDY4OTU0NzczOQIAAAAQNzE1LjcxNzgzODY2Mjk3MwIAAAAQNzAyLjg2NzM5OTk1NzMyMQIAAAAQNzI3LjYyNjk0NDczMDgwNwIAAAAQNjkzLjQ2MTI5MTU4MjUzNgIAAAAPNjg2LjI4ODE2NjUyNjE3AgAAABA2NTIuODk3NjkwNzI4NzY2AgAAABA2MzguMzYwNDAwMDA2MTUyAgAAABA2MTAuNDM4MTU5MjcxNTM5AgAAAA82NTEuNjY5MDE2MDQxOTgCAAAAEDYzMi42NTgzODMyMTM3NTcCAAAAEDYyOS40ODk2MDM3NzcyNTECAAAAEDYwNC44NTg2NTE2NDIxMjECAAAAEDU5NC44NDIyNzQxOTY0ODkCAAAAEDYwNy40NTk3MTMyMTA2NjYCAAAAEDU3OC41MzczMTMwNTI4OTYCAAAAEDU5MC44NjMzMjIzMzc3MTgCAAAAEDU3OC44MzY3MDA5NjI0MzUCAAAAEDU4My45ODQ3MjM2Nzk1NDMCAAAAEDU3My4zODkyOTkzNDYwNjcCAAAAEDU3My40MDkzNDQxNTM0OTYCAAAAEDUzMi45NTk4MzI2OTI3NjMCAAAAEDUzMC4yMTExMTMzMDEzNjYCAAAAEDUzOS45NDEzNzczMzgyMTMCAAAAEDU1MS4xOTI4MzAxNTY3MzcCAAAAEDUzMy41NDQ4MjgyNjYwNjECAAAAEDUyMy43MDEwNTA2MzEwNDECAAAAEDUwMy4yNzA4</t>
  </si>
  <si>
    <t>MDM4NzgxMDICAAAAEDQ3Ni41MTIyNzQ5NjY5NTkCAAAAEDUzMy4xNDcyODUxMjQ5OTUCAAAAEDUzOC40MzM4NzI2NTQ2NTcCAAAAEDU1Ny4zNjM3NTM1ODcwNTQCAAAADzUyOC41MzM2ODAzNDAwNAIAAAAQNTIwLjgwNTg1Njk4OTU0MQIAAAAQNTI2LjQwODYzODUyNzUzNgIAAAAQNTE3Ljg1Mzc4OTE1NDYzOAIAAAAPNDQyLjc4NTQwMzIwMDI1AgAAABA1MDYuNTE1NzQ1MDk4MjE0AgAAAA81NjMuMDI0MDE2ODA2NjcCAAAAEDU1OS40NjQ2OTcyMjU4MDQCAAAAEDU3MC40NzE1MjExMzE2NjYCAAAAEDU5OC4wMTY1NzgxMjA4ODICAAAAEDU4OS4zMTQ0MzYyNDk1MzQCAAAACjU4MC42NjYyNTQCAAAACjU0My44NDE0MzcCAAAACjUwNi43NTA5MjMCAAAACjQ2NS4yMTEzMDOX20ZeOyXeCAr7IF87Jd4ISENJUVJBTkdFVi5eQ0wuSVFfQ0xPU0VQUklDRS4xMS8xMy8yMDEwLjExLzEzLzIwMjUuLi5ERVNDLk0uSVFfQ0xPU0VQUklDRQQAAABTgDUDtAAAAAIAAAAFNjAuOTgCAAAABTYxLjk2AgAAAAU2NC4wMQIAAAAFNjkuMjYCAAAABTY1LjExAgAAAAU2MC43OQIAAAAFNTguMjECAAAABTcxLjQ4AgAAAAU2OS43NgIAAAAFNzIuNTMCAAAABTcxLjcyAgAAAAI2OAIAAAAFNjkuMjYCAAAABTY4LjE3AgAAAAU3My41NQIAAAAFNzcuOTECAAAABTgxLjU0AgAAAAU3Ni45OQIAAAAFODEuOTMCAAAABTgzLjE3AgAA</t>
  </si>
  <si>
    <t>AAU3OC4yNgIAAAAFNzUuODUCAAAABTcxLjY1AgAAAAU3NS45NgIAAAAFODEuMDICAAAABTkwLjc5AgAAAAU4My42MwIAAAAEODEuOAIAAAAFNzAuNjQCAAAABTY4LjA5AgAAAAU3Ni43OAIAAAAFNzUuNjcCAAAABTc3LjA1AgAAAAU3OC44NwIAAAAFODAuMjYCAAAABTgwLjU1AgAAAAU4Ni41MwIAAAAFNzguNzICAAAABTg5LjU1AgAAAAU5OC42MgIAAAAGMTA1Ljc2AgAAAAYxMTQuNjcCAAAABjEwNC42OQIAAAAGMTAwLjI4AgAAAAU5NS43MgIAAAAFODguMTUCAAAABTc1LjIxAgAAAAU2Ni4xOAIAAAAFODMuNTcCAAAABTc1LjAzAgAAAAQ2OC41AgAAAAU3My45NQIAAAAFNzMuNDcCAAAABTY2LjMyAgAAAAU2My41OAIAAAAFNTkuMTYCAAAABDYxLjUCAAAABDUyLjICAAAABTQ4LjUyAgAAAAU0NS4zNAIAAAAFMzUuNzkCAAAABTQwLjIyAgAAAAU0Mi42MQIAAAAFNDAuMjcCAAAABTM5LjM0AgAAAAQzNi4yAgAAAAUyMS44NQIAAAAFMjAuNDgCAAAABTQ0Ljc2AgAAAAU1MS41NgIAAAAFNjEuMDYCAAAABTU1LjE3AgAAAAU1NC4xOAIAAAAFNTQuMDcCAAAABDU1LjECAAAABTU4LjU4AgAAAAU1OC40NwIAAAAENTMuNQIAAAAFNjMuOTECAAAABTYwLjE0AgAAAAU1Ny4yMgIAAAAFNTMuNzkCAAAABTQ1LjQxAgAAAAU1MC45MwIAAAAFNjUuMzECAAAABTczLjI1AgAAAAQ2OS44AgAAAAU2OC43NgIAAAAFNzQu</t>
  </si>
  <si>
    <t>MTUCAAAABTY3LjA0AgAAAAU2OC41NwIAAAAFNjQuOTQCAAAABTYxLjY0AgAAAAU2NC43MwIAAAAFNjAuNDICAAAABDU3LjQCAAAABTU0LjM4AgAAAAU1MS42NwIAAAAFNDcuMjMCAAAABTUwLjE3AgAAAAU0Ni4wNAIAAAAFNDguMzICAAAABTQ5LjMzAgAAAAQ1MC42AgAAAAU1NC4wMQIAAAAFNTIuODECAAAABTUzLjcyAgAAAAU0OS40NAIAAAAFNDYuODYCAAAABTQ4LjI0AgAAAAQ0NC43AgAAAAQ0MS42AgAAAAU0OC4zMwIAAAAENDkuMQIAAAAFNDUuOTICAAAABTM4LjM0AgAAAAUzMy43NQIAAAAFMzMuNjICAAAABTM3LjA0AgAAAAU0MS42NQIAAAAFNDYuNTkCAAAABTQ1LjA5AgAAAAQ0OS4yAgAAAAU0Ny4xMgIAAAAFNTkuNDcCAAAABDYwLjMCAAAABTU5LjYzAgAAAAQ0Ny42AgAAAAU0OS43NgIAAAAFNDguMjQCAAAABTUzLjI3AgAAAAU2Ni4xNQIAAAAFODAuNTQCAAAABTkxLjE2AgAAAAU5NS45NgIAAAAFOTguMTcCAAAABjEwNS4zNwIAAAAGMTAyLjcxAgAAAAU5OS43NAIAAAAGMTAxLjU4AgAAAAYxMDIuNTkCAAAABTk3LjQ5AgAAAAU5OC40MgIAAAAFOTIuNzICAAAABTk2LjM4AgAAAAYxMDIuMzMCAAAABjEwNy42NQIAAAAGMTA1LjAzAgAAAAU5Ni41NgIAAAAFOTEuOTcCAAAABTkzLjQ2AgAAAAU5Ny4yMwIAAAAFOTIuMDUCAAAABTk3LjQ5AgAAAAU5MS44MgIAAAAFODguOTECAAAABTg2LjI0</t>
  </si>
  <si>
    <t>AgAAAAU5Mi4xOQIAAAAFOTYuNDcCAAAABTg4LjA2AgAAAAU4NC45NgIAAAAFODYuNTMCAAAABjEwNC44NwIAAAAGMTAzLjAyAgAAAAYxMDcuMDcCAAAABTk4LjQ4AgAAAAU5OC44MwIAAAAGMTAwLjM2AgAAAAU5My4wOAIAAAAFNzkuNDYCAAAABTg5Ljg4AgAAAAU5Ny41MgIAAAAFOTcuOTYCAAAABjEwNC43MQIAAAAGMTE0LjU4AgAAAAYxMDguMTgCAAAABjEwMS41NwIAAAAFOTkuNTYCAAAABTk0LjQzAgAAAAU4Ny4wNZfbRl47Jd4ICvsgXzsl3ghQQ0lRUkFOR0VWLkVPRy5JUV9DTE9TRVBSSUNFX0FESi4xMS8xMy8yMDEwLjExLzEzLzIwMjUuLi5ERVNDLk0uSVFfQ0xPU0VQUklDRV9BREoEAAAAXB0EALQAAAACAAAABjEwNS44NAIAAAAKMTExLjA1MzY4NAIAAAAKMTIzLjYzMjkwMQIAAAAKMTE4Ljg3ODU1MQIAAAAKMTE3LjUwMDEzOQIAAAAKMTA2LjY1NDg3OQIAAAAKMTA4LjM4MzgzMwIAAAAKMTI0LjgzNTEwNwIAAAAKMTIzLjU2OTYyMwIAAAAKMTIyLjQ1MDE1NgIAAAAKMTE4LjQ4MjYzMQIAAAAJMTI4LjgwNTY0AgAAAAoxMTcuODgzMzU1AgAAAAoxMTcuOTcxOTQ0AgAAAAoxMjMuNjI0Mzg2AgAAAAoxMjEuNjg1ODU4AgAAAAoxMTkuOTU3NTg1AgAAAAoxMTguNjk5NTg5AgAAAAoxMjUuOTIzNTM4AgAAAAoxMjEuMDE1NTUyAgAAAAoxMDguMzQ5ODEzAgAAAAoxMDcuNzE1NTc5AgAAAAoxMTMu</t>
  </si>
  <si>
    <t>NTk1NTY1AgAAAAoxMTQuMTIzMjg4AgAAAAoxMTcuMDcyMTE0AgAAAAoxMTYuODIwNDgzAgAAAAoxMTguNTM0NjM2AgAAAAoxMjIuMTM4MDQ1AgAAAAoxMDQuNzU2NjQxAgAAAAk5OC4yMTE2MzkCAAAACjEwOS4zNjEwMjYCAAAACjEwNC4yMjI3OTECAAAACjEwMS44MTc5NDYCAAAACjExOS4xNDE5NTECAAAACjExNS45NDQ2MDYCAAAACjEyNS41NTg2NTUCAAAACjEyMC43NzI2ODgCAAAACDk4LjI2MDAxAgAAAAoxMDUuMzc0Mzg0AgAAAAk5Ni42MTc3OTkCAAAACTk1LjIxNjIzOAIAAAAKMTE2LjQ3OTIxNgIAAAAJOTkuMjk5ODkzAgAAAAkxMDAuNzkwMDMCAAAACTk2LjMxNDAxOQIAAAAJOTMuNDMwOTY4AgAAAAk3My45MDQ3NzcCAAAACTcwLjczNzc2MwIAAAAJNzUuMTc3MTY4AgAAAAk2NC45Njc5NzICAAAACDU0LjY0ODUzAgAAAAk1OC45NzA1NTUCAAAACTY2LjMzNjE4OAIAAAAJNjMuODcxNjM3AgAAAAk1OC41NDUwMjUCAAAACTU3LjM0MTY0NwIAAAAJNTEuMDQwNjI4AgAAAAk0MC4yODg1NzUCAAAACTM5LjE4MjMyNwIAAAAJMzYuODMzMTE2AgAAAAkyNi45MDIwMDMCAAAACTI3Ljk1NjE5OQIAAAAJMzUuMjY4MDU5AgAAAAkzNi40NDI2MjQCAAAACTM5LjA5NDg5NwIAAAAJMzkuMzM0MTI3AgAAAAkzNi42NjQwMDYCAAAACTI3LjQ3MzcyMQIAAAAJNDguMzg0OTU1AgAAAAg1NS43NjU4NAIAAAAJ</t>
  </si>
  <si>
    <t>NjMuODUyMjE0AgAAAAk1NC4wNDg3MzQCAAAACDUyLjgzNjY0AgAAAAg1Ni4zNDQ3NQIAAAAJNTYuMzIxOTc2AgAAAAk2NS4xNzM3NjUCAAAACTcwLjQ5NDExMQIAAAAJNjEuOTU4NTQyAgAAAAk3Mi42ODA5NzICAAAACTcxLjg3MjE4MwIAAAAJNzAuOTgxMTQzAgAAAAg3NC45MDc3NgIAAAAJNjUuNzA2OTM4AgAAAAk3Ny44MzcyMTcCAAAACTc5LjM2NjY4NwIAAAAJOTUuOTQyOTk4AgAAAAk4OC45MTg1NTkCAAAACTk2Ljk3MzM0OQIAAAAJOTMuNDQ0MDE4AgAAAAk4OC40NzI1NTMCAAAACTg4Ljc0MjkwNAIAAAAJNzguOTIyMzI1AgAAAAk3Ni4wMzU5MjkCAAAACTg2LjIxNzAzNgIAAAAJODAuNzg0NDQ3AgAAAAk3Ni41OTk2MTYCAAAACTc0Ljc2NTQ3OAIAAAAJNzIuMjk2NzIxAgAAAAk2My41MTU1OTECAAAACTcxLjEwMDk5MwIAAAAJNjcuNTIzMjE5AgAAAAg2Ny4zNjY1NwIAAAAJNjkuMDAwMTk2AgAAAAg3Mi42NDM1OAIAAAAJNzIuMjI2NTU5AgAAAAk3NS42NDQ2NDICAAAACTc1LjE2NzAwMwIAAAAJNzYuMjIyNzYxAgAAAAk2Ny4yMjY1MTMCAAAACDcxLjc3ODAxAgAAAAk2NS42NzcxMzkCAAAACTYwLjYzNzYxMgIAAAAJNjEuNzkyMzg2AgAAAAk2MC4yNjY0NjUCAAAACTYxLjE5OTc5NQIAAAAJNTMuNjQ2NjAxAgAAAAk0Ny44NTE3NjMCAAAACTUyLjQ5MzU0NwIAAAAJNTIuMTg0MjU0AgAAAAk2</t>
  </si>
  <si>
    <t>MS41MDIwODECAAAACTYzLjI4NjAzMgIAAAAJNTMuNTYwNTU5AgAAAAk1Ny42MTQzODcCAAAACTU2Ljc5MDM3OQIAAAAINjQuMjg1ODcCAAAACTY1LjEyMjk0NQIAAAAJNzIuNjU2NjE4AgAAAAk2Ny4yMDY2NzkCAAAACTY1Ljc2MjcxNAIAAAAJNjUuMjU2OTU5AgAAAAk2Ny4zNTIzMTgCAAAACTYzLjQzODYxMgIAAAAJNjkuNTMyMjg5AgAAAAk3Mi4yOTE3NjECAAAACTgwLjIyMDM0NgIAAAAJNzkuODk5MTE0AgAAAAk4NS4yMjQwNjkCAAAACTc3LjE1ODE5NAIAAAAJNzEuNDY5NzgyAgAAAAk3MS40NDExMTUCAAAACTY4Ljk4MjkwMgIAAAAJNjAuMTc3MDM5AgAAAAg2MS4wNTU5MwIAAAAINjAuMDIyODECAAAACDY0Ljg5NzM5AgAAAAk2MS41MTU5OTYCAAAACTU3LjA3MTYzOQIAAAAINTIuODcwNzYCAAAACTQ3Ljc5MDIzMwIAAAAJNDYuODUzODgxAgAAAAg0My45NzIyNAIAAAAJNDYuNDEyMTE4AgAAAAk0NS41NTY4NjMCAAAACTQ1LjI5MjMxMwIAAAAJNDMuNzE0MTc3AgAAAAk0Mi41NjY5NDcCAAAACTQyLjE1Nzk5NwIAAAAJNDAuNDg3Nzc4AgAAAAkzOS4xMzI3NjYCAAAACTM1LjQxNDYxMQIAAAAJMzIuNDk5MjU4AgAAAAkzNS44MTM3NDICAAAABzM5LjYwNDMCAAAACTQwLjAwMzM4OAIAAAAJNDAuOTk3MTcyAgAAAAkzOC4yMTc0NTgCAAAACTM1LjQxNTE0MgIAAAAIMzcuMjk1MzcCAAAACTMyLjE1</t>
  </si>
  <si>
    <t>MDgwOQIAAAAJMjUuNDc4MjEyAgAAAAkzMy4yMjEwNjICAAAACTM2LjU5NzM0NwIAAAAJMzcuNDUxNTg3AgAAAAkzOS4wOTU4MDMCAAAACTQwLjQ5NjQzMQIAAAAJNDIuMzkwMTEyAgAAAAg0MC4xNzI0MgIAAAAJMzguMDU0ODgyAgAAAAkzMi42NDQyNTgCAAAACTMxLjc2NTc0NZfbRl47Jd4ICvsgXzsl3ghPQ0lRUkFOR0VWLkJQLklRX0NMT1NFUFJJQ0VfQURKLjExLzEzLzIwMTAuMTEvMTMvMjAyNS4uLkRFU0MuTS5JUV9DTE9TRVBSSUNFX0FESgQAAADiBAYAtAAAAAIAAAAJMzQuNjU0MjE5AgAAAAkzMy45OTMyOTMCAAAACTM0Ljc1Mjg2NQIAAAAJMzEuMjYyMTE1AgAAAAkyOS4xMDM0MjQCAAAACTI4LjI5NjM0NgIAAAAJMjYuMjgwNDA3AgAAAAgzMi4zMzg0OQIAAAAJMzEuNjk3MjcyAgAAAAkyOS4zMTgyNjYCAAAACTI3LjkwMjM4MQIAAAAHMjcuNjY2NAIAAAAJMjcuMjc4OTk5AgAAAAkyOS4xNjUxMTUCAAAACTMxLjU1Mjk1NgIAAAAJMzIuNDE1MzY4AgAAAAkzMy4wNjU2OTECAAAACTM0LjQxMjEzMwIAAAAJMzUuMTA1NzQ5AgAAAAkzNC4xMTg3NjcCAAAACTMxLjY4MzAwNgIAAAAIMzEuMzk5MzcCAAAACDMxLjY2Nzc0AgAAAAkzMi40NjM5MDcCAAAACTMyLjMxOTAyNQIAAAAIMzQuMjA5NzUCAAAACTMyLjg0OTEzNQIAAAAJMzIuNTc1NDA2AgAAAAkzMC44MjAwMDICAAAACTI5LjQ0MDEzMwIA</t>
  </si>
  <si>
    <t>AAAJMzQuODAzMDk3AgAAAAkzMi43ODEyNjkCAAAACTM0LjIxNTU1NwIAAAAJMzEuMDAzOTEyAgAAAAkyOS44OTE0MzQCAAAACTMwLjcyMTUxMwIAAAAJMjguMTc5Mzk5AgAAAAkyNC4xNzQzMzQCAAAACTI2LjExMzM2MQIAAAAJMjQuNTkwMTAyAgAAAAkyMy43MjgwMjUCAAAACTI3LjA5MjYzNAIAAAAHMjMuNzgxMQIAAAAJMjQuMzQ0MTYyAgAAAAkyNC4xODY4MzYCAAAACTI1LjM0ODQ3OAIAAAAHMjEuODMxNQIAAAAJMjEuMjgyMjI4AgAAAAkyMy4zMzIyODMCAAAACTIyLjE0OTA1NQIAAAAIMTkuODIzMTICAAAACTE5LjM1MzcwOQIAAAAJMjEuMTQ2NjA4AgAAAAkyMC45OTQ1MzICAAAACTE5LjkwNDk4OAIAAAAJMTkuMjY0MTY3AgAAAAkxOS4zMTE2MzYCAAAACDE3LjM0Nzk0AgAAAAgxNi4wMjA2OQIAAAAJMTUuMjcxMTg0AgAAAAkxMS44NTM1MDkCAAAACTEzLjM2OTY1NQIAAAAIMTYuMDI2NzQCAAAACTE2LjY2MTA0NwIAAAAJMTcuNjI4NjU4AgAAAAkxNy40OTI1ODcCAAAACTE3LjUyNDE1MQIAAAAJMTcuOTU4NTczAgAAAAkyMy4wMzkxMDQCAAAACTI2LjE1NTUyMgIAAAAJMjcuMzIxMDQ2AgAAAAkyNy4wODkzODkCAAAACTI3LjAxOTIxOAIAAAAJMjcuMDc2MjM2AgAAAAkyNi4zMzUwMDcCAAAACDI3Ljg2MzM4AgAAAAkyOS4yMzc2MTkCAAAABzI4LjU1MDUCAAAACTMwLjIxODU3MgIAAAAJMzAu</t>
  </si>
  <si>
    <t>MjExNjYyAgAAAAkyOS40NzIyNjQCAAAACTI4LjAwODQ5NAIAAAAJMjUuODI4ODQ1AgAAAAkyNy40ODQwMTYCAAAACTI5LjEyMzA1OQIAAAAIMzAuOTU2MjYCAAAACTI4Ljc5NDAyMwIAAAAJMjkuODY0MjA1AgAAAAkzMC4yNDE3MjkCAAAACTMwLjM0NzcwMQIAAAAJMjkuMTU3NDA4AgAAAAkyNi41MDkxMTMCAAAACDI1LjQxMDU2AgAAAAkyNy41Njc5OTQCAAAACTI3LjA3ODM1NQIAAAAHMjUuODE1NgIAAAAJMjUuODI1NTgxAgAAAAkyNC40MDMxNzQCAAAACTIyLjA1MzY2MgIAAAAJMjEuOTUwNjYyAgAAAAkyMS42NDQ1NzcCAAAACTIyLjU4MTU3MgIAAAAJMjEuMDc3NTk0AgAAAAkyMS4yMDA0MjMCAAAACTIwLjgzMTkzNAIAAAAJMjEuNzE2ODY4AgAAAAkyMi41NjE4ODICAAAACTIxLjEzMTM5NAIAAAAJMjEuMDgyMDQ1AgAAAAkyMC44NTA3NjYCAAAACTIwLjA3OTgzMwIAAAAJMjAuMDM3MTk1AgAAAAkyMC42ODM3NDQCAAAACTE4LjI4OTc2NQIAAAAJMTkuMjAyMTM0AgAAAAkxNy4yNTc5MDMCAAAACTE2LjYzNDYwNgIAAAAJMTguMTI5NzgyAgAAAAkxNy41MDgwOTQCAAAACDE5LjM3ODc2AgAAAAkxOS42NzUyOTUCAAAACTE2Ljg0MjQ5NAIAAAAJMTguNDg0ODU3AgAAAAkyMC4wNDM0NDgCAAAACDIxLjY2NDQ5AgAAAAkyMi40Nzc3MjICAAAACTIzLjA3NjM1MwIAAAAIMjAuOTEwOTQCAAAACTIyLjE1</t>
  </si>
  <si>
    <t>NjcyMQIAAAAJMjAuNDU5MjUxAgAAAAkyMC4wODUxNTcCAAAACTIwLjcxNzQyOAIAAAAJMjIuNTY4ODkxAgAAAAkyMi44MjMzNDkCAAAACTI0Ljg0MzQzNgIAAAAJMjUuMTIzOTU0AgAAAAkyNy4wNjMyNzUCAAAACTI1Ljg4MzI2NQIAAAAJMjUuNjczMjg2AgAAAAcyNC4zOTUyAgAAAAkyNS42NjgyMTQCAAAACTIzLjUwMjY1NQIAAAAIMjQuMzY0NzcCAAAACTIzLjU2MjgwMgIAAAAJMjMuMDI0NDU0AgAAAAkyMC44MTExMzUCAAAACTIwLjQ0OTY3NgIAAAAJMjAuMjU0MTcyAgAAAAcyMC40MDA4AgAAAAkyMC45NzI2NDgCAAAACTIxLjA0ODc3NwIAAAAJMjAuNDQ1MzE0AgAAAAkxOS41MDM5MTICAAAACTIxLjIyNTEzMgIAAAAJMTkuODUyMDc3AgAAAAkxOS45MDkyODgCAAAACTIwLjE5MTgyOAIAAAAJMTkuOTQyMzEzAgAAAAkxOS44MDEwNzkCAAAACTE4LjU3MjAzOQIAAAAJMTguODY5OTM3AgAAAAkxNi45NzA4NDECAAAACDE5Ljk2NTg3AgAAAAgyMC42OTcxNwIAAAAJMjEuNjkwNjM0AgAAAAkyMC44OTc2MDMCAAAACTE5LjQ1NDY2MwIAAAAJMTkuODIzMzY0AgAAAAkxOS45MTI0MTkCAAAACTE2LjI1NzE1MgIAAAAJMTcuNzUzNTEzAgAAAAkyMC4yODMwNzMCAAAACTE5Ljc2OTc0NwIAAAAJMjAuNjQwMTY5AgAAAAkyMC40MDMyMjICAAAACTE5LjUxODgxNwIAAAAJMjEuNDMzNTU0AgAAAAkyMC44MDI5</t>
  </si>
  <si>
    <t>MjcCAAAACTE5LjM1Njc1OAIAAAAJMTcuNTI5MzI1l9tGXjsl3ggK+yBfOyXeCFBDSVFSQU5HRVYuRFZOLklRX0NMT1NFUFJJQ0VfQURKLjExLzEzLzIwMTAuMTEvMTMvMjAyNS4uLkRFU0MuTS5JUV9DTE9TRVBSSUNFX0FESgQAAAAOEQQAtAAAAAIAAAAFMzIuNDkCAAAABTM1LjA2AgAAAAgzNS44NTA4MgIAAAAJMzIuOTkwNjk5AgAAAAkzMS41OTA0MzECAAAACTI5Ljg0MTA0NAIAAAAJMjkuOTg4OTY3AgAAAAkzNi44ODIxODkCAAAACTM1LjQ2NDgyOQIAAAAIMzMuMzg5MDMCAAAACTMyLjA0NzU5NAIAAAAJMzYuOTE5MjM2AgAAAAkzNy42Mjk0MDgCAAAACTM4LjA1NzQ1NwIAAAAJNDMuMDg0NjQ0AgAAAAg0NS4yNDk0NgIAAAAJNDUuNjA1NDUyAgAAAAk0Ni44NjA2NjYCAAAACTQ4Ljg2NTcwNwIAAAAJNDcuOTEwOTI2AgAAAAk0MS42NzcyNDUCAAAACTM5Ljc0NzU2OAIAAAAJNDIuODUwMTg2AgAAAAg0MS43OTczMgIAAAAJNDMuMjg0NDM5AgAAAAk0NC4zMzQ3MTYCAAAACTQ3LjAyNjE2MgIAAAAJNDkuNzA0NjkyAgAAAAk0NC40OTQ5MDQCAAAACTQxLjgyNjc3MwIAAAAINDguNDc3MzICAAAACDQ1LjkxODcyAgAAAAk0OC4wNTA3NDICAAAACTU2LjM1NjI0OAIAAAAJNTQuODE0NTYxAgAAAAk1OS43NjMzNTYCAAAACTY3LjQ2NDkwOQIAAAAJNTIuNDQ1NTcyAgAAAAg2MC4yMDk1MgIAAAAJNTMuNTg0</t>
  </si>
  <si>
    <t>OTM4AgAAAAk0Ni45ODU5MzMCAAAACTYyLjgxNjgyOQIAAAAINDguNzg1NzgCAAAACTQ5LjU5MDkwOQIAAAAJNDkuMTE4NjAxAgAAAAk0MS43MTE2MzECAAAACTM2LjMzMzc0MgIAAAAJMzQuMDQzNDQ0AgAAAAkzMi40NDA4MjgCAAAACTI4Ljc0MTg2MQIAAAAJMjMuNTA1ODg0AgAAAAkyMC41NTQ3MjMCAAAACTIzLjIxOTUxOAIAAAAJMjAuODgzMDQxAgAAAAkxOC4zODI3MzcCAAAACDE3LjE3OTc2AgAAAAkxNi43Mjk4MTkCAAAACTEyLjc4NDI1MwIAAAAJMTIuMjc5NDA3AgAAAAkxMC43ODk3NTcCAAAACDYuODg3MjQzAgAAAAg3LjI5NjAwNAIAAAAIOC4yNzk0OTcCAAAACDcuODIzOTk3AgAAAAg4LjQ1Nzk3MgIAAAAINy45ODk5NzQCAAAACDkuMjE2OTI3AgAAAAg1LjEwNzM3NQIAAAAJMTEuODc0OTg0AgAAAAgxNS44ODIwNgIAAAAJMTguOTg5NzM4AgAAAAkxNS45NDQ4NTcCAAAACTE0Ljc3MjExOQIAAAAJMTcuNTI1NTAzAgAAAAkxNS45NTk5NjUCAAAACTE5LjU5NjEzNwIAAAAJMjAuNjk5MzI3AgAAAAkxOC4xOTYxOTYCAAAACTIzLjI0NDI2NgIAAAAJMjIuODI0Nzk5AgAAAAkyMS4yODM5ODcCAAAACTE5LjIyMTIyMgIAAAAJMTYuMjU2ODk4AgAAAAkxOS40MzgxMjUCAAAACTIzLjI5OTg2MQIAAAAJMjguNzIyMTEyAgAAAAkzMC44MTM0NDECAAAACTMyLjMwNjM4MgIAAAAJMzEuNTUyNzM0AgAA</t>
  </si>
  <si>
    <t>AAkyOS43ODEyNDICAAAACTI2LjAyNzI0MwIAAAAJMjIuNzc0NzM0AgAAAAkyMS45MzIxNDcCAAAACTI5LjU4MzcyNwIAAAAIMjkuNjA1MTgCAAAACTI3LjUwOTQ3MwIAAAAJMjYuMzQ1NjkzAgAAAAkyNi4yMTAwMzgCAAAACTIyLjM3ODY4NwIAAAAJMjMuNzM5OTM4AgAAAAkyMi43ODQ5MjQCAAAACTI0LjE3MzAzNwIAAAAJMjguMDkyNzk2AgAAAAkyOS42NzkxOTYCAAAACTMwLjc5OTkwNgIAAAAJMzIuMzQ4NDI1AgAAAAkzMi40NDA3NjgCAAAACDM0LjI4NzQ0AgAAAAkyNi44ODA4NDICAAAACTMxLjI5MzU4NQIAAAAJMzAuNjk3NTE0AgAAAAkyNy4xMTk3OTgCAAAACTI1LjY4MTYyNwIAAAAJMjUuNTI0NTkyAgAAAAkyNC41MjczNzICAAAACTE5LjQwNjg5NAIAAAAJMTMuNzcwMDQ5AgAAAAkxOS41MjE1NjQCAAAACTIyLjM5MDMyNAIAAAAJMzEuOTc1NTA2AgAAAAkyOS4xNDAwMzQCAAAACTI1Ljc3NjM4NgIAAAAJMjkuNDY5NDMyAgAAAAkzNC4xMzkyMjUCAAAACTQxLjA5NTU1OQIAAAAJNDQuODg0Mzc1AgAAAAk0Ni45NDIwOTECAAAACTQxLjUwNTMxNQIAAAAJNDIuMjA3NzExAgAAAAk0MS4zMDMxMTMCAAAACTQxLjk0NzI5NgIAAAAJNDAuMjQyNjU5AgAAAAk0MC45NDU1NTgCAAAACTQ2LjUyNzgwMwIAAAAJNTEuMjkzOTc0AgAAAAk1MS4zNDgzODMCAAAACTU0LjAwMDgxNgIAAAAJNTAuMDk5MjQ0</t>
  </si>
  <si>
    <t>AgAAAAk0Ny40NTUzMDUCAAAACTQ1LjM3NDA1MQIAAAAJNDMuNTIxMjUyAgAAAAk0MC4wMDgyMDUCAAAACTQxLjc5ODUwOAIAAAAJNDAuODA1ODg1AgAAAAk0Mi41NTYwNTUCAAAACTM4Ljg4MDY5OAIAAAAJMzguMjg1NjYzAgAAAAkzNi44OTA3NzUCAAAACTM0Ljc5MTczNgIAAAAJMzcuOTcyOTMzAgAAAAkzNi43NzczMDQCAAAACTM3LjY4NTcxNQIAAAAJMzYuMTEzMTgxAgAAAAkzOC4wNjMyNjYCAAAACTM0LjYzNTY0MgIAAAAJMzQuMjU4Mjc4AgAAAAkzOC41OTQ0MzMCAAAACTQwLjExMjc1MQIAAAAJMzguMjE1OTg0AgAAAAkzOS4wNjg0NTkCAAAACTM4LjMyMTcxOAIAAAAJMzkuMTk2MTAyAgAAAAk0NS45OTg3ODUCAAAACTQ2LjgzNTEyNwIAAAAINDguMTQxNTQCAAAACTQxLjkwMzAzNwIAAAAJNDAuNzE0NDM4AgAAAAk0Mi44NzI3OTICAAAACDQyLjUzODc3AgAAAAkzNi4zMTAyMjkCAAAACTQ0LjMwNjYwNAIAAAAJNTEuNDA2ODk2AgAAAAk1MS40Nzg3NDgCAAAACTU0Ljc5NzIwMQIAAAAJNTkuMzE0MjA2AgAAAAk1OS44MTYwOTUCAAAACTU5LjQ5MDIxNwIAAAAJNTcuNzAxMDg3AgAAAAk1MS4wNzgwNTECAAAACTQ1LjgxMjExMZfbRl47Jd4ICvsgXzsl3ghJQ0lRUkFOR0VWLl5TUFguSVFfQ0xPU0VQUklDRS4xMS8xMy8yMDEwLjExLzEzLzIwMjUuLi5ERVNDLk0uSVFfQ0xPU0VQUklDRQQAAACb</t>
  </si>
  <si>
    <t>uCgAtAAAAAIAAAAQNjg0MC4xOTg3NDEzODcyMwIAAAAQNjY4OC40NTkwMzY4OTAxNgIAAAAPNjQ2MC4yNjI2NjcwMTkyAgAAAA82MzM5LjM5NDU2NzE2NTgCAAAAEDYyMDQuOTUzOTUyMzg5NjICAAAAEDU5MTEuNjg2NzIzMTI2MzMCAAAAEDU1NjkuMDY0Njc0OTQ2ODECAAAAEDU2MTEuODUyNjA2ODE3NjMCAAAAEDU5NTQuNTA0ODI2OTY1MDgCAAAAEDYwNDAuNTI1OTMzODgxODYCAAAAEDU4ODEuNjI3NjQ4MjE0MDkCAAAAEDYwMzIuMzg0NDEyMjczOTICAAAAEDU3MDUuNDQ3OTIwNjY5NzMCAAAAEDU3NjIuNDg0ODgzMzY5MTICAAAAEDU2NDguMzk3MjM2MzE2NzYCAAAAEDU1MjIuMzAxODM2ODk0NjYCAAAAEDU0NjAuNDgyNjIxMTQ5NTICAAAAEDUyNzcuNTA3MzQ1MjY1NTgCAAAAEDUwMzUuNjkxNjc4NDU5NTICAAAAEDUyNTQuMzU0NDAxMjYyNDECAAAAEDUwOTYuMjY5NDk5ODYyMjQCAAAAEDQ4NDUuNjQ3MTc1NzMxNDUCAAAAEDQ3NjkuODI5NDEwNzkwNjcCAAAAEDQ1NjcuNzk4NjQyMjc1NTMCAAAAEDQxOTMuODAwOTU1MjQ3NDcCAAAAEDQyODguMDU0MTIyNjM5OTICAAAAEDQ1MDcuNjYxNzkxOTU5MjkCAAAAEDQ1ODguOTYxMTM4NDk3ODUCAAAAEDQ0NTAuMzgxMzExODA5MjECAAAAEDQxNzkuODI1NDYxNjY3MzUCAAAAEDQxNjkuNDgxNDAwNjM1OTgCAAAAEDQxMDkuMzEyNDQ0NjIxNDcCAAAA</t>
  </si>
  <si>
    <t>EDM5NzAuMTUzNDQyNDg2NjQCAAAAEDQwNzYuNjAzODE5NDAyNzgCAAAAEDM4MzkuNDk2NTg2Njc2ODECAAAAEDQwODAuMTA2NTUyMTc5MjQCAAAAEDM4NzEuOTc3MjIxNDE2NzQCAAAAEDM1ODUuNjI0MTAzNTQ4NjgCAAAAEDM5NTQuOTk5MDAxMDI3NzcCAAAAEDQxMzAuMjg1NzczODE5MTYCAAAAEDM3ODUuMzg0ODQ1OTMxMTQCAAAAEDQxMzIuMTQ3NzgxOTYxODkCAAAADzQxMzEuOTI2NDEwMzc3NgIAAAAQNDUzMC40MTM0NTE2ODM0NwIAAAAQNDM3My45MzkxNDg4MDQ0NAIAAAALNDUxNS41NDc1NzkCAAAAEDQ3NjYuMTgyOTcyNDI4MzECAAAAEDQ1NjcuMDAxNDk0MDA5MjQCAAAADzQ2MDUuMzc2NjQ4MTc3NgIAAAAQNDMwNy41Mzg3NTA3ODk3MQIAAAAQNDUyMi42ODAxMTkzNjQ1NQIAAAAQNDM5NS4yNjM5NzIxNjMxOAIAAAAQNDI5Ny40OTY2MzE4ODE4OAIAAAAQNDIwNC4xMTA1NDU2NTM2NAIAAAAQNDE4MS4xNzQ4OTU0NDA3OQIAAAAQMzk3Mi44OTIyMDg0MzAyNQIAAAAQMzgxMS4xNDk3NDk1OTgyOAIAAAAQMzcxNC4yNDI2ODk3NzY2NAIAAAAPMzc1Ni4wNzE0Njg5NTcyAgAAABAzNjIxLjYzMzQzMDY5NDY1AgAAABAzMjY5Ljk1OTA4NTk0MDc1AgAAABAzMzYyLjk5ODk4NzY0OTY2AgAAAA8zNTAwLjMwODUyMDI4NzMCAAAAEDMyNzEuMTI0ODgwMjYzMjYCAAAAEDMxMDAuMjg1MTI4NjU5NTQC</t>
  </si>
  <si>
    <t>AAAAEDMwNDQuMzA1MTU0ODY5NzYCAAAADzI5MTIuNDMwNTI0NjYwNwIAAAAQMjU4NC41OTA3NTk5MzQzMQIAAAAQMjk1NC4yMjM2ODQzNjg2MwIAAAAQMzIyNS41MTYzMTY0NjQwOQIAAAAQMzIzMC43ODE5NTAwOTA0MwIAAAAQMzE0MC45ODA2Mjc3MDI1NAIAAAAQMzAzNy41NjQ0MzUyNTk5NgIAAAAQMjk3Ni43MzcyNzE3NDQzMwIAAAAQMjkyNi40NTgxMjg2MDg4OAIAAAAQMjk4MC4zNzg4NTQ0NjQyNwIAAAAQMjk0MS43NjA2Mzc0NTc5MwIAAAAQMjc1Mi4wNjI4ODYxMzIxOAIAAAAQMjk0NS44MzA4ODY4NDU4MQIAAAAQMjgzNC4zOTk4MTk1NzUxNQIAAAAQMjc4NC40OTEzNTg1MjEyOAIAAAAQMjcwNC4xMDA1Nzk3MDI1NgIAAAAQMjUwNi44NDcxODI2MjcyMgIAAAAQMjc2MC4xNzQyNTY1NjMxNgIAAAAQMjcxMS43NDQ0MDgxMDQ3MwIAAAAQMjkxMy45NzgxMzk4ODYwMwIAAAAQMjkwMS41MTc2NzcwNDA1MgIAAAAQMjgxNi4yODg2MzEwOTExMgIAAAAQMjcxOC4zNzM0NjUwMjIyMwIAAAAQMjcwNS4yNzQ3NTE2MjQ4MwIAAAAQMjY0OC4wNDkzNjQ3MDg3MgIAAAAQMjY0MC44NjU5OTAzMjkyOQIAAAAQMjcxMy44MzA1Mzg3MjM4MQIAAAAQMjgyMy44MDk5MzczNTUzNgIAAAAQMjY3My42MTA1MjMxNTE3NAIAAAAQMjY0Ny41Nzk5Mjc0ODMwNwIAAAAQMjU3NS4yNjM4MzA0NTIxNAIAAAAQMjUxOS4z</t>
  </si>
  <si>
    <t>NTk2NzE5MDYwNwIAAAAQMjQ3MS42NTAyMDc5NDIwMQIAAAAQMjQ3MC4zMDAwMjUyNjAxOQIAAAAQMjQyMy40MDg4OTEwNjI5NwIAAAAQMjQxMS43OTczMjQyNTczNQIAAAAQMjM4NC4xOTU1MTc4MTM4MQIAAAAPMjM2Mi43MTgyMjAzOTczAgAAABAyMzYzLjYzODE5NzEyODk0AgAAABAyMjc4Ljg2Njg5MDYxMzk0AgAAABAyMjM4LjgyNjY4MTcwNzU1AgAAAA4yMTk4LjgxMDQ0OTA4OAIAAAAQMjEyNi4xNTMyOTcwMjk4NAIAAAAQMjE2OC4yNzIwODk2MzcyOQIAAAAQMjE3MC45NDY5NTc2OTI0NQIAAAAQMjE3My42MDM4NTk4ODgzNQIAAAAQMjA5OC44NTUyMjY1MDU2MQIAAAAQMjA5Ni45NjQxOTUwNzA1MQIAAAAQMjA2NS4yOTYzMDEwMDUxNgIAAAAQMjA1OS43NDExNzY2MDExNgIAAAAQMTkzMi4yMjYzOTQ3OTcxMQIAAAAQMTk0MC4yMzk2Nzc4MTg0NQIAAAAQMjA0My45MzY4NjI2NjA3MgIAAAAQMjA4MC40MDY4Mjg2MTgxNgIAAAAQMjA3OS4zNTk4Mzc0NjcxNwIAAAAPMTkyMC4wMjY1NTE2Mzk3AgAAABAxOTcyLjE4NDY4ODcxMDkyAgAAABAyMTAzLjgzNTM2NTEzNzA2AgAAABAyMDYzLjExMTgzMjIyMzY3AgAAABAyMTA3LjM4OTU3ODM1NTEyAgAAABAyMDg1LjUxMzY1MzI5NzU5AgAAABAyMDY3Ljg4NzI0MDc1ODUxAgAAABAyMTA0LjUwMzI0OTMyNDM0AgAAABAxOTk0Ljk5MDQxMjA1NDY4AgAA</t>
  </si>
  <si>
    <t>ABAyMDU4LjkwMjM3ODg1Njg5AgAAABAyMDY3LjU2MjA0NDUyNzAyAgAAABAyMDE4LjA1NDUwMzI5NjM1AgAAABAxOTcyLjI4NTE0NTA0OTk2AgAAABAyMDAzLjM2NzY5NTQ1MTI1AgAAABAxOTMwLjY3Mzg3MDc0NTQ4AgAAABAxOTYwLjIzMTI0MDM2Mzg0AgAAABAxOTIzLjU3MjY2MDY1ODM1AgAAABAxODgzLjk1MDEzMDQyMDYxAgAAABAxODcyLjMzNTE3OTIxNzI5AgAAABAxODU5LjQ0OTM3MTk5MTIyAgAAABAxNzgyLjU4Njk2Njc2OTM4AgAAABAxODQ4LjM1NjUyMDk0MTk0AgAAABAxODA1LjgxMjY4ODYwMDk0AgAAABAxNzU2LjU0NDYzMzYwNzQ5AgAAABAxNjgxLjU0NjY2MjExMjE1AgAAAA8xNjMyLjk3MTE1MjQzNTECAAAAEDE2ODUuNzI1MDE1ODQ5NjcCAAAAEDE2MDYuMjc3NjA3NzM3MjcCAAAAEDE2MzAuNzQxODg4ODE1ODICAAAAEDE1OTcuNTY1NjcwMDI0NzgCAAAAEDE1NjkuMTg1ODcyNDY4NDUCAAAAEDE1MTQuNjc4MjY3NTM3ODQCAAAAEDE0OTguMTEwOTI1NTIwNzcCAAAAEDE0MjYuMTg3OTc4MDgwNTYCAAAAEDE0MTYuMTgxNTY5OTE3NjMCAAAAEDE0MTIuMTU3OTcyNzUwNDUCAAAAEDE0NDAuNjc0NTAyNjM2MTMCAAAAEDE0MDYuNTc1NjY4ODAxNDMCAAAADzEzNzkuMzIzOTE2Nzc4NwIAAAAQMTM2Mi4xNTg3NDU0NDA2NgIAAAAQMTMxMC4zMjkwMDcyMjYwNwIAAAAQMTM5Ny45MTE5</t>
  </si>
  <si>
    <t>OTU4NTc2NQIAAAAQMTQwOC40Njc4NjA0MTk0MgIAAAAPMTM2NS42ODI3MTU1NjA3AgAAABAxMzEyLjQwOTU5NzQzMjMxAgAAABAxMjU3LjYwNDgwNDUzNDM2AgAAABAxMjQ2Ljk2MDA2NzA3NDEyAgAAABAxMjUzLjI5NjI2NDQ1NzQ0AgAAAA8xMTMxLjQyMDM2MDA4MzMCAAAAEDEyMTguODkzNjIzNTk0MTUCAAAAEDEyOTIuMjgyODA1MDc0OTICAAAAEDEzMjAuNjM5MDQ5MjYyODQCAAAAEDEzNDUuMTk3MzM1NDI0NDUCAAAAEDEzNjMuNjEyMjEwMzA0ODQCAAAAEDEzMjUuODI2NzE3NTExMTICAAAACzEzMjcuMjI0MTkxAgAAAAsxMjg2LjEyMDkxMgIAAAALMTI1Ny42MzU5ODcCAAAACzExODAuNTUyOTgxl9tGXjsl3ggK+yBfOyXeCFBDSVFSQU5HRVYuQ1ZYLklRX0NMT1NFUFJJQ0VfQURKLjExLzEzLzIwMTAuMTEvMTMvMjAyNS4uLkRFU0MuTS5JUV9DTE9TRVBSSUNFX0FESgQAAADKgAEAtAAAAAIAAAAGMTU3LjcyAgAAAAYxNTUuMjkCAAAABTE2MC42AgAAAAoxNDkuOTcwNTE1AgAAAAoxNDEuNjEzNTQ2AgAAAAoxMzUuMTk0OTk3AgAAAAoxMzIuOTQyNzU0AgAAAAoxNjMuNDU3MjQ5AgAAAAoxNTQuOTg1ODg1AgAAAAkxNDQuMTcyODICAAAACjEzOS45NjkxMDgCAAAACTE1Ni40ODQzOAIAAAAKMTQyLjM2MzAzMwIAAAAKMTQwLjg4MDI4NAIAAAAKMTQxLjUzMDc4MQIAAAAKMTUxLjgwODUyOAIAAAAK</t>
  </si>
  <si>
    <t>MTQ3Ljk3NzEyOQIAAAAKMTUzLjUzOTc1MgIAAAAKMTUxLjA0MDE2MgIAAAAJMTQ3LjczNDA4AgAAAAoxNDIuMzY3NTUxAgAAAAoxMzYuNTg3NjYxAgAAAAoxMzguMTkwNDMzAgAAAAoxMzMuMDM5MzI4AgAAAAoxMzMuNjEyMDk4AgAAAAoxNTQuNTk4NzI0AgAAAAoxNDcuNzA0MDM1AgAAAAoxNDguNjIyODI1AgAAAAoxNDIuODkyNTkxAgAAAAoxMzYuNzgwOTQ4AgAAAAoxNTEuNjA2MTczAgAAAAoxNDYuNzMxODk3AgAAAAoxNDQuNTgyNTM5AgAAAAoxNTUuMTI3MDc2AgAAAAoxNjAuMDAzMjExAgAAAAoxNjMuNDA4NDgzAgAAAAoxNjAuMDIyMjgzAgAAAAoxMjcuMDg5MDA4AgAAAAoxMzkuODE4MjU0AgAAAAoxNDMuNTczNTYxAgAAAAoxMjYuOTE3Njk2AgAAAAoxNTMuMTExMjM2AgAAAAoxMzYuMjIwMTI3AgAAAAoxNDEuNTc2MDczAgAAAAoxMjUuMjAzOTIxAgAAAAoxMTMuMDAxMzA2AgAAAAoxMDAuOTcyMzg0AgAAAAk5Ny4xMTc2MjMCAAAACTk3LjM4NTk3NAIAAAAJODYuMjk0MDYxAgAAAAk4Mi4zMTMyMjECAAAACTg1LjQ0ODI0NgIAAAAJODcuOTA3MzY5AgAAAAk4Ny4xMTAwNDICAAAACTg1LjQ1OTY1OAIAAAAJODYuODg1NzgyAgAAAAk4Mi45MTQxOTMCAAAACTY5LjY1ODI0MgIAAAAJNjkuMDQ1MDU0AgAAAAk3MS4yNzcwNjECAAAACTU1Ljk5ODE4NQIAAAAJNTguMDEyNTA5AgAAAAk2Ny42MjQ4</t>
  </si>
  <si>
    <t>NTkCAAAACTY2LjY3MTczNQIAAAAJNzAuODczNDY4AgAAAAk3Mi44MzUzMzYCAAAACTcyLjAxNjM2MwIAAAAJNTYuNzIwNzE0AgAAAAk3My4wNjUyOTcCAAAACTgyLjg5ODgzMwIAAAAJOTMuMjQzNzc4AgAAAAk5MC42Mjg1MjYCAAAACTg4Ljk4NTcwNQIAAAAJOTAuODcwNTQxAgAAAAk5MC4xOTYyOTECAAAACTkzLjM2NjI3OQIAAAAJOTQuMzc0OTQ3AgAAAAk4Ni4zNDM1MjECAAAACTkwLjE2NjA0NAIAAAAJOTIuNTA5MTg5AgAAAAg4OS44MDU1NgIAAAAJODUuMjQ2MTYzAgAAAAk4MC44ODkwNTQCAAAACTg4LjQzNTkyNAIAAAAJODIuMjEyMDkyAgAAAAk5MC4wMzkzNjECAAAACTg3LjIyNjU1MQIAAAAJOTIuMDk0NDAyAgAAAAk5Mi4yMTEwOTcCAAAACTkwLjY1NzU5MgIAAAAJOTAuNDU5NTUyAgAAAAk4Mi40NTU0OTgCAAAACTgwLjkyMjY1MwIAAAAJODkuNzM5NzUyAgAAAAk4OS42MjUyMDYCAAAACTg1LjE4NjU0MwIAAAAJODIuMTk3NzQzAgAAAAk4My4zMzk2NzMCAAAACTc2LjMzMjA0OAIAAAAJNzYuNjc1MjE4AgAAAAk3My4yNjI0MzcCAAAACTcyLjY2NTU1MQIAAAAJNzQuMTcyMTg4AgAAAAk3NC42Mzc5MzYCAAAACDc4LjIwNDA0AgAAAAk3Ni42NzA3MzUCAAAACTgxLjA0MzA2NwIAAAAJNzYuODE1MzMyAgAAAAk3MS40MTEzNTYCAAAACTcwLjE2Mzc4OAIAAAAJNjguNTY4NTM2AgAAAAk2OS4x</t>
  </si>
  <si>
    <t>MzUzNjkCAAAACTcwLjcyMDczMwIAAAAJNjguMTM2OTI3AgAAAAk2OC4yMTE5MTECAAAACTYzLjY4NTgxMwIAAAAJNTUuNzAxNzIxAgAAAAk1Ny4wMDE0NTUCAAAACTU5LjMwMjA4MQIAAAAHNjAuMTk4NgIAAAAJNTkuMTg1NzAyAgAAAAk1MS4zNzA2ODgCAAAACTUyLjc0NDgyOAIAAAAJNTYuOTA1NjgyAgAAAAg2Mi4wNDQ0MwIAAAAJNjYuMjQ0MTgyAgAAAAk3MC43MjMyMjECAAAACTY2Ljg1MTQ2NQIAAAAJNjcuOTM0MDI4AgAAAAk2NC42NTYwNzkCAAAACTcwLjc0MTQzMQIAAAAJNjguNjU0MTIzAgAAAAk3NC45NDYyMTQCAAAACTc0LjU1MjU4MgIAAAAJODAuODgxOTI5AgAAAAk4MC4wNzAxNjMCAAAACTgwLjg4MTc2OQIAAAAINzYuMDc0MDkCAAAACTc3LjEwNzI1NgIAAAAJNzMuMDQ2NzE2AgAAAAk3MC44NDc1MTMCAAAACTY3Ljk3MDgzOAIAAAAINzYuMDU2OTUCAAAACTc0LjU1Mjk4MgIAAAAINzIuNDM0NjkCAAAACTczLjM2NDU3OAIAAAAJNzIuNzE4NDg3AgAAAAk3NS4zOTI1NDMCAAAACTcwLjg3MTAyNgIAAAAJNzMuNTEyMDcxAgAAAAk3Mi40ODQzNTECAAAACTcwLjU4OTIxOQIAAAAJNjkuNTk3MDk3AgAAAAk2Ny44ODA0NDUCAAAACTYzLjc0ODA3OQIAAAAJNjIuMzAzODE0AgAAAAk2NC40MzA4ODgCAAAACTY4LjEyNDI0NAIAAAAJNjUuNTUyNjM1AgAAAAk2My41MzYwODcCAAAACTYxLjE3</t>
  </si>
  <si>
    <t>MDQ0NAIAAAAJNTcuMDAxNTc2AgAAAAk2MS4yMzM5NDICAAAACTYxLjYwNzQ1OQIAAAAJNjIuNzA1MDI3AgAAAAg1OC44MDY0NAIAAAAJNjAuNjc2OTMxAgAAAAk1OC42MzUzNTgCAAAACTU5LjQzNzE4MgIAAAAJNTIuMzg3MzI3AgAAAAk1NS45MjM1NzECAAAACTU4LjM4NjY0NQIAAAAJNTcuNzI0MzA4AgAAAAk1OC44ODYyMDMCAAAACTYwLjk1NzUzNAIAAAAJNTkuODcxMzk0AgAAAAk1Ny43ODgyMzICAAAACDUyLjQ4MDgyAgAAAAg1MC40NDYzOAIAAAAJNDQuNzYzMjE1l9tGXjsl3ggeIiFfOyXeCFBDSVFSQU5HRVYuQ09QLklRX0NMT1NFUFJJQ0VfQURKLjExLzEzLzIwMTAuMTEvMTMvMjAyNS4uLkRFU0MuTS5JUV9DTE9TRVBSSUNFX0FESgQAAABPhgQAtAAAAAIAAAAFODguODYCAAAABTk0LjU5AgAAAAU5OC45NwIAAAAJOTQuNTU5OTE4AgAAAAk4OS4wMDU3MzgCAAAACTg0LjY1MTY1NwIAAAAJODcuNjQ0ODk3AgAAAAoxMDMuMjgxNzIyAgAAAAk5Ny41MDg4ODICAAAACDk2LjQxMTgxAgAAAAk5Ni43NDM0OTECAAAACjEwNS42ODkxMTgCAAAACjEwNi4xMTgyMDMCAAAACjEwMS45OTEyNzYCAAAACjExMC4yMzU0NDICAAAACjEwNi45NTI2OTQCAAAACjExMC4wMTEyMzMCAAAACjExMi4wMzEwMjMCAAAACjEyMC4wNTgxNTMCAAAACjEyMS42NDQ2NTYCAAAACjEwNy41NTcyNzICAAAACjEwNi4xNTk2</t>
  </si>
  <si>
    <t>MjQCAAAACjExMC4xNDUyMzYCAAAACjEwOS42NzA3NTkCAAAACjExMi4xNzAzMDMCAAAACjExMy4xMTQ0OTgCAAAACjExMS44MjYxODYCAAAACjExMC4xMTYyMTICAAAACTk2LjkxNzYwNwIAAAAJOTIuMzMxMjM1AgAAAAk5NS4xNzg1ODICAAAACTkxLjc3NDM5MgIAAAAJOTUuMDE1NjUyAgAAAAkxMTEuNTQ1NTQCAAAACjEwOC4wMDMzOTQCAAAACjExMi4zNDU2OTUCAAAACjExNC4yNTU4MzcCAAAACTkyLjczNDg5MQIAAAAJOTcuNzcxNjYzAgAAAAk4Ni42NDQ1NTcCAAAACTc5Ljg2ODA4NwIAAAAJOTkuMTUyNDI1AgAAAAk4My45MTUxMzcCAAAACTg3Ljg1MDg1NQIAAAAJODMuMDg3MDI5AgAAAAk3Ny4yMzI5ODECAAAABzYyLjkwNTQCAAAACTYwLjk0OTY5MwIAAAAJNjQuNzM4OTUxAgAAAAk1OC41NDY5MDICAAAACTQ3Ljk3MjY5NAIAAAAJNDguNDMwNTY0AgAAAAk1Mi4yMTI2NjECAAAACTQ3Ljc4ODczMQIAAAAJNDMuNTA2Mzc3AgAAAAk0NS4wNjMyMTUCAAAACTQ0LjI0NjUxMwIAAAAJMzMuNzQ0ODQxAgAAAAkzMy43MTExMjECAAAACTMzLjM0ODYzNgIAAAAJMjQuMTI2MzM5AgAAAAgyNy4zNDc0OAIAAAAJMzEuNTUyODYzAgAAAAkzMS4xMzY0ODgCAAAACTM0LjYzODc0NgIAAAAIMzQuNzcwNjQCAAAACTM0LjM2MTA4MgIAAAAJMjUuMTM4Mjc0AgAAAAkzOS41MTkzMjUCAAAACDQ4LjE2NDU0AgAA</t>
  </si>
  <si>
    <t>AAk1Mi43MDMwMTMCAAAACTQ4LjU3Nzg2NQIAAAAJNDQuNzM2MzczAgAAAAk0NS44MzIzMDcCAAAACTQxLjk3MTM4OQIAAAAJNDcuNTIxNDU4AgAAAAg0OC44MTc3MwIAAAAJNDcuMTg1MTM3AgAAAAk1MC4yNjM5OTECAAAACTUzLjE0NjY4NQIAAAAJNTQuMDMwNjA1AgAAAAk1My42NTk1NTgCAAAACTQ5LjQyNjQwNwIAAAAJNTIuNDYyNTQ0AgAAAAk1NS40MTE0ODECAAAACTYxLjA5OTgyNQIAAAAJNTcuOTY1ODkzAgAAAAk1Ni45NzEyNDUCAAAACTU0LjczMzUxMgIAAAAJNTIuOTgwMzQyAgAAAAk1MS4yODI4MTkCAAAACTQ2LjQyMDczOAIAAAAJNDIuNTIxNjc4AgAAAAk0NS43OTg0NDECAAAACTQyLjc0NTczMQIAAAAJMzkuNjIyOTMzAgAAAAkzOS44MzMxOTYCAAAACTM4Ljc2OTIwNAIAAAAIMzMuODE5NDUCAAAACTM1LjE0NDAzMgIAAAAJMzMuODQ1MTUxAgAAAAkzNC40MDcxODMCAAAACTM2LjY4MDk3NgIAAAAJMzguMTgxNTk2AgAAAAkzNi40MjA2NjQCAAAACTM3LjEzMzE0MgIAAAAIMzguMTg0MDgCAAAACDM2Ljk1MDM3AgAAAAkzMy4wODkzMTUCAAAACTMyLjkxNDE1OQIAAAAJMzEuMDgxODA5AgAAAAgzMC45MDc2NgIAAAAJMzIuODE2MjI4AgAAAAkzMi45NTkyMzQCAAAACTM1Ljc2NDQ5NgIAAAAIMzAuMTM2NzcCAAAACTI1LjMxNzI4MgIAAAAJMjkuMDIwMTI5AgAAAAkzNC42NzExODICAAAA</t>
  </si>
  <si>
    <t>CDQwLjEzNjU5AgAAAAkzOS42MTY3ODMCAAAACTM1LjEzOTA2MwIAAAAJMzYuMDEwOTQ2AgAAAAkzNi44ODI4MjgCAAAACTQ0LjM5NzE2NgIAAAAJNDYuMDM4MjkyAgAAAAc0OC41NTMyAgAAAAc0NC41MDcxAgAAAAk0Ni42MDg3ODQCAAAACTQ0LjUzNzYyMQIAAAAINDguODM3MjICAAAACTQ2LjcyMjc3OQIAAAAJNTEuMDIyMzc4AgAAAAk1My41ODI2OTYCAAAACTU2Ljg3Mzg0NQIAAAAJNTcuNzcwMTU4AgAAAAk1OS41MjY0MjkCAAAACTU1LjUwNjE1NgIAAAAJNTEuMTQzNjgyAgAAAAk0OC40MTgyMjECAAAACTQ1Ljc2ODQ2OAIAAAAJNDQuMjI4NzU5AgAAAAk0OC4xMTAyNjcCAAAACTQ5LjU3NDM0NAIAAAAJNDkuOTM1MjU2AgAAAAk0Ni44NjU4NDkCAAAACTQ0LjcwMTU2NQIAAAAJNDMuNzMwNjcyAgAAAAk0MC4zNjE3MDgCAAAACTQwLjkyMjEwMgIAAAAJMzkuOTE0NDY5AgAAAAkzOS42ODMzNjgCAAAACTM4LjI2Mzc0NwIAAAAJMzcuODY1NTA2AgAAAAkzNy44NTg5NzgCAAAACTM3LjE3MzQ4MgIAAAAJMzcuNzY3NTc4AgAAAAkzNi44OTk3MzUCAAAACTM2LjY0ODA1OAIAAAAJMzUuMTMxNTQyAgAAAAkzNS42NDE1NzMCAAAACDMzLjI2ODg3AgAAAAYzNC4zODkCAAAACTM2LjQ5MTgwMwIAAAAJMzYuNzUxMDUzAgAAAAkzMi40NTI4MjkCAAAACTM0LjY2OTk1NQIAAAAJMzMuOTMyNDk5AgAAAAgzMy4x</t>
  </si>
  <si>
    <t>Mzc5NQIAAAAJMjkuODMzMjI1AgAAAAkzMi4wNzExODgCAAAACTMzLjkxODA5NwIAAAAJMzUuMTE0NDg3AgAAAAkzNC4xOTQ0NzcCAAAACTM2LjUwODQ1OQIAAAAJMzYuOTU3MzUzAgAAAAkzNi4wMzY0MjcCAAAACTMyLjc3ODgxNwIAAAAIMzEuMjM3NTgCAAAACTI3LjYwMDA3NpfbRl47Jd4ICvsgXzsl3ghQQ0lRUkFOR0VWLlhPTS5JUV9DTE9TRVBSSUNFX0FESi4xMS8xMy8yMDEwLjExLzEzLzIwMjUuLi5ERVNDLk0uSVFfQ0xPU0VQUklDRV9BREoEAAAAQjMGALQAAAACAAAACjExMy4zNjg0MTECAAAACjExMS43NzIzNzECAAAACjExMy4yOTkwMTgCAAAACjEwOS42NTE2NDUCAAAACjEwNS44ODAwMzcCAAAACjEwMC40Nzc5OTQCAAAACjEwMi44MDE4NjQCAAAACTExNS43NDU3NwIAAAAKMTA4LjM0OTI1MgIAAAAKMTAzLjA0ODAwMQIAAAAKMTAzLjc2MTgwNAIAAAAKMTEzLjc4Mzk3NwIAAAAJMTExLjcyNzY3AgAAAAoxMTIuMTQ4NjM0AgAAAAoxMTIuODM3NDg0AgAAAAoxMTIuNTUzMjE0AgAAAAoxMDkuMjU5ODUzAgAAAAoxMTEuMjkwOTE3AgAAAAkxMTEuMzQ1MTECAAAACTEwOS40MzM5NwIAAAAJOTguNDAwMTk0AgAAAAk5NS44OTkwNjICAAAACTkzLjI1OTI5NgIAAAAJOTUuODMzNzY3AgAAAAk5Ny44NDAwMzQCAAAACjEwOC42ODIzOTICAAAACjEwMi43NzU5NDECAAAACTk4LjMxODg4NAIAAAAJ</t>
  </si>
  <si>
    <t>OTguMzI4MDUyAgAAAAk5My42Nzk4MTcCAAAACjEwNy41NjIxMzMCAAAACTk5LjY3MjY2OAIAAAAJOTkuODk5ODk5AgAAAAkxMDQuNjM5MTUCAAAACTk5LjQ4ODgyMgIAAAAKMTAwLjQyNjg4NQIAAAAJOTkuMTUwNjQ2AgAAAAc3OC4xMjMzAgAAAAk4NS41MzIwODQCAAAACTg1Ljg5NjQ5OQIAAAAJNzUuODkxNjM1AgAAAAk4NS4wNzIzNjECAAAACTc0Ljc4MDAzNgIAAAAJNzIuNDQ2NzI0AgAAAAk2OC43ODg4NjECAAAACTY1LjkwMDQxOQIAAAAJNTMuMDg2NDQ5AgAAAAk1MS45MTUyMzMCAAAACTU1LjE5MDM1NQIAAAAJNTAuMzUzNjAxAgAAAAk0Ni42NzI1MzICAAAACTQ4LjU0ODcwNAIAAAAINTMuMTk1MjgCAAAACTQ5LjIyMzM0MwIAAAAINDcuNTc3MzECAAAACTQ2LjQwNTMzMwIAAAAJNDUuMTkxNzk1AgAAAAkzNi42NDgxODcCAAAACTMzLjY4OTUyNAIAAAAJMzEuMTY0MDM2AgAAAAkyNi4wMzI1ODMCAAAACTI3LjM5NzI1OQIAAAAJMzEuODc0MzUyAgAAAAkzMi45MzI1MDMCAAAACTM0Ljk5ODYxMQIAAAAJMzUuNTg1NTczAgAAAAkzNS42NzY0NDcCAAAACTI5LjE1MDczNQIAAAAJMzkuNDkyMDY4AgAAAAk0Ny4wMTY0NDQCAAAACTUyLjgxNDAyOQIAAAAJNTEuNTY1MjAyAgAAAAk1MC41MzE5NDgCAAAACTUyLjgwNTM5OQIAAAAJNTEuMjEyNDg4AgAAAAk1NC45MjY4NjYCAAAACTU2LjYwMzYyOAIA</t>
  </si>
  <si>
    <t>AAAJNTIuMjc1MDcyAgAAAAk1OC42Mjc3MjUCAAAACTU5LjAwNzQ3NgIAAAAJNTcuNzE0ODYyAgAAAAk1Mi45MjgwNzkCAAAACTQ5LjI1MTcxNQIAAAAINTcuNDIwNjECAAAACDU2Ljk3MzA3AgAAAAk2MC43OTEyOTUCAAAACTU3LjMyMzQzMQIAAAAJNTcuNjg2NTU3AgAAAAg1OC41NDk5OAIAAAAJNTcuNDk1NDcxAgAAAAk1NC40NzMzNzUCAAAACTUyLjI3MzQyMgIAAAAJNTMuMDY1MTI1AgAAAAk2MC41NDUxOTYCAAAACTU4LjAwNjg3NQIAAAAINTcuNzY0MTQCAAAACTU3LjI3NTY3NgIAAAAJNTYuMzM0MjUyAgAAAAk1Mi40NTE3MzgCAAAACTU0LjQ3MzE0MQIAAAAJNTQuOTQyNzM3AgAAAAk1NC43ODYyMDUCAAAACTU1LjA0OTAyNQIAAAAINTUuMjkxNzQCAAAACTU0LjgyNjUzNwIAAAAJNTYuMDQ2NzUyAgAAAAk2MC4zMDI1MzcCAAAACTU4LjMyNDk2NwIAAAAJNTUuMTc3MzUzAgAAAAc1Ny43OTk4AgAAAAk1Ny43MDcwODcCAAAACTU4LjQwNzY1NgIAAAAJNjEuNTUyOTM2AgAAAAg1OC40NTM2MgIAAAAJNTcuNTYyNzMyAgAAAAk1NC40MzA2NDICAAAACTUyLjE5MDY0NAIAAAAINTAuMjM3MDECAAAACDUwLjMwMTU0AgAAAAk1Mi42OTU2MjICAAAACTUyLjkzMTEyNwIAAAAJNDcuNTYzODA2AgAAAAk0OC4xMzMxNjQCAAAACTUwLjIwMzE1NgIAAAAJNTIuNzMyMDExAgAAAAk1My45OTk2MDgCAAAABzU0</t>
  </si>
  <si>
    <t>LjkyMDcCAAAACDUzLjQzMDkyAgAAAAk1NS42NTYxNjECAAAACTU0LjU0MTU5NQIAAAAJNTcuNjc5ODI3AgAAAAk1Ni40ODgxNzICAAAACTU5LjkwNTE0OAIAAAAJNTguMjU3NDYyAgAAAAk2MS42MDg1ODICAAAACTYwLjg2MjQ5OQIAAAAJNjEuOTMyODUzAgAAAAk2MS44NDA1ODECAAAACTYyLjU3MjIzMQIAAAAJNTkuNjgyMjE0AgAAAAk1OC44MjA3MDcCAAAACTU1LjkxMzQ5NAIAAAAJNjEuMzk4MDY0AgAAAAk1Ni43MTQzMzgCAAAACTU0LjAwNTAxNQIAAAAJNTEuODQ3NzA3AgAAAAk1Mi41MjI2MTkCAAAACTU2LjEwNTk2NgIAAAAINTQuMDcxMTkCAAAACTU0LjE0MzAwNgIAAAAINTIuODkxMzkCAAAACTUzLjU1NzA2NAIAAAAJNTMuMjI0MjI3AgAAAAk1My4xMzQzOTUCAAAACTUxLjExNDYxNQIAAAAJNTIuMDUzNjM1AgAAAAk1My41MDgwNzcCAAAACDUzLjY3MjQxAgAAAAk1MS4yMzY3NTYCAAAACTUwLjY0MzUzMwIAAAAJNDkuODk3MTQ2AgAAAAk0NS44NTAzMjgCAAAACDUwLjAwMTY4AgAAAAk1MC4yMjc1MzkCAAAACDUwLjA5NDM0AgAAAAk0OC4yMzE5NjICAAAACTQ4LjgxOTQ1NAIAAAAJNDYuMzMxMjUyAgAAAAk0NC43MTEzMDcCAAAACTQxLjU4NTEyMwIAAAAJNDIuMzgwOTgzAgAAAAk0NS4zODQ5NDMCAAAACTQ2LjI4OTM0MwIAAAAJNDcuNDc4MTQ1AgAAAAk0OS43NjEyMzMCAAAACTQ3LjU4</t>
  </si>
  <si>
    <t>W</t>
  </si>
  <si>
    <t>NzI2NgIAAAAJMTA4LjQzMzczAgAAAAoxMDUuODUwNTcxAgAAAAoxMTMuMzc0MTQ0AgAAAAoxMTAuMjAxNjcxAgAAAAoxMDcuNDMxODk3AgAAAAoxMTIuNjU3MTQ1AgAAAAoxMTAuMTIzMDk2AgAAAAoxMDIuNDEyOTA4AgAAAAoxMDAuNDc3OTk0AgAAAAoxMDEuMTk0OTkzAgAAAAoxMDYuMjYzMDkxAgAAAAoxMDQuNDM2ODg0AgAAAAoxMDMuMzY2MzM1AgAAAAoxMDUuNjYzMTQ5AgAAAAoxMDQuMDU3MzI2AgAAAAoxMDAuMzc4NTMxAgAAAAoxMDEuNTQ2NDAzAgAAAAoxMTQuNTc3ODk5AgAAAAoxMTIuNDA3NjA1AgAAAAoxMDguOTAzOTkxAgAAAAgxMDYuMTAxMQIAAAAKMTA4LjM0OTI1MgIAAAAKMTA3LjcyNjM4OAIAAAAKMTA1LjM0MTk4NAIAAAAKMTA1LjAzNTA3MwIAAAAKMTAzLjA0ODAwMQIAAAAKMTA0LjgxMzIxNgIAAAAKMTA4LjM0MzY0NAIAAAAKMTAyLjc2ODI2OAIAAAAKMTA0LjA0MTUzNwIAAAAKMTAyLjcxMDM5MgIAAAAKMTAyLjEyMTk4NwIAAAAKMTA2LjkxNjAzOQIAAAAKMTA5LjU0OTM5MgIAAAAKMTEzLjc4Mzk3NwIAAAAKMTE3LjQ3ODM4NwIAAAAKMTE1LjA4NjE4NAIAAAAKMTE1Ljg3MDMzOQIAAAAKMTA5Ljk3Njg0MwIAAAAKMTE0LjMyMDQyNgIAAAAKMTE0LjgxNzkyOQIAAAAKMTE4LjI2MjE3OQIAAAAKMTE5LjQyOTM5OAIAAAAKMTEwLjgwOTIwMwIAAAAKMTEwLjI4Mjk5OAIAAAAK</t>
  </si>
  <si>
    <t>MTA2LjM0MTI0NQIAAAAKMTA3Ljc2Njc4MgIAAAAKMTEyLjgzNzQ4NAIAAAAKMTExLjI4NzU3MgIAAAAKMTEzLjA1NzUzNAIAAAAKMTEyLjc5OTk3OQIAAAAKMTEwLjkzMDI2MQIAAAAKMTExLjM1NzM1NAIAAAAKMTEwLjE2MTQ5NAIAAAAKMTA3LjUwNDAyNwIAAAAKMTA3LjU5ODkzNwIAAAAKMTA5LjI1OTg1MwIAAAAKMTA1LjEyMTc5OAIAAAAKMTAzLjU1NTc5MQIAAAAKMTA3LjAxMDQ5OAIAAAAKMTExLjI5MDkxNwIAAAAKMTA3LjY0NjM5MQIAAAAKMTEzLjU0OTc2NAIAAAAKMTExLjA1MzI2MQIAAAAKMTA5LjIwODAyMgIAAAAKMTExLjA1MzI2MQIAAAAKMTEyLjg2MDg0MgIAAAAKMTEzLjMyMjE1MgIAAAAKMTE0LjI2MzYwMQIAAAAJMTA5LjQzMzk3AgAAAAoxMDYuODQ0OTg3AgAAAAoxMDQuNzU0OTcxAgAAAAoxMDIuMDM0MTg1AgAAAAk5OS42NDI5MDYCAAAACTk3Ljc2MDAwOQIAAAAIOTcuNjU2NDUCAAAACTk0LjkyODk3MQIAAAAJOTUuMTE1NTI3AgAAAAg5Ni4wNzYyOQIAAAAJOTAuNDMyOTc0AgAAAAk5My4yMzEzMTICAAAACTk1LjczMTE2MQIAAAAJOTMuMjU5Mjk2AgAAAAg5NS4wNTk1NgIAAAAJOTQuMTE3NDUzAgAAAAk5Mi44NTgyMDECAAAACTk2LjA2Njk2MgIAAAAJOTcuNTQwNzU0AgAAAAk5Ny45MDQ1MzgCAAAACTk1Ljg5ODk0NwIAAAAJOTkuNjIzOTg2AgAAAAk5Ny41NjI3MzYCAAAA</t>
  </si>
  <si>
    <t>CjEwMi42NzQyNjUCAAAACjEwMS41NTU4MjkCAAAACTk5LjA2MDE0NgIAAAAKMTA4LjY4MjM5MgIAAAAKMTA2LjI0MjE2OAIAAAAKMTA3Ljg2ODk4NAIAAAAKMTA2Ljg2MTQ2OAIAAAAKMTA0LjkyOTYyNAIAAAAKMTAwLjA1ODQxOQIAAAAKMTAxLjcxMjk2NQIAAAAKMTAyLjUyNzA0OQIAAAAIOTguNDgzOTECAAAACTk1LjQ5NTEwNAIAAAAJOTUuMjQ3NTY1AgAAAAg5Mi41NDI5NwIAAAAJOTQuNTc4MjkyAgAAAAk5OC4zMjgwNTICAAAACTkzLjg4MTUxNQIAAAAJOTYuMzg0NDExAgAAAAk5OC40NTY0MDYCAAAACTk2Ljk2MjAwMwIAAAAJOTYuMjM3NzIxAgAAAAk5Ny40MjA0MDgCAAAACDk2LjE0NjA0AgAAAAk5OC43ODE5MjECAAAACjEwNy41NjIxMzMCAAAACjEwNS40NDQzMzgCAAAACjEwNS40ODA2OTUCAAAACjEwNC41NzE3NzECAAAACTk5LjY3MjY2OAIAAAAIOTQuMTAwOTYCAAAACTkwLjc0NzAyOAIAAAAJOTcuOTYzODg5AgAAAAkxMDIuNTM1NzgCAAAACjEwMC42NjMzOTUCAAAACjEwMS4xNDUxMjUCAAAACjEwNy40ODk0MTkCAAAACjEwMC45NTAwMzYCAAAACjEwNC4yNzgzNTYCAAAACjEwMi4yMzk4NzMCAAAACjEwMi4wNTk0NzYCAAAACTk5LjY5NjI3OAIAAAAJOTkuNDg4ODIyAgAAAAk5OC4wMjc2MDgCAAAACTk0LjQzNzcxMgIAAAAJOTMuMzkxNDExAgAAAAk5OS4wOTE5NDkCAAAACjEwMi4x</t>
  </si>
  <si>
    <t>MTM1OTUCAAAACjEwMS4wOTQzNTMCAAAACjEwMS45NjAyNTgCAAAACjEwMC40OTI4MTcCAAAACDk5LjA1MjIyAgAAAAk5NC43MjE0ODICAAAACTg4Ljc1MzI5NQIAAAAJOTAuMzk5NjkxAgAAAAc3OC4xMjMzAgAAAAk3Ni43Mjc0NDMCAAAACTgzLjQwMjUwNgIAAAAJODYuMzQ2MzM1AgAAAAk4NS41MzIwODQCAAAACTg3LjU3MjE4NAIAAAAJODQuMTgwOTY2AgAAAAk4NC4xMDkzODMCAAAACTc4LjM4MTc3NAIAAAAJODUuODk2NDk5AgAAAAk3Ny4xNjc3MjECAAAACTc0LjkxNjg0OAIAAAAINzYuMjgxNTUCAAAACTc3LjU4NDIyMQIAAAAINzcuMDA4MjECAAAACTc2LjMxNjk5NwIAAAAJODkuMDI0NjgxAgAAAAk4Ny44MTA2MjgCAAAACTg2LjQ4MTM3MgIAAAAJODEuNDAzNjE1AgAAAAk3OC43NDUxMDQCAAAACTgwLjQyOTEwOQIAAAAJNzQuNzgwMDM2AgAAAAk3NC42NzQ3NzQCAAAACTc3LjA0MzE3NAIAAAAJNzYuMTc0NzYxAgAAAAk3Mi45MTE2MzICAAAACTc0LjczNjE3NwIAAAAJNjkuMDA4MTU4AgAAAAk3NC40OTA1NjUCAAAACTczLjc2MjUwMQIAAAAJNjguMjgwMDk0AgAAAAk2Ny44NTkwNDUCAAAACTcwLjM1OTAyMwIAAAAJNzAuNjI4NjYyAgAAAAk2NS4zMTA0NzQCAAAACTYyLjYxMjMzOQIAAAAJNjIuMzUyMDY5AgAAAAk1OS43NTgwNDICAAAACTUzLjA4NjQ0OQIAAAAJNTIuOTM4OTYyAgAAAAk1</t>
  </si>
  <si>
    <t>Mi4wODAwNzECAAAACTU0LjY2NTQyMgIAAAAJNTIuODI2MTc5AgAAAAk1My4xMzg1MDMCAAAACTUyLjYzNTMxNAIAAAAJNTUuMzY4MTUxAgAAAAk1NS42NjExODkCAAAACTU1LjE5MDM1NQIAAAAINTQuMDM0NjcCAAAACTUzLjU4MDk1NwIAAAAJNTMuMjI5OTcxAgAAAAk1Mi4xNTk4OTMCAAAACTQ5LjMwMDY0NAIAAAAJNDcuMjIwNDEyAgAAAAk0Ni4yMTAyNTgCAAAACTQ2Ljk3MjE1NAIAAAAINDcuNzQyNjECAAAACTQ1LjE0ODc0MQIAAAAJNDguNTk4NjczAgAAAAk0OC43OTMyNjECAAAACTQ4LjU0ODcwNAIAAAAJNDguMTAxNzU2AgAAAAg0OC4zMzc4OAIAAAAJNTEuNjM1MTc3AgAAAAk1My4yNzExNzcCAAAACTU0LjUyNzY5MgIAAAAINTAuOTM1MjQCAAAACTUyLjQyNzg3OAIAAAAJNTEuODIwNzAzAgAAAAk0OS4yMjMzNDMCAAAACTQ5LjY4NzE1OAIAAAAINTEuMjQ3MjYCAAAACTUxLjg5MTE4NgIAAAAINDcuNTc3MzECAAAACTQ2LjE4OTIyMwIAAAAINDcuMDk1MjICAAAACDQ2LjQzODU4AgAAAAk0Ny43MDE5ODkCAAAACDQ3Ljk2Nzk3AgAAAAk0Ni45NTM5MTgCAAAACTUxLjUwODgzOQIAAAAJNTAuNjQ0NDAxAgAAAAk0NS4xOTE3OTUCAAAACTQzLjUyOTQxNQIAAAAJNDEuOTkxNzE0AgAAAAk0MC44MjQ2NDICAAAACTM2LjY0ODE4NwIAAAAJMzguNzY1MDIxAgAAAAkzOS4xNDA5ODMCAAAACDM3LjE1</t>
  </si>
  <si>
    <t>OQIAAAAPNjMyLjc3MDEzNzI5NTc1AgAAABA2MTkuMzQwMzA1NzQ2OTc4AgAAABA2MjEuOTk3MzQwNDM4ODQ3AgAAABA2NTAuODE0NjcxODg4MTQ5AgAAABA2MzAuOTQ0Mjg0NzgyNTg3AgAAABA2MjguMjgzNTIxOTU4NzY1AgAAAA42MzIuNDE0Mzg4ODA2MgIAAAAQNjI1LjQxOTEwMTY4NjE2MwIAAAAQNjA1LjkzMjEwNzM3MTA2MQIAAAAQNjA4LjMyMzU0MjY2OTU5NAIAAAAQNzA4LjE1MDA3MjkxMDA1NQIAAAAQNzAyLjczMzczNjU0ODMxNAIAAAAQNjgxLjAwMDUyMjQ4NDc4NQIAAAAPNjYzLjk0Njc4NDE4NzQ4AgAAABA2ODkuODgxMDc2MDA4OTA2AgAAAA82ODguOTY4NTg5OTc3MDECAAAAEDY4MS43NTcyMTMwMDQ1MjYCAAAAEDY3NC41OTM2NDIwNjAzNTkCAAAAEDY2Ny45NTM4MDQyNTMwMTECAAAAEDY5NC4yMjc3NDU1NTc2MDgCAAAAEDcxNC45NDc2MzE1MTUxMjICAAAAEDY3My42MDA3NTM0OTkyMDQCAAAAEDY2Ny42MDI0ODU0OTQwNzMCAAAAEDY0Ni42Njc0MjkzNTc1MTICAAAAEDYzOC45MjMxNjc1NTk1NTMCAAAAEDY3Ni42Nzc2NDg3NTQyNTkCAAAAEDY5MS4xMzE4Nzg0MTA3MTECAAAAEDcyNC4wNTU5NjI2ODU2OTMCAAAAEDczOC44MjkyNzU3NDM5MjMCAAAAEDcyMi4wNDQ1ODY4MjAxNzECAAAAEDcxNy44NjY2NDA5MTQ1OTQCAAAAEDY3Ni4xOTg5OTcwOTUwNjQCAAAAEDY5MC45MTE0</t>
  </si>
  <si>
    <t>MjgxMzEzMjgCAAAAEDY5NS4yNjI1OTUxNDE4OTgCAAAAEDcxNC4wODAyMDkwOTk0MzcCAAAAEDcxNy45Nzc3MjI0OTkwNjMCAAAAEDY3MC45MTYyODg2MjE4MzYCAAAAEDY3Ni40OTgxMTU1OTY3MDMCAAAAEDY1MS43OTEyMTg2NjE5MzUCAAAAEDY1Ni42NjgyMTU4MDA2MTQCAAAAEDY5NS44NjEzMDE3MTMxNjICAAAAEDY4OC44MTM3Njc0MTYwOTMCAAAAEDY5Mi4yNTA5MzYyODA0NTcCAAAAEDY4Ni4zOTg1MDcxMzY1MjECAAAAEDY3OC40Njk2MDIzODkxNTICAAAAEDcwNC43OTg0MjU1MTcyMjYCAAAAEDcwNi41MTExMDQ0OTg3NzMCAAAAEDY5Mi40ODk3MDc1MTIxMzYCAAAAEDY4OS4zNzg5NTY2ODIyNzQCAAAAEDY5OC4yMzIwNzIyNjM3MTECAAAAEDY4MC4wMTg3ODkxMjE1NTYCAAAAEDY2Ny41ODAzMzMwMTI0MDcCAAAAEDY4My40MzMxMjEzNTU4NDMCAAAAEDcwOC4wNDQ3MDI0NzU4MjICAAAAEDY5NC4wNjkwMTM0MzQyNjkCAAAAEDcyMS42NjA0NDAxNTg5NDgCAAAAEDcxNi40NDM3MTMyNTc0MTECAAAAEDcwNi44MDQ3Nzc1OTAwODICAAAAEDczMS4zMzg2NDE4OTEwOTgCAAAAEDcyNS45ODY5NTIyMTY5NzcCAAAADzczNC45NjM2NDU0MzU5NQIAAAAQNzQ5LjM4NjA3OTczODgyNAIAAAAQNzIxLjI0MjI2Nzc4NTA4MgIAAAAQNzA1LjY2NjgzNTkzMTk0NQIAAAAQNjkzLjQ4MjExNzIxNTAwNQIA</t>
  </si>
  <si>
    <t>AAAQNjY4LjQ5NzgxMjA3NDc3NwIAAAAQNjYwLjgwOTY5Mzk4MTkxNQIAAAAQNjUyLjM1MDc4MTYyNzY1NQIAAAAQNjQ5LjU5MjQ5OTQxMDgzNAIAAAAQNjM1LjgwODU1Nzk5MTIyNwIAAAAQNjM3LjM0OTcxOTM4NzQzNwIAAAAQNjQzLjg0NzY0NTU4OTY2MwIAAAAQNjEyLjMyNjA1MTk2MTk4NwIAAAAQNjMxLjc3Mjc1MjcxNDc5NQIAAAAQNjQ3LjIyNTI1NjQ1NTc0MQIAAAAQNjQwLjA0ODA1MzY5OTUwNgIAAAAQNjQ4LjkxMjM2MzQyMTYyOQIAAAAQNjM4LjI4NzMwMzE2Mzk0OAIAAAAQNjIzLjIyMjcxODU5MjQ5NQIAAAAQNjQ0LjM1NjY3NDU5NDg0NQIAAAAQNjQ1LjA4MjQ1OTQ5MDY1OQIAAAAQNjQzLjQ5NzYyNzAyNzczNQIAAAAQNjM3Ljg4MDE2NjI5NzQ1NAIAAAAQNjYzLjIzNTgyOTQ5NDk4MgIAAAAQNjQ4LjU3NzUxNjMzOTgzNgIAAAAQNjkxLjA5OTk2MTgyMDg1NQIAAAAQNjg2LjQzOTQ2MDI3ODI0NgIAAAAQNjU2Ljc4NTE0NTc4OTY2MwIAAAAQNjk0LjE5MTM2MjE3Njc4MgIAAAAQNjg1LjQ3NjE4MDY4NzMyNgIAAAAQNzAxLjg0MDAyMjk4OTM0OAIAAAAQNzAwLjk2NjcwMDM0NTMyNwIAAAAQNjkxLjM4NjIyNjkzMDQ4MgIAAAAQNjY2LjE4MDQwNjExOTM0OAIAAAAQNjc1LjQzMTEyMTQ4OTY5MwIAAAAQNjg2Ljg0NDU1NTk2MzIyNwIAAAAQNjYzLjM4MTA1NTY0NDUwNgIAAAAQNjU1Ljg1</t>
  </si>
  <si>
    <t>NTI1NDkyMTk0NwIAAAAQNjQ1LjAwMjg1Mjk5OTI4MwIAAAAQNjIzLjAxNTUyMzc4MTkzNQIAAAAQNjE5LjM5Njg3MDg5ODcxMQIAAAAQNjIzLjU1NzA1MzI1MTI2MwIAAAAQNTk1LjE3MjA4MjYwOTAzMgIAAAAQNjE2LjQyNTI5NzM4NDk0MwIAAAAPNjIwLjgxODQ2NTQyMjE2AgAAAA82MTAuNDEyNDg1MDIzOTICAAAAEDYwMi41MTEzNTI5NDUxNjMCAAAAEDYwOS4yOTUyNzg4MzQ5NjgCAAAAEDYwMy44Mzg4NDYyMDEzMTcCAAAAEDYxNy4xNDg5OTExNzQwNTICAAAAEDY1NS4xOTYxNDAxNDUxMTICAAAAEDY1My4yOTUyODMyMzY2MDUCAAAAEDY3MC4zMTY4OTM4NTY0MTcCAAAAEDY1NC4xMzc3ODk2ODMwNzUCAAAAEDYzNC45MDEwMDc3NjA3NTICAAAAEDU5OC4wMjk3NDI1ODMxODUCAAAAEDU4NC42NDExNTg5NjQ3MzMCAAAAEDYyOC43ODQyMzIxNDk0MjcCAAAAEDY2NC4zMDI3MzUxNjg4NTMCAAAADzY0NS4zMTkzMTcxMzc5MgIAAAAQNjQ0LjIwMTQ3MzU1OTkzOQIAAAAQNjkyLjA5NjQxNDYwMjMyNQIAAAAQNjU4Ljk1MTk3MjM1NjU1MQIAAAAQNzAwLjU4MTkwNDIxNjAwNQIAAAAQNjk1LjMyNDA1MjI5Mzg2MQIAAAAQNjkwLjIwNzgwODY0MDYyMgIAAAAQNjcyLjM0NjcwNDM2OTcwNgIAAAAQNjcyLjM0MzU4NzUxMjg5OAIAAAAQNjY4LjMyNzM1NDU5MTE1OAIAAAAQNjQwLjI3NzMyNjMxODUwOAIA</t>
  </si>
  <si>
    <t>AAAPNjI5LjQ3MTIxMzgyMTk2AgAAABA2ODcuMjAwMzExMjMyNDgxAgAAABA3MDEuMDA0NzYwMTI0NjkxAgAAABA2OTkuMTg5MjY4NzI0NjI0AgAAAA83MTYuMDE5MDUzMzMyMTYCAAAAEDcwMS45ODczNzQ3MDM1MzICAAAAEDY4NS43MTQ1OTk5MzQ3ODkCAAAAEDY2Ny4zNTAwMDQ1MTM0NjUCAAAAEDYxNy40ODIwNzU1MjI3NTcCAAAAEDYyOS4xMzY4MDA4NDk4NDgCAAAAEDU1Mi41NjExMjcxNjM5ODgCAAAAEDU0Mi42MDcyMjI2NTgzMTkCAAAAEDU5Ni4yNzQxOTIzODE1NTMCAAAAEDYxMi4xOTAwNjEzMjU5NTUCAAAAEDYwOC41NDM1MTI3NTY2NDkCAAAAEDYyOS4zODAzOTk4MDMyNzgCAAAAEDYwMy42MDQ1MDMyNTc5ODECAAAAEDU5Ny43MDI0NzE3NjQyMTMCAAAAEDU1Ny44ODEwNjQ3MjQxMzQCAAAAEDU5OC43MzUyNzM0MTkwNzMCAAAAEDU0Mi44MDI2MjY4NjE1MzQCAAAAEDUyNC4yNjYzNzc5NTYxMTECAAAAEDU0MC44NzE2OTgzMjc0NzICAAAAEDU1NC4xMDA5ODAwMzUxMjYCAAAAEDU0Ny4wMTkyMTcwNzIxNjcCAAAAEDU1NS42NTQ1NjI0ODQ1ODECAAAAEDY3MC43MTg3OTU1Mjk4MTgCAAAAEDY3Ni45MzA2ODkyNjIxODkCAAAAEDY2OS4wMzIxMTIyNTI0NjgCAAAADzYxOC45MzM4MjEwMjA4NAIAAAAQNjEyLjI0NTY2MjU4NTcxMgIAAAAQNjMwLjYyMzM1ODYwMzI3MQIAAAAQNTcyLjQxMDY4</t>
  </si>
  <si>
    <t>ODg5NzUxNAIAAAAQNTc5Ljg5NTU4NjQ4MTgwMwIAAAAQNjA3LjYzMTcxODk1NjY0MQIAAAAQNjA1LjcwNzc1NTI5MDU5MQIAAAAQNTg2Ljg5MzEwMzU0NzI0MwIAAAAPNjAxLjMzNjQwOTcyMTY0AgAAABA1NTkuNzgyNjE1MzcwMzQ2AgAAABA1ODAuNTUwMTUwOTc3NzI2AgAAABA1NjkuODA2MDU3OTkxNDAzAgAAAAo1MjEuNTM4MjI0AgAAAA81MTQuODE4NzY3NzA4ODUCAAAACjUzNC42NDg5MTQCAAAAEDUyNS40NTM1MTkxMjQzMTUCAAAAEDUwMC43MjAxNjc4MzE4NzcCAAAAEDQ3Ni44MTMwNzgxNjI2MjECAAAAEDQ5MS45ODI1NjY1NTY1MTICAAAAEDQ2Ny41NzU4ODU2OTg0NDMCAAAAEDQyMi43MzY0Nzg5ODk1NDMCAAAAEDQxOC4zNzM3MjUyODg4NDUCAAAAEDQwOC42ODA1MzY3ODUwODMCAAAAEDQzMC42MTI0ODMwOTg0NDUCAAAAEDQxNS4yNzk1NTczMjQ4MTUCAAAAEDQxOC43NDI3NTQzODA0NzICAAAAEDQxMS45MDc4OTI1MzEyODgCAAAAEDQzNC42MDQxODA3Nzc2NjkCAAAAEDQ0Mi4wMDI4NzE3ODI5NzkCAAAAEDQzNi4xOTQ0MzAwNzg3NTcCAAAADzQzOS41NjAzNTE1OTYwOQIAAAAQNDM0LjQzNjM1OTkxNjg4NAIAAAAQNDI5LjQ2NDcwODM2Njg3NQIAAAAQNDA4Ljk0NDAzOTE0MzQ4OAIAAAAQMzg2LjU3MjU2ODgwNTQ0NQIAAAAQMzY5LjIyOTA2MjM0NTU3OAIAAAAQMzU3LjM5MTM5ODI5</t>
  </si>
  <si>
    <t>NDM2OAIAAAAQMzYzLjg4MjA0NDYzMzYzMgIAAAAQMzY5LjIwNzk1OTg0NDg2NAIAAAAQMzQzLjk1MzU3MTQwMDgxMwIAAAAQMzcxLjE0MzA4NTkwNjc0NwIAAAAQMzc0LjE4NzMzNzE5ODQ0NwIAAAAQMzcyLjk4Njc4NDM2NjUzMwIAAAAPMzY3LjE3MTM0MTM1ODUyAgAAABAzNjguNjAyMDYxMjg5OTQxAgAAABAzOTkuNDI0MDY3NjIwOTU2AgAAABA0MTMuNTE3NTUxMTI2NTU2AgAAABA0MTguMDM0MzM2ODQ5MzYyAgAAAA8zOTEuOTE5NjkxODkwODcCAAAAEDQxMy40NzE3NDE3ODcwNjcCAAAAEDQxNS44NDc5NjY0NzQ0NzMCAAAAEDM4OS44MTY1ODc5Mzk4MTECAAAAEDM4OS45MDc5ODMyMTY3MTMCAAAAEDQwMS4yODkyNzUzNzY4NzICAAAAEDQwNC42NTEzNzM4MzIyMTgCAAAAEDM3MS42MDA2ODI0OTM2ODkCAAAAEDM1OC43Mzc1MjEyMTkwNzkCAAAAEDM2NS4xODg2Mjk5OTI1MjkCAAAAEDM2NC4zNTA0MDEyMDc2MzQCAAAAEDM3OS43MTE0MDk3MTE4MzICAAAAEDM4MS4xODE1OTMzODEwNTkCAAAAEDM3MC4xMTE1NDA2NjEwNDgCAAAAEDQwMC44MTgwNzg5MTU1NjQCAAAAEDM5Ni41MzcyNzAwMjk1MjgCAAAAEDM2MC4xOTAwNjYxMzMzNTICAAAAEDM0NS4yMjU3NTExMjA3ODkCAAAAEDMzNC45OTQ4MTU4OTI1MDECAAAAEDMyMS4wOTgzODEwMTAzODgCAAAAEDI5Ni41MTUzMzIyMTU3MTQCAAAADzMx</t>
  </si>
  <si>
    <t>AgAAABA2MjU5Ljc0NjQ0MzE4MTI4AgAAABA2Mjc5LjM1MDk3MzYyMTk3AgAAABA2MTczLjA3MzU2NTU2ODE5AgAAABA1OTY3LjgzOTUwMTYyNTU2AgAAABA1OTc2Ljk2NTg3MjkzODE5AgAAAA82MDAwLjM1NTEzNDcwMDECAAAAEDU5MTEuNjg2NzIzMTI2MzMCAAAAEDU4MDIuODE1MDgzODI2MDkCAAAAEDU5NTguMzc1NTI3NjAxMTECAAAAEDU2NTkuOTEyMjUxNDU2MTQCAAAAEDU2ODYuNjc0ODI3MDQ4OTUCAAAAEDU1MjUuMjA1MTE2OTg4NDMCAAAAEDUyODIuNzAxMDE3NDEzMzICAAAAEDUzNjMuMzU5NDc5ODIyMDYCAAAAEDUwNzQuMDc1NjMxNTMwMzQCAAAAEDU1ODAuOTQzNTgzOTcwODgCAAAADTU2NjcuNTY0MjcxODMCAAAAEDU2MzguOTQwMTY5MTkwOTgCAAAAEDU3NzAuMTk1NjA4MDA3NTQCAAAAEDU5NTQuNTA0ODI2OTY1MDgCAAAAEDYwMTMuMTI3ODU5OTY1NzQCAAAAEDYxMTQuNjMxNDY2OTAzMjQCAAAADzYwMjUuOTkyNDg4ODIxMwIAAAAQNjA0MC41MjU5MzM4ODE4NgIAAAAQNjEwMS4yNDI5MjczNzAyOAIAAAAQNTk5Ni42NjQ3NDUxMTkxNQIAAAAQNTgyNy4wNDQ0MzM2NTg4MgIAAAAQNTk0Mi40NzI0OTkzNTE1NQIAAAAQNTk3MC44Mzc2NDQwMjY4OAIAAAAQNTkzMC44NTAxMzY5OTM4OAIAAAAONjA1MS4wOTIwMjM4ODECAAAAEDYwOTAuMjcwNDY5MjUzODkCAAAAEDYwMzIuMzg0NDEy</t>
  </si>
  <si>
    <t>MjczOTICAAAAEDU5NjkuMzQzMDg0NTQ1MDkCAAAAEDU4NzAuNjE2NDA4MjIzNzcCAAAAEDU5OTUuNTM3MzQzMzc4NzICAAAADzU3MjguODAxMzYxNDk0NgIAAAAPNTgwOC4xMTcwMDU3OTYxAgAAABA1ODY0LjY2NzkxMzQxNDg4AgAAABA1ODE1LjAzMzQwOTQ0ODg3AgAAABA1NzUxLjA2ODE5NTY0Nzc5AgAAABA1NzM4LjE3MTc4MzE1NDI1AgAAABA1NzAyLjU0NzYxOTg0MzE5AgAAABA1NjI2LjAxODYwMDU0NTAyAgAAABA1NDA4LjQyMjE0NDIwMzU3AgAAABA1NjQ4LjM5NzIzNjMxNjc2AgAAABA1NjM0LjYwNTg0NjgwOTY0AgAAABA1NTU0LjI1MTA2Mjg0MTA0AgAAABA1MzQ0LjE2NDM1NjQyMzUxAgAAABA1MzQ2LjU2MzI1ODAxMzE4AgAAABA1NDU5LjA5NzM5OTY0MDQ3AgAAABA1NTA1LjAwMzA5Mzg2NDM0AgAAABA1NjE1LjM0ODc1OTM2NDQ5AgAAABA1NTY3LjE5MDM5MTcwNzM3AgAAABA1NDYwLjQ4MjYyMTE0OTUyAgAAAA81NDY0LjYyMTM0MDc5NTUCAAAAEDU0MzEuNjAxNjUwMzUxMzICAAAAEDUzNDYuOTg4MDY4NDc1NzkCAAAAEDUyNzcuNTA3MzQ1MjY1NTgCAAAAEDUzMDQuNzE3NjAyMDMwOTcCAAAAEDUzMDMuMjY5NjYxMDEzMzUCAAAAEDUyMjIuNjc1MzY1NzQ4NTICAAAAEDUxMjcuNzg2NjI2NTgwOTMCAAAAEDUwOTkuOTYyNDUwODU4MjICAAAAEDQ5NjcuMjM0ODk1NTM1MDcCAAAAEDUx</t>
  </si>
  <si>
    <t>MjMuNDA2ODIyMTA4ODUCAAAAEDUyMDQuMzM1MTM3MjI0NjkCAAAAEDUyNTQuMzU0NDAxMjYyNDECAAAADzUyMzQuMTgwMDU5NTg5NgIAAAAQNTExNy4wODgyMTY5NDUzMgIAAAAQNTEyMy42OTEwOTE4NTY3MwIAAAAQNTEzNy4wODM3OTkxMDA2MgIAAAAQNTA4OC43OTk5NDc2MTMwMQIAAAAQNTAwNS41Njg0NTA3NDA1NwIAAAAQNTAyNi42MDg1NzUxODIxOAIAAAAQNDk1OC42MTM4OTE5NjAyNAIAAAAQNDg5MC45NzA1MTI4NjkxNQIAAAAQNDgzOS44MTE0MjQ0NDM2NwIAAAAQNDc4My44MzEwNjcwNjExNwIAAAAQNDY5Ny4yNDQ5Mzk4MDM2NgIAAAAQNDc2OS44Mjk0MTA3OTA2NwIAAAAQNDc1NC42MzE0NDc0NzM5NgIAAAAQNDcxOS4xOTA2NDg5NTIxNAIAAAAQNDYwNC4zNzIyNTQzNjA4OQIAAAAQNDU5NC42MzE1ODA1MzEwNAIAAAAQNDU1OS4zMzUyMDg5MzM5NAIAAAAQNDUxNC4wMTc4NjM0MzI5NQIAAAAQNDQxNS4yNDQ2OTEwMDI4NwIAAAAQNDM1OC4zMzUxODIwMDQxOQIAAAAQNDExNy4zNzM4MjgzMTk0MgIAAAAQNDIyNC4xNTk0ODI4NjcyMgIAAAAQNDMyNy43ODMwMjcyNDYyOAIAAAAQNDMwOC41MDIyNTkyNjY3MQIAAAAQNDI4OC4wNTQxMjI2Mzk5MgIAAAAQNDMyMC4wNTcxMjY1ODA0NwIAAAAQNDQ1MC4zMTYyODMxODIyMgIAAAAQNDQ1Ny40ODkzMDg1NjUzOQIAAAAQNDUxNS43NjczOTYx</t>
  </si>
  <si>
    <t>Njk5OQIAAAAQNDQwNS43MDU3MzEwNTMwNAIAAAAPNDM2OS43MTE1MDA2NTQ4AgAAABA0NDY0LjA1NDU2MjU3MjgyAgAAABA0NDc4LjAzMzg0MzA2Njk1AgAAABA0NTgyLjIzMTMyNTM0MzY4AgAAABA0NTM2LjMzODUzNzAxNTQ3AgAAABA0NTA1LjQyMDMzOTMzNTEzAgAAABA0Mzk4Ljk1MjY1OTkyMDQ3AgAAABA0NDUwLjM4MTMxMTgwOTIxAgAAABA0MzQ4LjMzMDY3MDk0OTI2AgAAABA0NDA5LjU5NDM2MDkzNTc5AgAAABA0Mjk4Ljg1NzMxMzg0Njk2AgAAABA0MjgyLjM2NTU3Mjk4MjkzAgAAABA0MjA1LjQ1MjUyNzUxNzg0AgAAABA0MTkxLjk3OTc4NzgwMjg0AgAAABA0MTI0LjA4MTAyMTUxOTk0AgAAABA0MTM2LjI1MzM1NDUzODE4AgAAABA0MTY5LjQ4MTQwMDYzNTk4AgAAABA0MTMzLjUyMTMyMDQwMzE0AgAAABA0MTM3LjYzODczNDczNjY3AgAAABA0MTA1LjAxODc0MjY5NzEzAgAAABA0MTA5LjMxMjQ0NDYyMTQ3AgAAABAzOTcwLjk4NjQxMTkwNTIzAgAAABAzOTE2LjYzNzIzODg1NzE0AgAAABAzODYxLjU4OTkwODM4OTU3AgAAABA0MDQ1LjYzNzY0NzU2NTcyAgAAABAzOTcwLjAzNjc3NTk1MTI2AgAAABA0MDc5LjA5NDY2MjI1NDk1AgAAABA0MDkwLjQ2MTk2NDkyNzkyAgAAAA80MTM2LjQ4MTYwMDEyNzICAAAAEDQwNzAuNTU4MjkyMDUzMzcCAAAAEDM5NzIuNjEwNDUyODQyOTICAAAAEDM5</t>
  </si>
  <si>
    <t>OTkuMDkwODM1OTY0NDQCAAAAEDM4OTUuMDc1NTY3NzkyNDcCAAAAEDM4MzkuNDk2NTg2Njc2ODECAAAAEDM4NDQuODE1MDI5MzY2NDUCAAAAEDM4NTIuMzYzNTkyOTkwNTUCAAAAEDM5MzQuMzc2NDc2MjI0MzQCAAAAEDQwNzEuNzAwMDMzMzc1MjICAAAAEDQwMjYuMTE1NDk4NDkwNzUCAAAAEDM5NjUuMzM5MzAwNjg5MjUCAAAAEDM5OTIuOTI3NzM5MTkyNDECAAAAEDM3NzAuNTQ2NDM3OTI1NTgCAAAAEDM5MDEuMDYzNzk2ODU2NDgCAAAAEDM3NTIuNzQ3ODUzMDI1MjcCAAAAEDM1ODMuMDY5MTE0OTY0NzECAAAAEDM2MzkuNjYwMDI1NzYxODMCAAAAEDM1ODUuNjI0MTAzNTQ4NjgCAAAADzM2OTMuMjMzNTI5MjQ1MwIAAAAQMzg3My4zMzQyNzI3Mzk4NgIAAAAQNDA2Ny4zNjIzMjQ1OTU3NQIAAAAQMzkyNC4yNTk1ODAzMzE5NgIAAAAQNDA1Ny42NjMwNzEwODYyMgIAAAAQNDIyOC40Nzg0ODgxOTUzMgIAAAAQNDI4MC4xNTA1MjgwMTMyMQIAAAAQNDE0NS4xODkwNzc0Mjg1NgIAAAAQNDEzMC4yODU3NzM4MTkxNgIAAAAQMzk2MS42MzQ4ODEyNDMyMwIAAAAQMzg2My4xNjI4MjcxMjM5OAIAAAAQMzg5OS4zNzcxNDc1OTUyMwIAAAAPMzgyNS4zMjYxMDUzNjY4AgAAAA8zOTExLjc0Mzg1MTM2MjkCAAAADjM2NzQuODQxMzYwMDQ1AgAAABAzOTAwLjg2NDQ3NTc4MTE5AgAAABA0MTA4LjUzNTQwODA3NjA5</t>
  </si>
  <si>
    <t>AgAAABA0MTU4LjIzODM2MTI1NzU5AgAAABAzOTAxLjM2MDU3NjAzMjI3AgAAABA0MDIzLjg5MTI3MDE3MDQ4AgAAABA0MTIzLjMzNTY1MDExNjkzAgAAAA80MTMxLjkyNjQxMDM3NzYCAAAAEDQyNzEuNzc1NjE5MzA3MjkCAAAAEDQzOTIuNTg3NjYyNDY5NzUCAAAAEDQ0ODguMjgxNzUxNDcxNDgCAAAAEDQ1NDUuODU1NTM3Mzk3MTMCAAAAEDQ1NDMuMDU2Mzc4Nzg3ODkCAAAADjQ0NjMuMTE3NTkwNDgzAgAAABA0MjA0LjMxMTg1MDYxNzIyAgAAABA0MzI4Ljg3Mjg4NjQ1NzkyAgAAAAs0Mzg0LjY1NDQ5MQIAAAAQNDM0OC44NjkxOTY1ODM2OAIAAAALNDQxOC42MzY1MTcCAAAACzQ1MDAuNTMxNDU3AgAAAAs0NDMxLjg0OTExOQIAAAAQNDM5Ny45MzkxNzQ1MjgwNwIAAAAQNDY2Mi44NTQxMTg4MTg1OQIAAAAQNDY3Ny4wMjc2NTY3MzM5NAIAAAAQNDc2Ni4xODI5NzI0MjgzMQIAAAAQNDcyNS43ODgyNDIyNzc2NwIAAAAQNDYyMC42Mzg5ODUyNTM3NgIAAAAQNDcxMi4wMjQxMzYxNTE3MgIAAAAQNDUzOC40Mjc4NjQ5MzY1MwIAAAAQNDU5NC42MTgyNzc1MTQyMwIAAAAQNDY5Ny45NTUxMDY0NDI5NwIAAAAQNDY4Mi44NDczOTU5NTA3NwIAAAAQNDY5Ny41MjY4MDU0ODUyMwIAAAAPNDYwNS4zNzY2NDgxNzc2AgAAABA0NTQ0Ljg5ODI1MjY4MTcyAgAAABA0NDcxLjM2ODQ1NDIxNzc3AgAAABA0MzkxLjMz</t>
  </si>
  <si>
    <t>ODA1MjE2NjQ4AgAAABA0MzU3LjAzODg3NTMzODM0AgAAAA80NDU1LjQ3NzkxNTg4MzMCAAAAEDQ0MzIuOTg3NDgwMDI5NTICAAAAEDQ0NTguNTc5ODU0NTM0NjICAAAADzQ1MzUuNDMyNjQ0OTgxNgIAAAAQNDUwOS4zNjkwODkzNzk1MgIAAAAQNDQ0MS42NjUxODIwOTIxMwIAAAAQNDQ2OC4wMDMyNDM5OTA1MgIAAAAPNDQzNi41MTc3NTY3NDQxAgAAABA0Mzk1LjI2Mzk3MjE2MzE4AgAAABA0NDExLjc5MjQyMTYwMjQ0AgAAABA0MzI3LjE1ODE1MzgzNjQ5AgAAABA0MzY5LjU1MDk5ODE4MTY2AgAAAA80MzUyLjMzODg3OTI5NTQCAAAADzQyODAuNzAyNDIxNzA3MQIAAAAQNDE2Ni40NTMyMzczMzQ4MQIAAAAQNDI0Ny40Mzk3ODQ3NTI0MwIAAAAQNDIyOS44OTA2MDQxMDMxMwIAAAAQNDIwNC4xMTA1NDU2NTM2NAIAAAAQNDE1NS44NTc4MTE3MzEwNQIAAAAQNDE3My44NTQwOTQyNDI0MwIAAAAQNDIzMi42MDEzNzgyNTczMwIAAAAQNDE4MS4xNzQ4OTU0NDA3OQIAAAAQNDE4MC4xNjczNzYyOTUyMwIAAAAQNDE4NS40Njg3MTA3NTcxMQIAAAAQNDEyOC44MDIwNzk4NDk2NQIAAAAQNDAxOS44NjU0NDQ5NzYwNgIAAAAPMzk3NC41MzY4NzMxOTE3AgAAABAzOTEzLjA5OTIwNTA4OTY2AgAAABAzOTQzLjM0Mjc5NTA1MTY4AgAAABAzODQxLjk0MTM3MTEzODkzAgAAABAzODExLjE0OTc0OTU5ODI4AgAAABAz</t>
  </si>
  <si>
    <t>AAAJMjkuNTAyMTAxAgAAAAgzMC4zODY5NwIAAAAIMzAuODQzOTkCAAAACTI4LjQ4MTA5OQIAAAAJMjguMjk2MzQ2AgAAAAkyOC4yODY2MjMCAAAACTI4LjkzODExOQIAAAAJMjguNDkxMTc3AgAAAAkyNi45MTIwNTUCAAAACTI3LjkzNjA5MgIAAAAJMjcuMTAzNDY0AgAAAAkyNS40NDc3NzkCAAAACTI3LjE2MDg4NwIAAAAJMzIuNDA1NDgzAgAAAAkzMy4wNjU4NDMCAAAACTMxLjk1NTY3MwIAAAAJMzAuNjkyMzc2AgAAAAkzMS42OTcyNzICAAAACTMyLjQzNDE5NQIAAAAJMzMuMDM3MzI1AgAAAAkzMC40NjA0MTQCAAAACTI5LjMxODI2NgIAAAAJMjkuNjg2Mzk3AgAAAAkyOS45MTI5MzgCAAAACTI5LjUzNTM2OQIAAAAJMjguNzYxMzUyAgAAAAkyNy4zMzYwMjcCAAAACTI2Ljk5NjIxNAIAAAAJMjguMjk4ODI5AgAAAAkyNy4wOTA2MDcCAAAABzI3LjY2NjQCAAAACTI4LjA1MzQwOQIAAAAJMjcuMzU0OTA1AgAAAAkyNy4zMDc3MDkCAAAACTI3LjE1ODIxMwIAAAAJMjkuMjg1OTAxAgAAAAkyOS4xMDkzNjgCAAAACTI5LjgzNDA4MgIAAAAJMzAuNTQ5NTA2AgAAAAkyOS4xOTI5ODkCAAAACTMwLjMyNjUxNgIAAAAJMjkuNTgzMjE5AgAAAAkyOS42Mzg5NjcCAAAACTMxLjU1Mjk1NgIAAAAJMzEuNjkyMzI1AgAAAAkzMS42OTIzMjUCAAAACTMwLjkwMjU3MgIAAAAJMzEuMjE1NDc3AgAAAAkzMi4yODcxMzYC</t>
  </si>
  <si>
    <t>AAAACTMyLjQwNjIwOQIAAAAJMzIuMjMyMTc5AgAAAAgzMy45MzU4NAIAAAAJMzMuMDY1NjkxAgAAAAkzMi41MjUyODICAAAACTMxLjk1NzM5NQIAAAAJMzIuMjk2Mjk1AgAAAAkzNC40MTIxMzMCAAAACTMzLjYzMzU3OAIAAAAJMzQuMzM4ODU3AgAAAAkzNC4yNjM2NDUCAAAACTM1LjA0MjM2NQIAAAAIMzUuNzM5NTkCAAAACTM0Ljg3OTM3NwIAAAAJMzUuNzEyNDI1AgAAAAkzNS4wMDYxNDUCAAAACTM0LjExODc2NwIAAAAJMzQuMjI3NDI2AgAAAAkzMy45NDY3MjUCAAAACTMyLjk2ODc5OAIAAAAJMzIuMjcxNTczAgAAAAkzMi4wMzYxNDYCAAAACDMyLjA5OTUzAgAAAAkzMi41MjY1MjcCAAAACTMwLjk4Nzg2OAIAAAAJMzEuODczNDkxAgAAAAkzMC4yODExNTkCAAAACTMxLjE4NDY3MwIAAAAJMzIuMjMxMzE5AgAAAAgzMS42Njc3NAIAAAAJMzEuNjA1MTIxAgAAAAkzMS4xMzk5NDUCAAAACTMxLjU3ODI4NAIAAAAIMzIuMTg2NTkCAAAACTMyLjA0MzQ1OQIAAAAHMzEuODU1NgIAAAAJMzEuMzgxNDc4AgAAAAkzMS45ODMyODkCAAAACTM0LjEzOTA2OQIAAAAIMzQuOTk2MDgCAAAACTM1LjM0OTQ4NgIAAAAJMzIuOTI4NjUxAgAAAAgzNC4yMDk3NQIAAAAJMzMuOTYyMzY1AgAAAAkzNC4yMzYyNTYCAAAACTM0LjE2NTU3NAIAAAAJMzMuNjg4NDc1AgAAAAkzMS45MzkxMTMCAAAACDMyLjAxODYzAgAAAAkz</t>
  </si>
  <si>
    <t>Mi43Nzg0NTQCAAAACTMyLjEzODczOQIAAAAJMzIuMDYwMTM5AgAAAAkzMi4wNTE0MDUCAAAACDMxLjAyMDg3AgAAAAkzMC43ODUwNjkCAAAACTMwLjgyMDAwMgIAAAAJMzAuNDAwODAyAgAAAAkzMC44NzI0MDMCAAAACTMwLjk3NzIwMwIAAAAJMzEuMTM0NDAzAgAAAAgzMS4wNDcwNwIAAAAJMzEuNDY2MjcxAgAAAAkzMS4yNzQxMzcCAAAACTMyLjA4MTQwNQIAAAAJMzQuODAzMDk3AgAAAAkzNC4yNTAxMTgCAAAACTM1LjA2MjMwNgIAAAAJMzQuMTM3Nzk1AgAAAAkzMi43ODEyNjkCAAAACTMxLjAwMTM2OAIAAAAJMzAuMzg3OTA4AgAAAAgzMy43MDU3OAIAAAAJMzQuNzUxMjU1AgAAAAgzNC4zMDE5NgIAAAAJMzQuNTc4NDQ5AgAAAAkzNC43ODYzMzgCAAAACTMwLjA3OTY5OQIAAAAIMzEuMDgwOTMCAAAACTMwLjM3OTIxMgIAAAAJMzAuNDMwNTU4AgAAAAgyOS40ODkyMwIAAAAJMjkuODkxNDM0AgAAAAkyOS45NTk4OTQCAAAACTI4LjgyMTc0MwIAAAAJMjguODQ3NDE2AgAAAAkzMC4yNTk0MDcCAAAACTMwLjE4MjM4OQIAAAAJMjkuMTI5ODE0AgAAAAkyOC45NTg2NjMCAAAACDI4LjcyMTMxAgAAAAkyOC4wNjkzMjMCAAAACTI2LjU1MzY2NAIAAAAJMjUuNjgxNTI2AgAAAAkyNi4zMTY1NzgCAAAACTI0LjE3NDMzNAIAAAAJMjMuNzc2MzY4AgAAAAkyNi4yNTczMDYCAAAACTI2LjgzMzA4NwIAAAAJMjYu</t>
  </si>
  <si>
    <t>MzU4OTE1AgAAAAkyNy4zNzQ5OTkCAAAACTI2LjY4MDY3NQIAAAAJMjYuODE2MTUzAgAAAAkyNC44MjQ0NTMCAAAACTI0LjU5MDEwMgIAAAAJMjMuMDU4NDUxAgAAAAgyMi4zMTM1NQIAAAAJMjMuMzAxMTcyAgAAAAkyMy42Njk0MzgCAAAACTIzLjYyNzU4OQIAAAAJMjMuMjM0MjE1AgAAAAkyNy4xNjc5NjECAAAACTI3LjYwMzE4NAIAAAAJMjcuMjUxNjU4AgAAAAgyNi4xODAzNAIAAAAJMjUuNTE5MTM2AgAAAAkyNi4zODExMjICAAAABzIzLjc4MTECAAAACTI0Ljc0MTYxOAIAAAAJMjUuOTA5MTQ0AgAAAAkyNS4yMzAxNTcCAAAACTI0LjcwODQ5NgIAAAAJMjUuNzEwNDE2AgAAAAgyMy43OTc2NgIAAAAJMjMuNDA4NDg1AgAAAAkyMy4xOTMxOTYCAAAACTI1LjQ0NTQ0NQIAAAAJMjYuMzA2NTk5AgAAAAkyNy4yNDIyMzYCAAAACTI2Ljk1NTMwMwIAAAAJMjUuNDcxNDQ5AgAAAAkyNS4xNzYzMTgCAAAACTI2LjI2NjY2MwIAAAAJMjQuMzIzNzE3AgAAAAcyMS44MzE1AgAAAAkyMi4xMTAyMzUCAAAACTIxLjU2MDk2MwIAAAAIMjIuNDcwOTUCAAAACTIyLjA2MTA0NgIAAAAJMjEuMjgyMjI4AgAAAAkyMS41MDM1NzYCAAAACTIyLjQ0NjM1NgIAAAAJMjIuNTcwNDc4AgAAAAkyMy4zMzIyODMCAAAACTIzLjkxNTc5MgIAAAAJMjQuMjU2MTczAgAAAAkyMy4zOTcxMTcCAAAACTIyLjM2Nzg3MQIAAAAJMjEuMjY1</t>
  </si>
  <si>
    <t>MjAyMC4xMS8xMy8yMDI1Li4uREVTQy5XLklRX0NMT1NFUFJJQ0VfQURKBAAAAA4RBAAFAQAAAgAAAAQzMy43AgAAAAUzMi40OQIAAAAFMzIuOTcCAAAABTMxLjc0AgAAAAQzMi41AgAAAAUzNC41NgIAAAAFMzYuOTkCAAAABTMzLjk2AgAAAAUzNC41MwIAAAAJMzQuNTIwMDY5AgAAAAgzNS44NTA4MgIAAAAJMzQuOTE3MzA4AgAAAAkzMy40NTc0NTUCAAAACTMzLjA1MDI4NQIAAAAJMzEuOTE4MTU0AgAAAAkzMi43MTI2MzICAAAACTMyLjYyMzI1MwIAAAAJMzMuNzM1NTIyAgAAAAgzMy4wMDA2MwIAAAAJMzIuMDI3Mzk0AgAAAAkzNC4wNTMzMTMCAAAACTM0Ljg2NzY1MwIAAAAJMzEuODQyOTM4AgAAAAkyOS44NDEwNDQCAAAACTMwLjcyODU4MwIAAAAJMzIuNzk5NTA4AgAAAAkzMi4wNzk2MTUCAAAACTMxLjAwNDcwNgIAAAAJMzAuOTE1OTUyAgAAAAkyOS44OTAzNTECAAAACDI3LjgzOTE1AgAAAAkyOC45MDQxOTcCAAAACDM2LjI1MTA1AgAAAAkzNS42NDk0OTUCAAAACTM0LjA3MTY0OAIAAAAJMzMuOTg2MzExAgAAAAkzNS40NjQ4MjkCAAAACDM2LjcwODM1AgAAAAkzMy45MTc3NzECAAAACTMyLjQ1ODgzNwIAAAAIMzMuMzg5MDMCAAAACTM1LjIxMDI0OQIAAAAJMzcuMTU4NzU5AgAAAAkzNS4yMzk2MjQCAAAACTMzLjIyMjU3NAIAAAAJMzAuNTQ5NDkzAgAAAAkzMC4xMjg0NTkCAAAACTMzLjE3MzYx</t>
  </si>
  <si>
    <t>NwIAAAAJMzQuMDM5NjMyAgAAAAkzNi45MTkyMzYCAAAACTM4LjM3ODQ5NAIAAAAJMzcuNDI1MTEyAgAAAAkzNy44MTQyNDcCAAAACTM3LjI3OTE4NgIAAAAJMzguMTI1NTU2AgAAAAkzOS41NTU2MjkCAAAACTQxLjc5MzE1OAIAAAAJNDEuMjY3ODI1AgAAAAkzNy45MDE4MDMCAAAACTM5LjY4MjA5OAIAAAAJMzguMzc4NDk0AgAAAAkzOS43NzQ4ODECAAAACTQzLjA4NDY0NAIAAAAJNDMuMDA3NjczAgAAAAk0My4zODI5MDcCAAAACTQzLjIxOTM0NAIAAAAJNDEuMTY5OTg1AgAAAAk0NC41ODU1ODMCAAAACTQ1LjkzMjU3OQIAAAAJNDQuNzIwMjgyAgAAAAg0NS4yNDk0NgIAAAAJNDUuNjA1NDUyAgAAAAg0NC4wODUyNwIAAAAJNDMuODM1MTEzAgAAAAk0NC42NzQyMTcCAAAACTQ2Ljg2MDY2NgIAAAAINDUuOTcyNzICAAAACTQ3LjM3NjI0OAIAAAAJNDcuODUzNjM5AgAAAAk0OC4yNTQ2NDcCAAAACTUwLjMyNjUyMgIAAAAJNDkuNDg2MzE1AgAAAAk1MS4wMDQ0MTcCAAAABzUwLjg2MTICAAAACTQ3LjkxMDkyNgIAAAAJNDYuMTgyNzcyAgAAAAk0NS40NjY2ODYCAAAACTQzLjY2MzY3NwIAAAAJNDEuOTg5Mzk5AgAAAAk0MS41MDY5NzkCAAAACTQxLjEwOTY5MwIAAAAJMzkuMzQwODIyAgAAAAkzOS4wNjY1MDUCAAAACDQwLjMxNTEyAgAAAAkzOC43NTQzNTECAAAACTQwLjQ1NzAwOAIAAAAJNDMuNDU1NTc1</t>
  </si>
  <si>
    <t>AgAAAAk0Mi44NTAxODYCAAAACTQzLjMzMjYwNQIAAAAINDIuNDQzNDQCAAAACTQwLjk3OTQwNQIAAAAINDEuOTgzMjECAAAACTQyLjE1MDUxMQIAAAAJNDIuMTU5ODA1AgAAAAk0Mi40MDE0NjICAAAACTQ0LjAwMDExNAIAAAAJNDMuNDcwMzI4AgAAAAk0NC45MTA5NzQCAAAACTQ0Ljk3NjAzNgIAAAAINDAuNjE2OTICAAAACTQ0LjMzNDcxNgIAAAAJNDMuMzAzMDI4AgAAAAk0Ni4xNzUwMjUCAAAACDQ4LjQ3MTI4AgAAAAk0OC43MTA1OTkCAAAACDQ2LjQxODY2AgAAAAk0Ni4wMTM2NTkCAAAACTQ2LjQwMDI1MQIAAAAJNDYuNzU5MjI5AgAAAAk0OC43ODQyMzUCAAAACTQ4LjEwMzA5NwIAAAAINDUuMDEwMzYCAAAACTQ0Ljk2NDMzNwIAAAAJNDQuNDk0OTA0AgAAAAg0My4zOTk1NgIAAAAJNDUuODM4NzcyAgAAAAk0NS4yNDczMTQCAAAACTQ0LjAzMTUyNQIAAAAJNDMuNjE0MTY0AgAAAAk0NC42Mzk0MTkCAAAACTQzLjExNTE0NgIAAAAJNDUuNjkxODkzAgAAAAg0OC40NzczMgIAAAAJNDguNjU4NzgxAgAAAAk1MC41MzY5MDMCAAAACTQ4LjAwNTUyMgIAAAAINDUuOTE4NzICAAAACTQyLjI1MzIwNgIAAAAJNDEuODcyMTM4AgAAAAg0Ni4xMjU4NgIAAAAJNTAuNTAxNDAxAgAAAAk0OS4wMTMxODICAAAACTQ3LjUyNDk2NAIAAAAJNTYuNjIzNTkzAgAAAAk1NC4yMjY0MDMCAAAACDU4LjE2NTI4AgAAAAk1</t>
  </si>
  <si>
    <t>Ny43MDE4ODMCAAAACDU2LjY2ODE1AgAAAAk1NC41NjUwMzkCAAAACTU0LjgxNDU2MQIAAAAINTUuNzA1NzECAAAACTUzLjU0MDIxOAIAAAAINTMuMTMwMjkCAAAACTU5LjcxMTAyMwIAAAAJNTkuNjE1MDgxAgAAAAk2MC43MjI3NzkCAAAACTYyLjYyNDE4MgIAAAAJNjIuMzQ1MDc3AgAAAAk2Ni4yOTYxNTcCAAAACTY0Ljc5NTk2NwIAAAAJNTkuMzI3MjU0AgAAAAg2Mi44MzM1MQIAAAAJNTIuNDQ1NTcyAgAAAAk1MC4zMTczOTYCAAAACDU4LjI4MDYxAgAAAAk1OS43NTQ2MzQCAAAACTU5Ljk3MDc5NgIAAAAJNjIuMDQyNTc2AgAAAAk1OC40MTA1NjYCAAAACTU1Ljg4NjkxNgIAAAAJNDguMjk4OTE0AgAAAAk1My41ODQ5MzgCAAAACDQ3LjA1NDE0AgAAAAk0NC45Mzk3MzECAAAACTQ2LjQ0ODgwNQIAAAAJNDYuOTg1OTMzAgAAAAg0NS44NDM0NwIAAAAJNDkuNDY2OTU0AgAAAAg2My4xNDI0MQIAAAAJNjQuNTk0ODIyAgAAAAk2My41NzE2MzgCAAAACTU4LjY0MDIyMwIAAAAJNTcuNjE3MDM4AgAAAAk1OC40NDczMjgCAAAACDQ4Ljc4NTc4AgAAAAk0OC43MDE5MTMCAAAACTUyLjQ2NzU2OAIAAAAINTIuMzA4MjICAAAACTUwLjYxNDA5NAIAAAAJNTIuNDE3MjQ3AgAAAAk0OC44Njk2NDgCAAAACTQ5LjE3OTk1OAIAAAAJNDkuMTM1MDk3AgAAAAk0NS41MzA1OTICAAAACTQ1LjE4NDE2NAIAAAAJNDQuNjMx</t>
  </si>
  <si>
    <t>NTI4AgAAAAk0My42MDg3MzkCAAAACTQyLjUxOTk2NAIAAAAIMzguMDQxMTQCAAAACTQxLjU2MzE2MgIAAAAJNDAuMzI1OTE3AgAAAAkzNi4zMzM3NDICAAAACTM0LjY4NDA4MwIAAAAJMzIuMzMzMzE5AgAAAAczNS44MTQxAgAAAAkzMy44MDg3MTcCAAAACTM0LjU2MTQ2MQIAAAAJMzIuODYxNzE3AgAAAAkzNC40NjQzMzMCAAAACTM1LjI3MzczNAIAAAAJMzIuNDQwODI4AgAAAAkzMi43MzIyMTMCAAAACTMyLjQ1NzAxNgIAAAAJMzIuMjYyNzU5AgAAAAkyOS43OTQwODQCAAAACTI2Ljc4MzEwOQIAAAAJMjQuMTEyMDgyAgAAAAkyMi43MTk5MTECAAAACTIzLjIwMzYwOQIAAAAJMjQuMTUwMjA4AgAAAAkyMC40NDMzNTgCAAAACTIyLjI4MDg3NAIAAAAJMjEuNDg1NDEyAgAAAAkyMC41NTQ3MjMCAAAACTIwLjM3OTcyMQIAAAAJMjAuNTA2OTk1AgAAAAkyMi43ODk5NjkCAAAACTIzLjI1MTMzNwIAAAAJMjMuNjcyOTMxAgAAAAkyMS4yNzg1OTMCAAAACTIzLjI5OTA2NAIAAAAJMjQuODkyOTYyAgAAAAkyMC44ODMwNDECAAAACTE5LjkzMTY2NwIAAAAJMjAuNzQxNTE0AgAAAAkyMC42MTU3MTMCAAAACTE4LjM4MjczNwIAAAAJMTYuODU3Mzk0AgAAAAkxNy4yMDMzNDgCAAAACDE3LjMyOTE1AgAAAAkxOC40NzcwODgCAAAACTE3Ljg3OTUzMQIAAAAJMTcuODQ4MDgxAgAAAAkxOS4wNjY3ODICAAAACTE5Ljg5</t>
  </si>
  <si>
    <t>MzUCAAAABTQuODk2AgAAAAQ0LjcxAgAAAAU0LjU0OAIAAAAENC41NgIAAAAGNC42NjQ1AgAAAAU0LjU4OQIAAAAFNC4yNzkCAAAABTQuMzIxAgAAAAY0LjM2ODUCAAAABTQuMzA0AgAAAAY0LjA3MzUCAAAABTQuMTIyAgAAAAU0LjA1MQIAAAAFNC4xNTcCAAAABTQuMTU3AgAAAAY0LjA4MDUCAAAABTQuMDg2AgAAAAY0LjA2NDUCAAAABTQuMzA2AgAAAAY0LjM3MTUCAAAABjQuMzcwNQIAAAAGNC4zODQ1AgAAAAY0LjQ5MzUCAAAABTQuNTc0AgAAAAY0LjU5OTUCAAAABTQuMjg5AgAAAAU0LjE4OQIAAAAGNC4wMzE1AgAAAAU0LjE2NwIAAAAFNC4yMDECAAAABjQuMTQzNQIAAAAFMy45OTMCAAAABTQuMTAzAgAAAAU0LjEyNAIAAAAGNC4yMzY1AgAAAAU0LjU5MwIAAAAFNC42NTICAAAABjQuMzkxNQIAAAAFNC40NDICAAAABTQuNDk1AgAAAAY0LjQ4MzUCAAAABTQuNjAyAgAAAAY0Ljc1MzUCAAAABDUuMDUCAAAABjQuNjYyNQIAAAAFNC41NTcCAAAABTQuNTc0AgAAAAY0LjQ5NzUCAAAABjQuMjU4NQIAAAAFNC4yMzYCAAAABTQuMDA3AgAAAAY0LjAwNzUCAAAABjQuMTI0NQIAAAAGMy44OTE1AgAAAAYzLjg2MTUCAAAABDMuODgCAAAABjMuODM4NQIAAAAGMy42ODE1AgAAAAYzLjgyMTUCAAAABTMuODUyAgAAAAYzLjc4NjUCAAAABjMuNzQwNQIAAAAFMy44MDYCAAAABjMuODkwNQIAAAAFMy44ODkCAAAA</t>
  </si>
  <si>
    <t>BjMuODg0NQIAAAAEMy44MgIAAAAFMy45MDkCAAAABTMuNzg5AgAAAAYzLjczODUCAAAABTMuNTg3AgAAAAYzLjY4MTUCAAAABTMuNjQ2AgAAAAUzLjU2MwIAAAAFMy41NzECAAAABjMuNjI3NQIAAAAGMy43Mzc1AgAAAAUzLjY2MwIAAAAGMy43NzA1AgAAAAUzLjY5MwIAAAAGMy44MTI1AgAAAAUzLjc2MgIAAAAFMy43MDYCAAAABTMuNzE5AgAAAAYzLjg2NzUCAAAABjMuOTI2NQIAAAAFMy44MTgCAAAABTMuOTMzAgAAAAUzLjc4MgIAAAAGMy43NTk1AgAAAAYzLjgwMzUCAAAABTMuODg5AgAAAAUzLjc4OQIAAAAGMy43Mjc1AgAAAAUzLjY4MgIAAAAFMy43MzICAAAABjMuNzI4NQIAAAAFMy44ODMCAAAABjMuODkwNQIAAAAEMy45OAIAAAAGNC4xMDY1AgAAAAY0LjAxNTUCAAAABjQuMDk0NQIAAAAFNC4wNzUCAAAABjMuODkyNQIAAAAGNC4wMzA1AgAAAAU0LjA2NwIAAAAFMy45NTMCAAAABjQuMTA4NQIAAAAGNC4wMTY1AgAAAAY0LjA1NjUCAAAABjQuMjIyNQIAAAAGNC4yNTE1AgAAAAU0LjIxNgIAAAAFMy45MTECAAAABjMuODEwNQIAAAAGMy44MDQ1AgAAAAYzLjc2MTUCAAAABjMuODc3NQIAAAAFMy44NDgCAAAABjMuNjI3NQIAAAAFMy42MzICAAAABjMuOTEzNQIAAAAGMy42ODY1AgAAAAUzLjQyOQIAAAAGMy40NzQ1AgAAAAYzLjQyMzUCAAAABjMuMzg2NQIAAAAGMy40MTI1AgAAAAUzLjM2OQIA</t>
  </si>
  <si>
    <t>AAAFMy41NDMCAAAABTMuNTgxAgAAAAYzLjQyMTUCAAAABTMuNjk3AgAAAAYzLjY2NDUCAAAABjMuNjY4NQIAAAAFMy41NTICAAAABjMuNTczNQIAAAAGMy4zNDk1AgAAAAUzLjIzNAIAAAAFMy41MjICAAAABTMuNjA0AgAAAAYzLjc0MDUCAAAABjQuMDEzNQIAAAAGNC4yOTQ1AgAAAAU0LjQ3MgIAAAAGNC4zMDY1AgAAAAU0LjI3NQIAAAAFNC4xNzUCAAAABTQuMjY3AgAAAAY0LjQwODUCAAAABjQuNTgxNQIAAAAGNC43MjM1AgAAAAU0LjcyNQIAAAAGNC42ODg1AgAAAAY0LjY5ODUCAAAABjQuNzM5NQIAAAAGNC42MjU1AgAAAAY0LjkzNzUCAAAABTQuNDg1AgAAAAY0LjUxOTUCAAAABTQuNTA2AgAAAAY0LjQ4NzUCAAAABDQuMzECAAAABTQuNTI0AgAAAAY0LjQyMDUCAAAABDQuNDECAAAABjQuNDYzNQIAAAAGNC4zODc1AgAAAAY0LjI5MDUCAAAABTQuMjg0AgAAAAY0LjI2NjUCAAAABjQuMjgzNQIAAAAGNC40MDc1AgAAAAY0LjQ0OTUCAAAABTQuMzQzAgAAAAU0LjM2OAIAAAAFNC40OTgCAAAABjQuNzI5NQIAAAAGNC4yNzU1AgAAAAY0LjE4ODUCAAAABTQuMjg0AgAAAAY0LjI0MjUCAAAABTQuNDQ4AgAAAAY0LjMyNTUCAAAABjQuMzE4NQIAAAAFNC4xMzcCAAAABjQuMzkxNQIAAAAFNC4zNDgCAAAABjQuNDgyNQIAAAADNC40AgAAAAU0LjMyMwIAAAAGNC4zNDU1AgAAAAU0LjI3NgIAAAAFNC4yOTIC</t>
  </si>
  <si>
    <t>MS45NwIAAAAFNjAuNTgCAAAABTU4LjI5AgAAAAU2My4wMgIAAAAFNjQuMDECAAAABDYwLjkCAAAABTYxLjk5AgAAAAU2OS4zNgIAAAAFNjguMjgCAAAABTY2LjkxAgAAAAU2Ny4wNAIAAAAFNjkuNzYCAAAABDcwLjQCAAAABTcwLjcxAgAAAAI3MQIAAAAFNzIuNTMCAAAABTc0LjY2AgAAAAU3Ny4zOQIAAAAFNzUuNzUCAAAABTczLjk2AgAAAAQ3MC42AgAAAAU2OS40NgIAAAAFNzAuODICAAAABDY3LjICAAAAAjY4AgAAAAU3MS4yNAIAAAAFNjYuOTICAAAABTcwLjM4AgAAAAU2OS40OQIAAAAFNzEuNzgCAAAABTY4LjY5AgAAAAU3NC44NQIAAAAFNzQuMzgCAAAABTY4LjE4AgAAAAI3MQIAAAAFNjcuNzUCAAAABTY3LjY3AgAAAAU3My41NQIAAAAFNzQuODMCAAAABTc1LjU0AgAAAAU3NS42MQIAAAAFNzMuNTICAAAABTc3LjE2AgAAAAU3OC42NAIAAAAFODEuMDICAAAABTgzLjE2AgAAAAU4MS41NAIAAAAFODAuNzMCAAAABTc4LjA1AgAAAAU3NS41MwIAAAAFNzYuOTkCAAAABTc3LjcyAgAAAAU3OS41OAIAAAAFNzcuODQCAAAABTc4LjExAgAAAAU4My44NQIAAAAFODIuMjICAAAABTg1LjA4AgAAAAU4Ni45MQIAAAAFODMuMTcCAAAABTgwLjYzAgAAAAU4MC41OAIAAAAFNzguMDECAAAABTc5Ljk3AgAAAAU3Ni40OQIAAAAFNzguNDYCAAAABTc2Ljc3AgAAAAU3Mi4yOAIAAAAFNzguMDECAAAABTczLjI1</t>
  </si>
  <si>
    <t>AgAAAAU3Mi43OQIAAAAFNzMuODECAAAABTcxLjY1AgAAAAU3My41NgIAAAAFNzEuNzgCAAAABTcxLjIzAgAAAAU3NC4wNwIAAAAFNzUuNTQCAAAABTc2LjA0AgAAAAU3Ny4xNQIAAAAFODAuNTECAAAABTg1LjU0AgAAAAU4OC4wOAIAAAAFODYuMzUCAAAABTgxLjI4AgAAAAU5MC43OQIAAAAFOTAuMDMCAAAABTkwLjAyAgAAAAU4Ny41MQIAAAAFODUuNTUCAAAABTc5LjgzAgAAAAU4MC42NgIAAAAFODIuNTcCAAAABTgyLjgyAgAAAAU4MC41OAIAAAAFNzcuMDcCAAAABTc1LjMyAgAAAAU3My43NwIAAAAFNzAuNjQCAAAABTY5LjE2AgAAAAU3MS45MwIAAAAFNzAuMzMCAAAABTcxLjc0AgAAAAU3Mi42NwIAAAAFNzEuNjkCAAAABTcwLjAyAgAAAAU3MS4zNAIAAAAFNzYuNzgCAAAABTc3Ljg3AgAAAAU4Mi40MwIAAAAFODAuNjgCAAAABTc1LjY3AgAAAAU2OS4yNgIAAAAFNjYuOTMCAAAABTc2Ljc4AgAAAAU3OS42OAIAAAAFNzYuMzICAAAABTc2LjU1AgAAAAU3OS45MgIAAAAFNzMuMzkCAAAABTc5LjY4AgAAAAU4MS42NAIAAAAFODAuMTECAAAABTczLjc3AgAAAAU4MC4yNgIAAAAFNzkuNTYCAAAABTc0LjQ2AgAAAAU3MS4wMgIAAAAFNzkuOTgCAAAABTc2LjI4AgAAAAU4MC4xMQIAAAAFODguMTYCAAAABTkyLjYxAgAAAAQ4Ny45AgAAAAU4NS4wNQIAAAAFODQuNjUCAAAABTkxLjM1AgAAAAU3OC43MgIA</t>
  </si>
  <si>
    <t>AAAFNzguNzQCAAAABTg0Ljc2AgAAAAU4NS43NQIAAAAFODYuODcCAAAABTkzLjA2AgAAAAU5MC40NAIAAAAFOTEuNDYCAAAABTg5LjAxAgAAAAU5OC42MgIAAAAEOTQuNwIAAAAFOTQuNTcCAAAABjEwMS41MwIAAAAGMTA4LjQzAgAAAAYxMDcuNjICAAAABjEwNy45OQIAAAAGMTIwLjY3AgAAAAYxMTguODcCAAAABjExNS4wNwIAAAAGMTEwLjI4AgAAAAYxMDguNjMCAAAABjEwOS43NwIAAAAGMTA0LjY5AgAAAAYxMDIuMDcCAAAABjEwNi4zOAIAAAAFOTcuNzMCAAAABTk5LjI3AgAAAAUxMTMuOQIAAAAGMTAzLjA5AgAAAAUxMDYuMwIAAAAGMTE1LjY4AgAAAAU5MS41OQIAAAAFOTAuMjECAAAABTkxLjQyAgAAAAU5Mi4zMQIAAAAFODYuODICAAAABTg1LjE0AgAAAAQ4My4zAgAAAAU3OC40NAIAAAAFNzUuMjECAAAABTczLjc5AgAAAAU3MC43MgIAAAAFNzEuNDgCAAAABTY2LjI2AgAAAAU2OC4xNQIAAAAFNzUuOTQCAAAABTc5LjY5AgAAAAU4MS4yNwIAAAAFODMuNTcCAAAABTgzLjc2AgAAAAU4MS43MwIAAAAFNzkuMzUCAAAABTc1Ljg4AgAAAAU3My45OAIAAAAFNzEuODICAAAABTY5LjQ3AgAAAAU2OS4yOQIAAAAFNjguNzQCAAAABTYyLjE0AgAAAAU2OC4yMQIAAAAFNjguMjgCAAAABTczLjk1AgAAAAU3Mi4wNwIAAAAFNzEuNTYCAAAABTczLjgxAgAAAAU3NS4xNgIAAAAFNzQuMDUCAAAABTcxLjI5</t>
  </si>
  <si>
    <t>OTUCAAAACjExOC42NjkxNDgCAAAACjEyMy4xMDk0MTcCAAAACjEyMy4wNzAxMjMCAAAACjExMi4wMzgyMTQCAAAACjEwNi42NTQ4NzkCAAAACjEwOC4yMzY0NzkCAAAACjExMy40NjI2MzcCAAAACjEwOS4xNTk4OTgCAAAACjEwOC45MDQ0ODQCAAAACjExMS4wNzU1MDECAAAACjEwOC41NTA4MzQCAAAACTEwNS42NTgxNgIAAAAKMTA3LjYxNDc5MwIAAAAKMTIzLjIyODkxNgIAAAAKMTIxLjg0NjYxOAIAAAAKMTIwLjYyOTgwNwIAAAAKMTIxLjkzNDIyOAIAAAAKMTIzLjU2OTYyMwIAAAAIMTI5LjU0NjYCAAAACjEyNS44NzY2OTcCAAAACjEyMy4xNDEzMDUCAAAACjEyMi40NTAxNTYCAAAACjEyOC4zMjAwNTQCAAAACjEzMi45NTM2NzICAAAACjEyNy4wMTc0NzgCAAAACjEyMi4zMzkyNjECAAAACjExNi4zNzU0OTkCAAAACjExNS4wNjA5NTkCAAAACjEyMi41MzI1NzUCAAAACjEyMy41Mzc4MTICAAAACTEyOC44MDU2NAIAAAAKMTMxLjc5MjM1MwIAAAAKMTMwLjA2MjE4NgIAAAAKMTI5LjYzNjg5NAIAAAAKMTE2LjgwMDc5MgIAAAAKMTE5LjA1MjkwOQIAAAAKMTIyLjM4NzU4OQIAAAAJMTI3LjEwNzk4AgAAAAoxMjcuNzUwOTU3AgAAAAoxMTcuNTAxNzA3AgAAAAoxMjAuOTQ2OTE0AgAAAAoxMTQuNTU1NTI3AgAAAAoxMTUuNDk2MDAxAgAAAAoxMjMuNjI0Mzg2AgAAAAoxMjEuNzgxODI1AgAAAAoxMjIu</t>
  </si>
  <si>
    <t>ODk1MDM5AgAAAAoxMjEuNDI2NzQ3AgAAAAoxMTcuOTYyMzQ3AgAAAAoxMjIuMDIxNzQxAgAAAAoxMjQuMDM3MDQzAgAAAAoxMjIuODkyOTExAgAAAAkxMTkuMDcxMjcCAAAACjExOS45NTc1ODUCAAAACTExNi4zMTcwMgIAAAAKMTEyLjY4NTk4NQIAAAAKMTE0LjU0NDM4OQIAAAAKMTE4LjY5OTU4OQIAAAAKMTE3LjQ3OTcxNAIAAAAKMTIzLjgzNjQwOAIAAAAKMTIzLjk4ODg5MgIAAAAJMTIzLjkxMjY1AgAAAAoxMjkuMzI1ODQ3AgAAAAoxMjYuOTE0Njg3AgAAAAkxMjguMDY3ODUCAAAACjEyOC42ODMxNTICAAAACjEyMS4wMTU1NTICAAAACDExOC4xNzU3AgAAAAoxMTYuMjM1MTM1AgAAAAoxMTIuMzgyNDAyAgAAAAoxMDkuOTAyMjY1AgAAAAoxMDUuODg4NjA4AgAAAAoxMDcuNDk3ODU3AgAAAAoxMDUuMTIxODQ4AgAAAAoxMDQuOTMyNTI0AgAAAAoxMDkuMzcyMTU5AgAAAAoxMDQuMjg4ODI1AgAAAAoxMDguOTkzNTEyAgAAAAoxMTMuMDYwMjI0AgAAAAoxMTMuNTk1NTY1AgAAAAoxMTQuODM1MzAyAgAAAAoxMTIuODA2NjQyAgAAAAoxMTAuMzEyMDY5AgAAAAoxMTQuNjE0NzU5AgAAAAoxMTQuNTIyMDI5AgAAAAoxMTQuOTg1NjgxAgAAAAoxMTMuNzgwMTg2AgAAAAoxMTguODQzMjY1AgAAAAoxMTYuODMxMDE1AgAAAAoxMjMuNTQ0Njk1AgAAAAoxMjMuMzQ1MzI1AgAAAAoxMTEuMjE3MjI4AgAAAAox</t>
  </si>
  <si>
    <t>MTYuODIwNDgzAgAAAAoxMTMuMDA1MTA5AgAAAAoxMjEuODE1NDg5AgAAAAoxMjIuMzIyMzYzAgAAAAoxMjAuNzA5NTg0AgAAAAoxMTcuMTE1MzkxAgAAAAoxMjAuMzg3MDI4AgAAAAoxMjEuOTUzNzI3AgAAAAkxMTkuNjIyMTECAAAACjEyMC40NTE1MzkCAAAACjExNC44MzkwNjkCAAAACjEwOS42MDQ0NDkCAAAACjEwNi4zNjc3MTgCAAAACjEwNC43NTY2NDECAAAACTk3Ljc4MTQwOAIAAAAKMTAzLjgxMzc5NAIAAAAKMTA2LjQxMzQ4NwIAAAAKMTAyLjQ0OTg3MQIAAAAKMTAwLjgwMjE3OAIAAAAKMTA0Ljg5Mzk0OAIAAAAKMTAxLjA3Njc5NAIAAAAKMTA0LjUwOTQ4NwIAAAAKMTA5LjM2MTAyNgIAAAAKMTA3LjM4Mzc5NQIAAAAJMTExLjMxOTk1AgAAAAoxMDguNTMyNDQ4AgAAAAoxMDQuMjIyNzkxAgAAAAk5NS45MTI2MDgCAAAACTkzLjQyMTM3MQIAAAAKMTAxLjA2MTIwMwIAAAAKMTA5LjcwMDY4NAIAAAAKMTAyLjkzNTA0MgIAAAAKMTA2LjY4MjcyMQIAAAAKMTIwLjg0NDYyMwIAAAAKMTEyLjI2ODIwNAIAAAAKMTIxLjMxMzA4MwIAAAAKMTE5LjU5MjM5NAIAAAAKMTE2LjYyODQ4NAIAAAAKMTE0LjEwOTQ3MwIAAAAKMTE1Ljk0NDYwNgIAAAAJMTE2LjkyMDM2AgAAAAoxMTIuNTg3NjU1AgAAAAoxMDcuNjM1NjA2AgAAAAoxMjIuOTQwMDg1AgAAAAoxMjYuMTg2NzU4AgAAAAoxMjQuNzUzNjIyAgAA</t>
  </si>
  <si>
    <t>AAoxMzAuMTQxMTUyAgAAAAoxMjUuODI0MDUxAgAAAAoxMTguMjY5MTIzAgAAAAoxMTkuNDI4MDE3AgAAAAoxMDYuNjYyNDg5AgAAAAoxMTIuMDg0ODMyAgAAAAg5OC4yNjAwMQIAAAAJOTUuOTY0NjY4AgAAAAoxMDYuODA4MTgzAgAAAAoxMDcuMTYzOTI0AgAAAAgxMDUuNTY1NQIAAAAKMTA4LjIxNTA2MgIAAAAKMTAzLjE1OTE3NgIAAAAJOTkuNDU4NDc2AgAAAAk5Mi45NjA1MzQCAAAACTk2LjYxNzc5OQIAAAAJODcuNzM5NTk0AgAAAAk4NC41MDc5OTcCAAAACTkwLjk3NDQ0MgIAAAAJOTYuMjMzNTc5AgAAAAk5NS4zNDU1NjECAAAACTk2LjI3NjY4NwIAAAAKMTIyLjQ2NjQ2NgIAAAAKMTIxLjE3Mzc2NAIAAAAKMTE2LjM4NTY2NgIAAAAKMTAzLjc5ODgzNAIAAAAKMTA1LjY5NTM2NAIAAAAKMTEyLjQ0ODAyOQIAAAAJOTkuMjk5ODkzAgAAAAk5OC43NTU1OTcCAAAACjEwNC41NTU3NDUCAAAACTEwNy4yNTY4OQIAAAAKMTAxLjcxOTkwNQIAAAAKMTA1LjI1MzQzMQIAAAAJOTcuODkwNTA5AgAAAAk5Ny43ODkwNjgCAAAACTk5LjUyMzkyOAIAAAAJODkuOTEwOTY0AgAAAAk5My41NDgzMDECAAAACTk3Ljg0NzczNQIAAAAJOTUuMjkxNTQyAgAAAAk5MS45MzkxNTcCAAAACTg0LjMzNzYyNAIAAAAJODguNTI4MTA1AgAAAAg4MS42NjcxNQIAAAAJNzMuOTA0Nzc3AgAAAAg3Mi41MzIwMQIAAAAJNjkuODg2</t>
  </si>
  <si>
    <t>MzE0AgAAAAk3Mi45MTY4MTICAAAACTY5LjkxNjU1NQIAAAAJNzEuMDc5MjU2AgAAAAk2OS42NjQ1MDECAAAACTc3LjExMjI5MwIAAAAJNzcuMzM5OTU1AgAAAAk3NS4xNzcxNjgCAAAACTc0LjgwMzE1MgIAAAAJNzIuODY4MDI3AgAAAAk3My4yNzIwODgCAAAACTY3LjkxNDA3MgIAAAAJNjMuMjExNjQzAgAAAAk2MC4wOTU1NzcCAAAACDU0LjM0MDk3AgAAAAk1NS4wMjg5MzMCAAAACTU2LjM1NjI5NgIAAAAJNTIuMTc5OTU3AgAAAAk1NS4wMzcwMjYCAAAACTU3LjQwODQ3NQIAAAAJNTguOTcwNTU1AgAAAAk1OC42ODcyNzYCAAAACTU5LjgyMDM5MQIAAAAJNjUuNjYwNDI0AgAAAAk2OC4xODg1NzcCAAAACTY5LjY4MzIwOAIAAAAJNjMuMDUyNzY5AgAAAAk2Ny45MjYyMjECAAAACTY5LjUzMjE1NQIAAAAJNjMuODcxNjM3AgAAAAk2My42NTY5ODICAAAACTY1LjY2ODM3NAIAAAAJNjYuMDY1ODgyAgAAAAk1OC41NDUwMjUCAAAACTU0LjkwMzg0OQIAAAAJNTYuMDU2NjIzAgAAAAk1Ni43NDA3OTcCAAAACTU5LjU2MzIxMQIAAAAJNTkuMTk5NTM5AgAAAAk1NS40MDQ2OTcCAAAACDU5LjI5NDQxAgAAAAk1OC45NjIzNjECAAAACTUxLjA0MDYyOAIAAAAJNDkuNDE5OTE0AgAAAAk0OC4yNDE5MzICAAAACTQ0Ljc1NTQyMQIAAAAJNDAuMjg4NTc1AgAAAAk0My4zNzE4ODQCAAAACTQ2Ljc5NTE0OAIAAAAJNDYu</t>
  </si>
  <si>
    <t>CTk3LjUwODg4MgIAAAAJOTYuMzE4OTA5AgAAAAk5NC42NjY3MTYCAAAACDk1Ljk1MzMxAgAAAAg5Ni40MTE4MQIAAAAJOTkuMzM4NDA2AgAAAAoxMDMuMjYwMDQ0AgAAAAk5OS40MjYyMDMCAAAACTk4LjYxNjUxMgIAAAAJOTQuNTQ4NTQ0AgAAAAk5Mi43OTI1ODcCAAAACTk4LjU0ODIyNQIAAAAKMTAwLjY5NDM5NQIAAAAKMTA1LjY4OTExOAIAAAAKMTA5LjAxNTY4MQIAAAAKMTA5LjU3MTczNAIAAAAKMTA4Ljg1OTU5NgIAAAAKMTA0LjQ3MTMwNwIAAAAKMTAxLjI5Mzc2NwIAAAAKMTAyLjM2OTA5MwIAAAAKMTA3LjAzODUyNwIAAAAKMTEwLjk2MjAxMwIAAAAKMTAxLjQ0ODc2OQIAAAAKMTA2LjQzNzg5NAIAAAAKMTAwLjI2Njg3OQIAAAAJMTAyLjcwODE2AgAAAAoxMTAuMjM1NDQyAgAAAAgxMDcuOTIwMQIAAAAKMTA3LjcwNjk3MgIAAAAKMTA0LjQ2MTYxOQIAAAAKMTAxLjczMDA5NAIAAAAJMTA2LjYyNTY4AgAAAAoxMDkuOTgyMzc5AgAAAAoxMDguODE4NTk1AgAAAAkxMDguMjUxMTMCAAAACjExMC4wMTEyMzMCAAAACjEwNy4wODczNDYCAAAACjEwNS4yMTE4MjcCAAAACjEwNy43MjIxMzgCAAAACjExMi4wMzEwMjMCAAAACjExMi43NzE2MTMCAAAACjExNy4wNjEyNjICAAAACjExNy4yNTM2MjMCAAAACjExNi44MTgyNDYCAAAACjEyNC40NzM2MDICAAAACjEyMy42NTE2NzgCAAAACjEyNS4zOTEw</t>
  </si>
  <si>
    <t>OTcCAAAACjEyNy42MDgzNzkCAAAACjEyMS42NDQ2NTYCAAAACjExNy41ODI4MjYCAAAACjExNC43MjUyMDgCAAAACjEwNy45OTY5MDYCAAAACjEwOS4xODIwMDQCAAAACjEwNi41NzI4NzYCAAAACjEwNS42NzQ0OTQCAAAACjEwNS40ODU4NjYCAAAACTEwNC45ODI5MgIAAAAKMTA2LjUwMTI0OAIAAAAKMTAyLjM2MzgwMwIAAAAKMTA1Ljk5ODMwMgIAAAAKMTEwLjU4MTc1NgIAAAAKMTEwLjE0NTIzNgIAAAAKMTExLjY1NDA3NQIAAAAKMTA4LjY5MzMzNQIAAAAKMTA2LjM0OTQxNQIAAAAKMTA5LjM0ODExNAIAAAAKMTA5LjU5NDg0MgIAAAAKMTA4Ljc0MDc4MwIAAAAKMTA5LjE1ODMyMwIAAAAKMTEzLjA2NzI4OAIAAAAKMTExLjIyNjEwOQIAAAAKMTE3LjEzNjc2NgIAAAAKMTE3Ljg5MjEyMgIAAAAKMTA4Ljg5Mzk0OQIAAAAKMTEzLjExNDQ5OAIAAAAKMTExLjk0ODMxOAIAAAAJMTE2LjA5MTQyAgAAAAoxMTUuMjkyODYzAgAAAAoxMTQuNzQ3OTY1AgAAAAoxMDkuNDY4MDkzAgAAAAoxMTAuMTkxNDkyAgAAAAoxMTAuMjAwMzk4AgAAAAoxMDYuMzY1MjI2AgAAAAoxMDguNDQxODMyAgAAAAoxMDUuNTk4MTkyAgAAAAoxMDAuMTcyODI2AgAAAAk5Ni41NjIxNTICAAAACTk2LjkxNzYwNwIAAAAJOTMuNDA5ODI3AgAAAAg5Ny41NTY4MwIAAAAJOTYuNTk5MTE0AgAAAAk5NS4xNjcxODkCAAAACTk0LjcwMjI3</t>
  </si>
  <si>
    <t>OQIAAAAJOTUuMzk5NjQ1AgAAAAk5MS45Nzc5MDMCAAAACTkyLjg0NzQ1MgIAAAAJOTUuMTc4NTgyAgAAAAc5NC41OTU4AgAAAAoxMDAuMzY4MTIzAgAAAAk5OC4yOTYwMDcCAAAACTkxLjc3NDM5MgIAAAAJODcuNzM0MzM3AgAAAAk4Ni43NzgyMDUCAAAACTk1LjgxNTQ5NAIAAAAJOTkuODc5MDU2AgAAAAk5Ni43NjI0MzMCAAAACTk1LjcyMzU1OAIAAAAKMTA1LjMxMjQ2MgIAAAAJOTguOTUxMjQ2AgAAAAoxMTMuMTM4MTMyAgAAAAkxMTEuNDgxNDcCAAAACjExMS4xNzk0MjYCAAAACTEwOC4yMTM5MQIAAAAKMTA4LjAwMzM5NAIAAAAKMTA3LjEzMzg3NgIAAAAKMTAwLjQ1NzExNwIAAAAKMTAwLjA3NTA4MgIAAAAKMTExLjEzNTkxNgIAAAAKMTE1LjM0NzQwMgIAAAAKMTE2Ljk2NjUwNAIAAAAKMTIxLjM4NzE5OQIAAAAKMTE5LjkwMTEyMQIAAAAKMTE1LjIzNDQ3NAIAAAAKMTEyLjgwNjAwNQIAAAAKMTA2Ljg4ODg3NwIAAAAKMTA3LjM4NzI1NwIAAAAJOTIuNzM0ODkxAgAAAAk4OS44NTcwMjcCAAAACjEwMS4wNTkwMDYCAAAACjEwMC4wMjI3NzgCAAAACTk4LjQ5NTIzNgIAAAAKMTAwLjE1Njc3MwIAAAAJOTMuOTIxNTQxAgAAAAk5MS4zNzU2MzYCAAAACDgyLjU3MTU2AgAAAAk4Ni42NDQ1NTcCAAAACTc4LjM3NDA2MgIAAAAJNzMuNzE0MTI3AgAAAAg3Ni44ODg5MwIAAAAJODAuOTA4NTY4AgAAAAk4</t>
  </si>
  <si>
    <t>MC4yMjM4MDcCAAAACTgyLjcyMTE0OQIAAAAJMTAzLjA5Njk5AgAAAAoxMDQuMjM1MzU0AgAAAAkxMDEuMTI5MTICAAAACTkyLjY3NTIxOQIAAAAJOTAuNDA3MzE1AgAAAAk5NC42MDY1ODYCAAAACTgzLjkxNTEzNwIAAAAJODQuMzQ1NjA2AgAAAAk4OS4wNTQ0MTICAAAACTkwLjUzMDMwNgIAAAAIODguMzYwMzkCAAAACTk0LjE1ODI5MgIAAAAJODcuMjM4NzUyAgAAAAk4Ni4xOTY0NDICAAAACTg3LjgyNTU5OQIAAAAINzkuOTQyNTgCAAAACTc4LjUwNjExOAIAAAAJODEuOTEzMzM0AgAAAAg4MC4wNjUzOAIAAAAJNzcuNzU1ODg1AgAAAAk3Mi4wOTEwODcCAAAACTc1LjU5NDU0NwIAAAAJNzAuMjc4MzUyAgAAAAc2Mi45MDU0AgAAAAk2MS44NzA5MzUCAAAACTU5LjYyODY2NwIAAAAJNjMuODY5ODU1AgAAAAk2MS44MDE0MDcCAAAACTYyLjEyMjk3MwIAAAAJNjAuNDk3NzYzAgAAAAk2Mi44ODc3NzcCAAAACTY1LjU3MzI4MwIAAAAJNjQuNzM4OTUxAgAAAAk2NS40MTQ5NTQCAAAACTY0LjA0OTk4MwIAAAAJNjQuNzIzODI5AgAAAAk2MC41NTk4MDMCAAAACTU2LjE3MTE2MQIAAAAJNTAuOTAxMzM1AgAAAAk0OC4xNDU0NzUCAAAACTQ4LjU4NjA2NwIAAAAINDkuMDE4MDICAAAACTQ1LjU4ODMxNAIAAAAJNDguMzUyODEzAgAAAAk0OC44MTA2ODMCAAAACTQ4LjQzMDU2NAIAAAAJNDcuODA4NTUyAgAAAAk0</t>
  </si>
  <si>
    <t>AAAABjE1Ni4yMQIAAAAGMTU3LjExAgAAAAYxNTMuNjYCAAAABTE2MC42AgAAAAYxNTguMTgCAAAACjE1NC44MjY0NTgCAAAACjE1My4zMDM0MTMCAAAACjE0OS43MzMxNTcCAAAACjE1My4xMzUyODUCAAAACTE0OC4zODgxMwIAAAAJMTUzLjYwMDExAgAAAAoxNDYuNzM2NTE2AgAAAAkxNDIuMjA2OTQCAAAACjE0Ny45MDM1MjUCAAAACDE0NC4zMDM2AgAAAAoxMzguNjY2MzU0AgAAAAoxMzUuMTk0OTk3AgAAAAoxMzUuMDM2NzU5AgAAAAoxMzguODQ0MzcyAgAAAAkxMzUuMzE3MDgCAAAACjEzNS4zMjY4NTECAAAACjEzNS41NTE1ODICAAAACjEzNC43MTEyODUCAAAACjEzMi41MjI2MDUCAAAACjEzOS45OTczMzcCAAAACjE2Mi4yODQ3NDICAAAACjE2MC45NzU0NDICAAAACjE1My40MjI1NDMCAAAACjE1Mi43NTgxMjICAAAACjE1NC45ODU4ODUCAAAACjE1My4zMjQ4MzQCAAAACjE1MS43ODEwMzMCAAAACjE0Ny40ODc0NzECAAAACTE0NC4xNzI4MgIAAAAKMTUwLjQxNTU3MwIAAAAJMTU2LjAzOTg1AgAAAAoxNDcuOTg5OTgzAgAAAAoxNDIuODc3ODgzAgAAAAoxMzkuMTU3MzU3AgAAAAoxMzguMDQ2MDMxAgAAAAoxNDguNjk1NDM0AgAAAAoxNTAuMDE5MzYyAgAAAAkxNTYuNDg0MzgCAAAACTE1Ni44OTk5MgIAAAAKMTU0LjQxNjM0NwIAAAAKMTUwLjEyMTE1OAIAAAAKMTQ2LjQyODYzNQIAAAAKMTQ0</t>
  </si>
  <si>
    <t>LjI2NjY5MgIAAAAKMTQ0LjIwOTI5NQIAAAAKMTQ0Ljg1MDIyNQIAAAAKMTQ0LjE5OTcyOQIAAAAKMTM5LjE3NzUxNAIAAAAKMTM5LjM1OTI3MQIAAAAKMTM0LjUwOTI0NwIAAAAKMTMyLjU0ODE5MgIAAAAKMTQxLjUzMDc4MQIAAAAKMTQxLjIxNTA5OQIAAAAKMTM5LjMyMTAwNgIAAAAKMTM3LjE2NDA3MQIAAAAKMTQwLjUzMTkxNwIAAAAKMTQ5LjMyMDQ4NAIAAAAKMTUwLjU1OTc3NgIAAAAKMTQ3LjE5MTkyOQIAAAAKMTQ1Ljk4MTAxOAIAAAAKMTQ3Ljk3NzEyOQIAAAAKMTQ2Ljg5ODY2MQIAAAAKMTQ0LjMzNDkzNQIAAAAKMTQ3LjY1NTQ4MQIAAAAKMTUzLjUzOTc1MgIAAAAKMTQ5LjIzNTM0MgIAAAAKMTUzLjg4OTc4MQIAAAAKMTU1LjMwMTU0MgIAAAAKMTUwLjA4NDg2MwIAAAAKMTU1LjM2NzEwMQIAAAAKMTQ5Ljg1MDcyMgIAAAAKMTQ4Ljg3NjY5MgIAAAAKMTUxLjM0OTIyOQIAAAAJMTQ3LjczNDA4AgAAAAoxNDQuODQ5NDU0AgAAAAoxNDUuNjgyOTk4AgAAAAoxNDAuMzcyNjYzAgAAAAoxNDMuMTE2ODA1AgAAAAoxNDQuODQ5NDU0AgAAAAoxNDQuODIxMzU3AgAAAAoxMzkuOTMyMTc0AgAAAAoxNDEuMDQzOTIzAgAAAAoxMzguMTcxOTA0AgAAAAoxMzEuNzc5MzQ2AgAAAAoxMzYuNDM5NDI4AgAAAAoxMzkuMzM5MjQxAgAAAAoxMzguMTkwNDMzAgAAAAoxMzkuOTQxNDM4AgAAAAkxMzguMzY2NDYC</t>
  </si>
  <si>
    <t>AAAACjEzMy42OTcxMTMCAAAACjEzNC4xNjAzNDICAAAACjEzNC4yNDM3MjMCAAAACjEzMy44MzYwODICAAAACjEzMS4wNjMyNjQCAAAACTEzNS4zMzU3NwIAAAAKMTMyLjM0Njg0OQIAAAAKMTUyLjk1NzU2OAIAAAAKMTUwLjQxNzkwMgIAAAAKMTQ4Ljc0MDA3MgIAAAAKMTU0LjU5ODcyNAIAAAAKMTUyLjQ1MzMwMgIAAAAKMTUyLjY1NTAwOAIAAAAKMTUzLjMwNTk2OQIAAAAKMTUwLjYzNzk0NQIAAAAKMTQ1Ljg4ODY3OAIAAAAKMTQ3LjUyMDY2NgIAAAAKMTQ5LjA2NzgwMwIAAAAKMTQ0LjY3MjUwNQIAAAAKMTQ0LjI3MjkzMwIAAAAKMTQ0LjEwOTQ3MQIAAAAKMTM5LjQ2ODk4MQIAAAAKMTQwLjA1MDE3OAIAAAAKMTQyLjg5MjU5MQIAAAAKMTM3LjQ0Mzg3NQIAAAAKMTQyLjgxMDg2MQIAAAAKMTQ0LjI2Mzg1MgIAAAAKMTQxLjkwMjc0MQIAAAAKMTM5LjkyMzA0MQIAAAAKMTQwLjk2NzM3OAIAAAAJMTQwLjg1MDM5AgAAAAoxNDQuMDc4OTIzAgAAAAoxNTEuNjA2MTczAgAAAAoxNTIuMDkxODAyAgAAAAkxNTUuMDc3NTICAAAACjE1MC43Njk4MTICAAAACjE0Ni43MzE4OTcCAAAACjE0MC4zNDY3NzUCAAAACjEzNy4wMDEzMzECAAAACjE0My41OTMyOTQCAAAACTE0OC4zNTA2NgIAAAAKMTQ2LjA1NzQxMgIAAAAJMTQ2LjQ1MzExAgAAAAoxNTMuMjk5NjM5AgAAAAoxNTEuMDUzMjI5AgAAAAoxNTkuOTY3</t>
  </si>
  <si>
    <t>NTU0AgAAAAoxNjEuMjYwMTMxAgAAAAoxNTguMjgyNzQ2AgAAAAoxNTcuMzkxMzE0AgAAAAoxNjAuMDAzMjExAgAAAAoxNTguMTQwMTE3AgAAAAoxNTAuNDAyNDg0AgAAAAoxNDkuNzYwNjUyAgAAAAoxNjEuMzc2MDE3AgAAAAoxNjMuNzU2MTQyAgAAAAoxNjMuMTIzMjI1AgAAAAoxNjQuOTQwNjAyAgAAAAkxNjIuMjUxNDUCAAAACjE1OS4yMDg0NjECAAAACjE1My4yMDIwOTcCAAAACDE0MS42NTgyAgAAAAoxNDEuNTYwODk2AgAAAAoxMjcuMDg5MDA4AgAAAAoxMjguMDYyMDU2AgAAAAoxMzguMzk0MDY0AgAAAAkxNDEuNTA3ODICAAAACTEzOS42MzI0OQIAAAAKMTQ0LjU1MDgwOQIAAAAKMTM5LjQ5MDk1NgIAAAAKMTQwLjEyODQyNwIAAAAKMTM0LjY4NDU4OQIAAAAKMTQzLjU3MzU2MQIAAAAKMTI2LjQwMDQ4NwIAAAAKMTIwLjY2NzM2MwIAAAAJMTI1LjE1NTY4AgAAAAoxMjguNDM0MjU2AgAAAAoxMjYuOTA4OTI5AgAAAAoxMzAuMDczNTQ0AgAAAAoxNTMuNzU5OTM4AgAAAAoxNTUuNjg4NTEyAgAAAAoxNTYuMjg0NjE2AgAAAAoxNDcuMTE1MTI0AgAAAAkxNDUuOTU4MjECAAAACTE0OC40MTAxMgIAAAAKMTM2LjIyMDEyNwIAAAAKMTM5Ljk0MTQ2NgIAAAAKMTQ5LjE5MjY0NQIAAAAKMTQ3Ljc0OTMyMgIAAAAKMTQyLjc4NDYzOAIAAAAKMTQ3LjIxMDI0OQIAAAAKMTQwLjYxOTY1NAIAAAAKMTQ4LjU5</t>
  </si>
  <si>
    <t>MjcwOQIAAAAKMTM3Ljk0MTY4MQIAAAAKMTIyLjA1NjQzNAIAAAAKMTE2LjAwNDkxMQIAAAAKMTE5LjQzNzM4MQIAAAAKMTE2LjkxNjI5OAIAAAAJMTEyLjM4MTc5AgAAAAkxMDkuMTk4MTcCAAAACjExMC45NjIwNjgCAAAACjEwNy41ODA1NDcCAAAACjEwMC45NzIzODQCAAAACjEwMC4xNjM1NzMCAAAACTk3Ljc0NTc0MgIAAAAKMTAxLjgyNDIxOAIAAAAJOTguNDQyNjk3AgAAAAk5OC41Mjg3NDECAAAACTk2LjI5MTYwMgIAAAAJOTcuMTY0ODE2AgAAAAk5Ny41OTg2MjYCAAAACTk3LjM4NTk3NAIAAAAJOTUuOTQ4NDQ4AgAAAAk5My4yMzUwMTMCAAAACTkxLjkwODA2NgIAAAAJODguNzQzODA5AgAAAAk4NS41NzEwNDUCAAAACTgyLjMwNDcxNQIAAAAJODEuNzE3Nzk2AgAAAAk4Mi45MjU2NTgCAAAACTgzLjkwMzg1NgIAAAAJODAuMjEyMjIyAgAAAAk4NS41NzQxMzkCAAAACTg1LjU2NTc0NgIAAAAJODUuNDQ4MjQ2AgAAAAk4Mi45NzIzMzYCAAAACTgyLjc3MDkwNgIAAAAJODcuMzQ1MDQ0AgAAAAk4OS4wMjM2MjYCAAAACTkwLjA1NTk1NQIAAAAJODYuNDcyMTgxAgAAAAk5MC41Njc5MjICAAAACDkxLjAyMTE0AgAAAAk4Ny4xMTAwNDICAAAACTg3LjM4NzAwOAIAAAAJOTAuNzY2MTY3AgAAAAk5MS4yMjIxOTUCAAAACTg1LjQ1OTY1OAIAAAAJODQuMTk5MzYzAgAAAAk4NS4zNjg0NTMCAAAACTg1LjMz</t>
  </si>
  <si>
    <t>Ni8yMC8yMDI1BQAAAAk2LzEzLzIwMjUFAAAACDYvNi8yMDI1BQAAAAk1LzMwLzIwMjUFAAAACTUvMjMvMjAyNQUAAAAJNS8xNi8yMDI1BQAAAAg1LzkvMjAyNQUAAAAINS8yLzIwMjUFAAAACTQvMjUvMjAyNQUAAAAJNC8xNy8yMDI1BQAAAAk0LzExLzIwMjUFAAAACDQvNC8yMDI1BQAAAAkzLzI4LzIwMjUFAAAACTMvMjEvMjAyNQUAAAAJMy8xNC8yMDI1BQAAAAgzLzcvMjAyNQUAAAAJMi8yOC8yMDI1BQAAAAkyLzIxLzIwMjUFAAAACTIvMTQvMjAyNQUAAAAIMi83LzIwMjUFAAAACTEvMzEvMjAyNQUAAAAJMS8yNC8yMDI1BQAAAAkxLzE3LzIwMjUFAAAACTEvMTAvMjAyNQUAAAAIMS8zLzIwMjUFAAAACjEyLzI3LzIwMjQFAAAACjEyLzIwLzIwMjQFAAAACjEyLzEzLzIwMjQFAAAACTEyLzYvMjAyNAUAAAAKMTEvMjkvMjAyNAUAAAAKMTEvMjIvMjAyNAUAAAAKMTEvMTUvMjAyNAUAAAAJMTEvOC8yMDI0BQAAAAkxMS8xLzIwMjQFAAAACjEwLzI1LzIwMjQFAAAACjEwLzE4LzIwMjQFAAAACjEwLzExLzIwMjQFAAAACTEwLzQvMjAyNAUAAAAJOS8yNy8yMDI0BQAAAAk5LzIwLzIwMjQFAAAACTkvMTMvMjAyNAUAAAAIOS82LzIwMjQFAAAACTgvMzAvMjAyNAUAAAAJOC8yMy8yMDI0BQAAAAk4LzE2LzIwMjQFAAAACDgvOS8yMDI0BQAAAAg4LzIvMjAyNAUAAAAJNy8yNi8yMDI0BQAAAAk3LzE5LzIwMjQF</t>
  </si>
  <si>
    <t>AAAACTcvMTIvMjAyNAUAAAAINy81LzIwMjQFAAAACTYvMjgvMjAyNAUAAAAJNi8yMS8yMDI0BQAAAAk2LzE0LzIwMjQFAAAACDYvNy8yMDI0BQAAAAk1LzMxLzIwMjQFAAAACTUvMjQvMjAyNAUAAAAJNS8xNy8yMDI0BQAAAAk1LzEwLzIwMjQFAAAACDUvMy8yMDI0BQAAAAk0LzI2LzIwMjQFAAAACTQvMTkvMjAyNAUAAAAJNC8xMi8yMDI0BQAAAAg0LzUvMjAyNAUAAAAJMy8yOC8yMDI0BQAAAAkzLzIyLzIwMjQFAAAACTMvMTUvMjAyNAUAAAAIMy84LzIwMjQFAAAACDMvMS8yMDI0BQAAAAkyLzIzLzIwMjQFAAAACTIvMTYvMjAyNAUAAAAIMi85LzIwMjQFAAAACDIvMi8yMDI0BQAAAAkxLzI2LzIwMjQFAAAACTEvMTkvMjAyNAUAAAAJMS8xMi8yMDI0BQAAAAgxLzUvMjAyNAUAAAAKMTIvMjkvMjAyMwUAAAAKMTIvMjIvMjAyMwUAAAAKMTIvMTUvMjAyMwUAAAAJMTIvOC8yMDIzBQAAAAkxMi8xLzIwMjMFAAAACjExLzI0LzIwMjMFAAAACjExLzE3LzIwMjMFAAAACjExLzEwLzIwMjMFAAAACTExLzMvMjAyMwUAAAAKMTAvMjcvMjAyMwUAAAAKMTAvMjAvMjAyMwUAAAAKMTAvMTMvMjAyMwUAAAAJMTAvNi8yMDIzBQAAAAk5LzI5LzIwMjMFAAAACTkvMjIvMjAyMwUAAAAJOS8xNS8yMDIzBQAAAAg5LzgvMjAyMwUAAAAIOS8xLzIwMjMFAAAACTgvMjUvMjAyMwUAAAAJOC8xOC8yMDIzBQAAAAk4LzExLzIw</t>
  </si>
  <si>
    <t>MjMFAAAACDgvNC8yMDIzBQAAAAk3LzI4LzIwMjMFAAAACTcvMjEvMjAyMwUAAAAJNy8xNC8yMDIzBQAAAAg3LzcvMjAyMwUAAAAJNi8zMC8yMDIzBQAAAAk2LzIzLzIwMjMFAAAACTYvMTYvMjAyMwUAAAAINi85LzIwMjMFAAAACDYvMi8yMDIzBQAAAAk1LzI2LzIwMjMFAAAACTUvMTkvMjAyMwUAAAAJNS8xMi8yMDIzBQAAAAg1LzUvMjAyMwUAAAAJNC8yOC8yMDIzBQAAAAk0LzIxLzIwMjMFAAAACTQvMTQvMjAyMwUAAAAINC82LzIwMjMFAAAACTMvMzEvMjAyMwUAAAAJMy8yNC8yMDIzBQAAAAkzLzE3LzIwMjMFAAAACTMvMTAvMjAyMwUAAAAIMy8zLzIwMjMFAAAACTIvMjQvMjAyMwUAAAAJMi8xNy8yMDIzBQAAAAkyLzEwLzIwMjMFAAAACDIvMy8yMDIzBQAAAAkxLzI3LzIwMjMFAAAACTEvMjAvMjAyMwUAAAAJMS8xMy8yMDIzBQAAAAgxLzYvMjAyMwUAAAAKMTIvMzAvMjAyMgUAAAAKMTIvMjMvMjAyMgUAAAAKMTIvMTYvMjAyMgUAAAAJMTIvOS8yMDIyBQAAAAkxMi8yLzIwMjIFAAAACjExLzI1LzIwMjIFAAAACjExLzE4LzIwMjIFAAAACjExLzExLzIwMjIFAAAACTExLzQvMjAyMgUAAAAKMTAvMjgvMjAyMgUAAAAKMTAvMjEvMjAyMgUAAAAKMTAvMTQvMjAyMgUAAAAJMTAvNy8yMDIyBQAAAAk5LzMwLzIwMjIFAAAACTkvMjMvMjAyMgUAAAAJOS8xNi8yMDIyBQAAAAg5LzkvMjAyMgUAAAAIOS8y</t>
  </si>
  <si>
    <t>LzIwMjIFAAAACTgvMjYvMjAyMgUAAAAJOC8xOS8yMDIyBQAAAAk4LzEyLzIwMjIFAAAACDgvNS8yMDIyBQAAAAk3LzI5LzIwMjIFAAAACTcvMjIvMjAyMgUAAAAJNy8xNS8yMDIyBQAAAAg3LzgvMjAyMgUAAAAINy8xLzIwMjIFAAAACTYvMjQvMjAyMgUAAAAJNi8xNy8yMDIyBQAAAAk2LzEwLzIwMjIFAAAACDYvMy8yMDIyBQAAAAk1LzI3LzIwMjIFAAAACTUvMjAvMjAyMgUAAAAJNS8xMy8yMDIyBQAAAAg1LzYvMjAyMgUAAAAJNC8yOS8yMDIyBQAAAAk0LzIyLzIwMjIFAAAACTQvMTQvMjAyMgUAAAAINC84LzIwMjIFAAAACDQvMS8yMDIyBQAAAAkzLzI1LzIwMjIFAAAACTMvMTgvMjAyMgUAAAAJMy8xMS8yMDIyBQAAAAgzLzQvMjAyMgUAAAAJMi8yNS8yMDIyBQAAAAkyLzE4LzIwMjIFAAAACTIvMTEvMjAyMgUAAAAIMi80LzIwMjIFAAAACTEvMjgvMjAyMgUAAAAJMS8yMS8yMDIyBQAAAAkxLzE0LzIwMjIFAAAACDEvNy8yMDIyBQAAAAoxMi8zMS8yMDIxBQAAAAoxMi8yMy8yMDIxBQAAAAoxMi8xNy8yMDIxBQAAAAoxMi8xMC8yMDIxBQAAAAkxMi8zLzIwMjEFAAAACjExLzI2LzIwMjEFAAAACjExLzE5LzIwMjEFAAAACjExLzEyLzIwMjEFAAAACTExLzUvMjAyMQUAAAAKMTAvMjkvMjAyMQUAAAAKMTAvMjIvMjAyMQUAAAAKMTAvMTUvMjAyMQUAAAAJMTAvOC8yMDIxBQAAAAkxMC8xLzIwMjEFAAAA</t>
  </si>
  <si>
    <t>OTA2LjcwNzg0ODAxODg3AgAAABAzOTM0LjgzMzY3Mjc5MjYxAgAAABAzODg2LjgzMTY4MDg4MDI0AgAAABAzNzE0LjI0MjY4OTc3NjY0AgAAABAzODQxLjQ2NTU3MDcxOTgzAgAAABAzNzY4LjI0NjI5MDQ4OTA5AgAAABAzODI0LjY4MDk0NDMwMTMzAgAAAA8zNzU2LjA3MTQ2ODk1NzICAAAAEDM3MDMuMDU3ODMzODIxNjMCAAAAEDM3MDkuNDA4Mzc1NDY2ODMCAAAAEDM2NjMuNDU3OTQzMTA3NjcCAAAAEDM2OTkuMTIxMzgyMzEzNjQCAAAAEDM2MzguMzUzNTg2MjUwNzQCAAAAEDM1NTcuNTQzODQxNDQ5NjgCAAAADzM1ODUuMTUzNTM0ODYzNe3Nxo47Jd4I+rSZsTsl3ghPQ0lRUkFOR0VWLkJQLklRX0NMT1NFUFJJQ0VfQURKLjExLzEzLzIwMjAuMTEvMTMvMjAyNS4uLkRFU0MuVy5JUV9DTE9TRVBSSUNFX0FESgQAAADiBAYABQEAAAIAAAAJMzYuMDg0NTgxAgAAAAkzNC42NTQyMTkCAAAACDM0LjA3MjIxAgAAAAkzMi42ODEzMDYCAAAACDMzLjAzNjQzAgAAAAkzMy42OTczNTYCAAAACTM1LjIwNjYzNQIAAAAJMzMuNjU3ODk4AgAAAAkzMy40MzEwMTMCAAAACTMzLjQ3MDQ3MQIAAAAJMzQuNzUyODY1AgAAAAkzNC4yNjk1MDECAAAACTMzLjg2NTA1NAIAAAAJMzMuMTk3MTU3AgAAAAkzMC44NzMxNjICAAAACTMxLjMxMDczNAIAAAAJMzEuMTA2NTMzAgAAAAkzMS43Mzg1ODICAAAACTMwLjA3NTgwNwIA</t>
  </si>
  <si>
    <t>IQT46156516</t>
  </si>
  <si>
    <t>BTI4NjU4AQgAAAAFAAAAATEBAAAACy0xOTE4NjQ2NzEzAwAAAAMxNjACAAAABDQwNTEEAAAAATAHAAAACjExLzE1LzIwMjUIAAAACTkvMzAvMjAyNQkAAAABMHfRUCx8JN4IrGyTGjwl3ggnQ0lRLkNWWC5JUV9OSV8xWVJfQU5OX0dST1dUSC4uLkwuLlVTRC5IAQAAAMqAAQACAAAACC0yMy40NTc5AQgAAAAFAAAAATEBAAAACy0xOTE4MDk2MzIwAwAAAAMxNjACAAAABDQxOTkEAAAAATAHAAAACjExLzE1LzIwMjUIAAAACTkvMzAvMjAyNQkAAAABMHfRUCx8JN4Id9FQLHwk3ggcQ0lRLlhPTS5JUV9FQklUREEuLi5MLi5VU0QuSAEAAABCMwYAAgAAAAU2MTY5NAEIAAAABQAAAAExAQAAAAstMTkxODY1NTA1NwMAAAADMTYwAgAAAAQ0MDUxBAAAAAEwBwAAAAoxMS8xNS8yMDI1CAAAAAk5LzMwLzIwMjUJAAAAATB30VAsfCTeCLWTkxo8Jd4IJ0NJUS5EVk4uSVFfTklfMVlSX0FOTl9HUk9XVEguLi5MLi5VU0QuSAEAAAAOEQQAAgAAAAgtMjAuMTIzNAEIAAAABQAAAAExAQAAAAstMTkxODAyNzQzNQMAAAADMTYwAgAAAAQ0MTk5BAAAAAEwBwAAAAoxMS8xNS8yMDI1CAAAAAk5LzMwLzIwMjUJAAAAATB30VAsfCTeCHfRUCx8JN4IJkNJUS5CUC5JUV9OSV8xWVJfQU5OX0dST1dUSC4uLkwuLlVTRC5IAQAAAOIEBgACAAAABy00NC4wMDYBCAAAAAUAAAABMQEAAAALLTE5MTg2NDY3MTMDAAAAAzE2MAIAAAAENDE5</t>
  </si>
  <si>
    <t>Ny41NDA2MjEwNDM3OQIAAAAQMzIyLjU4NDc1MDcwNjU1OQIAAAAQMzEyLjc3OTU3NjcyODc3NgIAAAAQMjg2LjE0MTQwNDU0OTQ5NwIAAAAQMjg3LjM4MTU4MTgwMzQzNwIAAAAQMjkzLjMzMzUzMDMzMDc0OQIAAAAQMzA2LjM4MDIxMDYzMzAyNgIAAAAQMzAyLjkzNjEyMzIzOTUwOAIAAAAQMjg5Ljk4NjQ3NDU3OTQzNAIAAAAQMjY3LjI0MjYxNzQ1NTY5NAIAAAAQMjU0LjU1MTQ4ODg4Njg5MidtFBU8Jd4IzbRXHDwl3ghJQ0lRUkFOR0VWLl5TUFguSVFfQ0xPU0VQUklDRS4xMS8xMy8yMDIwLjExLzEzLzIwMjUuLi5ERVNDLlcuSVFfQ0xPU0VQUklDRQQAAACbuCgABQEAAAIAAAAQNjcyOC44MDExMDg1NDMzMgIAAAAQNjg0MC4xOTg3NDEzODcyMwIAAAAQNjc5MS42OTM4MTIyNzU5NwIAAAAQNjY2NC4wMTA5ODA0ODYxNQIAAAAQNjU1Mi41MTMyNDgzMzczNAIAAAAQNjcxNS43ODkyNjE3ODg5NwIAAAAQNjY0My42OTc1NDQ3MzE3NgIAAAAQNjY2NC4zNjQ3OTcwNzUyNAIAAAAQNjU4NC4yODUwMTg5MTQwOAIAAAAQNjQ4MS40OTU1Mjk5MDE0NQIAAAAPNjQ2MC4yNjI2NjcwMTkyAgAAABA2NDY2LjkxMjk3NDQ4NzA2AgAAABA2NDQ5Ljc5NjU4MzY3NzUyAgAAABA2Mzg5LjQ0NTMxMDA0Nzk0AgAAABA2MjM4LjAwNjU3MDA0NjAyAgAAABA2Mzg4LjY0NDUwMDA0MDU1AgAAABA2Mjk2Ljc4OTA0MTQyMTY5</t>
  </si>
  <si>
    <t>AAAABTQuMTU3AgAAAAY0LjUzNzUCAAAABTQuNTI5AgAAAAY0LjY3NzUCAAAABTQuNDgxAgAAAAY0LjY1NDUCAAAABjQuNzQ4NQIAAAAFNC40NjgCAAAABTQuMzM2AgAAAAU0LjE2OAIAAAAENC4wNAIAAAAGMy45OTA1AgAAAAU0LjA2OAIAAAAFNC4xMTMCAAAABDQuMTQCAAAABjQuMDc1NQIAAAAGNC4wOTI1AgAAAAU0LjA3NAIAAAAFMy43ODgCAAAABTMuNjI2AgAAAAUzLjU1NgIAAAAFMy42MjYCAAAABTMuNjAyAgAAAAYzLjY3MzUCAAAABTMuNTE5AgAAAAYzLjU1ODUCAAAABjMuNjI3NQIAAAAGMy41MjM1AgAAAAUzLjUxNAIAAAAGMy4zOTk1AgAAAAUzLjI5MQIAAAAFMy4xNzgnbRQVPCXeCM20Vxw8Jd4ISENJUVJBTkdFVi5eQ0wuSVFfQ0xPU0VQUklDRS4xMS8xMy8yMDIwLjExLzEzLzIwMjUuLi5ERVNDLlcuSVFfQ0xPU0VQUklDRQQAAABTgDUDBQEAAAIAAAAFNTkuNzUCAAAABTYwLjk4AgAAAAQ2MS41AgAAAAU1Ny4xNQIAAAAFNTguNDgCAAAABTYwLjUzAgAAAAU2NS4xNAIAAAAENjIuNAIAAAAFNjIuMTkCAAAABTYxLjE4AgAAAAU2NC4wMQIAAAAFNjMuNjYCAAAABTYxLjk4AgAAAAU2My44OAIAAAAFNjcuMzMCAAAABTY1LjE2AgAAAAU2Ni4wNQIAAAAFNjcuMDQCAAAAAjY3AgAAAAU2NS41MgIAAAAFNzMuODQCAAAABTcxLjI5AgAAAAU2NC41OAIAAAAFNjAuNzkCAAAABTYxLjUzAgAAAAU2</t>
  </si>
  <si>
    <t>AgAAAAU2OS45MgIAAAAFNjkuNjICAAAABTY2LjMyAgAAAAU2My41OAIAAAAFNjUuMzYCAAAABDY0LjkCAAAABTYzLjU4AgAAAAU2Mi4xNAIAAAAFNjMuMTkCAAAABTU5LjM1AgAAAAU2MS40NQIAAAAFNjAuOTcCAAAABTYxLjQ0AgAAAAU2NS42NAIAAAAFNjYuMDkCAAAABDYxLjUCAAAABTU5LjI2AgAAAAU1OS4zOAIAAAAFNTYuODUCAAAABDUyLjICAAAABTUyLjI3AgAAAAU1Mi40MgIAAAAFNTIuMjYCAAAABTQ4LjUyAgAAAAU0OC4yMwIAAAAFNDkuMjQCAAAABTQ2Ljc1AgAAAAU0Ni4yNgIAAAAFNDUuNTMCAAAABTQyLjQyAgAAAAQ0MC40J20UFTwl3gjNtFccPCXeCFBDSVFSQU5HRVYuRU9HLklRX0NMT1NFUFJJQ0VfQURKLjExLzEzLzIwMjAuMTEvMTMvMjAyNS4uLkRFU0MuVy5JUV9DTE9TRVBSSUNFX0FESgQAAABcHQQABQEAAAIAAAAGMTA1LjQxAgAAAAYxMDUuODQCAAAABjEwNi4zOAIAAAAGMTA2LjIyAgAAAAoxMDcuMDQyMjAxAgAAAAoxMDkuNzc1OTUyAgAAAAoxMTYuMTk0MzI0AgAAAAoxMTQuODk2NzgzAgAAAAoxMTcuMDM2MjQxAgAAAAoxMTYuODA4NDI4AgAAAAoxMjMuNjMyOTAxAgAAAAoxMTkuOTU4MTg1AgAAAAoxMTcuODU4MzQ3AgAAAAkxMTUuMTc0MTICAAAACjExNS40OTEwNzcCAAAACjExNy4yNjQwNTMCAAAACjExNi41NjA4MDYCAAAACjEyMC44Njk2MzUCAAAACjEyMC45Nzc2</t>
  </si>
  <si>
    <t>MTEvMTMvMjAyNS4uLkRFU0MuVy5JUV9QUklDRURBVEUFAAAAAQAAAAgAAAASKEludmFsaWQgRW5kIERhdGUpEH0hjzsl3ggQfSGPOyXeCEZDSVFSQU5HRVYuQ1ZYLklRX0NMT1NFUFJJQ0VfQURKLi4xMS8xMy8yMDI1Li4uREVTQy5XLklRX0NMT1NFUFJJQ0VfQURKBQAAAAEAAAAIAAAAEihJbnZhbGlkIEVuZCBEYXRlKRB9IY87Jd4IEH0hjzsl3ghGQ0lRUkFOR0VWLkNPUC5JUV9DTE9TRVBSSUNFX0FESi4uMTEvMTMvMjAyNS4uLkRFU0MuVy5JUV9DTE9TRVBSSUNFX0FESgUAAAABAAAACAAAABIoSW52YWxpZCBFbmQgRGF0ZSkQfSGPOyXeCBB9IY87Jd4IRkNJUVJBTkdFVi5FT0cuSVFfQ0xPU0VQUklDRV9BREouLjExLzEzLzIwMjUuLi5ERVNDLlcuSVFfQ0xPU0VQUklDRV9BREoFAAAAAQAAAAgAAAASKEludmFsaWQgRW5kIERhdGUpEH0hjzsl3ggQfSGPOyXeCD5DSVFSQU5HRVYuXkNMLklRX0NMT1NFUFJJQ0UuLjExLzEzLzIwMjUuLi5ERVNDLlcuSVFfQ0xPU0VQUklDRQUAAAAAAAAACAAAABIoSW52YWxpZCBFbmQgRGF0ZSkQfSGPOyXeCAr00RY8Jd4IPkNJUVJBTkdFVi5eSEcuSVFfQ0xPU0VQUklDRS4uMTEvMTMvMjAyNS4uLkRFU0MuVy5JUV9DTE9TRVBSSUNFBQAAAAAAAAAIAAAAEihJbnZhbGlkIEVuZCBEYXRlKRB9IY87Jd4ITB/QFjwl3ghGQ0lRUkFOR0VWLkRWTi5JUV9DTE9TRVBSSUNF</t>
  </si>
  <si>
    <t>X0FESi4uMTEvMTMvMjAyNS4uLkRFU0MuVy5JUV9DTE9TRVBSSUNFX0FESgUAAAABAAAACAAAABIoSW52YWxpZCBFbmQgRGF0ZSkQfSGPOyXeCBB9IY87Jd4IRUNJUVJBTkdFVi5CUC5JUV9DTE9TRVBSSUNFX0FESi4uMTEvMTMvMjAyNS4uLkRFU0MuVy5JUV9DTE9TRVBSSUNFX0FESgUAAAABAAAACAAAABIoSW52YWxpZCBFbmQgRGF0ZSkQfSGPOyXeCBB9IY87Jd4IP0NJUVJBTkdFVi5eU1BYLklRX0NMT1NFUFJJQ0UuLjExLzEzLzIwMjUuLi5ERVNDLlcuSVFfQ0xPU0VQUklDRQUAAAABAAAACAAAABIoSW52YWxpZCBFbmQgRGF0ZSkQfSGPOyXeCBB9IY87Jd4IRENJUVJBTkdFVi5eU1A1MDAtMTAuSVFfQ0xPU0VQUklDRS4uMTEvMTMvMjAyNS4uLkRFU0MuVy5JUV9DTE9TRVBSSUNFBQAAAAAAAAAIAAAAEihJbnZhbGlkIEVuZCBEYXRlKRB9IY87Jd4ICvTRFjwl3ghGQ0lRUkFOR0VWLlhPTS5JUV9DTE9TRVBSSUNFX0FESi4uMTEvMTMvMjAyNS4uLkRFU0MuVy5JUV9DTE9TRVBSSUNFX0FESgUAAAABAAAACAAAABIoSW52YWxpZCBFbmQgRGF0ZSkQfSGPOyXeCBB9IY87Jd4IUENJUVJBTkdFVi5JUVQ0NjE1NjUxNi5JUV9DTE9TRVBSSUNFLjExLzEzLzIwMjAuMTEvMTMvMjAyNS4uLkRFU0MuVy5JUV9DTE9TRVBSSUNFBAAAAJu4KAAFAQAAAgAAABAxMjg3My42ODQ2MzQ4MzIzAgAAABAxMzA4NS4wOTc4</t>
  </si>
  <si>
    <t>NTU2MTQxAgAAABAxMjk5MS40NDMxOTI0MjMyAgAAAA8xMjc0Ni4zOTcxNjkzMDgCAAAAEDEyNTMyLjEzNzA0NDExMzQCAAAAEDEyODQyLjIwMTgzNzk5MjMCAAAAEDEyNzAxLjkxNzc1MzYxNDkCAAAAEDEyNzQwLjMwNjk5NzYzMzQCAAAAEDEyNTg0LjYzNTkzNjM2OTYCAAAAEDEyMzg2Ljc2NjU1Njc2NDMCAAAAEDEyMzQyLjMyNjQ2MjUwMTgCAAAAEDEyMzUzLjMwOTQ1NTcyNDECAAAAEDEyMzE3LjUzNjY1OTU2OTkCAAAAEDEyMTk4LjY2MzkzNjQ1NTkCAAAAEDExOTA4LjIxMTM3MDQ3MTICAAAAEDEyMTk0LjY0MTg2ODI2MDUCAAAAEDEyMDE4LjMxNjE4NDQwNDYCAAAAEDExOTQ2LjIwODAwNjI5NDgCAAAAEDExOTgyLjEyNDA5MjA2NjICAAAAEDExNzc2LjkzNTEzNTYxODMCAAAAEDExMzg0LjM0MzEyNTM0MTUCAAAAEDExMzk5LjQ4NTIwMTM0NzYCAAAADzExNDQxLjYxMTE0MTkzMwIAAAAQMTEyNjkuNTc5NDUxOTkyMwIAAAAQMTEwNjAuNDc5MjcxMjExMwIAAAAQMTEzNTQuNzcyNDU1NTAzNgIAAAAQMTA3ODEuNzE5MTgzMDMyOAIAAAAQMTA4MzAuODA5MzU3MTkwMgIAAAAQMTA1MjIuMjE2ODI5MDg0NgIAAAAQMTAwNTkuNDM5MDYzMzU5MwIAAAAQMTAyMTIuMDQzOTU1ODE0NwIAAAAQOTY1OS42NjY2Mjc2NDgxNQIAAAAQMTA2MjIuMDE5NDM1NDUxMQIAAAAQMTA3ODYuMjU5NzExNDc4NwIAAAAQ</t>
  </si>
  <si>
    <t>MTA3MjkuODAxMTA2MzA4MwIAAAAQMTA5NzUuNzE0OTMwMDYyOAIAAAAQMTEzMjMuNzI4NjI4ODA3OAIAAAAQMTE0MzMuNTYzOTQ0MTg5NwIAAAAQMTE2MjMuNzkzMzkzODY4NAIAAAAQMTE0NTEuMTIzNjU5ODk5MgIAAAAQMTE0NzcuNTk3NTAyMjQwMwIAAAAQMTE1OTIuMTkzNjUyNTg1OAIAAAAQMTEzOTIuMjc5Njc0MTQ1NAIAAAAQMTEwNjguOTU4ODk3ODgxNAIAAAAQMTEyODUuNzk1NjMwMzA0MQIAAAAQMTEzMzcuOTg2MTUwMDAyOAIAAAAPMTEyNjAuMjY5MTE1MDU4AgAAABAxMTQ4Ni43NDk3NzYxNTAyAgAAABAxMTU1OC42ODY3MzQ1OTQ3AgAAAA8xMTQ0Ni4xNjM1MTQzNDcCAAAAEDExMzI0LjY5OTc5NTY0OTUCAAAAEDExMTM0LjM2NDQzMzEzNTkCAAAAEDExMzY4LjQ1MTgzMjE3MDUCAAAAEDEwODYwLjM5MzY1MjY0OTQCAAAADzExMDA5LjY5MzkxNDIyMgIAAAAQMTExMTYuMzY3MTY2NDg2OAIAAAAQMTEwMjEuMDA5OTk1NTUwNQIAAAAQMTA4OTguMjEwNDM1NzgwOAIAAAAQMTA4NzAuNzk2ODUxOTIwMgIAAAAQMTA4MDIuNDYxMDA5MTk0NgIAAAAQMTA2NTUuMjA0NTE2NzMwOQIAAAAPMTAyNDAuNzY2MTQzNTg2AgAAABAxMDY5Mi44NzcyMzEyMDI2AgAAABAxMDY2NC41NDc4NDgyODMyAgAAABAxMDUxMC44OTA0NDQwMTAxAgAAABAxMDEwOS4wMjg4MjE5MTAyAgAAABAxMDExMi4wMjE0MjMx</t>
  </si>
  <si>
    <t>NTY2AgAAABAxMDMyMy43OTM3ODcyMjU1AgAAABAxMDQwOS42MjkyMjU5NzYzAgAAABAxMDYxNi45NjAwNjg1ODY2AgAAABAxMDUyNC4zMzM0MjcxMTcxAgAAABAxMDMyMS4wMDUzMTgwMTg3AgAAABAxMDMyNy4zNzU4NDQwNzU1AgAAABAxMDI2My40NDAxMzY3MTM5AgAAAA8xMDEwMC45MTk3MzA4MDECAAAAEDk5NjYuOTkyMDI3OTQzMTYCAAAAEDEwMDE2LjkyMzg2OTA0ODMCAAAADzEwMDEyLjg5NTM2MTM2MQIAAAAQOTg1Ni42MTg1ODA5NzQ3OAIAAAAQOTY3NC42MTYyMzQ5ODA2NAIAAAAQOTYyMS4wNDEzNjUxMDU4NAIAAAAQOTM3MC4yNDQwNTQ5NTM1NQIAAAAQOTY2NC4wMTYyODI5NTMwNwIAAAAQOTgxNC40NTkyNTgyMzU3NwIAAAAQOTkwNy4zMzIwODYxNzQ1NgIAAAAQOTg2OC4yNjE2NDc4OTE5MwIAAAAQOTY0Ni4wNDgyOTcwNjUxNgIAAAAQOTY1Ni4wODczMTE1ODA5NwIAAAAQOTY3OS4wMTY5MzAxOTc5OAIAAAAQOTU4NS4yMjU4Mzc0MDQzNwIAAAAPOTQyNy40MzY1Nzc0MjU3AgAAABA5NDYyLjQwNjUyNzQ0MzI5AgAAABA5MzMyLjYxNTI3NzAyMTA0AgAAABA5MjAzLjgzNzAyNzI3MTU1AgAAABA5MTA3LjAwMTM4MjU1MzQyAgAAABA5MDAwLjU2OTQ2MDY0OTM4AgAAABA4ODM1LjgyNDU0NjM4ODE1AgAAAA84OTcxLjA3MTY4ODc1NDYCAAAAEDg5NDAuOTM2MTI3MTI5MzMCAAAAEDg4NzIu</t>
  </si>
  <si>
    <t>OTczNDkyODcyMjICAAAAEDg2NTQuOTcyNDY0OTExNDECAAAADTg2MzUuMTE3NzY5OTkCAAAAEDg1NjUuMzEwMzM1OTMwMzgCAAAAEDg0NzguOTg0NjE1NDk3OTUCAAAAEDgyODkuMzA3MzE4NDcwNjcCAAAAEDgxNzkuOTI3ODc5MDc4NzMCAAAAEDc3MjYuMTk0Mzg1MjIwMjQCAAAAEDc5MjYuMjM1ODY3MjY5NDUCAAAAEDgxMTkuODM4ODk5MDY0NDkCAAAAEDgwODIuNjUwOTMyNzg0ODYCAAAAEDgwNDEuODczNjQyNDY4OTgCAAAAEDgxMDAuNDAwNzgyMzMzMzQCAAAADzgzNDMuODgxNDg1MDUzNQIAAAAQODM1NS4xNjgyNTY1NTE3NAIAAAAQODQ2Mi43NTkwMzIwMDczOQIAAAAPODI1My42NTg0MzcwNDE3AgAAABA4MTg1LjA3MTc3MTY4NTQ4AgAAABA4MzU4LjA1MDQ5NTE1MDUzAgAAABA4MzgxLjkzODU0Mjk2ODQxAgAAABA4NTc1Ljg2MTU0NzI0MzUzAgAAABA4NDg4LjcwMzY4NDU3NTgxAgAAABA4NDMwLjE2NzM0Njg3MDE3AgAAABA4MjI5Ljg4ODMwMzIzNzA0AgAAAA44MzIzLjY5NTkwNDg5OQIAAAAQODEzMS44Mzk0NTcwOTUxMQIAAAAQODI0NS40MzI1NjczODU3NQIAAAAQODAzNS43MzMxMzc1MjU1NAIAAAAQODAwMy43MDk1NzE4NDgzNwIAAAAQNzg1Ny4xMjAzODkyOTUzMgIAAAANNzgzMC41NTQ1ODQ5NAIAAAAQNzcwMC41NTc5MDc0ODMyOQIAAAAQNzcyMC4yOTE0Njc1MDg5NAIAAAAQNzc4</t>
  </si>
  <si>
    <t>MS4yODk1MDU0OTkzOAIAAAAQNzcxMy4yMTA3MjQxMzI2MgIAAAAQNzcyMC4xMjM1NjE3NzUxNAIAAAAQNzY1OC4xNzMwMzI5NjEwMgIAAAAQNzY2My44OTA0ODcwNzU3NAIAAAAQNzQwNC44OTU3Mzc5MjIwOAIAAAAPNzMwMi4yNzUzMTU0NTYyAgAAABA3MTk3LjI5NTIxNDc0MjQxAgAAAA83NTM4LjI0MDA3OTg1NDICAAAAEDczOTQuNjY2OTkzODU1MTUCAAAADzc1OTYuOTg3MTY1MzUyMgIAAAAQNzYxMy44NzU0MzM3NjI1NgIAAAAQNzY5Ni45ODIwOTQ5ODc3MwIAAAAQNzU3My4xNjUwNjkzNzk4OAIAAAAQNzM5MC4yOTc2OTY4MDg0MwIAAAAQNzQzOC43Nzg1MTA3NDcwNgIAAAAQNzI0My40NTQxNTQzODkyNgIAAAAQNzEzOC43NjUxNjkzNjA0NQIAAAAQNzE0Ny4yNTc2NzAwMTk0NQIAAAAQNzE1OS45MjE1NzQ3MjUyMgIAAAAQNzMxMC4zNzU5Mjk0MTgzOAIAAAAQNzU2NC4xNTc1OTUyNDk2MQIAAAAQNzQ3Ni4zMTgyMTA0NzMzMgIAAAAQNzM2Mi4zMjEyMjQwMzM5NAIAAAAQNzQwOS41NTUwOTg5OTExNAIAAAAQNjk5NS4zMzUyNjg0NTM4NgIAAAAQNzIzNS40NzU5MzQ2NjczMwIAAAAQNjk1OS43NDI5NzMyMjYzMgIAAAAQNjY0NC4zNTE5MTk4NjE0MgIAAAAPNjc0OC4yOTU3MTkzMzQ5AgAAABA2NjQ1Ljg2ODA3NTQwODYxAgAAABA2ODQzLjgxNTMwNjk5MjMxAgAAABA3MTc2Ljc2MTQ2MTY5NTg4</t>
  </si>
  <si>
    <t>AgAAABA3NTM0LjA2NTEwNTAzMTQ1AgAAABA3MjY3LjUzNDE4NTU2Mjg0AgAAABA3NTExLjUxODQxNDk4NzAxAgAAAA83ODI2LjY5MTY4MjI2NDQCAAAAEDc5MTkuODYzNjczMTU1MzgCAAAAEDc2NjcuMzQxNzYzMzg3NzYCAAAAEDc2MzguNDgyMTQwNTI2MjQCAAAAEDczMjUuMjk2Nzc2NDE3MjkCAAAAEDcxNDIuNDM0MTM2MjQyOTUCAAAAEDcyMDguNDU5NjU2Mjk3OTgCAAAAEDcwNjkuNjIxODI1MjM0MjQCAAAAEDcyMjcuNzAzOTIwNDY5NzMCAAAAEDY3ODkuMzUyNzc5MDIxMzgCAAAAEDcyMDQuMzM1ODIyNjk0OTICAAAADzc1ODYuODEwMjk3NDA3NAIAAAAQNzY3Ni4yNjAzMDk3NzMwMgIAAAAQNzIwMC4yNTAxNzEwMjYxOAIAAAAQNzQyMy45NDgxNzYxMTIyNAIAAAAQNzYwNC4zMDAzMTQ1MjUzMgIAAAAQNzYxOC42Njc5NTIzNzQ4NgIAAAAPNzg3NS42MjIzNDk2NDYxAgAAABA4MDk3LjYzODc5MzYwOTQ3AgAAABA4MjcyLjc2MjUwNzkzNTY2AgAAABA4Mzc3LjA0MjgxODM3NjkzAgAAABA4MzcwLjg2MDI3MDA2MDUzAgAAABA4MjIyLjQxMjQyNDg1NzA1AgAAABA3NzQzLjc5MzI3OTc5OTA1AgAAABA3OTcxLjMwNDA1MDU5NDIxAgAAAAs4MDcxLjk1MDEwMgIAAAAQODAwNC45MDk4MDYzNDQ1MgIAAAAKODEyOS45NTkyOAIAAAAQODI3OC43NTk4NDAxNDc0MwIAAAAQODE1MS4wMDgwODQ1MDA2NwIA</t>
  </si>
  <si>
    <t>AAAQODA4Ny41MjUxMTA4NTk4MwIAAAAPODU3My45NDU4NzE0NzIzAgAAABA4NTk5LjE0ODc0OTMwODcyAgAAABA4NzYwLjU5MzM5NTg3MzE5AgAAABA4Njg1LjI2NTE0OTM4MzgxAgAAABA4NDkwLjc5OTk1OTUwNjA4AgAAAA84NjU2Ljk5NDg5MDgwMzMCAAAAEDgzMzYuOTMwNDQ3ODY5MDICAAAAEDg0MzcuMjgxODkwMTU0MTICAAAAEDg2MjYuMDA5NzY4NzA1NTcCAAAAEDg1OTUuODI3NjE5ODI3NDkCAAAAEDg2MjAuMzU2ODkzMTM2ODkCAAAADzg0NDkuODI0OTQ0Nzg0OQIAAAAQODMzNy43NzUyMDE1OTI0MwIAAAAQODIwMi4yMjg2MjIxMzQ4MQIAAAAQODA1NC42ODM3NTI3MDEyMwIAAAAQNzk4OS40MTQyNDYzMzU2OAIAAAAQODE2OC40OTU0NjI4Nzg5NwIAAAAQODEyNi42NjM1MjcyNTc5MQIAAAAQODE3MS43NjM2ODcwNDgwOQIAAAAPODMxMS40NzE3MDExNTY4AgAAABA4MjYxLjI0MDQzNjA2OTM1AgAAAA84MTM2LjE5MzQwMzYzMTkCAAAAEDgxODIuMTU2MTQ4OTI1MTYCAAAAEDgxMjIuMTIzMTU3MzUxNTICAAAAEDgwNDUuNDQ5MzEwNzcyOTMCAAAAEDgwNzQuNDcxMTI2MTAzMzECAAAAEDc5MTguNjU0NjU1NjY4MzQCAAAAEDc5OTUuNDIxMzgzNTE5NDQCAAAAEDc5NjIuNDgyNDc5MDI3MTgCAAAAEDc4MjkuNzIxNzk3MzAwNDYCAAAADzc2MTkuOTQ0NDQzMDQ3NAIAAAAQNzc2Ni4wMjc0Mjg1</t>
  </si>
  <si>
    <t>MzU0OQIAAAAQNzczMy4wOTYwMDgwMTE3NQIAAAAQNzY4NC4zMDI1NDM5ODk5NAIAAAAQNzU5NC4zMDQ0Mjk1ODM3OQIAAAAQNzYyNS4wNjU3NjUyNzU2MwIAAAAQNzczMC4xMTE3MjA0Mjk1MQIAAAAQNzYzNC40MTU1NzgwNTg3NgIAAAAQNzYzMS43OTE5ODcxNjE3MwIAAAAQNzY0MC42NzUzMTg2MzI0OAIAAAAQNzUzNi4zOTQ2MDE1NjE5NAIAAAAQNzMzNS4yOTI3NDkwNzgxOAIAAAAQNzI1MS42MzYwMDcwNDU2NwIAAAAQNzEzOS4wMDYzMzUyODQwNgIAAAAQNzE5Mi45OTA2ODk4NTA1NQIAAAAQNzAwNS43MTIyNjI5Njc0NgIAAAAQNjk0OC4wOTgwOTM1ODE1NwIAAAAQNzEyMC40NDM1NTUyNTQzNQIAAAAQNzE2OS43ODMwMjc2NTM2NgIAAAAQNzA3OS45ODYyMTEyNzUwMwIAAAAQNjc2NC41Nzg4ODEzMDIzNwIAAAAQNjk5NS4xMTI0NDM4MTk3MwIAAAAQNjg2MS4xNDczNzY4NTkwNwIAAAAQNjk2My4xNzY0MTYwMjc3NwIAAAAQNjgzNS43MjU0Mzg2NzUwNQIAAAAQNjczOC4zNTkzNTEwOTIxNgIAAAAQNjc0OC44MzI2MTQ0MjYyNgIAAAAQNjY2My43NDczNTkyOTkwNgIAAAAQNjcyNy44MDY4ODkzMzI2NgIAAAAQNjYxNC44Mzc4ODc0OTMyNwIAAAAQNjQ2Ni43MzQ0NTc5MzU0NwIAAAAQNjUxNS4wMTQ2MTQwMTgwOSdtFBU8Jd4IzbRXHDwl3ggvQ0lRLjEyODczLjY4NDYzLklRX05JLklRX0NRLjEy</t>
  </si>
  <si>
    <t>LzMxLzIwMDkuTC4uVVNELkgFAAAAAAAAAAgAAAAWKEludmFsaWQgRm9ybXVsYSBOYW1lKQSrbRc8Jd4IjP8AHDwl3gg/Q0lRLjEyODczLjY4NDYzLklRX05JXzFZUl9BTk5fR1JPV1RILklRX0xUTS4xMi8zMS8yMDA5LkwuLlVTRC5IBQAAAAAAAAAIAAAAFihJbnZhbGlkIEZvcm11bGEgTmFtZSkEq20XPCXeCIz/ABw8Jd4IOkNJUS4xMjg3My42ODQ2My5JUV9UT1RBTF9SRVZFTlVFLklRX0NRLjEyLzMxLzIwMDkuTC4uVVNELkgFAAAAAAAAAAgAAAAWKEludmFsaWQgRm9ybXVsYSBOYW1lKQSrbRc8Jd4IjP8AHDwl3gg0Q0lRLjEyODczLjY4NDYzLklRX0VCSVREQS5JUV9MVE0uMTIvMzEvMjAwOS5MLi5VU0QuSAUAAAAAAAAACAAAABIoSW52YWxpZCBFbmQgRGF0ZSkEq20XPCXeCIz/ABw8Jd4IRENJUS4xMjg3My42ODQ2My5JUV9UT1RBTF9SRVZfMVlSX0FOTl9HUk9XVEguSVFfQ1EuNi8zMC8yMDEwLkwuLlVTRC5IBQAAAAAAAAAIAAAAFihJbnZhbGlkIEZvcm11bGEgTmFtZSkEq20XPCXeCIz/ABw8Jd4IRUNJUS4xMjg3My42ODQ2My5JUV9UT1RBTF9SRVZfMVlSX0FOTl9HUk9XVEguSVFfQ1EuMTIvMzEvMjAwOS5MLi5VU0QuSAUAAAAAAAAACAAAABYoSW52YWxpZCBGb3JtdWxhIE5hbWUpBKttFzwl3giM/wAcPCXeCDNDSVEuMTI4NzMuNjg0NjMuSVFfRUJJVERBLklRX0NRLjEyLzMxLzIwMDkuTC4u</t>
  </si>
  <si>
    <t>VVNELkgFAAAAAAAAAAgAAAASKEludmFsaWQgRW5kIERhdGUpBKttFzwl3giM/wAcPCXeCEVDSVEuMTI4NzMuNjg0NjMuSVFfUkVUVVJOX0lOVkVTVEVEX0NBUElUQUwuSVFfTFRNLjEyLzMxLzIwMDkuTC4uVVNELkgFAAAAAAAAAAgAAAAWKEludmFsaWQgRm9ybXVsYSBOYW1lKQSrbRc8Jd4IjP8AHDwl3gg5Q0lRLjEyODczLjY4NDYzLklRX1RPVEFMX1JFVkVOVUUuSVFfQ1EuNi8zMC8yMDEwLkwuLlVTRC5IBQAAAAAAAAAIAAAAFihJbnZhbGlkIEZvcm11bGEgTmFtZSkEq20XPCXeCIz/ABw8Jd4IRENJUS4xMjg3My42ODQ2My5JUV9SRVRVUk5fSU5WRVNURURfQ0FQSVRBTC5JUV9MVE0uNi8zMC8yMDEwLkwuLlVTRC5IBQAAAAAAAAAIAAAAFihJbnZhbGlkIEZvcm11bGEgTmFtZSkEq20XPCXeCIz/ABw8Jd4IMkNJUS4xMjg3My42ODQ2My5JUV9FQklUREEuSVFfQ1EuNi8zMC8yMDEwLkwuLlVTRC5IBQAAAAAAAAAIAAAAFihJbnZhbGlkIEZvcm11bGEgTmFtZSkEq20XPCXeCIz/ABw8Jd4IQ0NJUS4xMjg3My42ODQ2My5JUV9SRVRVUk5fSU5WRVNURURfQ0FQSVRBTC5JUV9DUS42LzMwLzIwMTAuTC4uVVNELkgFAAAAAAAAAAgAAAAWKEludmFsaWQgRm9ybXVsYSBOYW1lKQSrbRc8Jd4IjP8AHDwl3gg+Q0lRLjEyODczLjY4NDYzLklRX05JXzFZUl9BTk5fR1JPV1RILklRX0NRLjEyLzMxLzIwMDkuTC4u</t>
  </si>
  <si>
    <t>VVNELkgFAAAAAAAAAAgAAAAUKEludmFsaWQgSWRlbnRpZmllcikEq20XPCXeCIz/ABw8Jd4IPkNJUS4xMjg3My42ODQ2My5JUV9OSV8xWVJfQU5OX0dST1dUSC5JUV9MVE0uNi8zMC8yMDEwLkwuLlVTRC5IBQAAAAAAAAAIAAAAFChJbnZhbGlkIElkZW50aWZpZXIpBKttFzwl3giM/wAcPCXeCDpDSVEuMTI4NzMuNjg0NjMuSVFfVE9UQUxfUkVWRU5VRS5JUV9MVE0uNi8zMC8yMDEwLkwuLlVTRC5IBQAAAAAAAAAIAAAAFChJbnZhbGlkIElkZW50aWZpZXIpBKttFzwl3giM/wAcPCXeCD1DSVEuMTI4NzMuNjg0NjMuSVFfTklfMVlSX0FOTl9HUk9XVEguSVFfQ1EuNi8zMC8yMDExLkwuLlVTRC5IBQAAAAAAAAAIAAAAFChJbnZhbGlkIElkZW50aWZpZXIpBKttFzwl3ggnFQAcPCXeCERDSVEuMTI4NzMuNjg0NjMuSVFfUkVUVVJOX0lOVkVTVEVEX0NBUElUQUwuSVFfTFRNLjYvMzAvMjAxMS5MLi5VU0QuSAUAAAAAAAAACAAAABQoSW52YWxpZCBJZGVudGlmaWVyKQSrbRc8Jd4IJxUAHDwl3gg5Q0lRLjEyODczLjY4NDYzLklRX1RPVEFMX1JFVkVOVUUuSVFfQ1EuNi8zMC8yMDExLkwuLlVTRC5IBQAAAAAAAAAIAAAAFChJbnZhbGlkIElkZW50aWZpZXIpBKttFzwl3ggnFQAcPCXeCDpDSVEuMTI4NzMuNjg0NjMuSVFfVE9UQUxfUkVWRU5VRS5JUV9MVE0uNi8zMC8yMDExLkwuLlVTRC5IBQAAAAAAAAAIAAAA</t>
  </si>
  <si>
    <t>FChJbnZhbGlkIElkZW50aWZpZXIpM7xtFzwl3ggnFQAcPCXeCD1DSVEuMTI4NzMuNjg0NjMuSVFfTklfMVlSX0FOTl9HUk9XVEguSVFfQ1EuNi8zMC8yMDEwLkwuLlVTRC5IBQAAAAAAAAAIAAAAFChJbnZhbGlkIElkZW50aWZpZXIpM7xtFzwl3giM/wAcPCXeCC5DSVEuMTI4NzMuNjg0NjMuSVFfTkkuSVFfQ1EuNi8zMC8yMDEwLkwuLlVTRC5IBQAAAAAAAAAIAAAAFChJbnZhbGlkIElkZW50aWZpZXIpM7xtFzwl3giM/wAcPCXeCC9DSVEuMTI4NzMuNjg0NjMuSVFfTkkuSVFfTFRNLjYvMzAvMjAxMC5MLi5VU0QuSAUAAAAAAAAACAAAABQoSW52YWxpZCBJZGVudGlmaWVyKTO8bRc8Jd4IjP8AHDwl3gguQ0lRLjEyODczLjY4NDYzLklRX05JLklRX0NRLjYvMzAvMjAxMS5MLi5VU0QuSAUAAAAAAAAACAAAABQoSW52YWxpZCBJZGVudGlmaWVyKTO8bRc8Jd4IJxUAHDwl3ggzQ0lRLjEyODczLjY4NDYzLklRX0VCSVREQS5JUV9MVE0uNi8zMC8yMDExLkwuLlVTRC5IBQAAAAAAAAAIAAAAFChJbnZhbGlkIElkZW50aWZpZXIpM7xtFzwl3ggnFQAcPCXeCD5DSVEuMTI4NzMuNjg0NjMuSVFfTklfMVlSX0FOTl9HUk9XVEguSVFfTFRNLjYvMzAvMjAxMS5MLi5VU0QuSAUAAAAAAAAACAAAABQoSW52YWxpZCBJZGVudGlmaWVyKTO8bRc8Jd4IJxUAHDwl3ghDQ0lRLjEyODczLjY4NDYzLklRX1JFVFVSTl9JTlZF</t>
  </si>
  <si>
    <t>U1RFRF9DQVBJVEFMLklRX0NRLjYvMzAvMjAxMS5MLi5VU0QuSAUAAAAAAAAACAAAABQoSW52YWxpZCBJZGVudGlmaWVyKTO8bRc8Jd4IJxUAHDwl3ggvQ0lRLjEyODczLjY4NDYzLklRX05JLklRX0xUTS42LzMwLzIwMTEuTC4uVVNELkgFAAAAAAAAAAgAAAAUKEludmFsaWQgSWRlbnRpZmllcikzvG0XPCXeCCcVABw8Jd4IRENJUS4xMjg3My42ODQ2My5JUV9UT1RBTF9SRVZfMVlSX0FOTl9HUk9XVEguSVFfQ1EuNi8zMC8yMDExLkwuLlVTRC5IBQAAAAAAAAAIAAAAFChJbnZhbGlkIElkZW50aWZpZXIpM7xtFzwl3ggnFQAcPCXeCDJDSVEuMTI4NzMuNjg0NjMuSVFfRUJJVERBLklRX0NRLjYvMzAvMjAxMS5MLi5VU0QuSAUAAAAAAAAACAAAABQoSW52YWxpZCBJZGVudGlmaWVyKTO8bRc8Jd4IJxUAHDwl3gg6Q0lRLjEyODczLjY4NDYzLklRX1RPVEFMX1JFVkVOVUUuSVFfQ1EuMTIvMzEvMjAxMC5MLi5VU0QuSAUAAAAAAAAACAAAABQoSW52YWxpZCBJZGVudGlmaWVyKTO8bRc8Jd4IJxUAHDwl3gg7Q0lRLjEyODczLjY4NDYzLklRX1RPVEFMX1JFVkVOVUUuSVFfTFRNLjEyLzMxLzIwMTAuTC4uVVNELkgFAAAAAAAAAAgAAAAUKEludmFsaWQgSWRlbnRpZmllcikzvG0XPCXeCCcVABw8Jd4IRENJUS4xMjg3My42ODQ2My5JUV9SRVRVUk5fSU5WRVNURURfQ0FQSVRBTC5JUV9DUS4xMi8zMS8yMDEwLkwu</t>
  </si>
  <si>
    <t>LlVTRC5IBQAAAAAAAAAIAAAAFChJbnZhbGlkIElkZW50aWZpZXIpM7xtFzwl3ggnFQAcPCXeCDNDSVEuMTI4NzMuNjg0NjMuSVFfRUJJVERBLklRX0NRLjEyLzMxLzIwMTAuTC4uVVNELkgFAAAAAAAAAAgAAAAUKEludmFsaWQgSWRlbnRpZmllcikzvG0XPCXeCCcVABw8Jd4IMENJUS4xMjg3My42ODQ2My5JUV9OSS5JUV9MVE0uMTIvMzEvMjAxMC5MLi5VU0QuSAUAAAAAAAAACAAAABQoSW52YWxpZCBJZGVudGlmaWVyKTO8bRc8Jd4IJxUAHDwl3gg/Q0lRLjEyODczLjY4NDYzLklRX05JXzFZUl9BTk5fR1JPV1RILklRX0xUTS4xMi8zMS8yMDEwLkwuLlVTRC5IBQAAAAAAAAAIAAAAFChJbnZhbGlkIElkZW50aWZpZXIpM7xtFzwl3ggnFQAcPCXeCEVDSVEuMTI4NzMuNjg0NjMuSVFfUkVUVVJOX0lOVkVTVEVEX0NBUElUQUwuSVFfTFRNLjEyLzMxLzIwMTAuTC4uVVNELkgFAAAAAAAAAAgAAAAUKEludmFsaWQgSWRlbnRpZmllcikzvG0XPCXeCCcVABw8Jd4ILkNJUS4xMjg3My42ODQ2My5JUV9OSS5JUV9DUS42LzMwLzIwMTIuTC4uVVNELkgFAAAAAAAAAAgAAAAUKEludmFsaWQgSWRlbnRpZmllcikzvG0XPCXeCOFR/xs8Jd4IOUNJUS4xMjg3My42ODQ2My5JUV9UT1RBTF9SRVZFTlVFLklRX0NRLjYvMzAvMjAxMi5MLi5VU0QuSAUAAAAAAAAACAAAABQoSW52YWxpZCBJZGVudGlmaWVyKTO8bRc8Jd4I</t>
  </si>
  <si>
    <t>4VH/Gzwl3ghEQ0lRLjEyODczLjY4NDYzLklRX1RPVEFMX1JFVl8xWVJfQU5OX0dST1dUSC5JUV9DUS42LzMwLzIwMTIuTC4uVVNELkgFAAAAAAAAAAgAAAAUKEludmFsaWQgSWRlbnRpZmllcikzvG0XPCXeCOFR/xs8Jd4INENJUS4xMjg3My42ODQ2My5JUV9FQklUREEuSVFfTFRNLjEyLzMxLzIwMTAuTC4uVVNELkgFAAAAAAAAAAgAAAAUKEludmFsaWQgSWRlbnRpZmllcikzvG0XPCXeCCcVABw8Jd4IL0NJUS4xMjg3My42ODQ2My5JUV9OSS5JUV9DUS4xMi8zMS8yMDEwLkwuLlVTRC5IBQAAAAAAAAAIAAAAFChJbnZhbGlkIElkZW50aWZpZXIpM7xtFzwl3ggnFQAcPCXeCD5DSVEuMTI4NzMuNjg0NjMuSVFfTklfMVlSX0FOTl9HUk9XVEguSVFfQ1EuMTIvMzEvMjAxMC5MLi5VU0QuSAUAAAAAAAAACAAAABQoSW52YWxpZCBJZGVudGlmaWVyKTO8bRc8Jd4IJxUAHDwl3ghFQ0lRLjEyODczLjY4NDYzLklRX1RPVEFMX1JFVl8xWVJfQU5OX0dST1dUSC5JUV9DUS4xMi8zMS8yMDEwLkwuLlVTRC5IBQAAAAAAAAAIAAAAFChJbnZhbGlkIElkZW50aWZpZXIpM7xtFzwl3ggnFQAcPCXeCERDSVEuMTI4NzMuNjg0NjMuSVFfUkVUVVJOX0lOVkVTVEVEX0NBUElUQUwuSVFfTFRNLjYvMzAvMjAxMi5MLi5VU0QuSAUAAAAAAAAACAAAABQoSW52YWxpZCBJZGVudGlmaWVyKTO8bRc8Jd4I4VH/Gzwl3ggzQ0lRLjEy</t>
  </si>
  <si>
    <t>ODczLjY4NDYzLklRX0VCSVREQS5JUV9MVE0uNi8zMC8yMDEyLkwuLlVTRC5IBQAAAAAAAAAIAAAAFChJbnZhbGlkIElkZW50aWZpZXIpM7xtFzwl3gjhUf8bPCXeCC9DSVEuMTI4NzMuNjg0NjMuSVFfTkkuSVFfTFRNLjYvMzAvMjAxMi5MLi5VU0QuSAUAAAAAAAAACAAAABQoSW52YWxpZCBJZGVudGlmaWVyKTO8bRc8Jd4I4VH/Gzwl3ghDQ0lRLjEyODczLjY4NDYzLklRX1JFVFVSTl9JTlZFU1RFRF9DQVBJVEFMLklRX0NRLjYvMzAvMjAxMi5MLi5VU0QuSAUAAAAAAAAACAAAABQoSW52YWxpZCBJZGVudGlmaWVyKTO8bRc8Jd4I4VH/Gzwl3ggyQ0lRLjEyODczLjY4NDYzLklRX0VCSVREQS5JUV9DUS42LzMwLzIwMTIuTC4uVVNELkgFAAAAAAAAAAgAAAAUKEludmFsaWQgSWRlbnRpZmllcikzvG0XPCXeCOFR/xs8Jd4IOkNJUS4xMjg3My42ODQ2My5JUV9UT1RBTF9SRVZFTlVFLklRX0xUTS42LzMwLzIwMTIuTC4uVVNELkgFAAAAAAAAAAgAAAAUKEludmFsaWQgSWRlbnRpZmllcikzvG0XPCXeCOFR/xs8Jd4IPUNJUS4xMjg3My42ODQ2My5JUV9OSV8xWVJfQU5OX0dST1dUSC5JUV9DUS42LzMwLzIwMTIuTC4uVVNELkgFAAAAAAAAAAgAAAAUKEludmFsaWQgSWRlbnRpZmllcikzvG0XPCXeCOFR/xs8Jd4IRUNJUS4xMjg3My42ODQ2My5JUV9UT1RBTF9SRVZfMVlSX0FOTl9HUk9XVEguSVFfQ1EuMTIv</t>
  </si>
  <si>
    <t>MzEvMjAxMS5MLi5VU0QuSAUAAAAAAAAACAAAABQoSW52YWxpZCBJZGVudGlmaWVyKTO8bRc8Jd4I4VH/Gzwl3ghFQ0lRLjEyODczLjY4NDYzLklRX1JFVFVSTl9JTlZFU1RFRF9DQVBJVEFMLklRX0xUTS4xMi8zMS8yMDExLkwuLlVTRC5IBQAAAAAAAAAIAAAAFChJbnZhbGlkIElkZW50aWZpZXIpM7xtFzwl3gjhUf8bPCXeCD9DSVEuMTI4NzMuNjg0NjMuSVFfTklfMVlSX0FOTl9HUk9XVEguSVFfTFRNLjEyLzMxLzIwMTEuTC4uVVNELkgFAAAAAAAAAAgAAAAUKEludmFsaWQgSWRlbnRpZmllcikzvG0XPCXeCOFR/xs8Jd4INENJUS4xMjg3My42ODQ2My5JUV9FQklUREEuSVFfTFRNLjEyLzMxLzIwMTEuTC4uVVNELkgFAAAAAAAAAAgAAAAUKEludmFsaWQgSWRlbnRpZmllcikzvG0XPCXeCOFR/xs8Jd4IPkNJUS4xMjg3My42ODQ2My5JUV9OSV8xWVJfQU5OX0dST1dUSC5JUV9DUS4xMi8zMS8yMDExLkwuLlVTRC5IBQAAAAAAAAAIAAAAFChJbnZhbGlkIElkZW50aWZpZXIpM7xtFzwl3gjhUf8bPCXeCERDSVEuMTI4NzMuNjg0NjMuSVFfUkVUVVJOX0lOVkVTVEVEX0NBUElUQUwuSVFfQ1EuMTIvMzEvMjAxMS5MLi5VU0QuSAUAAAAAAAAACAAAABQoSW52YWxpZCBJZGVudGlmaWVyKTO8bRc8Jd4I4VH/Gzwl3gg+Q0lRLjEyODczLjY4NDYzLklRX05JXzFZUl9BTk5fR1JPV1RILklRX0xUTS42LzMwLzIw</t>
  </si>
  <si>
    <t>MTIuTC4uVVNELkgFAAAAAAAAAAgAAAAUKEludmFsaWQgSWRlbnRpZmllcikzvG0XPCXeCOFR/xs8Jd4IP0NJUS4xMjg3My42ODQ2My5JUV9OSV8xWVJfQU5OX0dST1dUSC5JUV9MVE0uMTIvMzEvMjAxMi5MLi5VU0QuSAUAAAAAAAAACAAAABQoSW52YWxpZCBJZGVudGlmaWVyKTO8bRc8Jd4IOsv9Gzwl3ghFQ0lRLjEyODczLjY4NDYzLklRX1JFVFVSTl9JTlZFU1RFRF9DQVBJVEFMLklRX0xUTS4xMi8zMS8yMDEyLkwuLlVTRC5IBQAAAAAAAAAIAAAAFChJbnZhbGlkIElkZW50aWZpZXIpM7xtFzwl3gg6y/0bPCXeCDNDSVEuMTI4NzMuNjg0NjMuSVFfRUJJVERBLklRX0NRLjEyLzMxLzIwMTEuTC4uVVNELkgFAAAAAAAAAAgAAAAUKEludmFsaWQgSWRlbnRpZmllcikzvG0XPCXeCOFR/xs8Jd4IMENJUS4xMjg3My42ODQ2My5JUV9OSS5JUV9MVE0uMTIvMzEvMjAxMS5MLi5VU0QuSAUAAAAAAAAACAAAABQoSW52YWxpZCBJZGVudGlmaWVyKTO8bRc8Jd4I4VH/Gzwl3ggvQ0lRLjEyODczLjY4NDYzLklRX05JLklRX0NRLjEyLzMxLzIwMTEuTC4uVVNELkgFAAAAAAAAAAgAAAAUKEludmFsaWQgSWRlbnRpZmllcikzvG0XPCXeCOFR/xs8Jd4IOkNJUS4xMjg3My42ODQ2My5JUV9UT1RBTF9SRVZFTlVFLklRX0NRLjEyLzMxLzIwMTEuTC4uVVNELkgFAAAAAAAAAAgAAAAUKEludmFsaWQgSWRlbnRpZmllcikz</t>
  </si>
  <si>
    <t>vG0XPCXeCOFR/xs8Jd4IO0NJUS4xMjg3My42ODQ2My5JUV9UT1RBTF9SRVZFTlVFLklRX0xUTS4xMi8zMS8yMDExLkwuLlVTRC5IBQAAAAAAAAAIAAAAFChJbnZhbGlkIElkZW50aWZpZXIpM7xtFzwl3gjhUf8bPCXeCC9DSVEuMTI4NzMuNjg0NjMuSVFfTkkuSVFfQ1EuMTIvMzEvMjAxMi5MLi5VU0QuSAUAAAAAAAAACAAAABQoSW52YWxpZCBJZGVudGlmaWVyKTO8bRc8Jd4IOsv9Gzwl3ghEQ0lRLjEyODczLjY4NDYzLklRX1JFVFVSTl9JTlZFU1RFRF9DQVBJVEFMLklRX0NRLjEyLzMxLzIwMTIuTC4uVVNELkgFAAAAAAAAAAgAAAAUKEludmFsaWQgSWRlbnRpZmllcikzvG0XPCXeCDrL/Rs8Jd4IPkNJUS4xMjg3My42ODQ2My5JUV9OSV8xWVJfQU5OX0dST1dUSC5JUV9DUS4xMi8zMS8yMDEyLkwuLlVTRC5IBQAAAAAAAAAIAAAAFChJbnZhbGlkIElkZW50aWZpZXIpM7xtFzwl3ght8v0bPCXeCDRDSVEuMTI4NzMuNjg0NjMuSVFfRUJJVERBLklRX0xUTS4xMi8zMS8yMDEyLkwuLlVTRC5IBQAAAAAAAAAIAAAAFChJbnZhbGlkIElkZW50aWZpZXIpM7xtFzwl3ght8v0bPCXeCEVDSVEuMTI4NzMuNjg0NjMuSVFfVE9UQUxfUkVWXzFZUl9BTk5fR1JPV1RILklRX0NRLjEyLzMxLzIwMTIuTC4uVVNELkgFAAAAAAAAAAgAAAAUKEludmFsaWQgSWRlbnRpZmllcikzvG0XPCXeCG3y/Rs8Jd4IM0NJUS4xMjg3</t>
  </si>
  <si>
    <t>My42ODQ2My5JUV9FQklUREEuSVFfQ1EuMTIvMzEvMjAxMi5MLi5VU0QuSAUAAAAAAAAACAAAABQoSW52YWxpZCBJZGVudGlmaWVyKTO8bRc8Jd4IOsv9Gzwl3ggwQ0lRLjEyODczLjY4NDYzLklRX05JLklRX0xUTS4xMi8zMS8yMDEyLkwuLlVTRC5IBQAAAAAAAAAIAAAAFChJbnZhbGlkIElkZW50aWZpZXIpM7xtFzwl3gg6y/0bPCXeCDlDSVEuMTI4NzMuNjg0NjMuSVFfVE9UQUxfUkVWRU5VRS5JUV9DUS42LzMwLzIwMTMuTC4uVVNELkgFAAAAAAAAAAgAAAAUKEludmFsaWQgSWRlbnRpZmllcikzvG0XPCXeCDrL/Rs8Jd4IPkNJUS4xMjg3My42ODQ2My5JUV9OSV8xWVJfQU5OX0dST1dUSC5JUV9MVE0uNi8zMC8yMDEzLkwuLlVTRC5IBQAAAAAAAAAIAAAAFChJbnZhbGlkIElkZW50aWZpZXIpM7xtFzwl3gg6y/0bPCXeCDNDSVEuMTI4NzMuNjg0NjMuSVFfRUJJVERBLklRX0xUTS42LzMwLzIwMTMuTC4uVVNELkgFAAAAAAAAAAgAAAAUKEludmFsaWQgSWRlbnRpZmllcikzvG0XPCXeCDrL/Rs8Jd4IL0NJUS4xMjg3My42ODQ2My5JUV9OSS5JUV9MVE0uNi8zMC8yMDEzLkwuLlVTRC5IBQAAAAAAAAAIAAAAFChJbnZhbGlkIElkZW50aWZpZXIpM7xtFzwl3gg6y/0bPCXeCDpDSVEuMTI4NzMuNjg0NjMuSVFfVE9UQUxfUkVWRU5VRS5JUV9MVE0uNi8zMC8yMDEzLkwuLlVTRC5IBQAAAAAAAAAIAAAAFChJ</t>
  </si>
  <si>
    <t>bnZhbGlkIElkZW50aWZpZXIpM7xtFzwl3gg6y/0bPCXeCDtDSVEuMTI4NzMuNjg0NjMuSVFfVE9UQUxfUkVWRU5VRS5JUV9MVE0uMTIvMzEvMjAxMi5MLi5VU0QuSAUAAAAAAAAACAAAABQoSW52YWxpZCBJZGVudGlmaWVyKTO8bRc8Jd4IbfL9Gzwl3gg6Q0lRLjEyODczLjY4NDYzLklRX1RPVEFMX1JFVkVOVUUuSVFfQ1EuMTIvMzEvMjAxMi5MLi5VU0QuSAUAAAAAAAAACAAAABQoSW52YWxpZCBJZGVudGlmaWVyKTO8bRc8Jd4IbfL9Gzwl3ghEQ0lRLjEyODczLjY4NDYzLklRX1RPVEFMX1JFVl8xWVJfQU5OX0dST1dUSC5JUV9DUS42LzMwLzIwMTQuTC4uVVNELkgFAAAAAAAAAAgAAAAUKEludmFsaWQgSWRlbnRpZmllcikzvG0XPCXeCBpZrxo8Jd4IMkNJUS4xMjg3My42ODQ2My5JUV9FQklUREEuSVFfQ1EuNi8zMC8yMDEzLkwuLlVTRC5IBQAAAAAAAAAIAAAAFChJbnZhbGlkIElkZW50aWZpZXIpM7xtFzwl3gg6y/0bPCXeCERDSVEuMTI4NzMuNjg0NjMuSVFfVE9UQUxfUkVWXzFZUl9BTk5fR1JPV1RILklRX0NRLjYvMzAvMjAxMy5MLi5VU0QuSAUAAAAAAAAACAAAABQoSW52YWxpZCBJZGVudGlmaWVyKTO8bRc8Jd4IOsv9Gzwl3ghEQ0lRLjEyODczLjY4NDYzLklRX1JFVFVSTl9JTlZFU1RFRF9DQVBJVEFMLklRX0xUTS42LzMwLzIwMTMuTC4uVVNELkgFAAAAAAAAAAgAAAAUKEludmFsaWQgSWRl</t>
  </si>
  <si>
    <t>bnRpZmllcikzvG0XPCXeCDrL/Rs8Jd4ILkNJUS4xMjg3My42ODQ2My5JUV9OSS5JUV9DUS42LzMwLzIwMTMuTC4uVVNELkgFAAAAAAAAAAgAAAAUKEludmFsaWQgSWRlbnRpZmllcikzvG0XPCXeCDrL/Rs8Jd4IQ0NJUS4xMjg3My42ODQ2My5JUV9SRVRVUk5fSU5WRVNURURfQ0FQSVRBTC5JUV9DUS42LzMwLzIwMTMuTC4uVVNELkgFAAAAAAAAAAgAAAAUKEludmFsaWQgSWRlbnRpZmllcikzvG0XPCXeCDrL/Rs8Jd4IPUNJUS4xMjg3My42ODQ2My5JUV9OSV8xWVJfQU5OX0dST1dUSC5JUV9DUS42LzMwLzIwMTMuTC4uVVNELkgFAAAAAAAAAAgAAAAUKEludmFsaWQgSWRlbnRpZmllcikzvG0XPCXeCDrL/Rs8Jd4IRENJUS4xMjg3My42ODQ2My5JUV9SRVRVUk5fSU5WRVNURURfQ0FQSVRBTC5JUV9MVE0uNi8zMC8yMDE0LkwuLlVTRC5IBQAAAAAAAAAIAAAAFChJbnZhbGlkIElkZW50aWZpZXIpM7xtFzwl3ggaWa8aPCXeCD5DSVEuMTI4NzMuNjg0NjMuSVFfTklfMVlSX0FOTl9HUk9XVEguSVFfTFRNLjYvMzAvMjAxNC5MLi5VU0QuSAUAAAAAAAAACAAAABQoSW52YWxpZCBJZGVudGlmaWVyKTO8bRc8Jd4IGlmvGjwl3gg6Q0lRLjEyODczLjY4NDYzLklRX1RPVEFMX1JFVkVOVUUuSVFfTFRNLjYvMzAvMjAxNC5MLi5VU0QuSAUAAAAAAAAACAAAABQoSW52YWxpZCBJZGVudGlmaWVyKTO8bRc8Jd4IGlmv</t>
  </si>
  <si>
    <t>Gjwl3ghDQ0lRLjEyODczLjY4NDYzLklRX1JFVFVSTl9JTlZFU1RFRF9DQVBJVEFMLklRX0NRLjYvMzAvMjAxNC5MLi5VU0QuSAUAAAAAAAAACAAAABQoSW52YWxpZCBJZGVudGlmaWVyKTO8bRc8Jd4IGlmvGjwl3gg9Q0lRLjEyODczLjY4NDYzLklRX05JXzFZUl9BTk5fR1JPV1RILklRX0NRLjYvMzAvMjAxNC5MLi5VU0QuSAUAAAAAAAAACAAAABQoSW52YWxpZCBJZGVudGlmaWVyKTO8bRc8Jd4IGlmvGjwl3ggyQ0lRLjEyODczLjY4NDYzLklRX0VCSVREQS5JUV9DUS42LzMwLzIwMTQuTC4uVVNELkgFAAAAAAAAAAgAAAAUKEludmFsaWQgSWRlbnRpZmllcikzvG0XPCXeCBpZrxo8Jd4IOUNJUS4xMjg3My42ODQ2My5JUV9UT1RBTF9SRVZFTlVFLklRX0NRLjYvMzAvMjAxNC5MLi5VU0QuSAUAAAAAAAAACAAAABQoSW52YWxpZCBJZGVudGlmaWVyKTO8bRc8Jd4IGlmvGjwl3ggvQ0lRLjEyODczLjY4NDYzLklRX05JLklRX0NRLjEyLzMxLzIwMTMuTC4uVVNELkgFAAAAAAAAAAgAAAAUKEludmFsaWQgSWRlbnRpZmllcikzvG0XPCXeCBoyrxo8Jd4IRUNJUS4xMjg3My42ODQ2My5JUV9UT1RBTF9SRVZfMVlSX0FOTl9HUk9XVEguSVFfQ1EuMTIvMzEvMjAxMy5MLi5VU0QuSAUAAAAAAAAACAAAABQoSW52YWxpZCBJZGVudGlmaWVyKTO8bRc8Jd4IGjKvGjwl3gg+Q0lRLjEyODczLjY4NDYzLklRX05JXzFZ</t>
  </si>
  <si>
    <t>Ul9BTk5fR1JPV1RILklRX0NRLjEyLzMxLzIwMTMuTC4uVVNELkgFAAAAAAAAAAgAAAAUKEludmFsaWQgSWRlbnRpZmllcikzvG0XPCXeCBoyrxo8Jd4IRENJUS4xMjg3My42ODQ2My5JUV9SRVRVUk5fSU5WRVNURURfQ0FQSVRBTC5JUV9DUS4xMi8zMS8yMDEzLkwuLlVTRC5IBQAAAAAAAAAIAAAAFChJbnZhbGlkIElkZW50aWZpZXIpM7xtFzwl3ggaMq8aPCXeCDNDSVEuMTI4NzMuNjg0NjMuSVFfRUJJVERBLklRX0xUTS42LzMwLzIwMTQuTC4uVVNELkgFAAAAAAAAAAgAAAAUKEludmFsaWQgSWRlbnRpZmllcikzvG0XPCXeCBpZrxo8Jd4ILkNJUS4xMjg3My42ODQ2My5JUV9OSS5JUV9DUS42LzMwLzIwMTQuTC4uVVNELkgFAAAAAAAAAAgAAAAUKEludmFsaWQgSWRlbnRpZmllcikzvG0XPCXeCBpZrxo8Jd4IL0NJUS4xMjg3My42ODQ2My5JUV9OSS5JUV9MVE0uNi8zMC8yMDE0LkwuLlVTRC5IBQAAAAAAAAAIAAAAFChJbnZhbGlkIElkZW50aWZpZXIpM7xtFzwl3ggaWa8aPCXeCDpDSVEuMTI4NzMuNjg0NjMuSVFfVE9UQUxfUkVWRU5VRS5JUV9DUS4xMi8zMS8yMDEzLkwuLlVTRC5IBQAAAAAAAAAIAAAAFChJbnZhbGlkIElkZW50aWZpZXIpM7xtFzwl3ggaMq8aPCXeCDRDSVEuMTI4NzMuNjg0NjMuSVFfRUJJVERBLklRX0xUTS4xMi8zMS8yMDEzLkwuLlVTRC5IBQAAAAAAAAAIAAAAFChJbnZhbGlk</t>
  </si>
  <si>
    <t>IElkZW50aWZpZXIpM7xtFzwl3ggaMq8aPCXeCD9DSVEuMTI4NzMuNjg0NjMuSVFfTklfMVlSX0FOTl9HUk9XVEguSVFfTFRNLjEyLzMxLzIwMTMuTC4uVVNELkgFAAAAAAAAAAgAAAAUKEludmFsaWQgSWRlbnRpZmllcikzvG0XPCXeCBpZrxo8Jd4IM0NJUS4xMjg3My42ODQ2My5JUV9FQklUREEuSVFfQ1EuMTIvMzEvMjAxMy5MLi5VU0QuSAUAAAAAAAAACAAAABQoSW52YWxpZCBJZGVudGlmaWVyKTO8bRc8Jd4IGlmvGjwl3gg7Q0lRLjEyODczLjY4NDYzLklRX1RPVEFMX1JFVkVOVUUuSVFfTFRNLjEyLzMxLzIwMTMuTC4uVVNELkgFAAAAAAAAAAgAAAAUKEludmFsaWQgSWRlbnRpZmllcikzvG0XPCXeCBpZrxo8Jd4IMENJUS4xMjg3My42ODQ2My5JUV9OSS5JUV9MVE0uMTIvMzEvMjAxMy5MLi5VU0QuSAUAAAAAAAAACAAAABQoSW52YWxpZCBJZGVudGlmaWVyKTO8bRc8Jd4IGlmvGjwl3ghFQ0lRLjEyODczLjY4NDYzLklRX1JFVFVSTl9JTlZFU1RFRF9DQVBJVEFMLklRX0xUTS4xMi8zMS8yMDEzLkwuLlVTRC5IBQAAAAAAAAAIAAAAFChJbnZhbGlkIElkZW50aWZpZXIpM7xtFzwl3ggaWa8aPCXeCDJDSVEuMTI4NzMuNjg0NjMuSVFfRUJJVERBLklRX0NRLjYvMzAvMjAxNS5MLi5VU0QuSAUAAAAAAAAACAAAABQoSW52YWxpZCBJZGVudGlmaWVyKTO8bRc8Jd4II3eqGjwl3gg6Q0lRLjEyODczLjY4</t>
  </si>
  <si>
    <t>NDYzLklRX1RPVEFMX1JFVkVOVUUuSVFfTFRNLjYvMzAvMjAxNS5MLi5VU0QuSAUAAAAAAAAACAAAABQoSW52YWxpZCBJZGVudGlmaWVyKTO8bRc8Jd4II3eqGjwl3ghEQ0lRLjEyODczLjY4NDYzLklRX1RPVEFMX1JFVl8xWVJfQU5OX0dST1dUSC5JUV9DUS42LzMwLzIwMTUuTC4uVVNELkgFAAAAAAAAAAgAAAAUKEludmFsaWQgSWRlbnRpZmllcikzvG0XPCXeCCN3qho8Jd4ILkNJUS4xMjg3My42ODQ2My5JUV9OSS5JUV9DUS42LzMwLzIwMTUuTC4uVVNELkgFAAAAAAAAAAgAAAAUKEludmFsaWQgSWRlbnRpZmllcikzvG0XPCXeCCN3qho8Jd4IM0NJUS4xMjg3My42ODQ2My5JUV9FQklUREEuSVFfTFRNLjYvMzAvMjAxNS5MLi5VU0QuSAUAAAAAAAAACAAAABQoSW52YWxpZCBJZGVudGlmaWVyKTO8bRc8Jd4II3eqGjwl3gg9Q0lRLjEyODczLjY4NDYzLklRX05JXzFZUl9BTk5fR1JPV1RILklRX0NRLjYvMzAvMjAxNS5MLi5VU0QuSAUAAAAAAAAACAAAABQoSW52YWxpZCBJZGVudGlmaWVyKTO8bRc8Jd4II3eqGjwl3ghDQ0lRLjEyODczLjY4NDYzLklRX1JFVFVSTl9JTlZFU1RFRF9DQVBJVEFMLklRX0NRLjYvMzAvMjAxNS5MLi5VU0QuSAUAAAAAAAAACAAAABQoSW52YWxpZCBJZGVudGlmaWVyKTO8bRc8Jd4II3eqGjwl3ghEQ0lRLjEyODczLjY4NDYzLklRX1RPVEFMX1JFVl8xWVJfQU5OX0dST1dU</t>
  </si>
  <si>
    <t>SC5JUV9DUS45LzMwLzIwMTAuTC4uVVNELkgFAAAAAAAAAAgAAAAUKEludmFsaWQgSWRlbnRpZmllcikzvG0XPCXeCA9Qqho8Jd4IMkNJUS4xMjg3My42ODQ2My5JUV9FQklUREEuSVFfQ1EuOS8zMC8yMDEwLkwuLlVTRC5IBQAAAAAAAAAIAAAAFChJbnZhbGlkIElkZW50aWZpZXIpM7xtFzwl3ggPUKoaPCXeCD1DSVEuMTI4NzMuNjg0NjMuSVFfTklfMVlSX0FOTl9HUk9XVEguSVFfQ1EuOS8zMC8yMDEwLkwuLlVTRC5IBQAAAAAAAAAIAAAAFChJbnZhbGlkIElkZW50aWZpZXIpM7xtFzwl3ggPUKoaPCXeCC9DSVEuMTI4NzMuNjg0NjMuSVFfTkkuSVFfTFRNLjYvMzAvMjAxNS5MLi5VU0QuSAUAAAAAAAAACAAAABQoSW52YWxpZCBJZGVudGlmaWVyKTO8bRc8Jd4II3eqGjwl3gg+Q0lRLjEyODczLjY4NDYzLklRX05JXzFZUl9BTk5fR1JPV1RILklRX0xUTS42LzMwLzIwMTUuTC4uVVNELkgFAAAAAAAAAAgAAAAUKEludmFsaWQgSWRlbnRpZmllcikzvG0XPCXeCCN3qho8Jd4IRENJUS4xMjg3My42ODQ2My5JUV9SRVRVUk5fSU5WRVNURURfQ0FQSVRBTC5JUV9MVE0uNi8zMC8yMDE1LkwuLlVTRC5IBQAAAAAAAAAIAAAAFChJbnZhbGlkIElkZW50aWZpZXIpM7xtFzwl3ggjd6oaPCXeCDlDSVEuMTI4NzMuNjg0NjMuSVFfVE9UQUxfUkVWRU5VRS5JUV9DUS42LzMwLzIwMTUuTC4uVVNELkgFAAAAAAAAAAgA</t>
  </si>
  <si>
    <t>AAAUKEludmFsaWQgSWRlbnRpZmllcikzvG0XPCXeCCN3qho8Jd4IOUNJUS4xMjg3My42ODQ2My5JUV9UT1RBTF9SRVZFTlVFLklRX0NRLjkvMzAvMjAxMC5MLi5VU0QuSAUAAAAAAAAACAAAABQoSW52YWxpZCBJZGVudGlmaWVyKTO8bRc8Jd4ID1CqGjwl3ggzQ0lRLjEyODczLjY4NDYzLklRX0VCSVREQS5JUV9MVE0uOS8zMC8yMDEwLkwuLlVTRC5IBQAAAAAAAAAIAAAAFChJbnZhbGlkIElkZW50aWZpZXIpM7xtFzwl3ggPUKoaPCXeCERDSVEuMTI4NzMuNjg0NjMuSVFfUkVUVVJOX0lOVkVTVEVEX0NBUElUQUwuSVFfTFRNLjkvMzAvMjAxMC5MLi5VU0QuSAUAAAAAAAAACAAAABQoSW52YWxpZCBJZGVudGlmaWVyKTO8bRc8Jd4ID1CqGjwl3gg6Q0lRLjEyODczLjY4NDYzLklRX1RPVEFMX1JFVkVOVUUuSVFfTFRNLjkvMzAvMjAxMC5MLi5VU0QuSAUAAAAAAAAACAAAABQoSW52YWxpZCBJZGVudGlmaWVyKTO8bRc8Jd4ID1CqGjwl3ggvQ0lRLjEyODczLjY4NDYzLklRX05JLklRX0xUTS45LzMwLzIwMTAuTC4uVVNELkgFAAAAAAAAAAgAAAAUKEludmFsaWQgSWRlbnRpZmllcikzvG0XPCXeCA9Qqho8Jd4IQ0NJUS4xMjg3My42ODQ2My5JUV9SRVRVUk5fSU5WRVNURURfQ0FQSVRBTC5JUV9DUS45LzMwLzIwMTAuTC4uVVNELkgFAAAAAAAAAAgAAAAUKEludmFsaWQgSWRlbnRpZmllcikzvG0XPCXeCA9Q</t>
  </si>
  <si>
    <t>qho8Jd4ILkNJUS4xMjg3My42ODQ2My5JUV9OSS5JUV9DUS45LzMwLzIwMTAuTC4uVVNELkgFAAAAAAAAAAgAAAAUKEludmFsaWQgSWRlbnRpZmllcikzvG0XPCXeCA9Qqho8Jd4IP0NJUS4xMjg3My42ODQ2My5JUV9OSV8xWVJfQU5OX0dST1dUSC5JUV9MVE0uMTIvMzEvMjAxNC5MLi5VU0QuSAUAAAAAAAAACAAAABQoSW52YWxpZCBJZGVudGlmaWVyKTO8bRc8Jd4ID1CqGjwl3ghFQ0lRLjEyODczLjY4NDYzLklRX1JFVFVSTl9JTlZFU1RFRF9DQVBJVEFMLklRX0xUTS4xMi8zMS8yMDE0LkwuLlVTRC5IBQAAAAAAAAAIAAAAFChJbnZhbGlkIElkZW50aWZpZXIpM7xtFzwl3ggPUKoaPCXeCDNDSVEuMTI4NzMuNjg0NjMuSVFfRUJJVERBLklRX0NRLjEyLzMxLzIwMTQuTC4uVVNELkgFAAAAAAAAAAgAAAAUKEludmFsaWQgSWRlbnRpZmllcikzvG0XPCXeCCN3qho8Jd4IO0NJUS4xMjg3My42ODQ2My5JUV9UT1RBTF9SRVZFTlVFLklRX0xUTS4xMi8zMS8yMDE0LkwuLlVTRC5IBQAAAAAAAAAIAAAAFChJbnZhbGlkIElkZW50aWZpZXIpM7xtFzwl3ggjd6oaPCXeCDRDSVEuMTI4NzMuNjg0NjMuSVFfRUJJVERBLklRX0xUTS4xMi8zMS8yMDE0LkwuLlVTRC5IBQAAAAAAAAAIAAAAFChJbnZhbGlkIElkZW50aWZpZXIpM7xtFzwl3ggjd6oaPCXeCDBDSVEuMTI4NzMuNjg0NjMuSVFfTkkuSVFfTFRNLjEyLzMx</t>
  </si>
  <si>
    <t>LzIwMTQuTC4uVVNELkgFAAAAAAAAAAgAAAAUKEludmFsaWQgSWRlbnRpZmllcikzvG0XPCXeCCN3qho8Jd4IPkNJUS4xMjg3My42ODQ2My5JUV9OSV8xWVJfQU5OX0dST1dUSC5JUV9MVE0uOS8zMC8yMDEwLkwuLlVTRC5IBQAAAAAAAAAIAAAAFChJbnZhbGlkIElkZW50aWZpZXIpM7xtFzwl3ggPUKoaPCXeCDBDSVEuMTI4NzMuNjg0NjMuSVFfTkkuSVFfTFRNLjEyLzMxLzIwMTUuTC4uVVNELkgFAAAAAAAAAAgAAAAUKEludmFsaWQgSWRlbnRpZmllcikzvG0XPCXeCC1UqBo8Jd4IOkNJUS4xMjg3My42ODQ2My5JUV9UT1RBTF9SRVZFTlVFLklRX0NRLjEyLzMxLzIwMTUuTC4uVVNELkgFAAAAAAAAAAgAAAAUKEludmFsaWQgSWRlbnRpZmllcikzvG0XPCXeCC1UqBo8Jd4IRENJUS4xMjg3My42ODQ2My5JUV9SRVRVUk5fSU5WRVNURURfQ0FQSVRBTC5JUV9DUS4xMi8zMS8yMDE0LkwuLlVTRC5IBQAAAAAAAAAIAAAAFChJbnZhbGlkIElkZW50aWZpZXIpM7xtFzwl3ggjd6oaPCXeCD5DSVEuMTI4NzMuNjg0NjMuSVFfTklfMVlSX0FOTl9HUk9XVEguSVFfQ1EuMTIvMzEvMjAxNC5MLi5VU0QuSAUAAAAAAAAACAAAABQoSW52YWxpZCBJZGVudGlmaWVyKTO8bRc8Jd4II3eqGjwl3ggvQ0lRLjEyODczLjY4NDYzLklRX05JLklRX0NRLjEyLzMxLzIwMTQuTC4uVVNELkgFAAAAAAAAAAgAAAAUKEludmFsaWQg</t>
  </si>
  <si>
    <t>SWRlbnRpZmllcikzvG0XPCXeCCN3qho8Jd4IOkNJUS4xMjg3My42ODQ2My5JUV9UT1RBTF9SRVZFTlVFLklRX0NRLjEyLzMxLzIwMTQuTC4uVVNELkgFAAAAAAAAAAgAAAAUKEludmFsaWQgSWRlbnRpZmllcikzvG0XPCXeCCN3qho8Jd4IRUNJUS4xMjg3My42ODQ2My5JUV9UT1RBTF9SRVZfMVlSX0FOTl9HUk9XVEguSVFfQ1EuMTIvMzEvMjAxNC5MLi5VU0QuSAUAAAAAAAAACAAAABQoSW52YWxpZCBJZGVudGlmaWVyKTO8bRc8Jd4II3eqGjwl3ggzQ0lRLjEyODczLjY4NDYzLklRX0VCSVREQS5JUV9DUS4xMi8zMS8yMDE1LkwuLlVTRC5IBQAAAAAAAAAIAAAAFChJbnZhbGlkIElkZW50aWZpZXIpM7xtFzwl3ggtVKgaPCXeCD5DSVEuMTI4NzMuNjg0NjMuSVFfTklfMVlSX0FOTl9HUk9XVEguSVFfQ1EuMTIvMzEvMjAxNS5MLi5VU0QuSAUAAAAAAAAACAAAABQoSW52YWxpZCBJZGVudGlmaWVyKTO8bRc8Jd4ILVSoGjwl3ghFQ0lRLjEyODczLjY4NDYzLklRX1JFVFVSTl9JTlZFU1RFRF9DQVBJVEFMLklRX0xUTS4xMi8zMS8yMDE1LkwuLlVTRC5IBQAAAAAAAAAIAAAAFChJbnZhbGlkIElkZW50aWZpZXIpM7xtFzwl3gg6e6gaPCXeCDtDSVEuMTI4NzMuNjg0NjMuSVFfVE9UQUxfUkVWRU5VRS5JUV9MVE0uMTIvMzEvMjAxNS5MLi5VU0QuSAUAAAAAAAAACAAAABQoSW52YWxpZCBJZGVudGlmaWVyKTO8</t>
  </si>
  <si>
    <t>bRc8Jd4IOnuoGjwl3gg0Q0lRLjEyODczLjY4NDYzLklRX0VCSVREQS5JUV9MVE0uMTIvMzEvMjAxNS5MLi5VU0QuSAUAAAAAAAAACAAAABQoSW52YWxpZCBJZGVudGlmaWVyKTO8bRc8Jd4IOnuoGjwl3ghEQ0lRLjEyODczLjY4NDYzLklRX1JFVFVSTl9JTlZFU1RFRF9DQVBJVEFMLklRX0NRLjEyLzMxLzIwMTUuTC4uVVNELkgFAAAAAAAAAAgAAAAUKEludmFsaWQgSWRlbnRpZmllcikzvG0XPCXeCDp7qBo8Jd4IP0NJUS4xMjg3My42ODQ2My5JUV9OSV8xWVJfQU5OX0dST1dUSC5JUV9MVE0uMTIvMzEvMjAxNS5MLi5VU0QuSAUAAAAAAAAACAAAABQoSW52YWxpZCBJZGVudGlmaWVyKTO8bRc8Jd4ILVSoGjwl3ghEQ0lRLjEyODczLjY4NDYzLklRX1JFVFVSTl9JTlZFU1RFRF9DQVBJVEFMLklRX0xUTS45LzMwLzIwMTEuTC4uVVNELkgFAAAAAAAAAAgAAAAUKEludmFsaWQgSWRlbnRpZmllcikzvG0XPCXeCDp7qBo8Jd4IPkNJUS4xMjg3My42ODQ2My5JUV9OSV8xWVJfQU5OX0dST1dUSC5JUV9MVE0uOS8zMC8yMDExLkwuLlVTRC5IBQAAAAAAAAAIAAAAFChJbnZhbGlkIElkZW50aWZpZXIpM7xtFzwl3gg6e6gaPCXeCDJDSVEuMTI4NzMuNjg0NjMuSVFfRUJJVERBLklRX0NRLjkvMzAvMjAxMS5MLi5VU0QuSAUAAAAAAAAACAAAABQoSW52YWxpZCBJZGVudGlmaWVyKTO8bRc8Jd4ISqKoGjwl3ghEQ0lR</t>
  </si>
  <si>
    <t>LjEyODczLjY4NDYzLklRX1RPVEFMX1JFVl8xWVJfQU5OX0dST1dUSC5JUV9DUS45LzMwLzIwMTEuTC4uVVNELkgFAAAAAAAAAAgAAAAUKEludmFsaWQgSWRlbnRpZmllcikzvG0XPCXeCEqiqBo8Jd4IM0NJUS4xMjg3My42ODQ2My5JUV9FQklUREEuSVFfTFRNLjkvMzAvMjAxMS5MLi5VU0QuSAUAAAAAAAAACAAAABQoSW52YWxpZCBJZGVudGlmaWVyKTO8bRc8Jd4IOnuoGjwl3ghFQ0lRLjEyODczLjY4NDYzLklRX1RPVEFMX1JFVl8xWVJfQU5OX0dST1dUSC5JUV9DUS4xMi8zMS8yMDE1LkwuLlVTRC5IBQAAAAAAAAAIAAAAFChJbnZhbGlkIElkZW50aWZpZXIpM7xtFzwl3gg6e6gaPCXeCC9DSVEuMTI4NzMuNjg0NjMuSVFfTkkuSVFfQ1EuMTIvMzEvMjAxNS5MLi5VU0QuSAUAAAAAAAAACAAAABQoSW52YWxpZCBJZGVudGlmaWVyKTO8bRc8Jd4IOnuoGjwl3ghEQ0lRLjEyODczLjY4NDYzLklRX1JFVFVSTl9JTlZFU1RFRF9DQVBJVEFMLklRX0xUTS42LzMwLzIwMTYuTC4uVVNELkgFAAAAAAAAAAgAAAAUKEludmFsaWQgSWRlbnRpZmllcikzvG0XPCXeCDp7qBo8Jd4IOUNJUS4xMjg3My42ODQ2My5JUV9UT1RBTF9SRVZFTlVFLklRX0NRLjkvMzAvMjAxMS5MLi5VU0QuSAUAAAAAAAAACAAAABQoSW52YWxpZCBJZGVudGlmaWVyKTO8bRc8Jd4IOnuoGjwl3gg9Q0lRLjEyODczLjY4NDYzLklRX05JXzFZ</t>
  </si>
  <si>
    <t>Ul9BTk5fR1JPV1RILklRX0NRLjkvMzAvMjAxMS5MLi5VU0QuSAUAAAAAAAAACAAAABQoSW52YWxpZCBJZGVudGlmaWVyKTO8bRc8Jd4ISqKoGjwl3ghDQ0lRLjEyODczLjY4NDYzLklRX1JFVFVSTl9JTlZFU1RFRF9DQVBJVEFMLklRX0NRLjkvMzAvMjAxMS5MLi5VU0QuSAUAAAAAAAAACAAAABQoSW52YWxpZCBJZGVudGlmaWVyKTO8bRc8Jd4ISqKoGjwl3ggvQ0lRLjEyODczLjY4NDYzLklRX05JLklRX0xUTS45LzMwLzIwMTEuTC4uVVNELkgFAAAAAAAAAAgAAAAUKEludmFsaWQgSWRlbnRpZmllcikzvG0XPCXeCEqiqBo8Jd4ILkNJUS4xMjg3My42ODQ2My5JUV9OSS5JUV9DUS45LzMwLzIwMTEuTC4uVVNELkgFAAAAAAAAAAgAAAAUKEludmFsaWQgSWRlbnRpZmllcikzvG0XPCXeCEqiqBo8Jd4IOkNJUS4xMjg3My42ODQ2My5JUV9UT1RBTF9SRVZFTlVFLklRX0xUTS45LzMwLzIwMTEuTC4uVVNELkgFAAAAAAAAAAgAAAAUKEludmFsaWQgSWRlbnRpZmllcikzvG0XPCXeCEqiqBo8Jd4IM0NJUS4xMjg3My42ODQ2My5JUV9FQklUREEuSVFfTFRNLjYvMzAvMjAxNi5MLi5VU0QuSAUAAAAAAAAACAAAABQoSW52YWxpZCBJZGVudGlmaWVyKTO8bRc8Jd4IOnuoGjwl3ghEQ0lRLjEyODczLjY4NDYzLklRX1RPVEFMX1JFVl8xWVJfQU5OX0dST1dUSC5JUV9DUS42LzMwLzIwMTYuTC4uVVNELkgFAAAAAAAA</t>
  </si>
  <si>
    <t>AAgAAAAUKEludmFsaWQgSWRlbnRpZmllcikzvG0XPCXeCDp7qBo8Jd4IOkNJUS4xMjg3My42ODQ2My5JUV9UT1RBTF9SRVZFTlVFLklRX0xUTS42LzMwLzIwMTYuTC4uVVNELkgFAAAAAAAAAAgAAAAUKEludmFsaWQgSWRlbnRpZmllcikzvG0XPCXeCDp7qBo8Jd4IQ0NJUS4xMjg3My42ODQ2My5JUV9SRVRVUk5fSU5WRVNURURfQ0FQSVRBTC5JUV9DUS42LzMwLzIwMTYuTC4uVVNELkgFAAAAAAAAAAgAAAAUKEludmFsaWQgSWRlbnRpZmllcikzvG0XPCXeCDp7qBo8Jd4IMkNJUS4xMjg3My42ODQ2My5JUV9FQklUREEuSVFfQ1EuNi8zMC8yMDE2LkwuLlVTRC5IBQAAAAAAAAAIAAAAFChJbnZhbGlkIElkZW50aWZpZXIpM7xtFzwl3gg6e6gaPCXeCC9DSVEuMTI4NzMuNjg0NjMuSVFfTkkuSVFfTFRNLjYvMzAvMjAxNi5MLi5VU0QuSAUAAAAAAAAACAAAABQoSW52YWxpZCBJZGVudGlmaWVyKTO8bRc8Jd4IOnuoGjwl3gg+Q0lRLjEyODczLjY4NDYzLklRX05JXzFZUl9BTk5fR1JPV1RILklRX0xUTS42LzMwLzIwMTYuTC4uVVNELkgFAAAAAAAAAAgAAAAUKEludmFsaWQgSWRlbnRpZmllcikzvG0XPCXeCDp7qBo8Jd4IRENJUS4xMjg3My42ODQ2My5JUV9UT1RBTF9SRVZfMVlSX0FOTl9HUk9XVEguSVFfQ1EuOS8zMC8yMDEyLkwuLlVTRC5IBQAAAAAAAAAIAAAAFChJbnZhbGlkIElkZW50aWZpZXIpM7xt</t>
  </si>
  <si>
    <t>Fzwl3gi4YKIaPCXeCDpDSVEuMTI4NzMuNjg0NjMuSVFfVE9UQUxfUkVWRU5VRS5JUV9MVE0uOS8zMC8yMDEyLkwuLlVTRC5IBQAAAAAAAAAIAAAAFChJbnZhbGlkIElkZW50aWZpZXIpM7xtFzwl3gi4YKIaPCXeCDNDSVEuMTI4NzMuNjg0NjMuSVFfRUJJVERBLklRX0xUTS45LzMwLzIwMTIuTC4uVVNELkgFAAAAAAAAAAgAAAAUKEludmFsaWQgSWRlbnRpZmllcikzvG0XPCXeCLhgoho8Jd4IL0NJUS4xMjg3My42ODQ2My5JUV9OSS5JUV9MVE0uOS8zMC8yMDEyLkwuLlVTRC5IBQAAAAAAAAAIAAAAFChJbnZhbGlkIElkZW50aWZpZXIpM7xtFzwl3gi4YKIaPCXeCC5DSVEuMTI4NzMuNjg0NjMuSVFfTkkuSVFfQ1EuNi8zMC8yMDE2LkwuLlVTRC5IBQAAAAAAAAAIAAAAFChJbnZhbGlkIElkZW50aWZpZXIpM7xtFzwl3gg6e6gaPCXeCDlDSVEuMTI4NzMuNjg0NjMuSVFfVE9UQUxfUkVWRU5VRS5JUV9DUS42LzMwLzIwMTYuTC4uVVNELkgFAAAAAAAAAAgAAAAUKEludmFsaWQgSWRlbnRpZmllcikzvG0XPCXeCDp7qBo8Jd4IPUNJUS4xMjg3My42ODQ2My5JUV9OSV8xWVJfQU5OX0dST1dUSC5JUV9DUS42LzMwLzIwMTYuTC4uVVNELkgFAAAAAAAAAAgAAAAUKEludmFsaWQgSWRlbnRpZmllcikzvG0XPCXeCDp7qBo8Jd4IPUNJUS4xMjg3My42ODQ2My5JUV9OSV8xWVJfQU5OX0dST1dUSC5JUV9DUS45LzMw</t>
  </si>
  <si>
    <t>LzIwMTIuTC4uVVNELkgFAAAAAAAAAAgAAAAUKEludmFsaWQgSWRlbnRpZmllcikzvG0XPCXeCLhgoho8Jd4IPkNJUS4xMjg3My42ODQ2My5JUV9OSV8xWVJfQU5OX0dST1dUSC5JUV9MVE0uOS8zMC8yMDEyLkwuLlVTRC5IBQAAAAAAAAAIAAAAFChJbnZhbGlkIElkZW50aWZpZXIpM7xtFzwl3gi4YKIaPCXeCENDSVEuMTI4NzMuNjg0NjMuSVFfUkVUVVJOX0lOVkVTVEVEX0NBUElUQUwuSVFfQ1EuOS8zMC8yMDEyLkwuLlVTRC5IBQAAAAAAAAAIAAAAFChJbnZhbGlkIElkZW50aWZpZXIpM7xtFzwl3ggtVKgaPCXeCERDSVEuMTI4NzMuNjg0NjMuSVFfUkVUVVJOX0lOVkVTVEVEX0NBUElUQUwuSVFfTFRNLjkvMzAvMjAxMi5MLi5VU0QuSAUAAAAAAAAACAAAABQoSW52YWxpZCBJZGVudGlmaWVyKTO8bRc8Jd4ILVSoGjwl3ggyQ0lRLjEyODczLjY4NDYzLklRX0VCSVREQS5JUV9DUS45LzMwLzIwMTIuTC4uVVNELkgFAAAAAAAAAAgAAAAUKEludmFsaWQgSWRlbnRpZmllcikzvG0XPCXeCC1UqBo8Jd4ILkNJUS4xMjg3My42ODQ2My5JUV9OSS5JUV9DUS45LzMwLzIwMTIuTC4uVVNELkgFAAAAAAAAAAgAAAAUKEludmFsaWQgSWRlbnRpZmllcikzvG0XPCXeCC1UqBo8Jd4IOUNJUS4xMjg3My42ODQ2My5JUV9UT1RBTF9SRVZFTlVFLklRX0NRLjkvMzAvMjAxMi5MLi5VU0QuSAUAAAAAAAAACAAAABQoSW52</t>
  </si>
  <si>
    <t>YWxpZCBJZGVudGlmaWVyKTO8bRc8Jd4IIy2oGjwl3ggyQ0lRLjEyODczLjY4NDYzLklRX0VCSVREQS5JUV9DUS42LzMwLzIwMTcuTC4uVVNELkgFAAAAAAAAAAgAAAAUKEludmFsaWQgSWRlbnRpZmllcikzvG0XPCXeCLhgoho8Jd4IOUNJUS4xMjg3My42ODQ2My5JUV9UT1RBTF9SRVZFTlVFLklRX0NRLjYvMzAvMjAxNy5MLi5VU0QuSAUAAAAAAAAACAAAABQoSW52YWxpZCBJZGVudGlmaWVyKTO8bRc8Jd4IuGCiGjwl3ggvQ0lRLjEyODczLjY4NDYzLklRX05JLklRX0xUTS42LzMwLzIwMTcuTC4uVVNELkgFAAAAAAAAAAgAAAAUKEludmFsaWQgSWRlbnRpZmllcikzvG0XPCXeCCMtqBo8Jd4IRENJUS4xMjg3My42ODQ2My5JUV9UT1RBTF9SRVZfMVlSX0FOTl9HUk9XVEguSVFfQ1EuNi8zMC8yMDE3LkwuLlVTRC5IBQAAAAAAAAAIAAAAFChJbnZhbGlkIElkZW50aWZpZXIpM7xtFzwl3ggjLagaPCXeCD5DSVEuMTI4NzMuNjg0NjMuSVFfTklfMVlSX0FOTl9HUk9XVEguSVFfTFRNLjYvMzAvMjAxNy5MLi5VU0QuSAUAAAAAAAAACAAAABQoSW52YWxpZCBJZGVudGlmaWVyKTO8bRc8Jd4IIy2oGjwl3gg9Q0lRLjEyODczLjY4NDYzLklRX05JXzFZUl9BTk5fR1JPV1RILklRX0NRLjYvMzAvMjAxNy5MLi5VU0QuSAUAAAAAAAAACAAAABQoSW52YWxpZCBJZGVudGlmaWVyKTO8bRc8Jd4ICwaoGjwl3ghDQ0lR</t>
  </si>
  <si>
    <t>LjEyODczLjY4NDYzLklRX1JFVFVSTl9JTlZFU1RFRF9DQVBJVEFMLklRX0NRLjYvMzAvMjAxNy5MLi5VU0QuSAUAAAAAAAAACAAAABQoSW52YWxpZCBJZGVudGlmaWVyKTO8bRc8Jd4ICwaoGjwl3ghEQ0lRLjEyODczLjY4NDYzLklRX1JFVFVSTl9JTlZFU1RFRF9DQVBJVEFMLklRX0NRLjEyLzMxLzIwMTYuTC4uVVNELkgFAAAAAAAAAAgAAAAUKEludmFsaWQgSWRlbnRpZmllcikzvG0XPCXeCCMtqBo8Jd4IM0NJUS4xMjg3My42ODQ2My5JUV9FQklUREEuSVFfQ1EuMTIvMzEvMjAxNi5MLi5VU0QuSAUAAAAAAAAACAAAABQoSW52YWxpZCBJZGVudGlmaWVyKTO8bRc8Jd4IIy2oGjwl3ghFQ0lRLjEyODczLjY4NDYzLklRX1JFVFVSTl9JTlZFU1RFRF9DQVBJVEFMLklRX0xUTS4xMi8zMS8yMDE2LkwuLlVTRC5IBQAAAAAAAAAIAAAAFChJbnZhbGlkIElkZW50aWZpZXIpM7xtFzwl3ggjLagaPCXeCC5DSVEuMTI4NzMuNjg0NjMuSVFfTkkuSVFfQ1EuNi8zMC8yMDE3LkwuLlVTRC5IBQAAAAAAAAAIAAAAFChJbnZhbGlkIElkZW50aWZpZXIpM7xtFzwl3ggjLagaPCXeCDpDSVEuMTI4NzMuNjg0NjMuSVFfVE9UQUxfUkVWRU5VRS5JUV9MVE0uNi8zMC8yMDE3LkwuLlVTRC5IBQAAAAAAAAAIAAAAFChJbnZhbGlkIElkZW50aWZpZXIpM7xtFzwl3ggjLagaPCXeCERDSVEuMTI4NzMuNjg0NjMuSVFfUkVUVVJO</t>
  </si>
  <si>
    <t>X0lOVkVTVEVEX0NBUElUQUwuSVFfTFRNLjYvMzAvMjAxNy5MLi5VU0QuSAUAAAAAAAAACAAAABQoSW52YWxpZCBJZGVudGlmaWVyKTO8bRc8Jd4IIy2oGjwl3ggzQ0lRLjEyODczLjY4NDYzLklRX0VCSVREQS5JUV9MVE0uNi8zMC8yMDE3LkwuLlVTRC5IBQAAAAAAAAAIAAAAFChJbnZhbGlkIElkZW50aWZpZXIpM7xtFzwl3ggjLagaPCXeCEVDSVEuMTI4NzMuNjg0NjMuSVFfVE9UQUxfUkVWXzFZUl9BTk5fR1JPV1RILklRX0NRLjEyLzMxLzIwMTYuTC4uVVNELkgFAAAAAAAAAAgAAAAUKEludmFsaWQgSWRlbnRpZmllcikzvG0XPCXeCCMtqBo8Jd4IPkNJUS4xMjg3My42ODQ2My5JUV9OSV8xWVJfQU5OX0dST1dUSC5JUV9DUS4xMi8zMS8yMDE2LkwuLlVTRC5IBQAAAAAAAAAIAAAAFChJbnZhbGlkIElkZW50aWZpZXIpM7xtFzwl3ggjLagaPCXeCDRDSVEuMTI4NzMuNjg0NjMuSVFfRUJJVERBLklRX0xUTS4xMi8zMS8yMDE2LkwuLlVTRC5IBQAAAAAAAAAIAAAAFChJbnZhbGlkIElkZW50aWZpZXIpM7xtFzwl3ggjLagaPCXeCC9DSVEuMTI4NzMuNjg0NjMuSVFfTkkuSVFfQ1EuMTIvMzEvMjAxNi5MLi5VU0QuSAUAAAAAAAAACAAAABQoSW52YWxpZCBJZGVudGlmaWVyKTO8bRc8Jd4IIy2oGjwl3gg7Q0lRLjEyODczLjY4NDYzLklRX1RPVEFMX1JFVkVOVUUuSVFfTFRNLjEyLzMxLzIwMTYuTC4uVVNE</t>
  </si>
  <si>
    <t>LkgFAAAAAAAAAAgAAAAUKEludmFsaWQgSWRlbnRpZmllcikzvG0XPCXeCCMtqBo8Jd4IOkNJUS4xMjg3My42ODQ2My5JUV9UT1RBTF9SRVZFTlVFLklRX0NRLjEyLzMxLzIwMTYuTC4uVVNELkgFAAAAAAAAAAgAAAAUKEludmFsaWQgSWRlbnRpZmllcikzvG0XPCXeCCMtqBo8Jd4IP0NJUS4xMjg3My42ODQ2My5JUV9OSV8xWVJfQU5OX0dST1dUSC5JUV9MVE0uMTIvMzEvMjAxNi5MLi5VU0QuSAUAAAAAAAAACAAAABQoSW52YWxpZCBJZGVudGlmaWVyKTO8bRc8Jd4IIy2oGjwl3gg5Q0lRLjEyODczLjY4NDYzLklRX1RPVEFMX1JFVkVOVUUuSVFfQ1EuNi8zMC8yMDE4LkwuLlVTRC5IBQAAAAAAAAAIAAAAFChJbnZhbGlkIElkZW50aWZpZXIpM7xtFzwl3gi2OaIaPCXeCDJDSVEuMTI4NzMuNjg0NjMuSVFfRUJJVERBLklRX0NRLjYvMzAvMjAxOC5MLi5VU0QuSAUAAAAAAAAACAAAABQoSW52YWxpZCBJZGVudGlmaWVyKTO8bRc8Jd4ItjmiGjwl3gguQ0lRLjEyODczLjY4NDYzLklRX05JLklRX0NRLjYvMzAvMjAxOC5MLi5VU0QuSAUAAAAAAAAACAAAABQoSW52YWxpZCBJZGVudGlmaWVyKTO8bRc8Jd4ItjmiGjwl3ghEQ0lRLjEyODczLjY4NDYzLklRX1JFVFVSTl9JTlZFU1RFRF9DQVBJVEFMLklRX0xUTS42LzMwLzIwMTguTC4uVVNELkgFAAAAAAAAAAgAAAAUKEludmFsaWQgSWRlbnRpZmllcikzvG0X</t>
  </si>
  <si>
    <t>PCXeCLY5oho8Jd4IPkNJUS4xMjg3My42ODQ2My5JUV9OSV8xWVJfQU5OX0dST1dUSC5JUV9MVE0uNi8zMC8yMDE4LkwuLlVTRC5IBQAAAAAAAAAIAAAAFChJbnZhbGlkIElkZW50aWZpZXIpM7xtFzwl3gi2OaIaPCXeCDpDSVEuMTI4NzMuNjg0NjMuSVFfVE9UQUxfUkVWRU5VRS5JUV9MVE0uNi8zMC8yMDE4LkwuLlVTRC5IBQAAAAAAAAAIAAAAFChJbnZhbGlkIElkZW50aWZpZXIpM7xtFzwl3gi2OaIaPCXeCDBDSVEuMTI4NzMuNjg0NjMuSVFfTkkuSVFfTFRNLjEyLzMxLzIwMTYuTC4uVVNELkgFAAAAAAAAAAgAAAAUKEludmFsaWQgSWRlbnRpZmllcikzvG0XPCXeCCMtqBo8Jd4IPkNJUS4xMjg3My42ODQ2My5JUV9OSV8xWVJfQU5OX0dST1dUSC5JUV9DUS4xMi8zMS8yMDE3LkwuLlVTRC5IBQAAAAAAAAAIAAAAFChJbnZhbGlkIElkZW50aWZpZXIpM7xtFzwl3giWEqIaPCXeCERDSVEuMTI4NzMuNjg0NjMuSVFfUkVUVVJOX0lOVkVTVEVEX0NBUElUQUwuSVFfQ1EuMTIvMzEvMjAxNy5MLi5VU0QuSAUAAAAAAAAACAAAABQoSW52YWxpZCBJZGVudGlmaWVyKTO8bRc8Jd4IlhKiGjwl3ggzQ0lRLjEyODczLjY4NDYzLklRX0VCSVREQS5JUV9MVE0uNi8zMC8yMDE4LkwuLlVTRC5IBQAAAAAAAAAIAAAAFChJbnZhbGlkIElkZW50aWZpZXIpM7xtFzwl3gi2OaIaPCXeCENDSVEuMTI4NzMuNjg0NjMuSVFf</t>
  </si>
  <si>
    <t>UkVUVVJOX0lOVkVTVEVEX0NBUElUQUwuSVFfQ1EuNi8zMC8yMDE4LkwuLlVTRC5IBQAAAAAAAAAIAAAAFChJbnZhbGlkIElkZW50aWZpZXIpM7xtFzwl3gi2OaIaPCXeCERDSVEuMTI4NzMuNjg0NjMuSVFfVE9UQUxfUkVWXzFZUl9BTk5fR1JPV1RILklRX0NRLjYvMzAvMjAxOC5MLi5VU0QuSAUAAAAAAAAACAAAABQoSW52YWxpZCBJZGVudGlmaWVyKTO8bRc8Jd4ItjmiGjwl3ggvQ0lRLjEyODczLjY4NDYzLklRX05JLklRX0xUTS42LzMwLzIwMTguTC4uVVNELkgFAAAAAAAAAAgAAAAUKEludmFsaWQgSWRlbnRpZmllcikzvG0XPCXeCLY5oho8Jd4IPUNJUS4xMjg3My42ODQ2My5JUV9OSV8xWVJfQU5OX0dST1dUSC5JUV9DUS42LzMwLzIwMTguTC4uVVNELkgFAAAAAAAAAAgAAAAUKEludmFsaWQgSWRlbnRpZmllcikzvG0XPCXeCLY5oho8Jd4IRUNJUS4xMjg3My42ODQ2My5JUV9UT1RBTF9SRVZfMVlSX0FOTl9HUk9XVEguSVFfQ1EuMTIvMzEvMjAxNy5MLi5VU0QuSAUAAAAAAAAACAAAABQoSW52YWxpZCBJZGVudGlmaWVyKTO8bRc8Jd4ItjmiGjwl3gg6Q0lRLjEyODczLjY4NDYzLklRX1RPVEFMX1JFVkVOVUUuSVFfQ1EuMTIvMzEvMjAxNy5MLi5VU0QuSAUAAAAAAAAACAAAABQoSW52YWxpZCBJZGVudGlmaWVyKTO8bRc8Jd4ItjmiGjwl3ggvQ0lRLjEyODczLjY4NDYzLklRX05JLklRX0NRLjEy</t>
  </si>
  <si>
    <t>LzMxLzIwMTcuTC4uVVNELkgFAAAAAAAAAAgAAAAUKEludmFsaWQgSWRlbnRpZmllcikzvG0XPCXeCLY5oho8Jd4IMENJUS4xMjg3My42ODQ2My5JUV9OSS5JUV9MVE0uMTIvMzEvMjAxNy5MLi5VU0QuSAUAAAAAAAAACAAAABQoSW52YWxpZCBJZGVudGlmaWVyKTO8bRc8Jd4ItjmiGjwl3gg7Q0lRLjEyODczLjY4NDYzLklRX1RPVEFMX1JFVkVOVUUuSVFfTFRNLjEyLzMxLzIwMTcuTC4uVVNELkgFAAAAAAAAAAgAAAAUKEludmFsaWQgSWRlbnRpZmllcikzvG0XPCXeCLY5oho8Jd4IM0NJUS4xMjg3My42ODQ2My5JUV9FQklUREEuSVFfQ1EuMTIvMzEvMjAxNy5MLi5VU0QuSAUAAAAAAAAACAAAABQoSW52YWxpZCBJZGVudGlmaWVyKTO8bRc8Jd4ItjmiGjwl3ghFQ0lRLjEyODczLjY4NDYzLklRX1JFVFVSTl9JTlZFU1RFRF9DQVBJVEFMLklRX0xUTS4xMi8zMS8yMDE3LkwuLlVTRC5IBQAAAAAAAAAIAAAAFChJbnZhbGlkIElkZW50aWZpZXIpM7xtFzwl3gi2OaIaPCXeCD1DSVEuMTI4NzMuNjg0NjMuSVFfTklfMVlSX0FOTl9HUk9XVEguSVFfQ1EuOS8zMC8yMDEzLkwuLlVTRC5IBQAAAAAAAAAIAAAAFChJbnZhbGlkIElkZW50aWZpZXIpM7xtFzwl3gi2OaIaPCXeCDJDSVEuMTI4NzMuNjg0NjMuSVFfRUJJVERBLklRX0NRLjkvMzAvMjAxMy5MLi5VU0QuSAUAAAAAAAAACAAAABQoSW52YWxpZCBJZGVu</t>
  </si>
  <si>
    <t>dGlmaWVyKTO8bRc8Jd4ItjmiGjwl3ghDQ0lRLjEyODczLjY4NDYzLklRX1JFVFVSTl9JTlZFU1RFRF9DQVBJVEFMLklRX0NRLjkvMzAvMjAxMy5MLi5VU0QuSAUAAAAAAAAACAAAABQoSW52YWxpZCBJZGVudGlmaWVyKTO8bRc8Jd4ItjmiGjwl3ghEQ0lRLjEyODczLjY4NDYzLklRX1RPVEFMX1JFVl8xWVJfQU5OX0dST1dUSC5JUV9DUS45LzMwLzIwMTMuTC4uVVNELkgFAAAAAAAAAAgAAAAUKEludmFsaWQgSWRlbnRpZmllcikzvG0XPCXeCLY5oho8Jd4IM0NJUS4xMjg3My42ODQ2My5JUV9FQklUREEuSVFfTFRNLjkvMzAvMjAxMy5MLi5VU0QuSAUAAAAAAAAACAAAABQoSW52YWxpZCBJZGVudGlmaWVyKTO8bRc8Jd4ItjmiGjwl3gg0Q0lRLjEyODczLjY4NDYzLklRX0VCSVREQS5JUV9MVE0uMTIvMzEvMjAxNy5MLi5VU0QuSAUAAAAAAAAACAAAABQoSW52YWxpZCBJZGVudGlmaWVyKTO8bRc8Jd4ItjmiGjwl3gg/Q0lRLjEyODczLjY4NDYzLklRX05JXzFZUl9BTk5fR1JPV1RILklRX0xUTS4xMi8zMS8yMDE3LkwuLlVTRC5IBQAAAAAAAAAIAAAAFChJbnZhbGlkIElkZW50aWZpZXIpM7xtFzwl3gi2OaIaPCXeCD5DSVEuMTI4NzMuNjg0NjMuSVFfTklfMVlSX0FOTl9HUk9XVEguSVFfTFRNLjMvMzEvMjAxMC5MLi5VU0QuSAUAAAAAAAAACAAAABQoSW52YWxpZCBJZGVudGlmaWVyKTO8bRc8Jd4IlhKi</t>
  </si>
  <si>
    <t>Gjwl3gguQ0lRLjEyODczLjY4NDYzLklRX05JLklRX0NRLjkvMzAvMjAxMy5MLi5VU0QuSAUAAAAAAAAACAAAABQoSW52YWxpZCBJZGVudGlmaWVyKTO8bRc8Jd4ItjmiGjwl3gg+Q0lRLjEyODczLjY4NDYzLklRX05JXzFZUl9BTk5fR1JPV1RILklRX0xUTS45LzMwLzIwMTMuTC4uVVNELkgFAAAAAAAAAAgAAAAUKEludmFsaWQgSWRlbnRpZmllcikzvG0XPCXeCLhgoho8Jd4IOUNJUS4xMjg3My42ODQ2My5JUV9UT1RBTF9SRVZFTlVFLklRX0NRLjkvMzAvMjAxMy5MLi5VU0QuSAUAAAAAAAAACAAAABQoSW52YWxpZCBJZGVudGlmaWVyKTO8bRc8Jd4ItjmiGjwl3ghEQ0lRLjEyODczLjY4NDYzLklRX1JFVFVSTl9JTlZFU1RFRF9DQVBJVEFMLklRX0xUTS45LzMwLzIwMTMuTC4uVVNELkgFAAAAAAAAAAgAAAAUKEludmFsaWQgSWRlbnRpZmllcikzvG0XPCXeCLY5oho8Jd4IOkNJUS4xMjg3My42ODQ2My5JUV9UT1RBTF9SRVZFTlVFLklRX0xUTS45LzMwLzIwMTMuTC4uVVNELkgFAAAAAAAAAAgAAAAUKEludmFsaWQgSWRlbnRpZmllcikzvG0XPCXeCLY5oho8Jd4IL0NJUS4xMjg3My42ODQ2My5JUV9OSS5JUV9MVE0uOS8zMC8yMDEzLkwuLlVTRC5IBQAAAAAAAAAIAAAAFChJbnZhbGlkIElkZW50aWZpZXIpM7xtFzwl3gi2OaIaPCXeCDlDSVEuMTI4NzMuNjg0NjMuSVFfVE9UQUxfUkVWRU5VRS5JUV9D</t>
  </si>
  <si>
    <t>US4zLzMxLzIwMTAuTC4uVVNELkgFAAAAAAAAAAgAAAAUKEludmFsaWQgSWRlbnRpZmllcikzvG0XPCXeCJYSoho8Jd4IPUNJUS4xMjg3My42ODQ2My5JUV9OSV8xWVJfQU5OX0dST1dUSC5JUV9DUS4zLzMxLzIwMTAuTC4uVVNELkgFAAAAAAAAAAgAAAAUKEludmFsaWQgSWRlbnRpZmllcikzvG0XPCXeCJYSoho8Jd4ILkNJUS4xMjg3My42ODQ2My5JUV9OSS5JUV9DUS4zLzMxLzIwMTAuTC4uVVNELkgFAAAAAAAAAAgAAAAUKEludmFsaWQgSWRlbnRpZmllcikzvG0XPCXeCJYSoho8Jd4IM0NJUS4xMjg3My42ODQ2My5JUV9FQklUREEuSVFfTFRNLjMvMzEvMjAxMC5MLi5VU0QuSAUAAAAAAAAACAAAABQoSW52YWxpZCBJZGVudGlmaWVyKTO8bRc8Jd4IlhKiGjwl3ghDQ0lRLjEyODczLjY4NDYzLklRX1JFVFVSTl9JTlZFU1RFRF9DQVBJVEFMLklRX0NRLjMvMzEvMjAxMC5MLi5VU0QuSAUAAAAAAAAACAAAABQoSW52YWxpZCBJZGVudGlmaWVyKTO8bRc8Jd4IlhKiGjwl3gg6Q0lRLjEyODczLjY4NDYzLklRX1RPVEFMX1JFVkVOVUUuSVFfTFRNLjMvMzEvMjAxMC5MLi5VU0QuSAUAAAAAAAAACAAAABQoSW52YWxpZCBJZGVudGlmaWVyKTO8bRc8Jd4IlhKiGjwl3ggvQ0lRLjEyODczLjY4NDYzLklRX05JLklRX0xUTS4zLzMxLzIwMTAuTC4uVVNELkgFAAAAAAAAAAgAAAAUKEludmFsaWQgSWRlbnRpZmll</t>
  </si>
  <si>
    <t>cikzvG0XPCXeCJYSoho8Jd4IMkNJUS4xMjg3My42ODQ2My5JUV9FQklUREEuSVFfQ1EuMy8zMS8yMDI1LkwuLlVTRC5IBQAAAAAAAAAIAAAAFChJbnZhbGlkIElkZW50aWZpZXIpM7xtFzwl3giWEqIaPCXeCDNDSVEuMTI4NzMuNjg0NjMuSVFfRUJJVERBLklRX0NRLjEyLzMxLzIwMjQuTC4uVVNELkgFAAAAAAAAAAgAAAAUKEludmFsaWQgSWRlbnRpZmllcikzvG0XPCXeCJYSoho8Jd4IMkNJUS4xMjg3My42ODQ2My5JUV9FQklUREEuSVFfQ1EuNi8zMC8yMDI1LkwuLlVTRC5IBQAAAAAAAAAIAAAAFChJbnZhbGlkIElkZW50aWZpZXIpM7xtFzwl3giWEqIaPCXeCDJDSVEuMTI4NzMuNjg0NjMuSVFfRUJJVERBLklRX0NRLjkvMzAvMjAyNS5MLi5VU0QuSAUAAAAAAAAACAAAABQoSW52YWxpZCBJZGVudGlmaWVyKTO8bRc8Jd4IlhKiGjwl3ghEQ0lRLjEyODczLjY4NDYzLklRX1JFVFVSTl9JTlZFU1RFRF9DQVBJVEFMLklRX0xUTS4zLzMxLzIwMTAuTC4uVVNELkgFAAAAAAAAAAgAAAAUKEludmFsaWQgSWRlbnRpZmllcikzvG0XPCXeCJYSoho8Jd4IRENJUS4xMjg3My42ODQ2My5JUV9UT1RBTF9SRVZfMVlSX0FOTl9HUk9XVEguSVFfQ1EuMy8zMS8yMDEwLkwuLlVTRC5IBQAAAAAAAAAIAAAAFChJbnZhbGlkIElkZW50aWZpZXIpM7xtFzwl3giWEqIaPCXeCDJDSVEuMTI4NzMuNjg0NjMuSVFfRUJJVERB</t>
  </si>
  <si>
    <t>LklRX0NRLjMvMzEvMjAxMC5MLi5VU0QuSAUAAAAAAAAACAAAABQoSW52YWxpZCBJZGVudGlmaWVyKTO8bRc8Jd4IlhKiGjwl3ghEQ0lRLjEyODczLjY4NDYzLklRX1RPVEFMX1JFVl8xWVJfQU5OX0dST1dUSC5JUV9DUS45LzMwLzIwMTQuTC4uVVNELkgFAAAAAAAAAAgAAAAUKEludmFsaWQgSWRlbnRpZmllcikzvG0XPCXeCPGCmxo8Jd4IPUNJUS4xMjg3My42ODQ2My5JUV9OSV8xWVJfQU5OX0dST1dUSC5JUV9DUS45LzMwLzIwMTQuTC4uVVNELkgFAAAAAAAAAAgAAAAUKEludmFsaWQgSWRlbnRpZmllcikzvG0XPCXeCPGCmxo8Jd4IRENJUS4xMjg3My42ODQ2My5JUV9SRVRVUk5fSU5WRVNURURfQ0FQSVRBTC5JUV9MVE0uOS8zMC8yMDE0LkwuLlVTRC5IBQAAAAAAAAAIAAAAFChJbnZhbGlkIElkZW50aWZpZXIpM7xtFzwl3gjxgpsaPCXeCDRDSVEuMTI4NzMuNjg0NjMuSVFfRUJJVERBLklRX0xUTS4xMi8zMS8yMDI0LkwuLlVTRC5IBQAAAAAAAAAIAAAAFChJbnZhbGlkIElkZW50aWZpZXIpM7xtFzwl3giWEqIaPCXeCDNDSVEuMTI4NzMuNjg0NjMuSVFfRUJJVERBLklRX0xUTS4zLzMxLzIwMjUuTC4uVVNELkgFAAAAAAAAAAgAAAAUKEludmFsaWQgSWRlbnRpZmllcikzvG0XPCXeCJYSoho8Jd4IM0NJUS4xMjg3My42ODQ2My5JUV9FQklUREEuSVFfTFRNLjYvMzAvMjAyNS5MLi5VU0QuSAUAAAAA</t>
  </si>
  <si>
    <t>AAAACAAAABQoSW52YWxpZCBJZGVudGlmaWVyKTO8bRc8Jd4IlhKiGjwl3ggzQ0lRLjEyODczLjY4NDYzLklRX0VCSVREQS5JUV9MVE0uOS8zMC8yMDI1LkwuLlVTRC5IBQAAAAAAAAAIAAAAFChJbnZhbGlkIElkZW50aWZpZXIpM7xtFzwl3giWEqIaPCXeCDNDSVEuMTI4NzMuNjg0NjMuSVFfRUJJVERBLklRX0xUTS45LzMwLzIwMTQuTC4uVVNELkgFAAAAAAAAAAgAAAAUKEludmFsaWQgSWRlbnRpZmllcikzvG0XPCXeCHlDUhw8Jd4IQ0NJUS4xMjg3My42ODQ2My5JUV9SRVRVUk5fSU5WRVNURURfQ0FQSVRBTC5JUV9DUS45LzMwLzIwMTQuTC4uVVNELkgFAAAAAAAAAAgAAAAUKEludmFsaWQgSWRlbnRpZmllcikzvG0XPCXeCPGCmxo8Jd4IOkNJUS4xMjg3My42ODQ2My5JUV9UT1RBTF9SRVZFTlVFLklRX0xUTS45LzMwLzIwMTQuTC4uVVNELkgFAAAAAAAAAAgAAAAUKEludmFsaWQgSWRlbnRpZmllcikzvG0XPCXeCACqmxo8Jd4IMkNJUS4xMjg3My42ODQ2My5JUV9FQklUREEuSVFfQ1EuOS8zMC8yMDE0LkwuLlVTRC5IBQAAAAAAAAAIAAAAFChJbnZhbGlkIElkZW50aWZpZXIpM7xtFzwl3gh5Q1IcPCXeCC9DSVEuMTI4NzMuNjg0NjMuSVFfTkkuSVFfTFRNLjkvMzAvMjAxNC5MLi5VU0QuSAUAAAAAAAAACAAAABQoSW52YWxpZCBJZGVudGlmaWVyKTO8bRc8Jd4IAKqbGjwl3gguQ0lRLjEyODczLjY4</t>
  </si>
  <si>
    <t>NDYzLklRX05JLklRX0NRLjkvMzAvMjAxNC5MLi5VU0QuSAUAAAAAAAAACAAAABQoSW52YWxpZCBJZGVudGlmaWVyKTO8bRc8Jd4I8YKbGjwl3gg5Q0lRLjEyODczLjY4NDYzLklRX1RPVEFMX1JFVkVOVUUuSVFfQ1EuOS8zMC8yMDE0LkwuLlVTRC5IBQAAAAAAAAAIAAAAFChJbnZhbGlkIElkZW50aWZpZXIpM7xtFzwl3gjxgpsaPCXeCERDSVEuMTI4NzMuNjg0NjMuSVFfVE9UQUxfUkVWXzFZUl9BTk5fR1JPV1RILklRX0NRLjkvMzAvMjAxNy5MLi5VU0QuSAUAAAAAAAAACAAAABQoSW52YWxpZCBJZGVudGlmaWVyKTO8bRc8Jd4I81ubGjwl3gg5Q0lRLjEyODczLjY4NDYzLklRX1RPVEFMX1JFVkVOVUUuSVFfQ1EuOS8zMC8yMDE3LkwuLlVTRC5IBQAAAAAAAAAIAAAAFChJbnZhbGlkIElkZW50aWZpZXIpM7xtFzwl3gjzW5saPCXeCENDSVEuMTI4NzMuNjg0NjMuSVFfUkVUVVJOX0lOVkVTVEVEX0NBUElUQUwuSVFfQ1EuOS8zMC8yMDE3LkwuLlVTRC5IBQAAAAAAAAAIAAAAFChJbnZhbGlkIElkZW50aWZpZXIpM7xtFzwl3gjzW5saPCXeCC9DSVEuMTI4NzMuNjg0NjMuSVFfTkkuSVFfTFRNLjkvMzAvMjAxNy5MLi5VU0QuSAUAAAAAAAAACAAAABQoSW52YWxpZCBJZGVudGlmaWVyKTO8bRc8Jd4I81ubGjwl3gg+Q0lRLjEyODczLjY4NDYzLklRX05JXzFZUl9BTk5fR1JPV1RILklRX0xUTS45LzMwLzIw</t>
  </si>
  <si>
    <t>MTcuTC4uVVNELkgFAAAAAAAAAAgAAAAUKEludmFsaWQgSWRlbnRpZmllcikzvG0XPCXeCPNbmxo8Jd4IRENJUS4xMjg3My42ODQ2My5JUV9SRVRVUk5fSU5WRVNURURfQ0FQSVRBTC5JUV9MVE0uOS8zMC8yMDE3LkwuLlVTRC5IBQAAAAAAAAAIAAAAFChJbnZhbGlkIElkZW50aWZpZXIpM7xtFzwl3gjzW5saPCXeCD5DSVEuMTI4NzMuNjg0NjMuSVFfTklfMVlSX0FOTl9HUk9XVEguSVFfTFRNLjkvMzAvMjAxNC5MLi5VU0QuSAUAAAAAAAAACAAAABQoSW52YWxpZCBJZGVudGlmaWVyKTO8bRc8Jd4IAKqbGjwl3gg/Q0lRLjEyODczLjY4NDYzLklRX05JXzFZUl9BTk5fR1JPV1RILklRX0xUTS4xMi8zMS8yMDIxLkwuLlVTRC5IBQAAAAAAAAAIAAAAFChJbnZhbGlkIElkZW50aWZpZXIpM7xtFzwl3ghuu5waPCXeCEVDSVEuMTI4NzMuNjg0NjMuSVFfUkVUVVJOX0lOVkVTVEVEX0NBUElUQUwuSVFfTFRNLjEyLzMxLzIwMjEuTC4uVVNELkgFAAAAAAAAAAgAAAAUKEludmFsaWQgSWRlbnRpZmllcikzvG0XPCXeCG67nBo8Jd4ILkNJUS4xMjg3My42ODQ2My5JUV9OSS5JUV9DUS45LzMwLzIwMTcuTC4uVVNELkgFAAAAAAAAAAgAAAAUKEludmFsaWQgSWRlbnRpZmllcikzvG0XPCXeCPNbmxo8Jd4IMkNJUS4xMjg3My42ODQ2My5JUV9FQklUREEuSVFfQ1EuOS8zMC8yMDE3LkwuLlVTRC5IBQAAAAAAAAAIAAAA</t>
  </si>
  <si>
    <t>FChJbnZhbGlkIElkZW50aWZpZXIpM7xtFzwl3gh5Q1IcPCXeCDpDSVEuMTI4NzMuNjg0NjMuSVFfVE9UQUxfUkVWRU5VRS5JUV9MVE0uOS8zMC8yMDE3LkwuLlVTRC5IBQAAAAAAAAAIAAAAFChJbnZhbGlkIElkZW50aWZpZXIpM7xtFzwl3gjzW5saPCXeCD1DSVEuMTI4NzMuNjg0NjMuSVFfTklfMVlSX0FOTl9HUk9XVEguSVFfQ1EuOS8zMC8yMDE3LkwuLlVTRC5IBQAAAAAAAAAIAAAAFChJbnZhbGlkIElkZW50aWZpZXIpM7xtFzwl3gjzW5saPCXeCDNDSVEuMTI4NzMuNjg0NjMuSVFfRUJJVERBLklRX0xUTS45LzMwLzIwMTcuTC4uVVNELkgFAAAAAAAAAAgAAAAUKEludmFsaWQgSWRlbnRpZmllcikzvG0XPCXeCHlDUhw8Jd4IPkNJUS4xMjg3My42ODQ2My5JUV9OSV8xWVJfQU5OX0dST1dUSC5JUV9DUS4xMi8zMS8yMDIxLkwuLlVTRC5IBQAAAAAAAAAIAAAAFChJbnZhbGlkIElkZW50aWZpZXIpM7xtFzwl3ghuu5waPCXeCDtDSVEuMTI4NzMuNjg0NjMuSVFfVE9UQUxfUkVWRU5VRS5JUV9MVE0uMTIvMzEvMjAyMS5MLi5VU0QuSAUAAAAAAAAACAAAABQoSW52YWxpZCBJZGVudGlmaWVyKTO8bRc8Jd4IbrucGjwl3gg0Q0lRLjEyODczLjY4NDYzLklRX0VCSVREQS5JUV9MVE0uMTIvMzEvMjAyMS5MLi5VU0QuSAUAAAAAAAAACAAAABQoSW52YWxpZCBJZGVudGlmaWVyKTO8bRc8Jd4I+5BRHDwl3ghF</t>
  </si>
  <si>
    <t>Q0lRLjEyODczLjY4NDYzLklRX1RPVEFMX1JFVl8xWVJfQU5OX0dST1dUSC5JUV9DUS4xMi8zMS8yMDIxLkwuLlVTRC5IBQAAAAAAAAAIAAAAFChJbnZhbGlkIElkZW50aWZpZXIpM7xtFzwl3ghuu5waPCXeCDpDSVEuMTI4NzMuNjg0NjMuSVFfVE9UQUxfUkVWRU5VRS5JUV9DUS4xMi8zMS8yMDIxLkwuLlVTRC5IBQAAAAAAAAAIAAAAFChJbnZhbGlkIElkZW50aWZpZXIpM7xtFzwl3ghuu5waPCXeCDNDSVEuMTI4NzMuNjg0NjMuSVFfRUJJVERBLklRX0NRLjEyLzMxLzIwMjEuTC4uVVNELkgFAAAAAAAAAAgAAAAUKEludmFsaWQgSWRlbnRpZmllcikzvG0XPCXeCPuQURw8Jd4IMENJUS4xMjg3My42ODQ2My5JUV9OSS5JUV9MVE0uMTIvMzEvMjAyMS5MLi5VU0QuSAUAAAAAAAAACAAAABQoSW52YWxpZCBJZGVudGlmaWVyKTO8bRc8Jd4IbrucGjwl3ghEQ0lRLjEyODczLjY4NDYzLklRX1JFVFVSTl9JTlZFU1RFRF9DQVBJVEFMLklRX0xUTS45LzMwLzIwMjAuTC4uVVNELkgFAAAAAAAAAAgAAAAUKEludmFsaWQgSWRlbnRpZmllcikzvG0XPCXeCOo0mxo8Jd4IOkNJUS4xMjg3My42ODQ2My5JUV9UT1RBTF9SRVZFTlVFLklRX0xUTS45LzMwLzIwMjAuTC4uVVNELkgFAAAAAAAAAAgAAAAUKEludmFsaWQgSWRlbnRpZmllcikzvG0XPCXeCOo0mxo8Jd4IL0NJUS4xMjg3My42ODQ2My5JUV9OSS5JUV9MVE0u</t>
  </si>
  <si>
    <t>OS8zMC8yMDIwLkwuLlVTRC5IBQAAAAAAAAAIAAAAFChJbnZhbGlkIElkZW50aWZpZXIpM7xtFzwl3gjqNJsaPCXeCENDSVEuMTI4NzMuNjg0NjMuSVFfUkVUVVJOX0lOVkVTVEVEX0NBUElUQUwuSVFfQ1EuOS8zMC8yMDIwLkwuLlVTRC5IBQAAAAAAAAAIAAAAFChJbnZhbGlkIElkZW50aWZpZXIpM7xtFzwl3gjqNJsaPCXeCDlDSVEuMTI4NzMuNjg0NjMuSVFfVE9UQUxfUkVWRU5VRS5JUV9DUS45LzMwLzIwMjAuTC4uVVNELkgFAAAAAAAAAAgAAAAUKEludmFsaWQgSWRlbnRpZmllcikzvG0XPCXeCOo0mxo8Jd4IL0NJUS4xMjg3My42ODQ2My5JUV9OSS5JUV9DUS4xMi8zMS8yMDIxLkwuLlVTRC5IBQAAAAAAAAAIAAAAFChJbnZhbGlkIElkZW50aWZpZXIpM7xtFzwl3ghuu5waPCXeCERDSVEuMTI4NzMuNjg0NjMuSVFfUkVUVVJOX0lOVkVTVEVEX0NBUElUQUwuSVFfQ1EuMTIvMzEvMjAyMS5MLi5VU0QuSAUAAAAAAAAACAAAABQoSW52YWxpZCBJZGVudGlmaWVyKTO8bRc8Jd4IbrucGjwl3gg6Q0lRLjEyODczLjY4NDYzLklRX1RPVEFMX1JFVkVOVUUuSVFfTFRNLjYvMzAvMjAyMi5MLi5VU0QuSAUAAAAAAAAACAAAABQoSW52YWxpZCBJZGVudGlmaWVyKTO8bRc8Jd4IbrucGjwl3ghEQ0lRLjEyODczLjY4NDYzLklRX1RPVEFMX1JFVl8xWVJfQU5OX0dST1dUSC5JUV9DUS45LzMwLzIwMjAuTC4uVVNE</t>
  </si>
  <si>
    <t>LkgFAAAAAAAAAAgAAAAUKEludmFsaWQgSWRlbnRpZmllcikzvG0XPCXeCOo0mxo8Jd4IPUNJUS4xMjg3My42ODQ2My5JUV9OSV8xWVJfQU5OX0dST1dUSC5JUV9DUS45LzMwLzIwMjAuTC4uVVNELkgFAAAAAAAAAAgAAAAUKEludmFsaWQgSWRlbnRpZmllcikzvG0XPCXeCOo0mxo8Jd4IMkNJUS4xMjg3My42ODQ2My5JUV9FQklUREEuSVFfQ1EuOS8zMC8yMDIwLkwuLlVTRC5IBQAAAAAAAAAIAAAAFChJbnZhbGlkIElkZW50aWZpZXIpM7xtFzwl3gjkflIcPCXeCD5DSVEuMTI4NzMuNjg0NjMuSVFfTklfMVlSX0FOTl9HUk9XVEguSVFfTFRNLjkvMzAvMjAyMC5MLi5VU0QuSAUAAAAAAAAACAAAABQoSW52YWxpZCBJZGVudGlmaWVyKTO8bRc8Jd4I6jSbGjwl3ggzQ0lRLjEyODczLjY4NDYzLklRX0VCSVREQS5JUV9MVE0uOS8zMC8yMDIwLkwuLlVTRC5IBQAAAAAAAAAIAAAAFChJbnZhbGlkIElkZW50aWZpZXIpM7xtFzwl3gjkflIcPCXeCC5DSVEuMTI4NzMuNjg0NjMuSVFfTkkuSVFfQ1EuOS8zMC8yMDIwLkwuLlVTRC5IBQAAAAAAAAAIAAAAFChJbnZhbGlkIElkZW50aWZpZXIpM7xtFzwl3gjqNJsaPCXeCDJDSVEuMTI4NzMuNjg0NjMuSVFfRUJJVERBLklRX0NRLjYvMzAvMjAyMi5MLi5VU0QuSAUAAAAAAAAACAAAABQoSW52YWxpZCBJZGVudGlmaWVyKTO8bRc8Jd4I+5BRHDwl3gg9Q0lRLjEyODcz</t>
  </si>
  <si>
    <t>LjY4NDYzLklRX05JXzFZUl9BTk5fR1JPV1RILklRX0NRLjYvMzAvMjAyMi5MLi5VU0QuSAUAAAAAAAAACAAAABQoSW52YWxpZCBJZGVudGlmaWVyKTO8bRc8Jd4IbrucGjwl3gg5Q0lRLjEyODczLjY4NDYzLklRX1RPVEFMX1JFVkVOVUUuSVFfQ1EuNi8zMC8yMDIyLkwuLlVTRC5IBQAAAAAAAAAIAAAAFChJbnZhbGlkIElkZW50aWZpZXIpM7xtFzwl3ghuu5waPCXeCENDSVEuMTI4NzMuNjg0NjMuSVFfUkVUVVJOX0lOVkVTVEVEX0NBUElUQUwuSVFfQ1EuNi8zMC8yMDIyLkwuLlVTRC5IBQAAAAAAAAAIAAAAFChJbnZhbGlkIElkZW50aWZpZXIpM7xtFzwl3ghuu5waPCXeCC5DSVEuMTI4NzMuNjg0NjMuSVFfTkkuSVFfQ1EuNi8zMC8yMDIyLkwuLlVTRC5IBQAAAAAAAAAIAAAAFChJbnZhbGlkIElkZW50aWZpZXIpM7xtFzwl3ghuu5waPCXeCDNDSVEuMTI4NzMuNjg0NjMuSVFfRUJJVERBLklRX0xUTS42LzMwLzIwMjIuTC4uVVNELkgFAAAAAAAAAAgAAAAUKEludmFsaWQgSWRlbnRpZmllcikzvG0XPCXeCPuQURw8Jd4IL0NJUS4xMjg3My42ODQ2My5JUV9OSS5JUV9MVE0uNi8zMC8yMDIyLkwuLlVTRC5IBQAAAAAAAAAIAAAAFChJbnZhbGlkIElkZW50aWZpZXIpM7xtFzwl3ghuu5waPCXeCC5DSVEuMTI4NzMuNjg0NjMuSVFfTkkuSVFfQ1EuOS8zMC8yMDIxLkwuLlVTRC5IBQAAAAAAAAAIAAAAFChJ</t>
  </si>
  <si>
    <t>bnZhbGlkIElkZW50aWZpZXIpM7xtFzwl3gjKDZsaPCXeCERDSVEuMTI4NzMuNjg0NjMuSVFfVE9UQUxfUkVWXzFZUl9BTk5fR1JPV1RILklRX0NRLjkvMzAvMjAyMS5MLi5VU0QuSAUAAAAAAAAACAAAABQoSW52YWxpZCBJZGVudGlmaWVyKTO8bRc8Jd4Iyg2bGjwl3ggyQ0lRLjEyODczLjY4NDYzLklRX0VCSVREQS5JUV9DUS45LzMwLzIwMjEuTC4uVVNELkgFAAAAAAAAAAgAAAAUKEludmFsaWQgSWRlbnRpZmllcikzvG0XPCXeCHlDUhw8Jd4IPkNJUS4xMjg3My42ODQ2My5JUV9OSV8xWVJfQU5OX0dST1dUSC5JUV9MVE0uOS8zMC8yMDIxLkwuLlVTRC5IBQAAAAAAAAAIAAAAFChJbnZhbGlkIElkZW50aWZpZXIpM7xtFzwl3gjKDZsaPCXeCD5DSVEuMTI4NzMuNjg0NjMuSVFfTklfMVlSX0FOTl9HUk9XVEguSVFfTFRNLjYvMzAvMjAyMi5MLi5VU0QuSAUAAAAAAAAACAAAABQoSW52YWxpZCBJZGVudGlmaWVyKTO8bRc8Jd4IbrucGjwl3ghEQ0lRLjEyODczLjY4NDYzLklRX1RPVEFMX1JFVl8xWVJfQU5OX0dST1dUSC5JUV9DUS42LzMwLzIwMjIuTC4uVVNELkgFAAAAAAAAAAgAAAAUKEludmFsaWQgSWRlbnRpZmllcikzvG0XPCXeCG67nBo8Jd4IRENJUS4xMjg3My42ODQ2My5JUV9SRVRVUk5fSU5WRVNURURfQ0FQSVRBTC5JUV9MVE0uNi8zMC8yMDIyLkwuLlVTRC5IBQAAAAAAAAAIAAAAFChJbnZh</t>
  </si>
  <si>
    <t>bGlkIElkZW50aWZpZXIpM7xtFzwl3ghuu5waPCXeCD1DSVEuMTI4NzMuNjg0NjMuSVFfTklfMVlSX0FOTl9HUk9XVEguSVFfQ1EuOS8zMC8yMDIxLkwuLlVTRC5IBQAAAAAAAAAIAAAAFChJbnZhbGlkIElkZW50aWZpZXIpM7xtFzwl3gjKDZsaPCXeCDlDSVEuMTI4NzMuNjg0NjMuSVFfVE9UQUxfUkVWRU5VRS5JUV9DUS45LzMwLzIwMjEuTC4uVVNELkgFAAAAAAAAAAgAAAAUKEludmFsaWQgSWRlbnRpZmllcikzvG0XPCXeCMoNmxo8Jd4IOkNJUS4xMjg3My42ODQ2My5JUV9UT1RBTF9SRVZFTlVFLklRX0xUTS45LzMwLzIwMjEuTC4uVVNELkgFAAAAAAAAAAgAAAAUKEludmFsaWQgSWRlbnRpZmllcikzvG0XPCXeCOo0mxo8Jd4IL0NJUS4xMjg3My42ODQ2My5JUV9OSS5JUV9MVE0uOS8zMC8yMDIxLkwuLlVTRC5IBQAAAAAAAAAIAAAAFChJbnZhbGlkIElkZW50aWZpZXIpM7xtFzwl3gjqNJsaPCXeCENDSVEuMTI4NzMuNjg0NjMuSVFfUkVUVVJOX0lOVkVTVEVEX0NBUElUQUwuSVFfQ1EuOS8zMC8yMDIxLkwuLlVTRC5IBQAAAAAAAAAIAAAAFChJbnZhbGlkIElkZW50aWZpZXIpM7xtFzwl3gjqNJsaPCXeCDNDSVEuMTI4NzMuNjg0NjMuSVFfRUJJVERBLklRX0xUTS45LzMwLzIwMjEuTC4uVVNELkgFAAAAAAAAAAgAAAAUKEludmFsaWQgSWRlbnRpZmllcikzvG0XPCXeCOR+Uhw8Jd4IRENJUS4xMjg3</t>
  </si>
  <si>
    <t>My42ODQ2My5JUV9SRVRVUk5fSU5WRVNURURfQ0FQSVRBTC5JUV9MVE0uOS8zMC8yMDIxLkwuLlVTRC5IBQAAAAAAAAAIAAAAFChJbnZhbGlkIElkZW50aWZpZXIpM7xtFzwl3gjqNJsaPCXeCDRDSVEuMTI4NzMuNjg0NjMuSVFfRUJJVERBLklRX0xUTS4xMi8zMS8yMDIyLkwuLlVTRC5IBQAAAAAAAAAIAAAAFChJbnZhbGlkIElkZW50aWZpZXIpM7xtFzwl3gj7kFEcPCXeCEVDSVEuMTI4NzMuNjg0NjMuSVFfUkVUVVJOX0lOVkVTVEVEX0NBUElUQUwuSVFfTFRNLjEyLzMxLzIwMjIuTC4uVVNELkgFAAAAAAAAAAgAAAAUKEludmFsaWQgSWRlbnRpZmllcikzvG0XPCXeCF+UnBo8Jd4IO0NJUS4xMjg3My42ODQ2My5JUV9UT1RBTF9SRVZFTlVFLklRX0xUTS4xMi8zMS8yMDIyLkwuLlVTRC5IBQAAAAAAAAAIAAAAFChJbnZhbGlkIElkZW50aWZpZXIpM7xtFzwl3ghuu5waPCXeCDNDSVEuMTI4NzMuNjg0NjMuSVFfRUJJVERBLklRX0NRLjEyLzMxLzIwMjIuTC4uVVNELkgFAAAAAAAAAAgAAAAUKEludmFsaWQgSWRlbnRpZmllcikzvG0XPCXeCPuQURw8Jd4IL0NJUS4xMjg3My42ODQ2My5JUV9OSS5JUV9DUS4xMi8zMS8yMDIyLkwuLlVTRC5IBQAAAAAAAAAIAAAAFChJbnZhbGlkIElkZW50aWZpZXIpM7xtFzwl3ghflJwaPCXeCD5DSVEuMTI4NzMuNjg0NjMuSVFfTklfMVlSX0FOTl9HUk9XVEguSVFfQ1Eu</t>
  </si>
  <si>
    <t>MTIvMzEvMjAyMi5MLi5VU0QuSAUAAAAAAAAACAAAABQoSW52YWxpZCBJZGVudGlmaWVyKTO8bRc8Jd4IX5ScGjwl3ghEQ0lRLjEyODczLjY4NDYzLklRX1JFVFVSTl9JTlZFU1RFRF9DQVBJVEFMLklRX0NRLjEyLzMxLzIwMjIuTC4uVVNELkgFAAAAAAAAAAgAAAAUKEludmFsaWQgSWRlbnRpZmllcikzvG0XPCXeCF+UnBo8Jd4IMkNJUS4xMjg3My42ODQ2My5JUV9FQklUREEuSVFfQ1EuOS8zMC8yMDIyLkwuLlVTRC5IBQAAAAAAAAAIAAAAFChJbnZhbGlkIElkZW50aWZpZXIpM7xtFzwl3gjkflIcPCXeCERDSVEuMTI4NzMuNjg0NjMuSVFfUkVUVVJOX0lOVkVTVEVEX0NBUElUQUwuSVFfTFRNLjkvMzAvMjAyMi5MLi5VU0QuSAUAAAAAAAAACAAAABQoSW52YWxpZCBJZGVudGlmaWVyKTO8bRc8Jd4Iyg2bGjwl3gg5Q0lRLjEyODczLjY4NDYzLklRX1RPVEFMX1JFVkVOVUUuSVFfQ1EuOS8zMC8yMDIyLkwuLlVTRC5IBQAAAAAAAAAIAAAAFChJbnZhbGlkIElkZW50aWZpZXIpM7xtFzwl3gjKDZsaPCXeCDBDSVEuMTI4NzMuNjg0NjMuSVFfTkkuSVFfTFRNLjEyLzMxLzIwMjIuTC4uVVNELkgFAAAAAAAAAAgAAAAUKEludmFsaWQgSWRlbnRpZmllcikzvG0XPCXeCG67nBo8Jd4IOkNJUS4xMjg3My42ODQ2My5JUV9UT1RBTF9SRVZFTlVFLklRX0NRLjEyLzMxLzIwMjIuTC4uVVNELkgFAAAAAAAAAAgAAAAU</t>
  </si>
  <si>
    <t>KEludmFsaWQgSWRlbnRpZmllcikzvG0XPCXeCG67nBo8Jd4IRUNJUS4xMjg3My42ODQ2My5JUV9UT1RBTF9SRVZfMVlSX0FOTl9HUk9XVEguSVFfQ1EuMTIvMzEvMjAyMi5MLi5VU0QuSAUAAAAAAAAACAAAABQoSW52YWxpZCBJZGVudGlmaWVyKTO8bRc8Jd4IbrucGjwl3gg/Q0lRLjEyODczLjY4NDYzLklRX05JXzFZUl9BTk5fR1JPV1RILklRX0xUTS4xMi8zMS8yMDIyLkwuLlVTRC5IBQAAAAAAAAAIAAAAFChJbnZhbGlkIElkZW50aWZpZXIpM7xtFzwl3ghuu5waPCXeCERDSVEuMTI4NzMuNjg0NjMuSVFfVE9UQUxfUkVWXzFZUl9BTk5fR1JPV1RILklRX0NRLjkvMzAvMjAyMi5MLi5VU0QuSAUAAAAAAAAACAAAABQoSW52YWxpZCBJZGVudGlmaWVyKTO8bRc8Jd4Iyg2bGjwl3ghDQ0lRLjEyODczLjY4NDYzLklRX1JFVFVSTl9JTlZFU1RFRF9DQVBJVEFMLklRX0NRLjkvMzAvMjAyMi5MLi5VU0QuSAUAAAAAAAAACAAAABQoSW52YWxpZCBJZGVudGlmaWVyKTO8bRc8Jd4Iyg2bGjwl3ggzQ0lRLjEyODczLjY4NDYzLklRX0VCSVREQS5JUV9MVE0uOS8zMC8yMDIyLkwuLlVTRC5IBQAAAAAAAAAIAAAAFChJbnZhbGlkIElkZW50aWZpZXIpM7xtFzwl3gjkflIcPCXeCC5DSVEuMTI4NzMuNjg0NjMuSVFfTkkuSVFfQ1EuOS8zMC8yMDIyLkwuLlVTRC5IBQAAAAAAAAAIAAAAFChJbnZhbGlkIElkZW50aWZp</t>
  </si>
  <si>
    <t>ZXIpM7xtFzwl3gjKDZsaPCXeCD1DSVEuMTI4NzMuNjg0NjMuSVFfTklfMVlSX0FOTl9HUk9XVEguSVFfQ1EuOS8zMC8yMDIyLkwuLlVTRC5IBQAAAAAAAAAIAAAAFChJbnZhbGlkIElkZW50aWZpZXIpM7xtFzwl3gjKDZsaPCXeCDpDSVEuMTI4NzMuNjg0NjMuSVFfVE9UQUxfUkVWRU5VRS5JUV9MVE0uOS8zMC8yMDIyLkwuLlVTRC5IBQAAAAAAAAAIAAAAFChJbnZhbGlkIElkZW50aWZpZXIpM7xtFzwl3gjKDZsaPCXeCC9DSVEuMTI4NzMuNjg0NjMuSVFfTkkuSVFfTFRNLjkvMzAvMjAyMi5MLi5VU0QuSAUAAAAAAAAACAAAABQoSW52YWxpZCBJZGVudGlmaWVyKTO8bRc8Jd4Iyg2bGjwl3ggyQ0lRLjEyODczLjY4NDYzLklRX0VCSVREQS5JUV9DUS42LzMwLzIwMjMuTC4uVVNELkgFAAAAAAAAAAgAAAAUKEludmFsaWQgSWRlbnRpZmllcikzvG0XPCXeCP7MURw8Jd4IOkNJUS4xMjg3My42ODQ2My5JUV9UT1RBTF9SRVZFTlVFLklRX0xUTS42LzMwLzIwMjMuTC4uVVNELkgFAAAAAAAAAAgAAAAUKEludmFsaWQgSWRlbnRpZmllcikzvG0XPCXeCF+UnBo8Jd4IM0NJUS4xMjg3My42ODQ2My5JUV9FQklUREEuSVFfTFRNLjYvMzAvMjAyMy5MLi5VU0QuSAUAAAAAAAAACAAAABQoSW52YWxpZCBJZGVudGlmaWVyKTO8bRc8Jd4I+5BRHDwl3gg5Q0lRLjEyODczLjY4NDYzLklRX1RPVEFMX1JFVkVOVUUuSVFf</t>
  </si>
  <si>
    <t>Q1EuNi8zMC8yMDIzLkwuLlVTRC5IBQAAAAAAAAAIAAAAFChJbnZhbGlkIElkZW50aWZpZXIpM7xtFzwl3ghflJwaPCXeCERDSVEuMTI4NzMuNjg0NjMuSVFfVE9UQUxfUkVWXzFZUl9BTk5fR1JPV1RILklRX0NRLjYvMzAvMjAyMy5MLi5VU0QuSAUAAAAAAAAACAAAABQoSW52YWxpZCBJZGVudGlmaWVyKTO8bRc8Jd4IX5ScGjwl3gguQ0lRLjEyODczLjY4NDYzLklRX05JLklRX0NRLjYvMzAvMjAyMy5MLi5VU0QuSAUAAAAAAAAACAAAABQoSW52YWxpZCBJZGVudGlmaWVyKTO8bRc8Jd4IX5ScGjwl3gg+Q0lRLjEyODczLjY4NDYzLklRX05JXzFZUl9BTk5fR1JPV1RILklRX0xUTS45LzMwLzIwMjIuTC4uVVNELkgFAAAAAAAAAAgAAAAUKEludmFsaWQgSWRlbnRpZmllcikzvG0XPCXeCMoNmxo8Jd4ILkNJUS4xMjg3My42ODQ2My5JUV9OSS5JUV9DUS45LzMwLzIwMjMuTC4uVVNELkgFAAAAAAAAAAgAAAAUKEludmFsaWQgSWRlbnRpZmllcikzvG0XPCXeCLzmmho8Jd4IRENJUS4xMjg3My42ODQ2My5JUV9UT1RBTF9SRVZfMVlSX0FOTl9HUk9XVEguSVFfQ1EuOS8zMC8yMDIzLkwuLlVTRC5IBQAAAAAAAAAIAAAAFChJbnZhbGlkIElkZW50aWZpZXIpM7xtFzwl3gi85poaPCXeCC9DSVEuMTI4NzMuNjg0NjMuSVFfTkkuSVFfTFRNLjYvMzAvMjAyMy5MLi5VU0QuSAUAAAAAAAAACAAAABQoSW52YWxpZCBJ</t>
  </si>
  <si>
    <t>ZGVudGlmaWVyKTO8bRc8Jd4IX5ScGjwl3gg+Q0lRLjEyODczLjY4NDYzLklRX05JXzFZUl9BTk5fR1JPV1RILklRX0xUTS42LzMwLzIwMjMuTC4uVVNELkgFAAAAAAAAAAgAAAAUKEludmFsaWQgSWRlbnRpZmllcikzvG0XPCXeCF+UnBo8Jd4IRENJUS4xMjg3My42ODQ2My5JUV9SRVRVUk5fSU5WRVNURURfQ0FQSVRBTC5JUV9MVE0uNi8zMC8yMDIzLkwuLlVTRC5IBQAAAAAAAAAIAAAAFChJbnZhbGlkIElkZW50aWZpZXIpM7xtFzwl3ghflJwaPCXeCD1DSVEuMTI4NzMuNjg0NjMuSVFfTklfMVlSX0FOTl9HUk9XVEguSVFfQ1EuNi8zMC8yMDIzLkwuLlVTRC5IBQAAAAAAAAAIAAAAFChJbnZhbGlkIElkZW50aWZpZXIpM7xtFzwl3ghflJwaPCXeCENDSVEuMTI4NzMuNjg0NjMuSVFfUkVUVVJOX0lOVkVTVEVEX0NBUElUQUwuSVFfQ1EuNi8zMC8yMDIzLkwuLlVTRC5IBQAAAAAAAAAIAAAAFChJbnZhbGlkIElkZW50aWZpZXIpM7xtFzwl3ghflJwaPCXeCD1DSVEuMTI4NzMuNjg0NjMuSVFfTklfMVlSX0FOTl9HUk9XVEguSVFfQ1EuOS8zMC8yMDIzLkwuLlVTRC5IBQAAAAAAAAAIAAAAFChJbnZhbGlkIElkZW50aWZpZXIpM7xtFzwl3gi85poaPCXeCDpDSVEuMTI4NzMuNjg0NjMuSVFfVE9UQUxfUkVWRU5VRS5JUV9MVE0uOS8zMC8yMDIzLkwuLlVTRC5IBQAAAAAAAAAIAAAAFChJbnZhbGlkIElkZW50</t>
  </si>
  <si>
    <t>aWZpZXIpM7xtFzwl3gi85poaPCXeCDNDSVEuMTI4NzMuNjg0NjMuSVFfRUJJVERBLklRX0xUTS45LzMwLzIwMjMuTC4uVVNELkgFAAAAAAAAAAgAAAAUKEludmFsaWQgSWRlbnRpZmllcikzvG0XPCXeCOR+Uhw8Jd4IMkNJUS4xMjg3My42ODQ2My5JUV9FQklUREEuSVFfQ1EuOS8zMC8yMDIzLkwuLlVTRC5IBQAAAAAAAAAIAAAAFChJbnZhbGlkIElkZW50aWZpZXIpM7xtFzwl3gjkflIcPCXeCENDSVEuMTI4NzMuNjg0NjMuSVFfUkVUVVJOX0lOVkVTVEVEX0NBUElUQUwuSVFfQ1EuOS8zMC8yMDIzLkwuLlVTRC5IBQAAAAAAAAAIAAAAFChJbnZhbGlkIElkZW50aWZpZXIpM7xtFzwl3gjKDZsaPCXeCDlDSVEuMTI4NzMuNjg0NjMuSVFfVE9UQUxfUkVWRU5VRS5JUV9DUS45LzMwLzIwMjMuTC4uVVNELkgFAAAAAAAAAAgAAAAUKEludmFsaWQgSWRlbnRpZmllcikzvG0XPCXeCLzmmho8Jd4IPkNJUS4xMjg3My42ODQ2My5JUV9OSV8xWVJfQU5OX0dST1dUSC5JUV9MVE0uOS8zMC8yMDIzLkwuLlVTRC5IBQAAAAAAAAAIAAAAFChJbnZhbGlkIElkZW50aWZpZXIpM7xtFzwl3gi85poaPCXeCEVDSVEuMTI4NzMuNjg0NjMuSVFfVE9UQUxfUkVWXzFZUl9BTk5fR1JPV1RILklRX0NRLjEyLzMxLzIwMjMuTC4uVVNELkgFAAAAAAAAAAgAAAAUKEludmFsaWQgSWRlbnRpZmllcikzvG0XPCXeCF+UnBo8Jd4IL0NJ</t>
  </si>
  <si>
    <t>US4xMjg3My42ODQ2My5JUV9OSS5JUV9DUS4xMi8zMS8yMDIzLkwuLlVTRC5IBQAAAAAAAAAIAAAAFChJbnZhbGlkIElkZW50aWZpZXIpM7xtFzwl3ghflJwaPCXeCERDSVEuMTI4NzMuNjg0NjMuSVFfUkVUVVJOX0lOVkVTVEVEX0NBUElUQUwuSVFfQ1EuMTIvMzEvMjAyMy5MLi5VU0QuSAUAAAAAAAAACAAAABQoSW52YWxpZCBJZGVudGlmaWVyKTO8bRc8Jd4IX5ScGjwl3gg+Q0lRLjEyODczLjY4NDYzLklRX05JXzFZUl9BTk5fR1JPV1RILklRX0NRLjEyLzMxLzIwMjMuTC4uVVNELkgFAAAAAAAAAAgAAAAUKEludmFsaWQgSWRlbnRpZmllcikzvG0XPCXeCF+UnBo8Jd4IRUNJUS4xMjg3My42ODQ2My5JUV9SRVRVUk5fSU5WRVNURURfQ0FQSVRBTC5JUV9MVE0uMTIvMzEvMjAyMy5MLi5VU0QuSAUAAAAAAAAACAAAABQoSW52YWxpZCBJZGVudGlmaWVyKTO8bRc8Jd4IX5ScGjwl3ghEQ0lRLjEyODczLjY4NDYzLklRX1JFVFVSTl9JTlZFU1RFRF9DQVBJVEFMLklRX0xUTS45LzMwLzIwMjMuTC4uVVNELkgFAAAAAAAAAAgAAAAUKEludmFsaWQgSWRlbnRpZmllcikzvG0XPCXeCMoNmxo8Jd4IL0NJUS4xMjg3My42ODQ2My5JUV9OSS5JUV9MVE0uOS8zMC8yMDIzLkwuLlVTRC5IBQAAAAAAAAAIAAAAFChJbnZhbGlkIElkZW50aWZpZXIpM7xtFzwl3gjKDZsaPCXeCEZDSVEuMTI4NzMuNjg0NjMuSVFfVE9U</t>
  </si>
  <si>
    <t>QUxfUkVWXzFZUl9BTk5fR1JPV1RILklRX0xUTS4xMi8zMS8yMDIzLkwuLlVTRC5IBQAAAAAAAAAIAAAAFChJbnZhbGlkIElkZW50aWZpZXIpM7xtFzwl3gi4V50aPCXeCDBDSVEuMTI4NzMuNjg0NjMuSVFfTkkuSVFfTFRNLjEyLzMxLzIwMjMuTC4uVVNELkgFAAAAAAAAAAgAAAAUKEludmFsaWQgSWRlbnRpZmllcikzvG0XPCXeCF+UnBo8Jd4IOkNJUS4xMjg3My42ODQ2My5JUV9UT1RBTF9SRVZFTlVFLklRX0NRLjEyLzMxLzIwMjMuTC4uVVNELkgFAAAAAAAAAAgAAAAUKEludmFsaWQgSWRlbnRpZmllcikzvG0XPCXeCF+UnBo8Jd4INENJUS4xMjg3My42ODQ2My5JUV9FQklUREEuSVFfTFRNLjEyLzMxLzIwMjMuTC4uVVNELkgFAAAAAAAAAAgAAAAUKEludmFsaWQgSWRlbnRpZmllcikzvG0XPCXeCP7MURw8Jd4IP0NJUS4xMjg3My42ODQ2My5JUV9OSV8xWVJfQU5OX0dST1dUSC5JUV9MVE0uMTIvMzEvMjAyMy5MLi5VU0QuSAUAAAAAAAAACAAAABQoSW52YWxpZCBJZGVudGlmaWVyKTO8bRc8Jd4IX5ScGjwl3gg7Q0lRLjEyODczLjY4NDYzLklRX1RPVEFMX1JFVkVOVUUuSVFfTFRNLjEyLzMxLzIwMjMuTC4uVVNELkgFAAAAAAAAAAgAAAAUKEludmFsaWQgSWRlbnRpZmllcikzvG0XPCXeCF+UnBo8Jd4IM0NJUS4xMjg3My42ODQ2My5JUV9FQklUREEuSVFfQ1EuMTIvMzEvMjAyMy5MLi5VU0QuSAUA</t>
  </si>
  <si>
    <t>AAAAAAAACAAAABQoSW52YWxpZCBJZGVudGlmaWVyKTO8bRc8Jd4I/sxRHDwl3ggvQ0lRLjEyODczLjY4NDYzLklRX05JLklRX0xUTS45LzMwLzIwMjQuTC4uVVNELkgFAAAAAAAAAAgAAAAUKEludmFsaWQgSWRlbnRpZmllcikzvG0XPCXeCLzmmho8Jd4IRUNJUS4xMjg3My42ODQ2My5JUV9UT1RBTF9SRVZfMVlSX0FOTl9HUk9XVEguSVFfTFRNLjkvMzAvMjAyNC5MLi5VU0QuSAUAAAAAAAAACAAAABQoSW52YWxpZCBJZGVudGlmaWVyKTO8bRc8Jd4IuFedGjwl3gg+Q0lRLjEyODczLjY4NDYzLklRX05JXzFZUl9BTk5fR1JPV1RILklRX0xUTS45LzMwLzIwMjQuTC4uVVNELkgFAAAAAAAAAAgAAAAUKEludmFsaWQgSWRlbnRpZmllcikzvG0XPCXeCLzmmho8Jd4ILkNJUS4xMjg3My42ODQ2My5JUV9OSS5JUV9DUS45LzMwLzIwMjQuTC4uVVNELkgFAAAAAAAAAAgAAAAUKEludmFsaWQgSWRlbnRpZmllcikzvG0XPCXeCLzmmho8Jd4IMkNJUS4xMjg3My42ODQ2My5JUV9FQklUREEuSVFfQ1EuOS8zMC8yMDI0LkwuLlVTRC5IBQAAAAAAAAAIAAAAFChJbnZhbGlkIElkZW50aWZpZXIpM7xtFzwl3gjkflIcPCXeCERDSVEuMTI4NzMuNjg0NjMuSVFfVE9UQUxfUkVWXzFZUl9BTk5fR1JPV1RILklRX0NRLjkvMzAvMjAyNC5MLi5VU0QuSAUAAAAAAAAACAAAABQoSW52YWxpZCBJZGVudGlmaWVyKTO8bRc8Jd4I</t>
  </si>
  <si>
    <t>vOaaGjwl3gg5Q0lRLjEyODczLjY4NDYzLklRX1RPVEFMX1JFVkVOVUUuSVFfQ1EuOS8zMC8yMDI0LkwuLlVTRC5IBQAAAAAAAAAIAAAAFChJbnZhbGlkIElkZW50aWZpZXIpM7xtFzwl3gi85poaPCXeCD5DSVEuMTI4NzMuNjg0NjMuSVFfTklfMVlSX0FOTl9HUk9XVEguSVFfTFRNLjYvMzAvMjAyNC5MLi5VU0QuSAUAAAAAAAAACAAAABQoSW52YWxpZCBJZGVudGlmaWVyKTO8bRc8Jd4ITG2cGjwl3ghEQ0lRLjEyODczLjY4NDYzLklRX1JFVFVSTl9JTlZFU1RFRF9DQVBJVEFMLklRX0xUTS42LzMwLzIwMjQuTC4uVVNELkgFAAAAAAAAAAgAAAAUKEludmFsaWQgSWRlbnRpZmllcikzvG0XPCXeCExtnBo8Jd4IM0NJUS4xMjg3My42ODQ2My5JUV9FQklUREEuSVFfTFRNLjkvMzAvMjAyNC5MLi5VU0QuSAUAAAAAAAAACAAAABQoSW52YWxpZCBJZGVudGlmaWVyKTO8bRc8Jd4I5H5SHDwl3gg9Q0lRLjEyODczLjY4NDYzLklRX05JXzFZUl9BTk5fR1JPV1RILklRX0NRLjkvMzAvMjAyNC5MLi5VU0QuSAUAAAAAAAAACAAAABQoSW52YWxpZCBJZGVudGlmaWVyKTO8bRc8Jd4IvOaaGjwl3ghDQ0lRLjEyODczLjY4NDYzLklRX1JFVFVSTl9JTlZFU1RFRF9DQVBJVEFMLklRX0NRLjkvMzAvMjAyNC5MLi5VU0QuSAUAAAAAAAAACAAAABQoSW52YWxpZCBJZGVudGlmaWVyKTO8bRc8Jd4IvOaaGjwl3gg6Q0lRLjEy</t>
  </si>
  <si>
    <t>ODczLjY4NDYzLklRX1RPVEFMX1JFVkVOVUUuSVFfTFRNLjkvMzAvMjAyNC5MLi5VU0QuSAUAAAAAAAAACAAAABQoSW52YWxpZCBJZGVudGlmaWVyKTO8bRc8Jd4IvOaaGjwl3ghEQ0lRLjEyODczLjY4NDYzLklRX1JFVFVSTl9JTlZFU1RFRF9DQVBJVEFMLklRX0xUTS45LzMwLzIwMjQuTC4uVVNELkgFAAAAAAAAAAgAAAAUKEludmFsaWQgSWRlbnRpZmllcikzvG0XPCXeCLzmmho8Jd4IOkNJUS4xMjg3My42ODQ2My5JUV9UT1RBTF9SRVZFTlVFLklRX0xUTS42LzMwLzIwMjQuTC4uVVNELkgFAAAAAAAAAAgAAAAUKEludmFsaWQgSWRlbnRpZmllcikzvG0XPCXeCExtnBo8Jd4IQ0NJUS4xMjg3My42ODQ2My5JUV9SRVRVUk5fSU5WRVNURURfQ0FQSVRBTC5JUV9DUS42LzMwLzIwMjQuTC4uVVNELkgFAAAAAAAAAAgAAAAUKEludmFsaWQgSWRlbnRpZmllcikzvG0XPCXeCExtnBo8Jd4IPUNJUS4xMjg3My42ODQ2My5JUV9OSV8xWVJfQU5OX0dST1dUSC5JUV9DUS42LzMwLzIwMjQuTC4uVVNELkgFAAAAAAAAAAgAAAAUKEludmFsaWQgSWRlbnRpZmllcikzvG0XPCXeCExtnBo8Jd4IOUNJUS4xMjg3My42ODQ2My5JUV9UT1RBTF9SRVZFTlVFLklRX0NRLjYvMzAvMjAyNC5MLi5VU0QuSAUAAAAAAAAACAAAABQoSW52YWxpZCBJZGVudGlmaWVyKTO8bRc8Jd4ITG2cGjwl3ggyQ0lRLjEyODczLjY4NDYzLklR</t>
  </si>
  <si>
    <t>X0VCSVREQS5JUV9DUS42LzMwLzIwMjQuTC4uVVNELkgFAAAAAAAAAAgAAAAUKEludmFsaWQgSWRlbnRpZmllcikzvG0XPCXeCP7MURw8Jd4IRUNJUS4xMjg3My42ODQ2My5JUV9UT1RBTF9SRVZfMVlSX0FOTl9HUk9XVEguSVFfTFRNLjYvMzAvMjAyNC5MLi5VU0QuSAUAAAAAAAAACAAAABQoSW52YWxpZCBJZGVudGlmaWVyKTO8bRc8Jd4IuFedGjwl3ggvQ0lRLjEyODczLjY4NDYzLklRX05JLklRX0xUTS42LzMwLzIwMjQuTC4uVVNELkgFAAAAAAAAAAgAAAAUKEludmFsaWQgSWRlbnRpZmllcikzvG0XPCXeCExtnBo8Jd4IP0NJUS4xMjg3My42ODQ2My5JUV9OSV8xWVJfQU5OX0dST1dUSC5JUV9MVE0uMTIvMzEvMjAyMC5MLi5VU0QuSAUAAAAAAAAACAAAABQoSW52YWxpZCBJZGVudGlmaWVyKTO8bRc8Jd4IgOKcGjwl3gg0Q0lRLjEyODczLjY4NDYzLklRX0VCSVREQS5JUV9MVE0uMTIvMzEvMjAyMC5MLi5VU0QuSAUAAAAAAAAACAAAABQoSW52YWxpZCBJZGVudGlmaWVyKWPjbRc8Jd4Iu1VRHDwl3gg+Q0lRLjEyODczLjY4NDYzLklRX05JXzFZUl9BTk5fR1JPV1RILklRX0NRLjEyLzMxLzIwMjAuTC4uVVNELkgFAAAAAAAAAAgAAAAUKEludmFsaWQgSWRlbnRpZmllcilj420XPCXeCIDinBo8Jd4IRENJUS4xMjg3My42ODQ2My5JUV9SRVRVUk5fSU5WRVNURURfQ0FQSVRBTC5JUV9DUS4xMi8zMS8y</t>
  </si>
  <si>
    <t>MDIwLkwuLlVTRC5IBQAAAAAAAAAIAAAAFChJbnZhbGlkIElkZW50aWZpZXIpY+NtFzwl3giA4pwaPCXeCERDSVEuMTI4NzMuNjg0NjMuSVFfVE9UQUxfUkVWXzFZUl9BTk5fR1JPV1RILklRX0NRLjYvMzAvMjAyNC5MLi5VU0QuSAUAAAAAAAAACAAAABQoSW52YWxpZCBJZGVudGlmaWVyKWPjbRc8Jd4ITG2cGjwl3ggzQ0lRLjEyODczLjY4NDYzLklRX0VCSVREQS5JUV9MVE0uNi8zMC8yMDI0LkwuLlVTRC5IBQAAAAAAAAAIAAAAFChJbnZhbGlkIElkZW50aWZpZXIpY+NtFzwl3gj+zFEcPCXeCC5DSVEuMTI4NzMuNjg0NjMuSVFfTkkuSVFfQ1EuNi8zMC8yMDI0LkwuLlVTRC5IBQAAAAAAAAAIAAAAFChJbnZhbGlkIElkZW50aWZpZXIpY+NtFzwl3ghMbZwaPCXeCEVDSVEuMTI4NzMuNjg0NjMuSVFfVE9UQUxfUkVWXzFZUl9BTk5fR1JPV1RILklRX0NRLjEyLzMxLzIwMjAuTC4uVVNELkgFAAAAAAAAAAgAAAAUKEludmFsaWQgSWRlbnRpZmllcilj420XPCXeCIDinBo8Jd4IL0NJUS4xMjg3My42ODQ2My5JUV9OSS5JUV9DUS4xMi8zMS8yMDIwLkwuLlVTRC5IBQAAAAAAAAAIAAAAFChJbnZhbGlkIElkZW50aWZpZXIpY+NtFzwl3giA4pwaPCXeCDtDSVEuMTI4NzMuNjg0NjMuSVFfVE9UQUxfUkVWRU5VRS5JUV9MVE0uMTIvMzEvMjAyMC5MLi5VU0QuSAUAAAAAAAAACAAAABQoSW52YWxpZCBJZGVudGlm</t>
  </si>
  <si>
    <t>aWVyKWPjbRc8Jd4IgOKcGjwl3gg6Q0lRLjEyODczLjY4NDYzLklRX1RPVEFMX1JFVkVOVUUuSVFfQ1EuMTIvMzEvMjAyMC5MLi5VU0QuSAUAAAAAAAAACAAAABQoSW52YWxpZCBJZGVudGlmaWVyKWPjbRc8Jd4IgOKcGjwl3ggwQ0lRLjEyODczLjY4NDYzLklRX05JLklRX0xUTS4xMi8zMS8yMDIwLkwuLlVTRC5IBQAAAAAAAAAIAAAAFChJbnZhbGlkIElkZW50aWZpZXIpY+NtFzwl3giA4pwaPCXeCDNDSVEuMTI4NzMuNjg0NjMuSVFfRUJJVERBLklRX0NRLjEyLzMxLzIwMjAuTC4uVVNELkgFAAAAAAAAAAgAAAAUKEludmFsaWQgSWRlbnRpZmllcilj420XPCXeCPuQURw8Jd4IRUNJUS4xMjg3My42ODQ2My5JUV9SRVRVUk5fSU5WRVNURURfQ0FQSVRBTC5JUV9MVE0uMTIvMzEvMjAyMC5MLi5VU0QuSAUAAAAAAAAACAAAABQoSW52YWxpZCBJZGVudGlmaWVyKWPjbRc8Jd4IgOKcGjwl3gg6Q0lRLjEyODczLjY4NDYzLklRX1RPVEFMX1JFVkVOVUUuSVFfTFRNLjMvMzEvMjAxMy5MLi5VU0QuSAUAAAAAAAAACAAAABQoSW52YWxpZCBJZGVudGlmaWVyKWPjbRc8Jd4IQkacGjwl3gg+Q0lRLjEyODczLjY4NDYzLklRX05JXzFZUl9BTk5fR1JPV1RILklRX0xUTS4zLzMxLzIwMTMuTC4uVVNELkgFAAAAAAAAAAgAAAAUKEludmFsaWQgSWRlbnRpZmllcilj420XPCXeCEJGnBo8Jd4IOUNJUS4xMjg3My42ODQ2</t>
  </si>
  <si>
    <t>My5JUV9UT1RBTF9SRVZFTlVFLklRX0NRLjMvMzEvMjAxMy5MLi5VU0QuSAUAAAAAAAAACAAAABQoSW52YWxpZCBJZGVudGlmaWVyKWPjbRc8Jd4IQkacGjwl3ghDQ0lRLjEyODczLjY4NDYzLklRX1JFVFVSTl9JTlZFU1RFRF9DQVBJVEFMLklRX0NRLjMvMzEvMjAxMy5MLi5VU0QuSAUAAAAAAAAACAAAABQoSW52YWxpZCBJZGVudGlmaWVyKWPjbRc8Jd4IQkacGjwl3gg9Q0lRLjEyODczLjY4NDYzLklRX05JXzFZUl9BTk5fR1JPV1RILklRX0NRLjMvMzEvMjAxMy5MLi5VU0QuSAUAAAAAAAAACAAAABQoSW52YWxpZCBJZGVudGlmaWVyKWPjbRc8Jd4IQkacGjwl3ghEQ0lRLjEyODczLjY4NDYzLklRX1RPVEFMX1JFVl8xWVJfQU5OX0dST1dUSC5JUV9DUS4zLzMxLzIwMTMuTC4uVVNELkgFAAAAAAAAAAgAAAAUKEludmFsaWQgSWRlbnRpZmllcilj420XPCXeCEJGnBo8Jd4ILkNJUS4xMjg3My42ODQ2My5JUV9OSS5JUV9DUS4zLzMxLzIwMTMuTC4uVVNELkgFAAAAAAAAAAgAAAAUKEludmFsaWQgSWRlbnRpZmllcilj420XPCXeCEJGnBo8Jd4IOUNJUS4xMjg3My42ODQ2My5JUV9UT1RBTF9SRVZFTlVFLklRX0NRLjYvMzAvMjAyNS5MLi5VU0QuSAUAAAAAAAAACAAAABQoSW52YWxpZCBJZGVudGlmaWVyKWPjbRc8Jd4IjJiaGjwl3ghEQ0lRLjEyODczLjY4NDYzLklRX1RPVEFMX1JFVl8xWVJfQU5OX0dS</t>
  </si>
  <si>
    <t>T1dUSC5JUV9DUS42LzMwLzIwMjUuTC4uVVNELkgFAAAAAAAAAAgAAAAUKEludmFsaWQgSWRlbnRpZmllcilj420XPCXeCIyYmho8Jd4ILkNJUS4xMjg3My42ODQ2My5JUV9OSS5JUV9DUS42LzMwLzIwMjUuTC4uVVNELkgFAAAAAAAAAAgAAAAUKEludmFsaWQgSWRlbnRpZmllcilj420XPCXeCIyYmho8Jd4IL0NJUS4xMjg3My42ODQ2My5JUV9OSS5JUV9MVE0uMy8zMS8yMDEzLkwuLlVTRC5IBQAAAAAAAAAIAAAAFChJbnZhbGlkIElkZW50aWZpZXIpY+NtFzwl3ghCRpwaPCXeCDNDSVEuMTI4NzMuNjg0NjMuSVFfRUJJVERBLklRX0xUTS4zLzMxLzIwMTMuTC4uVVNELkgFAAAAAAAAAAgAAAAUKEludmFsaWQgSWRlbnRpZmllcilj420XPCXeCP7MURw8Jd4IRENJUS4xMjg3My42ODQ2My5JUV9SRVRVUk5fSU5WRVNURURfQ0FQSVRBTC5JUV9MVE0uMy8zMS8yMDEzLkwuLlVTRC5IBQAAAAAAAAAIAAAAFChJbnZhbGlkIElkZW50aWZpZXIpY+NtFzwl3ghCRpwaPCXeCDJDSVEuMTI4NzMuNjg0NjMuSVFfRUJJVERBLklRX0NRLjMvMzEvMjAxMy5MLi5VU0QuSAUAAAAAAAAACAAAABQoSW52YWxpZCBJZGVudGlmaWVyKWPjbRc8Jd4I/sxRHDwl3gg5Q0lRLjEyODczLjY4NDYzLklRX1RPVEFMX1JFVkVOVUUuSVFfQ1EuMy8zMS8yMDI1LkwuLlVTRC5IBQAAAAAAAAAIAAAAFChJbnZhbGlkIElkZW50aWZpZXIp</t>
  </si>
  <si>
    <t>Y+NtFzwl3giMmJoaPCXeCC9DSVEuMTI4NzMuNjg0NjMuSVFfTkkuSVFfQ1EuMTIvMzEvMjAyNC5MLi5VU0QuSAUAAAAAAAAACAAAABQoSW52YWxpZCBJZGVudGlmaWVyKWPjbRc8Jd4IjJiaGjwl3gguQ0lRLjEyODczLjY4NDYzLklRX05JLklRX0NRLjMvMzEvMjAyNS5MLi5VU0QuSAUAAAAAAAAACAAAABQoSW52YWxpZCBJZGVudGlmaWVyKWPjbRc8Jd4Ip7+aGjwl3gg6Q0lRLjEyODczLjY4NDYzLklRX1RPVEFMX1JFVkVOVUUuSVFfQ1EuMTIvMzEvMjAyNC5MLi5VU0QuSAUAAAAAAAAACAAAABQoSW52YWxpZCBJZGVudGlmaWVyKWPjbRc8Jd4IjJiaGjwl3ghEQ0lRLjEyODczLjY4NDYzLklRX1RPVEFMX1JFVl8xWVJfQU5OX0dST1dUSC5JUV9DUS45LzMwLzIwMjUuTC4uVVNELkgFAAAAAAAAAAgAAAAUKEludmFsaWQgSWRlbnRpZmllcilj420XPCXeCIyYmho8Jd4IOUNJUS4xMjg3My42ODQ2My5JUV9UT1RBTF9SRVZFTlVFLklRX0NRLjkvMzAvMjAyNS5MLi5VU0QuSAUAAAAAAAAACAAAABQoSW52YWxpZCBJZGVudGlmaWVyKWPjbRc8Jd4IjJiaGjwl3ghEQ0lRLjEyODczLjY4NDYzLklRX1RPVEFMX1JFVl8xWVJfQU5OX0dST1dUSC5JUV9DUS4zLzMxLzIwMjUuTC4uVVNELkgFAAAAAAAAAAgAAAAUKEludmFsaWQgSWRlbnRpZmllcilj420XPCXeCIyYmho8Jd4ILkNJUS4xMjg3My42ODQ2My5JUV9O</t>
  </si>
  <si>
    <t>SS5JUV9DUS4zLzMxLzIwMjMuTC4uVVNELkgFAAAAAAAAAAgAAAAUKEludmFsaWQgSWRlbnRpZmllcilj420XPCXeCACqmxo8Jd4IOkNJUS4xMjg3My42ODQ2My5JUV9UT1RBTF9SRVZFTlVFLklRX0xUTS4zLzMxLzIwMjMuTC4uVVNELkgFAAAAAAAAAAgAAAAUKEludmFsaWQgSWRlbnRpZmllcilj420XPCXeCACqmxo8Jd4IL0NJUS4xMjg3My42ODQ2My5JUV9OSS5JUV9MVE0uMy8zMS8yMDIzLkwuLlVTRC5IBQAAAAAAAAAIAAAAFChJbnZhbGlkIElkZW50aWZpZXIpY+NtFzwl3ggAqpsaPCXeCD5DSVEuMTI4NzMuNjg0NjMuSVFfTklfMVlSX0FOTl9HUk9XVEguSVFfTFRNLjMvMzEvMjAyMy5MLi5VU0QuSAUAAAAAAAAACAAAABQoSW52YWxpZCBJZGVudGlmaWVyKWPjbRc8Jd4IAKqbGjwl3ghEQ0lRLjEyODczLjY4NDYzLklRX1JFVFVSTl9JTlZFU1RFRF9DQVBJVEFMLklRX0xUTS4zLzMxLzIwMjMuTC4uVVNELkgFAAAAAAAAAAgAAAAUKEludmFsaWQgSWRlbnRpZmllcilj420XPCXeCACqmxo8Jd4ILkNJUS4xMjg3My42ODQ2My5JUV9OSS5JUV9DUS45LzMwLzIwMjUuTC4uVVNELkgFAAAAAAAAAAgAAAAUKEludmFsaWQgSWRlbnRpZmllcilj420XPCXeCKe/mho8Jd4IRUNJUS4xMjg3My42ODQ2My5JUV9UT1RBTF9SRVZfMVlSX0FOTl9HUk9XVEguSVFfQ1EuMTIvMzEvMjAyNC5MLi5VU0QuSAUAAAAA</t>
  </si>
  <si>
    <t>AAAACAAAABQoSW52YWxpZCBJZGVudGlmaWVyKWPjbRc8Jd4Ip7+aGjwl3ggvQ0lRLjEyODczLjY4NDYzLklRX05JLklRX0xUTS4zLzMxLzIwMjQuTC4uVVNELkgFAAAAAAAAAAgAAAAUKEludmFsaWQgSWRlbnRpZmllcilj420XPCXeCACqmxo8Jd4IM0NJUS4xMjg3My42ODQ2My5JUV9FQklUREEuSVFfTFRNLjMvMzEvMjAyMy5MLi5VU0QuSAUAAAAAAAAACAAAABQoSW52YWxpZCBJZGVudGlmaWVyKWPjbRc8Jd4IeUNSHDwl3ggyQ0lRLjEyODczLjY4NDYzLklRX0VCSVREQS5JUV9DUS4zLzMxLzIwMjMuTC4uVVNELkgFAAAAAAAAAAgAAAAUKEludmFsaWQgSWRlbnRpZmllcilj420XPCXeCHlDUhw8Jd4IPUNJUS4xMjg3My42ODQ2My5JUV9OSV8xWVJfQU5OX0dST1dUSC5JUV9DUS4zLzMxLzIwMjMuTC4uVVNELkgFAAAAAAAAAAgAAAAUKEludmFsaWQgSWRlbnRpZmllcilj420XPCXeCACqmxo8Jd4IQ0NJUS4xMjg3My42ODQ2My5JUV9SRVRVUk5fSU5WRVNURURfQ0FQSVRBTC5JUV9DUS4zLzMxLzIwMjMuTC4uVVNELkgFAAAAAAAAAAgAAAAUKEludmFsaWQgSWRlbnRpZmllcilj420XPCXeCACqmxo8Jd4IRENJUS4xMjg3My42ODQ2My5JUV9UT1RBTF9SRVZfMVlSX0FOTl9HUk9XVEguSVFfQ1EuMy8zMS8yMDIzLkwuLlVTRC5IBQAAAAAAAAAIAAAAFChJbnZhbGlkIElkZW50aWZpZXIpY+NtFzwl3ggA</t>
  </si>
  <si>
    <t>qpsaPCXeCDlDSVEuMTI4NzMuNjg0NjMuSVFfVE9UQUxfUkVWRU5VRS5JUV9DUS4zLzMxLzIwMjMuTC4uVVNELkgFAAAAAAAAAAgAAAAUKEludmFsaWQgSWRlbnRpZmllcilj420XPCXeCACqmxo8Jd4IRUNJUS4xMjg3My42ODQ2My5JUV9UT1RBTF9SRVZfMVlSX0FOTl9HUk9XVEguSVFfTFRNLjMvMzEvMjAyNC5MLi5VU0QuSAUAAAAAAAAACAAAABQoSW52YWxpZCBJZGVudGlmaWVyKWPjbRc8Jd4IuFedGjwl3ggyQ0lRLjEyODczLjY4NDYzLklRX0VCSVREQS5JUV9DUS4zLzMxLzIwMjQuTC4uVVNELkgFAAAAAAAAAAgAAAAUKEludmFsaWQgSWRlbnRpZmllcilj420XPCXeCHlDUhw8Jd4ILkNJUS4xMjg3My42ODQ2My5JUV9OSS5JUV9DUS4zLzMxLzIwMjQuTC4uVVNELkgFAAAAAAAAAAgAAAAUKEludmFsaWQgSWRlbnRpZmllcilj420XPCXeCACqmxo8Jd4IOUNJUS4xMjg3My42ODQ2My5JUV9UT1RBTF9SRVZFTlVFLklRX0NRLjMvMzEvMjAyNC5MLi5VU0QuSAUAAAAAAAAACAAAABQoSW52YWxpZCBJZGVudGlmaWVyKWPjbRc8Jd4IAKqbGjwl3gg+Q0lRLjEyODczLjY4NDYzLklRX05JXzFZUl9BTk5fR1JPV1RILklRX0xUTS4zLzMxLzIwMjQuTC4uVVNELkgFAAAAAAAAAAgAAAAUKEludmFsaWQgSWRlbnRpZmllcilj420XPCXeCACqmxo8Jd4IM0NJUS4xMjg3My42ODQ2My5JUV9FQklUREEuSVFfTFRN</t>
  </si>
  <si>
    <t>LjMvMzEvMjAyNC5MLi5VU0QuSAUAAAAAAAAACAAAABQoSW52YWxpZCBJZGVudGlmaWVyKWPjbRc8Jd4IeUNSHDwl3gg6Q0lRLjEyODczLjY4NDYzLklRX1RPVEFMX1JFVkVOVUUuSVFfTFRNLjMvMzEvMjAyNC5MLi5VU0QuSAUAAAAAAAAACAAAABQoSW52YWxpZCBJZGVudGlmaWVyKWPjbRc8Jd4IAKqbGjwl3gg5Q0lRLjEyODczLjY4NDYzLklRX1RPVEFMX1JFVkVOVUUuSVFfQ1EuOS8zMC8yMDE2LkwuLlVTRC5IBQAAAAAAAAAIAAAAFChJbnZhbGlkIElkZW50aWZpZXIpY+NtFzwl3gjzW5saPCXeCERDSVEuMTI4NzMuNjg0NjMuSVFfVE9UQUxfUkVWXzFZUl9BTk5fR1JPV1RILklRX0NRLjkvMzAvMjAxNi5MLi5VU0QuSAUAAAAAAAAACAAAABQoSW52YWxpZCBJZGVudGlmaWVyKWPjbRc8Jd4I81ubGjwl3gguQ0lRLjEyODczLjY4NDYzLklRX05JLklRX0NRLjkvMzAvMjAxNi5MLi5VU0QuSAUAAAAAAAAACAAAABQoSW52YWxpZCBJZGVudGlmaWVyKWPjbRc8Jd4I81ubGjwl3ghEQ0lRLjEyODczLjY4NDYzLklRX1JFVFVSTl9JTlZFU1RFRF9DQVBJVEFMLklRX0xUTS4zLzMxLzIwMjQuTC4uVVNELkgFAAAAAAAAAAgAAAAUKEludmFsaWQgSWRlbnRpZmllcilj420XPCXeCACqmxo8Jd4IQ0NJUS4xMjg3My42ODQ2My5JUV9SRVRVUk5fSU5WRVNURURfQ0FQSVRBTC5JUV9DUS4zLzMxLzIwMjQuTC4uVVNE</t>
  </si>
  <si>
    <t>LkgFAAAAAAAAAAgAAAAUKEludmFsaWQgSWRlbnRpZmllcilj420XPCXeCACqmxo8Jd4IPUNJUS4xMjg3My42ODQ2My5JUV9OSV8xWVJfQU5OX0dST1dUSC5JUV9DUS4zLzMxLzIwMjQuTC4uVVNELkgFAAAAAAAAAAgAAAAUKEludmFsaWQgSWRlbnRpZmllcilj420XPCXeCACqmxo8Jd4IRENJUS4xMjg3My42ODQ2My5JUV9UT1RBTF9SRVZfMVlSX0FOTl9HUk9XVEguSVFfQ1EuMy8zMS8yMDI0LkwuLlVTRC5IBQAAAAAAAAAIAAAAFChJbnZhbGlkIElkZW50aWZpZXIpY+NtFzwl3ggAqpsaPCXeCC9DSVEuMTI4NzMuNjg0NjMuSVFfTkkuSVFfTFRNLjkvMzAvMjAxNi5MLi5VU0QuSAUAAAAAAAAACAAAABQoSW52YWxpZCBJZGVudGlmaWVyKWPjbRc8Jd4I81ubGjwl3ggyQ0lRLjEyODczLjY4NDYzLklRX0VCSVREQS5JUV9DUS45LzMwLzIwMTYuTC4uVVNELkgFAAAAAAAAAAgAAAAUKEludmFsaWQgSWRlbnRpZmllcilj420XPCXeCHlDUhw8Jd4IRENJUS4xMjg3My42ODQ2My5JUV9SRVRVUk5fSU5WRVNURURfQ0FQSVRBTC5JUV9MVE0uOS8zMC8yMDE2LkwuLlVTRC5IBQAAAAAAAAAIAAAAFChJbnZhbGlkIElkZW50aWZpZXIpY+NtFzwl3gjxgpsaPCXeCD1DSVEuMTI4NzMuNjg0NjMuSVFfTklfMVlSX0FOTl9HUk9XVEguSVFfQ1EuOS8zMC8yMDE2LkwuLlVTRC5IBQAAAAAAAAAIAAAAFChJbnZhbGlkIElk</t>
  </si>
  <si>
    <t>ZW50aWZpZXIpY+NtFzwl3gjxgpsaPCXeCDNDSVEuMTI4NzMuNjg0NjMuSVFfRUJJVERBLklRX0xUTS45LzMwLzIwMTYuTC4uVVNELkgFAAAAAAAAAAgAAAAUKEludmFsaWQgSWRlbnRpZmllcilj420XPCXeCHlDUhw8Jd4IPkNJUS4xMjg3My42ODQ2My5JUV9OSV8xWVJfQU5OX0dST1dUSC5JUV9MVE0uOS8zMC8yMDE2LkwuLlVTRC5IBQAAAAAAAAAIAAAAFChJbnZhbGlkIElkZW50aWZpZXIpY+NtFzwl3gjxgpsaPCXeCENDSVEuMTI4NzMuNjg0NjMuSVFfUkVUVVJOX0lOVkVTVEVEX0NBUElUQUwuSVFfQ1EuOS8zMC8yMDE2LkwuLlVTRC5IBQAAAAAAAAAIAAAAFChJbnZhbGlkIElkZW50aWZpZXIpY+NtFzwl3gjxgpsaPCXeCENDSVEuMTI4NzMuNjg0NjMuSVFfUkVUVVJOX0lOVkVTVEVEX0NBUElUQUwuSVFfQ1EuMy8zMS8yMDExLkwuLlVTRC5IBQAAAAAAAAAIAAAAFChJbnZhbGlkIElkZW50aWZpZXIpY+NtFzwl3ghMbZwaPCXeCDlDSVEuMTI4NzMuNjg0NjMuSVFfVE9UQUxfUkVWRU5VRS5JUV9DUS4zLzMxLzIwMTEuTC4uVVNELkgFAAAAAAAAAAgAAAAUKEludmFsaWQgSWRlbnRpZmllcilj420XPCXeCExtnBo8Jd4IM0NJUS4xMjg3My42ODQ2My5JUV9FQklUREEuSVFfTFRNLjMvMzEvMjAxMS5MLi5VU0QuSAUAAAAAAAAACAAAABQoSW52YWxpZCBJZGVudGlmaWVyKWPjbRc8Jd4I+5BRHDwl3gg+</t>
  </si>
  <si>
    <t>Q0lRLjEyODczLjY4NDYzLklRX05JXzFZUl9BTk5fR1JPV1RILklRX0xUTS4zLzMxLzIwMTEuTC4uVVNELkgFAAAAAAAAAAgAAAAUKEludmFsaWQgSWRlbnRpZmllcilj420XPCXeCExtnBo8Jd4IRENJUS4xMjg3My42ODQ2My5JUV9UT1RBTF9SRVZfMVlSX0FOTl9HUk9XVEguSVFfQ1EuMy8zMS8yMDExLkwuLlVTRC5IBQAAAAAAAAAIAAAAFChJbnZhbGlkIElkZW50aWZpZXIpY+NtFzwl3ghMbZwaPCXeCC5DSVEuMTI4NzMuNjg0NjMuSVFfTkkuSVFfQ1EuMy8zMS8yMDExLkwuLlVTRC5IBQAAAAAAAAAIAAAAFChJbnZhbGlkIElkZW50aWZpZXIpY+NtFzwl3ghMbZwaPCXeCDpDSVEuMTI4NzMuNjg0NjMuSVFfVE9UQUxfUkVWRU5VRS5JUV9MVE0uOS8zMC8yMDE2LkwuLlVTRC5IBQAAAAAAAAAIAAAAFChJbnZhbGlkIElkZW50aWZpZXIpY+NtFzwl3gjxgpsaPCXeCENDSVEuMTI4NzMuNjg0NjMuSVFfUkVUVVJOX0lOVkVTVEVEX0NBUElUQUwuSVFfQ1EuMy8zMS8yMDE0LkwuLlVTRC5IBQAAAAAAAAAIAAAAFChJbnZhbGlkIElkZW50aWZpZXIpY+NtFzwl3ghCRpwaPCXeCDpDSVEuMTI4NzMuNjg0NjMuSVFfVE9UQUxfUkVWRU5VRS5JUV9MVE0uMy8zMS8yMDE0LkwuLlVTRC5IBQAAAAAAAAAIAAAAFChJbnZhbGlkIElkZW50aWZpZXIpY+NtFzwl3ghCRpwaPCXeCC9DSVEuMTI4NzMuNjg0NjMuSVFfTkku</t>
  </si>
  <si>
    <t>SVFfTFRNLjMvMzEvMjAxMS5MLi5VU0QuSAUAAAAAAAAACAAAABQoSW52YWxpZCBJZGVudGlmaWVyKWPjbRc8Jd4ITG2cGjwl3ggyQ0lRLjEyODczLjY4NDYzLklRX0VCSVREQS5JUV9DUS4zLzMxLzIwMTEuTC4uVVNELkgFAAAAAAAAAAgAAAAUKEludmFsaWQgSWRlbnRpZmllcilj420XPCXeCPuQURw8Jd4IRENJUS4xMjg3My42ODQ2My5JUV9SRVRVUk5fSU5WRVNURURfQ0FQSVRBTC5JUV9MVE0uMy8zMS8yMDExLkwuLlVTRC5IBQAAAAAAAAAIAAAAFChJbnZhbGlkIElkZW50aWZpZXIpY+NtFzwl3ghMbZwaPCXeCDpDSVEuMTI4NzMuNjg0NjMuSVFfVE9UQUxfUkVWRU5VRS5JUV9MVE0uMy8zMS8yMDExLkwuLlVTRC5IBQAAAAAAAAAIAAAAFChJbnZhbGlkIElkZW50aWZpZXIpY+NtFzwl3ghMbZwaPCXeCD1DSVEuMTI4NzMuNjg0NjMuSVFfTklfMVlSX0FOTl9HUk9XVEguSVFfQ1EuMy8zMS8yMDExLkwuLlVTRC5IBQAAAAAAAAAIAAAAFChJbnZhbGlkIElkZW50aWZpZXIpY+NtFzwl3ghMbZwaPCXeCC9DSVEuMTI4NzMuNjg0NjMuSVFfTkkuSVFfTFRNLjMvMzEvMjAxNC5MLi5VU0QuSAUAAAAAAAAACAAAABQoSW52YWxpZCBJZGVudGlmaWVyKWPjbRc8Jd4IQkacGjwl3gg5Q0lRLjEyODczLjY4NDYzLklRX1RPVEFMX1JFVkVOVUUuSVFfQ1EuMy8zMS8yMDE0LkwuLlVTRC5IBQAAAAAAAAAIAAAAFChJ</t>
  </si>
  <si>
    <t>bnZhbGlkIElkZW50aWZpZXIpY+NtFzwl3ghCRpwaPCXeCD5DSVEuMTI4NzMuNjg0NjMuSVFfTklfMVlSX0FOTl9HUk9XVEguSVFfTFRNLjMvMzEvMjAxNC5MLi5VU0QuSAUAAAAAAAAACAAAABQoSW52YWxpZCBJZGVudGlmaWVyKWPjbRc8Jd4IQkacGjwl3ghEQ0lRLjEyODczLjY4NDYzLklRX1RPVEFMX1JFVl8xWVJfQU5OX0dST1dUSC5JUV9DUS4zLzMxLzIwMTQuTC4uVVNELkgFAAAAAAAAAAgAAAAUKEludmFsaWQgSWRlbnRpZmllcilj420XPCXeCEJGnBo8Jd4IRENJUS4xMjg3My42ODQ2My5JUV9SRVRVUk5fSU5WRVNURURfQ0FQSVRBTC5JUV9MVE0uMy8zMS8yMDE0LkwuLlVTRC5IBQAAAAAAAAAIAAAAFChJbnZhbGlkIElkZW50aWZpZXIpY+NtFzwl3ghCRpwaPCXeCC5DSVEuMTI4NzMuNjg0NjMuSVFfTkkuSVFfQ1EuMy8zMS8yMDE0LkwuLlVTRC5IBQAAAAAAAAAIAAAAFChJbnZhbGlkIElkZW50aWZpZXIpY+NtFzwl3ghCRpwaPCXeCDNDSVEuMTI4NzMuNjg0NjMuSVFfRUJJVERBLklRX0xUTS4zLzMxLzIwMTQuTC4uVVNELkgFAAAAAAAAAAgAAAAUKEludmFsaWQgSWRlbnRpZmllcilj420XPCXeCP7MURw8Jd4IPUNJUS4xMjg3My42ODQ2My5JUV9OSV8xWVJfQU5OX0dST1dUSC5JUV9DUS4zLzMxLzIwMTUuTC4uVVNELkgFAAAAAAAAAAgAAAAUKEludmFsaWQgSWRlbnRpZmllcilj420XPCXe</t>
  </si>
  <si>
    <t>CDAfnBo8Jd4IMkNJUS4xMjg3My42ODQ2My5JUV9FQklUREEuSVFfQ1EuMy8zMS8yMDE1LkwuLlVTRC5IBQAAAAAAAAAIAAAAFChJbnZhbGlkIElkZW50aWZpZXIpY+NtFzwl3ghgCFIcPCXeCC9DSVEuMTI4NzMuNjg0NjMuSVFfTkkuSVFfTFRNLjMvMzEvMjAxNS5MLi5VU0QuSAUAAAAAAAAACAAAABQoSW52YWxpZCBJZGVudGlmaWVyKWPjbRc8Jd4IMB+cGjwl3gg+Q0lRLjEyODczLjY4NDYzLklRX05JXzFZUl9BTk5fR1JPV1RILklRX0xUTS4zLzMxLzIwMTUuTC4uVVNELkgFAAAAAAAAAAgAAAAUKEludmFsaWQgSWRlbnRpZmllcilj420XPCXeCDAfnBo8Jd4IRENJUS4xMjg3My42ODQ2My5JUV9SRVRVUk5fSU5WRVNURURfQ0FQSVRBTC5JUV9MVE0uMy8zMS8yMDE1LkwuLlVTRC5IBQAAAAAAAAAIAAAAFChJbnZhbGlkIElkZW50aWZpZXIpY+NtFzwl3ggwH5waPCXeCDJDSVEuMTI4NzMuNjg0NjMuSVFfRUJJVERBLklRX0NRLjMvMzEvMjAxNC5MLi5VU0QuSAUAAAAAAAAACAAAABQoSW52YWxpZCBJZGVudGlmaWVyKWPjbRc8Jd4I/sxRHDwl3gg9Q0lRLjEyODczLjY4NDYzLklRX05JXzFZUl9BTk5fR1JPV1RILklRX0NRLjMvMzEvMjAxNC5MLi5VU0QuSAUAAAAAAAAACAAAABQoSW52YWxpZCBJZGVudGlmaWVyKWPjbRc8Jd4IQkacGjwl3ghDQ0lRLjEyODczLjY4NDYzLklRX1JFVFVSTl9JTlZFU1RF</t>
  </si>
  <si>
    <t>RF9DQVBJVEFMLklRX0NRLjMvMzEvMjAxNi5MLi5VU0QuSAUAAAAAAAAACAAAABQoSW52YWxpZCBJZGVudGlmaWVyKWPjbRc8Jd4IMB+cGjwl3ggzQ0lRLjEyODczLjY4NDYzLklRX0VCSVREQS5JUV9MVE0uMy8zMS8yMDE1LkwuLlVTRC5IBQAAAAAAAAAIAAAAFChJbnZhbGlkIElkZW50aWZpZXIpY+NtFzwl3gj+zFEcPCXeCENDSVEuMTI4NzMuNjg0NjMuSVFfUkVUVVJOX0lOVkVTVEVEX0NBUElUQUwuSVFfQ1EuMy8zMS8yMDE1LkwuLlVTRC5IBQAAAAAAAAAIAAAAFChJbnZhbGlkIElkZW50aWZpZXIpY+NtFzwl3ggwH5waPCXeCDlDSVEuMTI4NzMuNjg0NjMuSVFfVE9UQUxfUkVWRU5VRS5JUV9DUS4zLzMxLzIwMTUuTC4uVVNELkgFAAAAAAAAAAgAAAAUKEludmFsaWQgSWRlbnRpZmllcilj420XPCXeCDAfnBo8Jd4IOkNJUS4xMjg3My42ODQ2My5JUV9UT1RBTF9SRVZFTlVFLklRX0xUTS4zLzMxLzIwMTUuTC4uVVNELkgFAAAAAAAAAAgAAAAUKEludmFsaWQgSWRlbnRpZmllcilj420XPCXeCDAfnBo8Jd4IRENJUS4xMjg3My42ODQ2My5JUV9UT1RBTF9SRVZfMVlSX0FOTl9HUk9XVEguSVFfQ1EuMy8zMS8yMDE1LkwuLlVTRC5IBQAAAAAAAAAIAAAAFChJbnZhbGlkIElkZW50aWZpZXIpY+NtFzwl3ggwH5waPCXeCC5DSVEuMTI4NzMuNjg0NjMuSVFfTkkuSVFfQ1EuMy8zMS8yMDE1LkwuLlVTRC5I</t>
  </si>
  <si>
    <t>BQAAAAAAAAAIAAAAFChJbnZhbGlkIElkZW50aWZpZXIpY+NtFzwl3ggwH5waPCXeCERDSVEuMTI4NzMuNjg0NjMuSVFfUkVUVVJOX0lOVkVTVEVEX0NBUElUQUwuSVFfTFRNLjMvMzEvMjAxNi5MLi5VU0QuSAUAAAAAAAAACAAAABQoSW52YWxpZCBJZGVudGlmaWVyKWPjbRc8Jd4IMB+cGjwl3gg+Q0lRLjEyODczLjY4NDYzLklRX05JXzFZUl9BTk5fR1JPV1RILklRX0xUTS4zLzMxLzIwMTYuTC4uVVNELkgFAAAAAAAAAAgAAAAUKEludmFsaWQgSWRlbnRpZmllcilj420XPCXeCDAfnBo8Jd4IMkNJUS4xMjg3My42ODQ2My5JUV9FQklUREEuSVFfQ1EuMy8zMS8yMDE2LkwuLlVTRC5IBQAAAAAAAAAIAAAAFChJbnZhbGlkIElkZW50aWZpZXIpY+NtFzwl3ghgCFIcPCXeCDpDSVEuMTI4NzMuNjg0NjMuSVFfVE9UQUxfUkVWRU5VRS5JUV9MVE0uMy8zMS8yMDE2LkwuLlVTRC5IBQAAAAAAAAAIAAAAFChJbnZhbGlkIElkZW50aWZpZXIpY+NtFzwl3ggwH5waPCXeCC5DSVEuMTI4NzMuNjg0NjMuSVFfTkkuSVFfQ1EuMy8zMS8yMDE2LkwuLlVTRC5IBQAAAAAAAAAIAAAAFChJbnZhbGlkIElkZW50aWZpZXIpY+NtFzwl3ggwH5waPCXeCERDSVEuMTI4NzMuNjg0NjMuSVFfVE9UQUxfUkVWXzFZUl9BTk5fR1JPV1RILklRX0NRLjMvMzEvMjAxNi5MLi5VU0QuSAUAAAAAAAAACAAAABQoSW52YWxpZCBJZGVudGlm</t>
  </si>
  <si>
    <t>aWVyKWPjbRc8Jd4IMB+cGjwl3gg9Q0lRLjEyODczLjY4NDYzLklRX05JXzFZUl9BTk5fR1JPV1RILklRX0NRLjMvMzEvMjAxNi5MLi5VU0QuSAUAAAAAAAAACAAAABQoSW52YWxpZCBJZGVudGlmaWVyKWPjbRc8Jd4IMB+cGjwl3ghEQ0lRLjEyODczLjY4NDYzLklRX1RPVEFMX1JFVl8xWVJfQU5OX0dST1dUSC5JUV9DUS4zLzMxLzIwMTguTC4uVVNELkgFAAAAAAAAAAgAAAAUKEludmFsaWQgSWRlbnRpZmllcilj420XPCXeCED4mxo8Jd4ILkNJUS4xMjg3My42ODQ2My5JUV9OSS5JUV9DUS4zLzMxLzIwMTguTC4uVVNELkgFAAAAAAAAAAgAAAAUKEludmFsaWQgSWRlbnRpZmllcilj420XPCXeCED4mxo8Jd4IM0NJUS4xMjg3My42ODQ2My5JUV9FQklUREEuSVFfTFRNLjMvMzEvMjAxOC5MLi5VU0QuSAUAAAAAAAAACAAAABQoSW52YWxpZCBJZGVudGlmaWVyKWPjbRc8Jd4I/sxRHDwl3ghEQ0lRLjEyODczLjY4NDYzLklRX1JFVFVSTl9JTlZFU1RFRF9DQVBJVEFMLklRX0xUTS4zLzMxLzIwMTguTC4uVVNELkgFAAAAAAAAAAgAAAAUKEludmFsaWQgSWRlbnRpZmllcilj420XPCXeCED4mxo8Jd4IL0NJUS4xMjg3My42ODQ2My5JUV9OSS5JUV9MVE0uMy8zMS8yMDE2LkwuLlVTRC5IBQAAAAAAAAAIAAAAFChJbnZhbGlkIElkZW50aWZpZXIpY+NtFzwl3ggwH5waPCXeCDNDSVEuMTI4NzMuNjg0NjMuSVFf</t>
  </si>
  <si>
    <t>RUJJVERBLklRX0xUTS4zLzMxLzIwMTYuTC4uVVNELkgFAAAAAAAAAAgAAAAUKEludmFsaWQgSWRlbnRpZmllcilj420XPCXeCGAIUhw8Jd4IOUNJUS4xMjg3My42ODQ2My5JUV9UT1RBTF9SRVZFTlVFLklRX0NRLjMvMzEvMjAxNi5MLi5VU0QuSAUAAAAAAAAACAAAABQoSW52YWxpZCBJZGVudGlmaWVyKWPjbRc8Jd4IMB+cGjwl3ghDQ0lRLjEyODczLjY4NDYzLklRX1JFVFVSTl9JTlZFU1RFRF9DQVBJVEFMLklRX0NRLjMvMzEvMjAxOC5MLi5VU0QuSAUAAAAAAAAACAAAABQoSW52YWxpZCBJZGVudGlmaWVyKWPjbRc8Jd4IQPibGjwl3ggvQ0lRLjEyODczLjY4NDYzLklRX05JLklRX0xUTS4zLzMxLzIwMTguTC4uVVNELkgFAAAAAAAAAAgAAAAUKEludmFsaWQgSWRlbnRpZmllcilj420XPCXeCED4mxo8Jd4IMkNJUS4xMjg3My42ODQ2My5JUV9FQklUREEuSVFfQ1EuMy8zMS8yMDE4LkwuLlVTRC5IBQAAAAAAAAAIAAAAFChJbnZhbGlkIElkZW50aWZpZXIpY+NtFzwl3gj+zFEcPCXeCDlDSVEuMTI4NzMuNjg0NjMuSVFfVE9UQUxfUkVWRU5VRS5JUV9DUS4zLzMxLzIwMTguTC4uVVNELkgFAAAAAAAAAAgAAAAUKEludmFsaWQgSWRlbnRpZmllcilj420XPCXeCED4mxo8Jd4IPUNJUS4xMjg3My42ODQ2My5JUV9OSV8xWVJfQU5OX0dST1dUSC5JUV9DUS4zLzMxLzIwMTguTC4uVVNELkgFAAAAAAAAAAgA</t>
  </si>
  <si>
    <t>AAAUKEludmFsaWQgSWRlbnRpZmllcilj420XPCXeCED4mxo8Jd4IPkNJUS4xMjg3My42ODQ2My5JUV9OSV8xWVJfQU5OX0dST1dUSC5JUV9MVE0uMy8zMS8yMDE4LkwuLlVTRC5IBQAAAAAAAAAIAAAAFChJbnZhbGlkIElkZW50aWZpZXIpY+NtFzwl3ghA+JsaPCXeCDpDSVEuMTI4NzMuNjg0NjMuSVFfVE9UQUxfUkVWRU5VRS5JUV9MVE0uMy8zMS8yMDE4LkwuLlVTRC5IBQAAAAAAAAAIAAAAFChJbnZhbGlkIElkZW50aWZpZXIpY+NtFzwl3ghA+JsaPCXeCD1DSVEuMTI4NzMuNjg0NjMuSVFfTklfMVlSX0FOTl9HUk9XVEguSVFfQ1EuMy8zMS8yMDE5LkwuLlVTRC5IBQAAAAAAAAAIAAAAFChJbnZhbGlkIElkZW50aWZpZXIpY+NtFzwl3ghA+JsaPCXeCERDSVEuMTI4NzMuNjg0NjMuSVFfVE9UQUxfUkVWXzFZUl9BTk5fR1JPV1RILklRX0NRLjMvMzEvMjAxOS5MLi5VU0QuSAUAAAAAAAAACAAAABQoSW52YWxpZCBJZGVudGlmaWVyKWPjbRc8Jd4IQPibGjwl3ggzQ0lRLjEyODczLjY4NDYzLklRX0VCSVREQS5JUV9MVE0uMy8zMS8yMDE5LkwuLlVTRC5IBQAAAAAAAAAIAAAAFChJbnZhbGlkIElkZW50aWZpZXIpY+NtFzwl3gh5Q1IcPCXeCDJDSVEuMTI4NzMuNjg0NjMuSVFfRUJJVERBLklRX0NRLjMvMzEvMjAxOS5MLi5VU0QuSAUAAAAAAAAACAAAABQoSW52YWxpZCBJZGVudGlmaWVyKWPjbRc8Jd4I</t>
  </si>
  <si>
    <t>YAhSHDwl3ggvQ0lRLjEyODczLjY4NDYzLklRX05JLklRX0xUTS4zLzMxLzIwMTkuTC4uVVNELkgFAAAAAAAAAAgAAAAUKEludmFsaWQgSWRlbnRpZmllcilj420XPCXeCED4mxo8Jd4IPkNJUS4xMjg3My42ODQ2My5JUV9OSV8xWVJfQU5OX0dST1dUSC5JUV9MVE0uMy8zMS8yMDE5LkwuLlVTRC5IBQAAAAAAAAAIAAAAFChJbnZhbGlkIElkZW50aWZpZXIpY+NtFzwl3ghA+JsaPCXeCERDSVEuMTI4NzMuNjg0NjMuSVFfUkVUVVJOX0lOVkVTVEVEX0NBUElUQUwuSVFfTFRNLjMvMzEvMjAxOS5MLi5VU0QuSAUAAAAAAAAACAAAABQoSW52YWxpZCBJZGVudGlmaWVyKWPjbRc8Jd4IQPibGjwl3ggzQ0lRLjEyODczLjY4NDYzLklRX0VCSVREQS5JUV9MVE0uMy8zMS8yMDIyLkwuLlVTRC5IBQAAAAAAAAAIAAAAFChJbnZhbGlkIElkZW50aWZpZXIpY+NtFzwl3gh5Q1IcPCXeCD1DSVEuMTI4NzMuNjg0NjMuSVFfTklfMVlSX0FOTl9HUk9XVEguSVFfQ1EuMy8zMS8yMDIyLkwuLlVTRC5IBQAAAAAAAAAIAAAAFChJbnZhbGlkIElkZW50aWZpZXIpY+NtFzwl3ggAqpsaPCXeCENDSVEuMTI4NzMuNjg0NjMuSVFfUkVUVVJOX0lOVkVTVEVEX0NBUElUQUwuSVFfQ1EuMy8zMS8yMDIyLkwuLlVTRC5IBQAAAAAAAAAIAAAAFChJbnZhbGlkIElkZW50aWZpZXIpY+NtFzwl3ggP0ZsaPCXeCDlDSVEuMTI4NzMuNjg0NjMu</t>
  </si>
  <si>
    <t>SVFfVE9UQUxfUkVWRU5VRS5JUV9DUS4zLzMxLzIwMTkuTC4uVVNELkgFAAAAAAAAAAgAAAAUKEludmFsaWQgSWRlbnRpZmllcilj420XPCXeCED4mxo8Jd4ILkNJUS4xMjg3My42ODQ2My5JUV9OSS5JUV9DUS4zLzMxLzIwMTkuTC4uVVNELkgFAAAAAAAAAAgAAAAUKEludmFsaWQgSWRlbnRpZmllcilj420XPCXeCED4mxo8Jd4IQ0NJUS4xMjg3My42ODQ2My5JUV9SRVRVUk5fSU5WRVNURURfQ0FQSVRBTC5JUV9DUS4zLzMxLzIwMTkuTC4uVVNELkgFAAAAAAAAAAgAAAAUKEludmFsaWQgSWRlbnRpZmllcilj420XPCXeCED4mxo8Jd4IOkNJUS4xMjg3My42ODQ2My5JUV9UT1RBTF9SRVZFTlVFLklRX0xUTS4zLzMxLzIwMTkuTC4uVVNELkgFAAAAAAAAAAgAAAAUKEludmFsaWQgSWRlbnRpZmllcilj420XPCXeCED4mxo8Jd4IRENJUS4xMjg3My42ODQ2My5JUV9SRVRVUk5fSU5WRVNURURfQ0FQSVRBTC5JUV9MVE0uMy8zMS8yMDIyLkwuLlVTRC5IBQAAAAAAAAAIAAAAFChJbnZhbGlkIElkZW50aWZpZXIpY+NtFzwl3ggP0ZsaPCXeCDJDSVEuMTI4NzMuNjg0NjMuSVFfRUJJVERBLklRX0NRLjMvMzEvMjAyMi5MLi5VU0QuSAUAAAAAAAAACAAAABQoSW52YWxpZCBJZGVudGlmaWVyKWPjbRc8Jd4IYAhSHDwl3ggvQ0lRLjEyODczLjY4NDYzLklRX05JLklRX0xUTS4zLzMxLzIwMjIuTC4uVVNELkgFAAAA</t>
  </si>
  <si>
    <t>AAAAAAgAAAAUKEludmFsaWQgSWRlbnRpZmllcilj420XPCXeCA/Rmxo8Jd4IRENJUS4xMjg3My42ODQ2My5JUV9UT1RBTF9SRVZfMVlSX0FOTl9HUk9XVEguSVFfQ1EuMy8zMS8yMDIyLkwuLlVTRC5IBQAAAAAAAAAIAAAAFChJbnZhbGlkIElkZW50aWZpZXIpY+NtFzwl3ggP0ZsaPCXeCD5DSVEuMTI4NzMuNjg0NjMuSVFfTklfMVlSX0FOTl9HUk9XVEguSVFfTFRNLjMvMzEvMjAyMi5MLi5VU0QuSAUAAAAAAAAACAAAABQoSW52YWxpZCBJZGVudGlmaWVyKWPjbRc8Jd4ID9GbGjwl3gg5Q0lRLjEyODczLjY4NDYzLklRX1RPVEFMX1JFVkVOVUUuSVFfQ1EuMy8zMS8yMDIyLkwuLlVTRC5IBQAAAAAAAAAIAAAAFChJbnZhbGlkIElkZW50aWZpZXIpY+NtFzwl3ggP0ZsaPCXeCC5DSVEuMTI4NzMuNjg0NjMuSVFfTkkuSVFfQ1EuMy8zMS8yMDIyLkwuLlVTRC5IBQAAAAAAAAAIAAAAFChJbnZhbGlkIElkZW50aWZpZXIpY+NtFzwl3ggP0ZsaPCXeCDpDSVEuMTI4NzMuNjg0NjMuSVFfVE9UQUxfUkVWRU5VRS5JUV9DUS4xMi8zMS8yMDE4LkwuLlVTRC5IBQAAAAAAAAAIAAAAFChJbnZhbGlkIElkZW50aWZpZXIpY+NtFzwl3giPCZ0aPCXeCDNDSVEuMTI4NzMuNjg0NjMuSVFfRUJJVERBLklRX0NRLjEyLzMxLzIwMTguTC4uVVNELkgFAAAAAAAAAAgAAAAUKEludmFsaWQgSWRlbnRpZmllcilj420XPCXeCLtV</t>
  </si>
  <si>
    <t>URw8Jd4IL0NJUS4xMjg3My42ODQ2My5JUV9OSS5JUV9DUS4xMi8zMS8yMDE4LkwuLlVTRC5IBQAAAAAAAAAIAAAAFChJbnZhbGlkIElkZW50aWZpZXIpY+NtFzwl3giPCZ0aPCXeCDRDSVEuMTI4NzMuNjg0NjMuSVFfRUJJVERBLklRX0xUTS4xMi8zMS8yMDE4LkwuLlVTRC5IBQAAAAAAAAAIAAAAFChJbnZhbGlkIElkZW50aWZpZXIpY+NtFzwl3gi7VVEcPCXeCD5DSVEuMTI4NzMuNjg0NjMuSVFfTklfMVlSX0FOTl9HUk9XVEguSVFfQ1EuMTIvMzEvMjAxOC5MLi5VU0QuSAUAAAAAAAAACAAAABQoSW52YWxpZCBJZGVudGlmaWVyKWPjbRc8Jd4IjwmdGjwl3ghEQ0lRLjEyODczLjY4NDYzLklRX1JFVFVSTl9JTlZFU1RFRF9DQVBJVEFMLklRX0NRLjEyLzMxLzIwMTguTC4uVVNELkgFAAAAAAAAAAgAAAAUKEludmFsaWQgSWRlbnRpZmllcilj420XPCXeCI8JnRo8Jd4IOkNJUS4xMjg3My42ODQ2My5JUV9UT1RBTF9SRVZFTlVFLklRX0xUTS4zLzMxLzIwMjIuTC4uVVNELkgFAAAAAAAAAAgAAAAUKEludmFsaWQgSWRlbnRpZmllcilj420XPCXeCA/Rmxo8Jd4IQ0NJUS4xMjg3My42ODQ2My5JUV9SRVRVUk5fSU5WRVNURURfQ0FQSVRBTC5JUV9DUS45LzMwLzIwMTUuTC4uVVNELkgFAAAAAAAAAAgAAAAUKEludmFsaWQgSWRlbnRpZmllcilj420XPCXeCPGCmxo8Jd4IOkNJUS4xMjg3My42ODQ2My5JUV9U</t>
  </si>
  <si>
    <t>T1RBTF9SRVZFTlVFLklRX0xUTS45LzMwLzIwMTUuTC4uVVNELkgFAAAAAAAAAAgAAAAUKEludmFsaWQgSWRlbnRpZmllcilj420XPCXeCPGCmxo8Jd4IMENJUS4xMjg3My42ODQ2My5JUV9OSS5JUV9MVE0uMTIvMzEvMjAxOC5MLi5VU0QuSAUAAAAAAAAACAAAABQoSW52YWxpZCBJZGVudGlmaWVyKWPjbRc8Jd4InjCdGjwl3ghFQ0lRLjEyODczLjY4NDYzLklRX1RPVEFMX1JFVl8xWVJfQU5OX0dST1dUSC5JUV9DUS4xMi8zMS8yMDE4LkwuLlVTRC5IBQAAAAAAAAAIAAAAFChJbnZhbGlkIElkZW50aWZpZXIpY+NtFzwl3gieMJ0aPCXeCDtDSVEuMTI4NzMuNjg0NjMuSVFfVE9UQUxfUkVWRU5VRS5JUV9MVE0uMTIvMzEvMjAxOC5MLi5VU0QuSAUAAAAAAAAACAAAABQoSW52YWxpZCBJZGVudGlmaWVyKWPjbRc8Jd4InjCdGjwl3ghFQ0lRLjEyODczLjY4NDYzLklRX1JFVFVSTl9JTlZFU1RFRF9DQVBJVEFMLklRX0xUTS4xMi8zMS8yMDE4LkwuLlVTRC5IBQAAAAAAAAAIAAAAFChJbnZhbGlkIElkZW50aWZpZXIpY+NtFzwl3gieMJ0aPCXeCD9DSVEuMTI4NzMuNjg0NjMuSVFfTklfMVlSX0FOTl9HUk9XVEguSVFfTFRNLjEyLzMxLzIwMTguTC4uVVNELkgFAAAAAAAAAAgAAAAUKEludmFsaWQgSWRlbnRpZmllcilj420XPCXeCJ4wnRo8Jd4IRENJUS4xMjg3My42ODQ2My5JUV9UT1RBTF9SRVZfMVlSX0FO</t>
  </si>
  <si>
    <t>Tl9HUk9XVEguSVFfQ1EuOS8zMC8yMDE1LkwuLlVTRC5IBQAAAAAAAAAIAAAAFChJbnZhbGlkIElkZW50aWZpZXIpY+NtFzwl3gjxgpsaPCXeCD1DSVEuMTI4NzMuNjg0NjMuSVFfTklfMVlSX0FOTl9HUk9XVEguSVFfQ1EuOS8zMC8yMDE1LkwuLlVTRC5IBQAAAAAAAAAIAAAAFChJbnZhbGlkIElkZW50aWZpZXIpY+NtFzwl3gjxgpsaPCXeCERDSVEuMTI4NzMuNjg0NjMuSVFfUkVUVVJOX0lOVkVTVEVEX0NBUElUQUwuSVFfTFRNLjkvMzAvMjAxNS5MLi5VU0QuSAUAAAAAAAAACAAAABQoSW52YWxpZCBJZGVudGlmaWVyKWPjbRc8Jd4I8YKbGjwl3ggyQ0lRLjEyODczLjY4NDYzLklRX0VCSVREQS5JUV9DUS45LzMwLzIwMTUuTC4uVVNELkgFAAAAAAAAAAgAAAAUKEludmFsaWQgSWRlbnRpZmllcilj420XPCXeCHlDUhw8Jd4IOUNJUS4xMjg3My42ODQ2My5JUV9UT1RBTF9SRVZFTlVFLklRX0NRLjkvMzAvMjAxNS5MLi5VU0QuSAUAAAAAAAAACAAAABQoSW52YWxpZCBJZGVudGlmaWVyKWPjbRc8Jd4I8YKbGjwl3ggvQ0lRLjEyODczLjY4NDYzLklRX05JLklRX0xUTS45LzMwLzIwMTUuTC4uVVNELkgFAAAAAAAAAAgAAAAUKEludmFsaWQgSWRlbnRpZmllcilj420XPCXeCPGCmxo8Jd4IPkNJUS4xMjg3My42ODQ2My5JUV9OSV8xWVJfQU5OX0dST1dUSC5JUV9MVE0uOS8zMC8yMDE1LkwuLlVTRC5IBQAA</t>
  </si>
  <si>
    <t>AAAAAAAIAAAAFChJbnZhbGlkIElkZW50aWZpZXIpY+NtFzwl3gjxgpsaPCXeCDpDSVEuMTI4NzMuNjg0NjMuSVFfVE9UQUxfUkVWRU5VRS5JUV9MVE0uOS8zMC8yMDE4LkwuLlVTRC5IBQAAAAAAAAAIAAAAFChJbnZhbGlkIElkZW50aWZpZXIpY+NtFzwl3gjzW5saPCXeCC5DSVEuMTI4NzMuNjg0NjMuSVFfTkkuSVFfQ1EuOS8zMC8yMDE4LkwuLlVTRC5IBQAAAAAAAAAIAAAAFChJbnZhbGlkIElkZW50aWZpZXIpY+NtFzwl3gjzW5saPCXeCDJDSVEuMTI4NzMuNjg0NjMuSVFfRUJJVERBLklRX0NRLjkvMzAvMjAxOC5MLi5VU0QuSAUAAAAAAAAACAAAABQoSW52YWxpZCBJZGVudGlmaWVyKWPjbRc8Jd4I5H5SHDwl3ghEQ0lRLjEyODczLjY4NDYzLklRX1JFVFVSTl9JTlZFU1RFRF9DQVBJVEFMLklRX0xUTS45LzMwLzIwMTguTC4uVVNELkgFAAAAAAAAAAgAAAAUKEludmFsaWQgSWRlbnRpZmllcilj420XPCXeCPNbmxo8Jd4IOUNJUS4xMjg3My42ODQ2My5JUV9UT1RBTF9SRVZFTlVFLklRX0NRLjkvMzAvMjAxOC5MLi5VU0QuSAUAAAAAAAAACAAAABQoSW52YWxpZCBJZGVudGlmaWVyKWPjbRc8Jd4I81ubGjwl3gguQ0lRLjEyODczLjY4NDYzLklRX05JLklRX0NRLjkvMzAvMjAxNS5MLi5VU0QuSAUAAAAAAAAACAAAABQoSW52YWxpZCBJZGVudGlmaWVyKWPjbRc8Jd4I8YKbGjwl3ggzQ0lRLjEyODcz</t>
  </si>
  <si>
    <t>LjY4NDYzLklRX0VCSVREQS5JUV9MVE0uOS8zMC8yMDE1LkwuLlVTRC5IBQAAAAAAAAAIAAAAFChJbnZhbGlkIElkZW50aWZpZXIpY+NtFzwl3gh5Q1IcPCXeCC5DSVEuMTI4NzMuNjg0NjMuSVFfTkkuSVFfQ1EuOS8zMC8yMDE5LkwuLlVTRC5IBQAAAAAAAAAIAAAAFChJbnZhbGlkIElkZW50aWZpZXIpY+NtFzwl3gjqNJsaPCXeCD5DSVEuMTI4NzMuNjg0NjMuSVFfTklfMVlSX0FOTl9HUk9XVEguSVFfTFRNLjkvMzAvMjAxOC5MLi5VU0QuSAUAAAAAAAAACAAAABQoSW52YWxpZCBJZGVudGlmaWVyKWPjbRc8Jd4I81ubGjwl3ghEQ0lRLjEyODczLjY4NDYzLklRX1RPVEFMX1JFVl8xWVJfQU5OX0dST1dUSC5JUV9DUS45LzMwLzIwMTguTC4uVVNELkgFAAAAAAAAAAgAAAAUKEludmFsaWQgSWRlbnRpZmllcilj420XPCXeCPNbmxo8Jd4IQ0NJUS4xMjg3My42ODQ2My5JUV9SRVRVUk5fSU5WRVNURURfQ0FQSVRBTC5JUV9DUS45LzMwLzIwMTguTC4uVVNELkgFAAAAAAAAAAgAAAAUKEludmFsaWQgSWRlbnRpZmllcilj420XPCXeCPNbmxo8Jd4IPUNJUS4xMjg3My42ODQ2My5JUV9OSV8xWVJfQU5OX0dST1dUSC5JUV9DUS45LzMwLzIwMTguTC4uVVNELkgFAAAAAAAAAAgAAAAUKEludmFsaWQgSWRlbnRpZmllcilj420XPCXeCPNbmxo8Jd4IL0NJUS4xMjg3My42ODQ2My5JUV9OSS5JUV9MVE0uOS8zMC8y</t>
  </si>
  <si>
    <t>MDE4LkwuLlVTRC5IBQAAAAAAAAAIAAAAFChJbnZhbGlkIElkZW50aWZpZXIpY+NtFzwl3gjzW5saPCXeCDNDSVEuMTI4NzMuNjg0NjMuSVFfRUJJVERBLklRX0xUTS45LzMwLzIwMTguTC4uVVNELkgFAAAAAAAAAAgAAAAUKEludmFsaWQgSWRlbnRpZmllcilj420XPCXeCHlDUhw8Jd4IL0NJUS4xMjg3My42ODQ2My5JUV9OSS5JUV9MVE0uOS8zMC8yMDE5LkwuLlVTRC5IBQAAAAAAAAAIAAAAFChJbnZhbGlkIElkZW50aWZpZXIpY+NtFzwl3gjqNJsaPCXeCERDSVEuMTI4NzMuNjg0NjMuSVFfUkVUVVJOX0lOVkVTVEVEX0NBUElUQUwuSVFfTFRNLjkvMzAvMjAxOS5MLi5VU0QuSAUAAAAAAAAACAAAABQoSW52YWxpZCBJZGVudGlmaWVyKWPjbRc8Jd4I6jSbGjwl3ggyQ0lRLjEyODczLjY4NDYzLklRX0VCSVREQS5JUV9DUS45LzMwLzIwMTkuTC4uVVNELkgFAAAAAAAAAAgAAAAUKEludmFsaWQgSWRlbnRpZmllcilj420XPCXeCOR+Uhw8Jd4IOkNJUS4xMjg3My42ODQ2My5JUV9UT1RBTF9SRVZFTlVFLklRX0xUTS45LzMwLzIwMTkuTC4uVVNELkgFAAAAAAAAAAgAAAAUKEludmFsaWQgSWRlbnRpZmllcilj420XPCXeCOo0mxo8Jd4IPUNJUS4xMjg3My42ODQ2My5JUV9OSV8xWVJfQU5OX0dST1dUSC5JUV9DUS45LzMwLzIwMTkuTC4uVVNELkgFAAAAAAAAAAgAAAAUKEludmFsaWQgSWRlbnRpZmllcilj</t>
  </si>
  <si>
    <t>420XPCXeCOo0mxo8Jd4IPkNJUS4xMjg3My42ODQ2My5JUV9OSV8xWVJfQU5OX0dST1dUSC5JUV9MVE0uOS8zMC8yMDE5LkwuLlVTRC5IBQAAAAAAAAAIAAAAFChJbnZhbGlkIElkZW50aWZpZXIpY+NtFzwl3gjqNJsaPCXeCDlDSVEuMTI4NzMuNjg0NjMuSVFfVE9UQUxfUkVWRU5VRS5JUV9DUS45LzMwLzIwMTkuTC4uVVNELkgFAAAAAAAAAAgAAAAUKEludmFsaWQgSWRlbnRpZmllcilj420XPCXeCOo0mxo8Jd4IPkNJUS4xMjg3My42ODQ2My5JUV9OSV8xWVJfQU5OX0dST1dUSC5JUV9MVE0uNi8zMC8yMDI1LkwuLlVTRC5IBQAAAAAAAAAIAAAAFChJbnZhbGlkIElkZW50aWZpZXIpY+NtFzwl3gi85poaPCXeCD9DSVEuMTI4NzMuNjg0NjMuSVFfTklfMVlSX0FOTl9HUk9XVEguSVFfTFRNLjEyLzMxLzIwMjQuTC4uVVNELkgFAAAAAAAAAAgAAAAUKEludmFsaWQgSWRlbnRpZmllcilj420XPCXeCLzmmho8Jd4IPkNJUS4xMjg3My42ODQ2My5JUV9OSV8xWVJfQU5OX0dST1dUSC5JUV9MVE0uOS8zMC8yMDI1LkwuLlVTRC5IBQAAAAAAAAAIAAAAFChJbnZhbGlkIElkZW50aWZpZXIpY+NtFzwl3gi85poaPCXeCD5DSVEuMTI4NzMuNjg0NjMuSVFfTklfMVlSX0FOTl9HUk9XVEguSVFfTFRNLjMvMzEvMjAyNS5MLi5VU0QuSAUAAAAAAAAACAAAABQoSW52YWxpZCBJZGVudGlmaWVyKWPjbRc8Jd4IvOaaGjwl</t>
  </si>
  <si>
    <t>3ghEQ0lRLjEyODczLjY4NDYzLklRX1RPVEFMX1JFVl8xWVJfQU5OX0dST1dUSC5JUV9DUS45LzMwLzIwMTkuTC4uVVNELkgFAAAAAAAAAAgAAAAUKEludmFsaWQgSWRlbnRpZmllcilj420XPCXeCPNbmxo8Jd4IM0NJUS4xMjg3My42ODQ2My5JUV9FQklUREEuSVFfTFRNLjkvMzAvMjAxOS5MLi5VU0QuSAUAAAAAAAAACAAAABQoSW52YWxpZCBJZGVudGlmaWVyKWPjbRc8Jd4I5H5SHDwl3ghDQ0lRLjEyODczLjY4NDYzLklRX1JFVFVSTl9JTlZFU1RFRF9DQVBJVEFMLklRX0NRLjkvMzAvMjAxOS5MLi5VU0QuSAUAAAAAAAAACAAAABQoSW52YWxpZCBJZGVudGlmaWVyKWPjbRc8Jd4I6jSbGjwl3gg6Q0lRLjEyODczLjY4NDYzLklRX1RPVEFMX1JFVkVOVUUuSVFfTFRNLjkvMzAvMjAyNS5MLi5VU0QuSAUAAAAAAAAACAAAABQoSW52YWxpZCBJZGVudGlmaWVyKWPjbRc8Jd4Ip7+aGjwl3gg6Q0lRLjEyODczLjY4NDYzLklRX1RPVEFMX1JFVkVOVUUuSVFfTFRNLjYvMzAvMjAyNS5MLi5VU0QuSAUAAAAAAAAACAAAABQoSW52YWxpZCBJZGVudGlmaWVyKWPjbRc8Jd4Ip7+aGjwl3gg6Q0lRLjEyODczLjY4NDYzLklRX1RPVEFMX1JFVkVOVUUuSVFfTFRNLjMvMzEvMjAyNS5MLi5VU0QuSAUAAAAAAAAACAAAABQoSW52YWxpZCBJZGVudGlmaWVyKWPjbRc8Jd4Ip7+aGjwl3ggvQ0lRLjEyODczLjY4NDYzLklR</t>
  </si>
  <si>
    <t>X05JLklRX0xUTS42LzMwLzIwMjUuTC4uVVNELkgFAAAAAAAAAAgAAAAUKEludmFsaWQgSWRlbnRpZmllcilj420XPCXeCKe/mho8Jd4IO0NJUS4xMjg3My42ODQ2My5JUV9UT1RBTF9SRVZFTlVFLklRX0xUTS4xMi8zMS8yMDI0LkwuLlVTRC5IBQAAAAAAAAAIAAAAFChJbnZhbGlkIElkZW50aWZpZXIpY+NtFzwl3ginv5oaPCXeCC9DSVEuMTI4NzMuNjg0NjMuSVFfTkkuSVFfTFRNLjMvMzEvMjAyNS5MLi5VU0QuSAUAAAAAAAAACAAAABQoSW52YWxpZCBJZGVudGlmaWVyKWPjbRc8Jd4Ip7+aGjwl3ggwQ0lRLjEyODczLjY4NDYzLklRX05JLklRX0xUTS4xMi8zMS8yMDI0LkwuLlVTRC5IBQAAAAAAAAAIAAAAFChJbnZhbGlkIElkZW50aWZpZXIpY+NtFzwl3ginv5oaPCXeCDNDSVEuMTI4NzMuNjg0NjMuSVFfRUJJVERBLklRX0xUTS42LzMwLzIwMTkuTC4uVVNELkgFAAAAAAAAAAgAAAAUKEludmFsaWQgSWRlbnRpZmllcilj420XPCXeCFEaURw8Jd4IOkNJUS4xMjg3My42ODQ2My5JUV9UT1RBTF9SRVZFTlVFLklRX0xUTS42LzMwLzIwMTkuTC4uVVNELkgFAAAAAAAAAAgAAAAUKEludmFsaWQgSWRlbnRpZmllcilj420XPCXeCI8JnRo8Jd4IRENJUS4xMjg3My42ODQ2My5JUV9SRVRVUk5fSU5WRVNURURfQ0FQSVRBTC5JUV9MVE0uNi8zMC8yMDE5LkwuLlVTRC5IBQAAAAAAAAAIAAAAFChJbnZhbGlk</t>
  </si>
  <si>
    <t>IElkZW50aWZpZXIpY+NtFzwl3giPCZ0aPCXeCDlDSVEuMTI4NzMuNjg0NjMuSVFfVE9UQUxfUkVWRU5VRS5JUV9DUS42LzMwLzIwMTkuTC4uVVNELkgFAAAAAAAAAAgAAAAUKEludmFsaWQgSWRlbnRpZmllcilj420XPCXeCI8JnRo8Jd4IRENJUS4xMjg3My42ODQ2My5JUV9UT1RBTF9SRVZfMVlSX0FOTl9HUk9XVEguSVFfQ1EuNi8zMC8yMDE5LkwuLlVTRC5IBQAAAAAAAAAIAAAAFChJbnZhbGlkIElkZW50aWZpZXIpY+NtFzwl3giPCZ0aPCXeCC5DSVEuMTI4NzMuNjg0NjMuSVFfTkkuSVFfQ1EuNi8zMC8yMDE5LkwuLlVTRC5IBQAAAAAAAAAIAAAAFChJbnZhbGlkIElkZW50aWZpZXIpY+NtFzwl3giPCZ0aPCXeCC9DSVEuMTI4NzMuNjg0NjMuSVFfTkkuSVFfTFRNLjkvMzAvMjAyNS5MLi5VU0QuSAUAAAAAAAAACAAAABQoSW52YWxpZCBJZGVudGlmaWVyKWPjbRc8Jd4Ip7+aGjwl3ghEQ0lRLjEyODczLjY4NDYzLklRX1RPVEFMX1JFVl8xWVJfQU5OX0dST1dUSC5JUV9DUS42LzMwLzIwMjEuTC4uVVNELkgFAAAAAAAAAAgAAAAUKEludmFsaWQgSWRlbnRpZmllcilj420XPCXeCG67nBo8Jd4ILkNJUS4xMjg3My42ODQ2My5JUV9OSS5JUV9DUS42LzMwLzIwMjEuTC4uVVNELkgFAAAAAAAAAAgAAAAUKEludmFsaWQgSWRlbnRpZmllcilj420XPCXeCG67nBo8Jd4IQ0NJUS4xMjg3My42ODQ2My5JUV9S</t>
  </si>
  <si>
    <t>RVRVUk5fSU5WRVNURURfQ0FQSVRBTC5JUV9DUS42LzMwLzIwMTkuTC4uVVNELkgFAAAAAAAAAAgAAAAUKEludmFsaWQgSWRlbnRpZmllcilj420XPCXeCI8JnRo8Jd4IPUNJUS4xMjg3My42ODQ2My5JUV9OSV8xWVJfQU5OX0dST1dUSC5JUV9DUS42LzMwLzIwMTkuTC4uVVNELkgFAAAAAAAAAAgAAAAUKEludmFsaWQgSWRlbnRpZmllcilj420XPCXeCI8JnRo8Jd4IL0NJUS4xMjg3My42ODQ2My5JUV9OSS5JUV9MVE0uNi8zMC8yMDE5LkwuLlVTRC5IBQAAAAAAAAAIAAAAFChJbnZhbGlkIElkZW50aWZpZXIpY+NtFzwl3giPCZ0aPCXeCDJDSVEuMTI4NzMuNjg0NjMuSVFfRUJJVERBLklRX0NRLjYvMzAvMjAxOS5MLi5VU0QuSAUAAAAAAAAACAAAABQoSW52YWxpZCBJZGVudGlmaWVyKWPjbRc8Jd4Iu1VRHDwl3gg+Q0lRLjEyODczLjY4NDYzLklRX05JXzFZUl9BTk5fR1JPV1RILklRX0xUTS42LzMwLzIwMTkuTC4uVVNELkgFAAAAAAAAAAgAAAAUKEludmFsaWQgSWRlbnRpZmllcilj420XPCXeCI8JnRo8Jd4IOkNJUS4xMjg3My42ODQ2My5JUV9UT1RBTF9SRVZFTlVFLklRX0xUTS42LzMwLzIwMjEuTC4uVVNELkgFAAAAAAAAAAgAAAAUKEludmFsaWQgSWRlbnRpZmllcilj420XPCXeCIDinBo8Jd4IPUNJUS4xMjg3My42ODQ2My5JUV9OSV8xWVJfQU5OX0dST1dUSC5JUV9DUS42LzMwLzIwMjEuTC4u</t>
  </si>
  <si>
    <t>VVNELkgFAAAAAAAAAAgAAAAUKEludmFsaWQgSWRlbnRpZmllcilj420XPCXeCG67nBo8Jd4IRENJUS4xMjg3My42ODQ2My5JUV9SRVRVUk5fSU5WRVNURURfQ0FQSVRBTC5JUV9MVE0uNi8zMC8yMDIxLkwuLlVTRC5IBQAAAAAAAAAIAAAAFChJbnZhbGlkIElkZW50aWZpZXIpY+NtFzwl3giA4pwaPCXeCD5DSVEuMTI4NzMuNjg0NjMuSVFfTklfMVlSX0FOTl9HUk9XVEguSVFfTFRNLjYvMzAvMjAyMS5MLi5VU0QuSAUAAAAAAAAACAAAABQoSW52YWxpZCBJZGVudGlmaWVyKWPjbRc8Jd4IgOKcGjwl3ghDQ0lRLjEyODczLjY4NDYzLklRX1JFVFVSTl9JTlZFU1RFRF9DQVBJVEFMLklRX0NRLjYvMzAvMjAyMS5MLi5VU0QuSAUAAAAAAAAACAAAABQoSW52YWxpZCBJZGVudGlmaWVyKWPjbRc8Jd4IgOKcGjwl3ggzQ0lRLjEyODczLjY4NDYzLklRX0VCSVREQS5JUV9MVE0uNi8zMC8yMDIxLkwuLlVTRC5IBQAAAAAAAAAIAAAAFChJbnZhbGlkIElkZW50aWZpZXIpY+NtFzwl3gi7VVEcPCXeCDlDSVEuMTI4NzMuNjg0NjMuSVFfVE9UQUxfUkVWRU5VRS5JUV9DUS42LzMwLzIwMjEuTC4uVVNELkgFAAAAAAAAAAgAAAAUKEludmFsaWQgSWRlbnRpZmllcilj420XPCXeCIDinBo8Jd4IM0NJUS4xMjg3My42ODQ2My5JUV9FQklUREEuSVFfTFRNLjMvMzEvMjAxMi5MLi5VU0QuSAUAAAAAAAAACAAAABQoSW52YWxp</t>
  </si>
  <si>
    <t>ZCBJZGVudGlmaWVyKWPjbRc8Jd4I/sxRHDwl3ghEQ0lRLjEyODczLjY4NDYzLklRX1JFVFVSTl9JTlZFU1RFRF9DQVBJVEFMLklRX0xUTS4zLzMxLzIwMTIuTC4uVVNELkgFAAAAAAAAAAgAAAAUKEludmFsaWQgSWRlbnRpZmllcilj420XPCXeCEJGnBo8Jd4ILkNJUS4xMjg3My42ODQ2My5JUV9OSS5JUV9DUS4zLzMxLzIwMTIuTC4uVVNELkgFAAAAAAAAAAgAAAAUKEludmFsaWQgSWRlbnRpZmllcilj420XPCXeCEJGnBo8Jd4IOUNJUS4xMjg3My42ODQ2My5JUV9UT1RBTF9SRVZFTlVFLklRX0NRLjMvMzEvMjAxMi5MLi5VU0QuSAUAAAAAAAAACAAAABQoSW52YWxpZCBJZGVudGlmaWVyKWPjbRc8Jd4IQkacGjwl3gg6Q0lRLjEyODczLjY4NDYzLklRX1RPVEFMX1JFVkVOVUUuSVFfTFRNLjMvMzEvMjAxMi5MLi5VU0QuSAUAAAAAAAAACAAAABQoSW52YWxpZCBJZGVudGlmaWVyKWPjbRc8Jd4IQkacGjwl3ggvQ0lRLjEyODczLjY4NDYzLklRX05JLklRX0xUTS42LzMwLzIwMjEuTC4uVVNELkgFAAAAAAAAAAgAAAAUKEludmFsaWQgSWRlbnRpZmllcilj420XPCXeCIDinBo8Jd4IMkNJUS4xMjg3My42ODQ2My5JUV9FQklUREEuSVFfQ1EuNi8zMC8yMDIxLkwuLlVTRC5IBQAAAAAAAAAIAAAAFChJbnZhbGlkIElkZW50aWZpZXIpY+NtFzwl3gi7VVEcPCXeCEVDSVEuMTI4NzMuNjg0NjMuSVFfVE9UQUxf</t>
  </si>
  <si>
    <t>UkVWXzFZUl9BTk5fR1JPV1RILklRX0xUTS4zLzMxLzIwMjUuTC4uVVNELkgFAAAAAAAAAAgAAAAUKEludmFsaWQgSWRlbnRpZmllcilj420XPCXeCMR+nRo8Jd4IPkNJUS4xMjg3My42ODQ2My5JUV9OSV8xWVJfQU5OX0dST1dUSC5JUV9MVE0uMy8zMS8yMDEyLkwuLlVTRC5IBQAAAAAAAAAIAAAAFChJbnZhbGlkIElkZW50aWZpZXIpY+NtFzwl3ghCRpwaPCXeCD1DSVEuMTI4NzMuNjg0NjMuSVFfTklfMVlSX0FOTl9HUk9XVEguSVFfQ1EuMy8zMS8yMDEyLkwuLlVTRC5IBQAAAAAAAAAIAAAAFChJbnZhbGlkIElkZW50aWZpZXIpY+NtFzwl3ghMbZwaPCXeCENDSVEuMTI4NzMuNjg0NjMuSVFfUkVUVVJOX0lOVkVTVEVEX0NBUElUQUwuSVFfQ1EuMy8zMS8yMDEyLkwuLlVTRC5IBQAAAAAAAAAIAAAAFChJbnZhbGlkIElkZW50aWZpZXIpY+NtFzwl3ghMbZwaPCXeCERDSVEuMTI4NzMuNjg0NjMuSVFfVE9UQUxfUkVWXzFZUl9BTk5fR1JPV1RILklRX0NRLjMvMzEvMjAxMi5MLi5VU0QuSAUAAAAAAAAACAAAABQoSW52YWxpZCBJZGVudGlmaWVyKWPjbRc8Jd4ITG2cGjwl3ggyQ0lRLjEyODczLjY4NDYzLklRX0VCSVREQS5JUV9DUS4zLzMxLzIwMTIuTC4uVVNELkgFAAAAAAAAAAgAAAAUKEludmFsaWQgSWRlbnRpZmllcilj420XPCXeCP7MURw8Jd4IL0NJUS4xMjg3My42ODQ2My5JUV9OSS5JUV9MVE0u</t>
  </si>
  <si>
    <t>My8zMS8yMDEyLkwuLlVTRC5IBQAAAAAAAAAIAAAAFChJbnZhbGlkIElkZW50aWZpZXIpY+NtFzwl3ghCRpwaPCXeCDJDSVEuMTI4NzMuNjg0NjMuSVFfRUJJVERBLklRX0NRLjMvMzEvMjAyMS5MLi5VU0QuSAUAAAAAAAAACAAAABQoSW52YWxpZCBJZGVudGlmaWVyKWPjbRc8Jd4IYAhSHDwl3ggvQ0lRLjEyODczLjY4NDYzLklRX05JLklRX0xUTS4zLzMxLzIwMjEuTC4uVVNELkgFAAAAAAAAAAgAAAAUKEludmFsaWQgSWRlbnRpZmllcilj420XPCXeCA/Rmxo8Jd4IPkNJUS4xMjg3My42ODQ2My5JUV9OSV8xWVJfQU5OX0dST1dUSC5JUV9MVE0uMy8zMS8yMDIxLkwuLlVTRC5IBQAAAAAAAAAIAAAAFChJbnZhbGlkIElkZW50aWZpZXIpY+NtFzwl3ggP0ZsaPCXeCERDSVEuMTI4NzMuNjg0NjMuSVFfUkVUVVJOX0lOVkVTVEVEX0NBUElUQUwuSVFfTFRNLjMvMzEvMjAyMS5MLi5VU0QuSAUAAAAAAAAACAAAABQoSW52YWxpZCBJZGVudGlmaWVyKWPjbRc8Jd4ID9GbGjwl3ghGQ0lRLjEyODczLjY4NDYzLklRX1RPVEFMX1JFVl8xWVJfQU5OX0dST1dUSC5JUV9MVE0uMTIvMzEvMjAyNC5MLi5VU0QuSAUAAAAAAAAACAAAABQoSW52YWxpZCBJZGVudGlmaWVyKWPjbRc8Jd4IuFedGjwl3ghFQ0lRLjEyODczLjY4NDYzLklRX1RPVEFMX1JFVl8xWVJfQU5OX0dST1dUSC5JUV9MVE0uOS8zMC8yMDI1LkwuLlVT</t>
  </si>
  <si>
    <t>RC5IBQAAAAAAAAAIAAAAFChJbnZhbGlkIElkZW50aWZpZXIpY+NtFzwl3gjEfp0aPCXeCEVDSVEuMTI4NzMuNjg0NjMuSVFfVE9UQUxfUkVWXzFZUl9BTk5fR1JPV1RILklRX0xUTS42LzMwLzIwMjUuTC4uVVNELkgFAAAAAAAAAAgAAAAUKEludmFsaWQgSWRlbnRpZmllcilj420XPCXeCMR+nRo8Jd4IOkNJUS4xMjg3My42ODQ2My5JUV9UT1RBTF9SRVZFTlVFLklRX0xUTS4zLzMxLzIwMjEuTC4uVVNELkgFAAAAAAAAAAgAAAAUKEludmFsaWQgSWRlbnRpZmllcilj420XPCXeCA/Rmxo8Jd4IQ0NJUS4xMjg3My42ODQ2My5JUV9SRVRVUk5fSU5WRVNURURfQ0FQSVRBTC5JUV9DUS4zLzMxLzIwMjEuTC4uVVNELkgFAAAAAAAAAAgAAAAUKEludmFsaWQgSWRlbnRpZmllcilj420XPCXeCA/Rmxo8Jd4IM0NJUS4xMjg3My42ODQ2My5JUV9FQklUREEuSVFfTFRNLjMvMzEvMjAyMS5MLi5VU0QuSAUAAAAAAAAACAAAABQoSW52YWxpZCBJZGVudGlmaWVyKWPjbRc8Jd4IYAhSHDwl3gguQ0lRLjEyODczLjY4NDYzLklRX05JLklRX0NRLjMvMzEvMjAyMS5MLi5VU0QuSAUAAAAAAAAACAAAABQoSW52YWxpZCBJZGVudGlmaWVyKWPjbRc8Jd4ID9GbGjwl3ghEQ0lRLjEyODczLjY4NDYzLklRX1RPVEFMX1JFVl8xWVJfQU5OX0dST1dUSC5JUV9DUS4zLzMxLzIwMjEuTC4uVVNELkgFAAAAAAAAAAgAAAAUKEludmFs</t>
  </si>
  <si>
    <t>aWQgSWRlbnRpZmllcilj420XPCXeCA/Rmxo8Jd4IPUNJUS4xMjg3My42ODQ2My5JUV9OSV8xWVJfQU5OX0dST1dUSC5JUV9DUS4zLzMxLzIwMjEuTC4uVVNELkgFAAAAAAAAAAgAAAAUKEludmFsaWQgSWRlbnRpZmllcilj420XPCXeCA/Rmxo8Jd4IOUNJUS4xMjg3My42ODQ2My5JUV9UT1RBTF9SRVZFTlVFLklRX0NRLjMvMzEvMjAyMS5MLi5VU0QuSAUAAAAAAAAACAAAABQoSW52YWxpZCBJZGVudGlmaWVyKWPjbRc8Jd4ID9GbGjwl3gg6Q0lRLjEyODczLjY4NDYzLklRX1RPVEFMX1JFVkVOVUUuSVFfQ1EuMTIvMzEvMjAxOS5MLi5VU0QuSAUAAAAAAAAACAAAABQoSW52YWxpZCBJZGVudGlmaWVyKWPjbRc8Jd4IjwmdGjwl3ghEQ0lRLjEyODczLjY4NDYzLklRX1JFVFVSTl9JTlZFU1RFRF9DQVBJVEFMLklRX0NRLjEyLzMxLzIwMTkuTC4uVVNELkgFAAAAAAAAAAgAAAAUKEludmFsaWQgSWRlbnRpZmllcilj420XPCXeCI8JnRo8Jd4IO0NJUS4xMjg3My42ODQ2My5JUV9UT1RBTF9SRVZFTlVFLklRX0xUTS4xMi8zMS8yMDE5LkwuLlVTRC5IBQAAAAAAAAAIAAAAFChJbnZhbGlkIElkZW50aWZpZXIpY+NtFzwl3giPCZ0aPCXeCDNDSVEuMTI4NzMuNjg0NjMuSVFfRUJJVERBLklRX0NRLjEyLzMxLzIwMTkuTC4uVVNELkgFAAAAAAAAAAgAAAAUKEludmFsaWQgSWRlbnRpZmllcilj420XPCXeCPuQURw8</t>
  </si>
  <si>
    <t>Jd4IMENJUS4xMjg3My42ODQ2My5JUV9OSS5JUV9MVE0uMTIvMzEvMjAxOS5MLi5VU0QuSAUAAAAAAAAACAAAABQoSW52YWxpZCBJZGVudGlmaWVyKWPjbRc8Jd4IjwmdGjwl3gg/Q0lRLjEyODczLjY4NDYzLklRX05JXzFZUl9BTk5fR1JPV1RILklRX0xUTS4xMi8zMS8yMDE5LkwuLlVTRC5IBQAAAAAAAAAIAAAAFChJbnZhbGlkIElkZW50aWZpZXIpY+NtFzwl3giPCZ0aPCXeCEVDSVEuMTI4NzMuNjg0NjMuSVFfUkVUVVJOX0lOVkVTVEVEX0NBUElUQUwuSVFfTFRNLjEyLzMxLzIwMTkuTC4uVVNELkgFAAAAAAAAAAgAAAAUKEludmFsaWQgSWRlbnRpZmllcilj420XPCXeCI8JnRo8Jd4IMkNJUS4xMjg3My42ODQ2My5JUV9FQklUREEuSVFfQ1EuNi8zMC8yMDIwLkwuLlVTRC5IBQAAAAAAAAAIAAAAFChJbnZhbGlkIElkZW50aWZpZXIpY+NtFzwl3gj7kFEcPCXeCD1DSVEuMTI4NzMuNjg0NjMuSVFfTklfMVlSX0FOTl9HUk9XVEguSVFfQ1EuNi8zMC8yMDIwLkwuLlVTRC5IBQAAAAAAAAAIAAAAFChJbnZhbGlkIElkZW50aWZpZXIpY+NtFzwl3giA4pwaPCXeCDpDSVEuMTI4NzMuNjg0NjMuSVFfVE9UQUxfUkVWRU5VRS5JUV9MVE0uNi8zMC8yMDIwLkwuLlVTRC5IBQAAAAAAAAAIAAAAFChJbnZhbGlkIElkZW50aWZpZXIpY+NtFzwl3giA4pwaPCXeCEVDSVEuMTI4NzMuNjg0NjMuSVFfVE9UQUxfUkVW</t>
  </si>
  <si>
    <t>XzFZUl9BTk5fR1JPV1RILklRX0NRLjEyLzMxLzIwMTkuTC4uVVNELkgFAAAAAAAAAAgAAAAUKEludmFsaWQgSWRlbnRpZmllcilj420XPCXeCI8JnRo8Jd4INENJUS4xMjg3My42ODQ2My5JUV9FQklUREEuSVFfTFRNLjEyLzMxLzIwMTkuTC4uVVNELkgFAAAAAAAAAAgAAAAUKEludmFsaWQgSWRlbnRpZmllcilj420XPCXeCFEaURw8Jd4IPkNJUS4xMjg3My42ODQ2My5JUV9OSV8xWVJfQU5OX0dST1dUSC5JUV9DUS4xMi8zMS8yMDE5LkwuLlVTRC5IBQAAAAAAAAAIAAAAFChJbnZhbGlkIElkZW50aWZpZXIpY+NtFzwl3giPCZ0aPCXeCC9DSVEuMTI4NzMuNjg0NjMuSVFfTkkuSVFfQ1EuMTIvMzEvMjAxOS5MLi5VU0QuSAUAAAAAAAAACAAAABQoSW52YWxpZCBJZGVudGlmaWVyKWPjbRc8Jd4IjwmdGjwl3ghDQ0lRLjEyODczLjY4NDYzLklRX1JFVFVSTl9JTlZFU1RFRF9DQVBJVEFMLklRX0NRLjYvMzAvMjAyMC5MLi5VU0QuSAUAAAAAAAAACAAAABQoSW52YWxpZCBJZGVudGlmaWVyKWPjbRc8Jd4IgOKcGjwl3gg+Q0lRLjEyODczLjY4NDYzLklRX05JXzFZUl9BTk5fR1JPV1RILklRX0xUTS42LzMwLzIwMjAuTC4uVVNELkgFAAAAAAAAAAgAAAAUKEludmFsaWQgSWRlbnRpZmllcilj420XPCXeCIDinBo8Jd4IL0NJUS4xMjg3My42ODQ2My5JUV9OSS5JUV9MVE0uNi8zMC8yMDIwLkwuLlVTRC5IBQAA</t>
  </si>
  <si>
    <t>AAAAAAAIAAAAFChJbnZhbGlkIElkZW50aWZpZXIpY+NtFzwl3giA4pwaPCXeCDNDSVEuMTI4NzMuNjg0NjMuSVFfRUJJVERBLklRX0xUTS42LzMwLzIwMjAuTC4uVVNELkgFAAAAAAAAAAgAAAAUKEludmFsaWQgSWRlbnRpZmllcilj420XPCXeCPuQURw8Jd4IRENJUS4xMjg3My42ODQ2My5JUV9SRVRVUk5fSU5WRVNURURfQ0FQSVRBTC5JUV9MVE0uNi8zMC8yMDIwLkwuLlVTRC5IBQAAAAAAAAAIAAAAFChJbnZhbGlkIElkZW50aWZpZXIpY+NtFzwl3giA4pwaPCXeCC5DSVEuMTI4NzMuNjg0NjMuSVFfTkkuSVFfQ1EuNi8zMC8yMDIwLkwuLlVTRC5IBQAAAAAAAAAIAAAAFChJbnZhbGlkIElkZW50aWZpZXIpY+NtFzwl3giA4pwaPCXeCERDSVEuMTI4NzMuNjg0NjMuSVFfVE9UQUxfUkVWXzFZUl9BTk5fR1JPV1RILklRX0NRLjYvMzAvMjAyMC5MLi5VU0QuSAUAAAAAAAAACAAAABQoSW52YWxpZCBJZGVudGlmaWVyKWPjbRc8Jd4IgOKcGjwl3gg+Q0lRLjEyODczLjY4NDYzLklRX05JXzFZUl9BTk5fR1JPV1RILklRX0xUTS4zLzMxLzIwMTcuTC4uVVNELkgFAAAAAAAAAAgAAAAUKEludmFsaWQgSWRlbnRpZmllcilj420XPCXeCED4mxo8Jd4IOkNJUS4xMjg3My42ODQ2My5JUV9UT1RBTF9SRVZFTlVFLklRX0xUTS4zLzMxLzIwMTcuTC4uVVNELkgFAAAAAAAAAAgAAAAUKEludmFsaWQgSWRlbnRpZmll</t>
  </si>
  <si>
    <t>cilj420XPCXeCED4mxo8Jd4IPkNJUS4xMjg3My42ODQ2My5JUV9OSV8xWVJfQU5OX0dST1dUSC5JUV9DUS4xMi8zMS8yMDI0LkwuLlVTRC5IBQAAAAAAAAAIAAAAFChJbnZhbGlkIElkZW50aWZpZXIpY+NtFzwl3gi85poaPCXeCD1DSVEuMTI4NzMuNjg0NjMuSVFfTklfMVlSX0FOTl9HUk9XVEguSVFfQ1EuNi8zMC8yMDI1LkwuLlVTRC5IBQAAAAAAAAAIAAAAFChJbnZhbGlkIElkZW50aWZpZXIpY+NtFzwl3ginv5oaPCXeCD1DSVEuMTI4NzMuNjg0NjMuSVFfTklfMVlSX0FOTl9HUk9XVEguSVFfQ1EuMy8zMS8yMDI1LkwuLlVTRC5IBQAAAAAAAAAIAAAAFChJbnZhbGlkIElkZW50aWZpZXIpY+NtFzwl3ginv5oaPCXeCD1DSVEuMTI4NzMuNjg0NjMuSVFfTklfMVlSX0FOTl9HUk9XVEguSVFfQ1EuOS8zMC8yMDI1LkwuLlVTRC5IBQAAAAAAAAAIAAAAFChJbnZhbGlkIElkZW50aWZpZXIpY+NtFzwl3ginv5oaPCXeCDlDSVEuMTI4NzMuNjg0NjMuSVFfVE9UQUxfUkVWRU5VRS5JUV9DUS42LzMwLzIwMjAuTC4uVVNELkgFAAAAAAAAAAgAAAAUKEludmFsaWQgSWRlbnRpZmllcilj420XPCXeCI8JnRo8Jd4IPUNJUS4xMjg3My42ODQ2My5JUV9OSV8xWVJfQU5OX0dST1dUSC5JUV9DUS4zLzMxLzIwMTcuTC4uVVNELkgFAAAAAAAAAAgAAAAUKEludmFsaWQgSWRlbnRpZmllcilj420XPCXeCED4mxo8Jd4I</t>
  </si>
  <si>
    <t>MkNJUS4xMjg3My42ODQ2My5JUV9FQklUREEuSVFfQ1EuMy8zMS8yMDE3LkwuLlVTRC5IBQAAAAAAAAAIAAAAFChJbnZhbGlkIElkZW50aWZpZXIpY+NtFzwl3ghgCFIcPCXeCERDSVEuMTI4NzMuNjg0NjMuSVFfVE9UQUxfUkVWXzFZUl9BTk5fR1JPV1RILklRX0NRLjMvMzEvMjAxNy5MLi5VU0QuSAUAAAAAAAAACAAAABQoSW52YWxpZCBJZGVudGlmaWVyKWPjbRc8Jd4IMB+cGjwl3ggzQ0lRLjEyODczLjY4NDYzLklRX0VCSVREQS5JUV9MVE0uMy8zMS8yMDE3LkwuLlVTRC5IBQAAAAAAAAAIAAAAFChJbnZhbGlkIElkZW50aWZpZXIpY+NtFzwl3ghgCFIcPCXeCDlDSVEuMTI4NzMuNjg0NjMuSVFfVE9UQUxfUkVWRU5VRS5JUV9DUS4zLzMxLzIwMTcuTC4uVVNELkgFAAAAAAAAAAgAAAAUKEludmFsaWQgSWRlbnRpZmllcilj420XPCXeCDAfnBo8Jd4IRENJUS4xMjg3My42ODQ2My5JUV9SRVRVUk5fSU5WRVNURURfQ0FQSVRBTC5JUV9MVE0uMy8zMS8yMDE3LkwuLlVTRC5IBQAAAAAAAAAIAAAAFChJbnZhbGlkIElkZW50aWZpZXIpY+NtFzwl3ggwH5waPCXeCC9DSVEuMTI4NzMuNjg0NjMuSVFfTkkuSVFfTFRNLjMvMzEvMjAxNy5MLi5VU0QuSAUAAAAAAAAACAAAABQoSW52YWxpZCBJZGVudGlmaWVyKWPjbRc8Jd4IQPibGjwl3ghEQ0lRLjEyODczLjY4NDYzLklRX1JFVFVSTl9JTlZFU1RFRF9DQVBJ</t>
  </si>
  <si>
    <t>VEFMLklRX0xUTS45LzMwLzIwMjUuTC4uVVNELkgFAAAAAAAAAAgAAAAUKEludmFsaWQgSWRlbnRpZmllcilj420XPCXeCIyYmho8Jd4IRUNJUS4xMjg3My42ODQ2My5JUV9SRVRVUk5fSU5WRVNURURfQ0FQSVRBTC5JUV9MVE0uMTIvMzEvMjAyNC5MLi5VU0QuSAUAAAAAAAAACAAAABQoSW52YWxpZCBJZGVudGlmaWVyKWPjbRc8Jd4IjJiaGjwl3ghDQ0lRLjEyODczLjY4NDYzLklRX1JFVFVSTl9JTlZFU1RFRF9DQVBJVEFMLklRX0NRLjMvMzEvMjAyNS5MLi5VU0QuSAUAAAAAAAAACAAAABQoSW52YWxpZCBJZGVudGlmaWVyKWPjbRc8Jd4IjJiaGjwl3ghDQ0lRLjEyODczLjY4NDYzLklRX1JFVFVSTl9JTlZFU1RFRF9DQVBJVEFMLklRX0NRLjkvMzAvMjAyNS5MLi5VU0QuSAUAAAAAAAAACAAAABQoSW52YWxpZCBJZGVudGlmaWVyKWPjbRc8Jd4IjJiaGjwl3ghEQ0lRLjEyODczLjY4NDYzLklRX1JFVFVSTl9JTlZFU1RFRF9DQVBJVEFMLklRX0NRLjEyLzMxLzIwMjQuTC4uVVNELkgFAAAAAAAAAAgAAAAUKEludmFsaWQgSWRlbnRpZmllcilj420XPCXeCIyYmho8Jd4IQ0NJUS4xMjg3My42ODQ2My5JUV9SRVRVUk5fSU5WRVNURURfQ0FQSVRBTC5JUV9DUS4zLzMxLzIwMTcuTC4uVVNELkgFAAAAAAAAAAgAAAAUKEludmFsaWQgSWRlbnRpZmllcilj420XPCXeCDAfnBo8Jd4ILkNJUS4xMjg3My42ODQ2</t>
  </si>
  <si>
    <t>My5JUV9OSS5JUV9DUS4zLzMxLzIwMTcuTC4uVVNELkgFAAAAAAAAAAgAAAAUKEludmFsaWQgSWRlbnRpZmllcilj420XPCXeCDAfnBo8Jd4ILkNJUS4xMjg3My42ODQ2My5JUV9OSS5JUV9DUS4zLzMxLzIwMjAuTC4uVVNELkgFAAAAAAAAAAgAAAAUKEludmFsaWQgSWRlbnRpZmllcilj420XPCXeCA/Rmxo8Jd4IM0NJUS4xMjg3My42ODQ2My5JUV9FQklUREEuSVFfTFRNLjMvMzEvMjAyMC5MLi5VU0QuSAUAAAAAAAAACAAAABQoSW52YWxpZCBJZGVudGlmaWVyKWPjbRc8Jd4IYAhSHDwl3gg9Q0lRLjEyODczLjY4NDYzLklRX05JXzFZUl9BTk5fR1JPV1RILklRX0NRLjMvMzEvMjAyMC5MLi5VU0QuSAUAAAAAAAAACAAAABQoSW52YWxpZCBJZGVudGlmaWVyKWPjbRc8Jd4ID9GbGjwl3ghDQ0lRLjEyODczLjY4NDYzLklRX1JFVFVSTl9JTlZFU1RFRF9DQVBJVEFMLklRX0NRLjMvMzEvMjAyMC5MLi5VU0QuSAUAAAAAAAAACAAAABQoSW52YWxpZCBJZGVudGlmaWVyKWPjbRc8Jd4ID9GbGjwl3ghEQ0lRLjEyODczLjY4NDYzLklRX1JFVFVSTl9JTlZFU1RFRF9DQVBJVEFMLklRX0xUTS42LzMwLzIwMjUuTC4uVVNELkgFAAAAAAAAAAgAAAAUKEludmFsaWQgSWRlbnRpZmllcilj420XPCXeCIyYmho8Jd4IRENJUS4xMjg3My42ODQ2My5JUV9SRVRVUk5fSU5WRVNURURfQ0FQSVRBTC5JUV9MVE0uMy8zMS8y</t>
  </si>
  <si>
    <t>MDI1LkwuLlVTRC5IBQAAAAAAAAAIAAAAFChJbnZhbGlkIElkZW50aWZpZXIpY+NtFzwl3giMmJoaPCXeCENDSVEuMTI4NzMuNjg0NjMuSVFfUkVUVVJOX0lOVkVTVEVEX0NBUElUQUwuSVFfQ1EuNi8zMC8yMDI1LkwuLlVTRC5IBQAAAAAAAAAIAAAAFChJbnZhbGlkIElkZW50aWZpZXIpY+NtFzwl3giMmJoaPCXeCERDSVEuMTI4NzMuNjg0NjMuSVFfUkVUVVJOX0lOVkVTVEVEX0NBUElUQUwuSVFfTFRNLjMvMzEvMjAyMC5MLi5VU0QuSAUAAAAAAAAACAAAABQoSW52YWxpZCBJZGVudGlmaWVyKWPjbRc8Jd4ID9GbGjwl3ghEQ0lRLjEyODczLjY4NDYzLklRX1RPVEFMX1JFVl8xWVJfQU5OX0dST1dUSC5JUV9DUS4zLzMxLzIwMjAuTC4uVVNELkgFAAAAAAAAAAgAAAAUKEludmFsaWQgSWRlbnRpZmllcilj420XPCXeCA/Rmxo8Jd4IMkNJUS4xMjg3My42ODQ2My5JUV9FQklUREEuSVFfQ1EuMy8zMS8yMDIwLkwuLlVTRC5IBQAAAAAAAAAIAAAAFChJbnZhbGlkIElkZW50aWZpZXIpY+NtFzwl3ghgCFIcPCXeCC9DSVEuMTI4NzMuNjg0NjMuSVFfTkkuSVFfTFRNLjMvMzEvMjAyMC5MLi5VU0QuSAUAAAAAAAAACAAAABQoSW52YWxpZCBJZGVudGlmaWVyKWPjbRc8Jd4IQPibGjwl3gg6Q0lRLjEyODczLjY4NDYzLklRX1RPVEFMX1JFVkVOVUUuSVFfTFRNLjMvMzEvMjAyMC5MLi5VU0QuSAUAAAAAAAAACAAA</t>
  </si>
  <si>
    <t>ABQoSW52YWxpZCBJZGVudGlmaWVyKWPjbRc8Jd4ID9GbGjwl3gg+Q0lRLjEyODczLjY4NDYzLklRX05JXzFZUl9BTk5fR1JPV1RILklRX0xUTS4zLzMxLzIwMjAuTC4uVVNELkgFAAAAAAAAAAgAAAAUKEludmFsaWQgSWRlbnRpZmllcilj420XPCXeCA/Rmxo8Jd4IOUNJUS4xMjg3My42ODQ2My5JUV9UT1RBTF9SRVZFTlVFLklRX0NRLjMvMzEvMjAyMC5MLi5VU0QuSAUAAAAAAAAACAAAABQoSW52YWxpZCBJZGVudGlmaWVyKWPjbRc8Jd4ID9GbGjwl3ggfQ0lRLjEyODczLjY4NDYzLklRX0NPTVBBTllfTkFNRQUAAAAAAAAACAAAABQoSW52YWxpZCBJZGVudGlmaWVyKWPjbRc8Jd4IbfEzGTwl3ghEQ0lRLjEyODczLjY4NDYzLklRX1JFVFVSTl9JTlZFU1RFRF9DQVBJVEFMLklRX0NRLjEyLzMxLzIwMDkuTC4uVVNELkgFAAAAAAAAAAgAAAAUKEludmFsaWQgSWRlbnRpZmllcimXQd0XPCXeCIz/ABw8Jd4IO0NJUS4xMjg3My42ODQ2My5JUV9UT1RBTF9SRVZFTlVFLklRX0xUTS4xMi8zMS8yMDA5LkwuLlVTRC5IBQAAAAAAAAAIAAAAFChJbnZhbGlkIElkZW50aWZpZXIpl0HdFzwl3giM/wAcPCXeCDBDSVEuMTI4NzMuNjg0NjMuSVFfTkkuSVFfTFRNLjEyLzMxLzIwMDkuTC4uVVNELkgFAAAAAAAAAAgAAAAUKEludmFsaWQgSWRlbnRpZmllcimXQd0XPCXeCIz/ABw8Jd4IM0NJUS4xMjg3My42ODQ2My5J</t>
  </si>
  <si>
    <t>NDkyAgAAAAkzMy42ODk1MjQCAAAACTM0LjAwMDEwMgIAAAAJMzQuOTIzNjYzAgAAAAkzNS43OTgxODUCAAAACTM0LjA2NTQ4NwIAAAAJMzIuODQ3Njk1AgAAAAkzMC4xOTE0MzcCAAAACDI5LjQ4ODU1J20UFTwl3gj5ghWjPCXeCE5DSVFSQU5HRVYuXlNQNTAwLTEwLklRX0NMT1NFUFJJQ0UuMTEvMTMvMjAyMC4xMS8xMy8yMDI1Li4uREVTQy5XLklRX0NMT1NFUFJJQ0UEAAAATsMoAAUBAAACAAAAEDY4NC43MTg0NjYyMTQyNTQCAAAAEDY3NC43MzY4NjE0ODk3NTQCAAAAEDY3NC43NjMyNzA4MTIyMjYCAAAAEDY1OS4xNDQyMDQxNTcxMjQCAAAAEDY1My4wMTY4NDM2MTUwNDYCAAAAEDY4MC4wOTUyNDc3NDcyOTkCAAAAEDcwMy42Mzg3NTA1MDYwMDcCAAAAEDY3Mi4yMjI0MzIzNzc2MzcCAAAAEDY3Mi4zOTUyNzI4NzQyMjQCAAAAEDY2Mi4yNTA5NjkwOTI2NTQCAAAAEDY4Ni4zOTM2NTgyNDk2ODkCAAAADzY2OS45NDQ2MTAzNDgzMQIAAAAQNjUxLjY0NDA4NDk2NTExMQIAAAAQNjQ4LjY1ODY5MDEzNTkzNAIAAAAQNjU1LjA4NDgyOTQ4NDEwNgIAAAAQNjY1Ljk4ODAxMzMzMzc1NgIAAAAQNjU2Ljc5ODcyMDg0NjYxOAIAAAAQNjgzLjE4ODMxODM1OTYzNQIAAAAQNjY2LjYzNTQ0NzA2MDc2NQIAAAAQNjUzLjAwMzcwNDc2MTAyMwIAAAAQNjc2LjM0Nzg3MDkyNDQxNgIAAAAQNjY4Ljk5NzQxODY3NzMw</t>
  </si>
  <si>
    <t>Njg2AgAAAAkyMC40NTUyNTYCAAAACTE5Ljg1NTUzNwIAAAAJMjAuMDgyNDU4AgAAAAkyMC4yMTIxMjcCAAAACTE5LjE1ODU2OAIAAAAJMjAuNDM5MDQ3AgAAAAkyMC40NTgyNjMCAAAACTE5LjM1MzcwOQIAAAAJMTguODQxNDUyAgAAAAkxOS4xMDU1ODUCAAAACTIwLjgxODQ0NAIAAAAJMjEuNTk0ODMzAgAAAAgyMS44NjY5NwIAAAAIMjAuODkwNDgCAAAACTIyLjA0MzA1OAIAAAAJMjEuOTYzMDE4AgAAAAkyMC45OTQ1MzICAAAACTIxLjIyNjY0OQIAAAAJMjEuMzMwNzAxAgAAAAkyMS4zOTQ3MzMCAAAACTE5LjkwNDk4OAIAAAAJMTkuMzk4NjYxAgAAAAkxOS45MjA4MTECAAAACTE5LjI5NTgxMwIAAAAJMTkuNDQ2MTI5AgAAAAkxOS45NjAzNjcCAAAACTIwLjEyNjUwNgIAAAAJMjEuMzI5MDMzAgAAAAkyMS4xNzg3MTcCAAAACTE5LjMxMTYzNgIAAAAJMTguMDkzMjg2AgAAAAkxNy4xMDU5MTICAAAACTE2LjI0NzEwMwIAAAAIMTcuMzQ3OTQCAAAACTE4LjYzNjE1NAIAAAAIMTguOTQwNjQCAAAACTE5LjA0OTk0MwIAAAAIMTYuMDIwNjkCAAAACTE2LjQ0MjI4NwIAAAAJMTYuOTczMTg3AgAAAAcxNy4xOTk2AgAAAAkxNy4zODY5NzcCAAAACTE2LjQ3MzUxNwIAAAAJMTUuMjE2NTMzAgAAAAkxNC42Nzc4MjUnbRQVPCXeCPmCFaM8Jd4IUENJUVJBTkdFVi5EVk4uSVFfQ0xPU0VQUklDRV9BREouMTEvMTMv</t>
  </si>
  <si>
    <t>MDkzMQIAAAAJMTYuNzI5ODE5AgAAAAkxNi4xNzgzNzECAAAACTE1LjUxODE4OAIAAAAJMTMuOTAyNjgxAgAAAAkxMi43ODQyNTMCAAAACTEzLjgyNTAxMwIAAAAJMTUuMTk5NzQ3AgAAAAkxNC4wNjU3ODUCAAAACTEyLjI3OTQwNwIAAAAJMTEuOTA2NTk4AgAAAAkxMi4xMzk2MDQCAAAACTEyLjU1MTI0NwIAAAAJMTIuODk1MjYzAgAAAAkxMS4zOTkwNDMCAAAACTEwLjE0OTYyMQIAAAAIOS4wODUyOTknbRQVPCXeCPmCFaM8Jd4ISENJUVJBTkdFVi5eSEcuSVFfQ0xPU0VQUklDRS4xMS8xMy8yMDIwLjExLzEzLzIwMjUuLi5ERVNDLlcuSVFfQ0xPU0VQUklDRQQAAABmgTUDBQEAAAIAAAAFNC45NTcCAAAABTUuMDg5AgAAAAY1LjEyMjUCAAAABjQuOTY5NQIAAAAFNC44OTQCAAAABTUuMTA5AgAAAAY0Ljc3MTUCAAAABTQuNTc2AgAAAAY0LjYwMDUCAAAABTQuNDk5AgAAAAY0LjUxODUCAAAABTQuNDU5AgAAAAY0LjQ5MjUCAAAABjQuNDcxNQIAAAAGNC40MzU1AgAAAAU1Ljc4NQIAAAAGNS42MDQ1AgAAAAY1LjYwNDUCAAAABjUuMTQxNQIAAAAFNS4xMjMCAAAABjQuODMzNQIAAAAGNC44MTQ1AgAAAAU0Ljg0OAIAAAAGNC42Nzc1AgAAAAY0LjgzNjUCAAAABjQuNTkzNQIAAAAFNC42NTMCAAAABTQuNjczAgAAAAQ0Ljg0AgAAAAU0LjczOQIAAAAFNC41MjMCAAAABTQuNDAyAgAAAAQ1LjEzAgAAAAY1LjEx</t>
  </si>
  <si>
    <t>MjUzNTMxAgAAAAkzOS4xODIzMjcCAAAACTM4Ljk3MDE5MQIAAAAJNDAuNjc1MTM3AgAAAAk0Mi4xMTI5NDgCAAAACTQxLjY0MTUzNQIAAAAJNDAuNDA4MDAzAgAAAAkzNS42NjI0MzkCAAAACTMzLjUyNTM2NCdtFBU8Jd4I+YIVozwl3ghQQ0lRUkFOR0VWLkNPUC5JUV9DTE9TRVBSSUNFX0FESi4xMS8xMy8yMDIwLjExLzEzLzIwMjUuLi5ERVNDLlcuSVFfQ0xPU0VQUklDRV9BREoEAAAAT4YEAAUBAAACAAAABTg2LjgzAgAAAAU4OC44NgIAAAAFODguMDMCAAAABTg2LjQ4AgAAAAU4Ny42NAIAAAAFOTQuMTYCAAAABTk4LjQ4AgAAAAU5MS45MgIAAAAFOTIuNDMCAAAABTkyLjk1AgAAAAU5OC45NwIAAAAFOTYuNzgCAAAABTk0LjU1AgAAAAk5My4xNDE2MTkCAAAACTkyLjAwMTAyOAIAAAAJOTQuMTczMTA5AgAAAAk5MC44OTAxOTICAAAACTk0LjgyNzcwOQIAAAAHOTIuOTEzNQIAAAAIODkuNDMyMjICAAAACTkzLjkxNTIzNwIAAAAJOTYuMTY2NjYzAgAAAAk4Ni41MDYzNTcCAAAACTg0LjY1MTY1NwIAAAAJODQuNDkyOTY3AgAAAAg5MC45MDAxMQIAAAAJODcuMTIzNjY5AgAAAAk4OS44OTY5OTMCAAAACTkwLjIwMTg2MgIAAAAJODcuNTA3MjE0AgAAAAk4NC45NjAwODMCAAAACTg0Ljg2MTczOQIAAAAKMTAwLjY3NTU4NQIAAAAKMTAwLjIzMzAzMwIAAAAJOTcuMzEyMTkyAgAAAAk4OS4xMjk5MDQCAAAA</t>
  </si>
  <si>
    <t>Ny41ODI5NjcCAAAACTUxLjU1MjUwMQIAAAAINTMuNzk4NzYCAAAACTUyLjU2NDE3NQIAAAAJNDkuMzIzMzg5AgAAAAk1MS40MTUzMjUCAAAACTUxLjMxMjQ0MwIAAAAJNDcuNzg4NzMxAgAAAAk0Ny43MTE1NjkCAAAACTQ4LjQ1NzQ2NQIAAAAJNDguNTc2NzMzAgAAAAk0My41MDYzNzcCAAAACTQyLjI5ODMzOQIAAAAJNDMuNDYzODQxAgAAAAk0My41ODI5NDMCAAAACTQ1Ljk1NjQ4MgIAAAAJNDYuODI0MjI4AgAAAAk0NC43NDg0NDQCAAAACTUwLjM1NDc2MQIAAAAJNDkuNjMxNjM5AgAAAAk0NC4yNDY1MTMCAAAACTQxLjE5MjM4OQIAAAAJNDAuMTIwNDY4AgAAAAkzNy40NDU1NjECAAAACTMzLjc0NDg0MQIAAAAJMzUuOTg3MTkxAgAAAAkzOC4wMzU2NTQCAAAACTM3LjY4MTU5OAIAAAAJMzMuNzExMTIxAgAAAAkzMy4yODk2MjcCAAAACDM0LjU0NTY4AgAAAAkzNi42NTMxNTICAAAACTM3LjMxOTExMwIAAAAIMzYuMDYzMDYCAAAACTMzLjQyNDUwNQIAAAAJMjkuODA4MDgzJ20UFTwl3gj5ghWjPCXeCFBDSVFSQU5HRVYuQ1ZYLklRX0NMT1NFUFJJQ0VfQURKLjExLzEzLzIwMjAuMTEvMTMvMjAyNS4uLkRFU0MuVy5JUV9DTE9TRVBSSUNFX0FESgQAAADKgAEABQEAAAIAAAAGMTU1LjAyAgAAAAYxNTcuNzICAAAABjE1NS41NgIAAAAGMTUzLjA4AgAAAAUxNDguOQIAAAAGMTUzLjU1AgAAAAYxNjAuMTYC</t>
  </si>
  <si>
    <t>NTI4NwIAAAAJODcuNjgxNzU5AgAAAAk4OS4xMTYxNzQCAAAACTg1LjcxNjY5MgIAAAAJOTIuNDk5MDczAgAAAAg5MC4zNzY0NwIAAAAJODIuOTE0MTkzAgAAAAk3OS40MzE3OTcCAAAACTc1LjY2NzQ5MgIAAAAJNzIuOTc3NjM3AgAAAAk2OS42NTgyNDICAAAACTc0Ljk5NzA3MgIAAAAJNzUuMjkxNDAzAgAAAAk3NC40NjU2NDICAAAACTY5LjA0NTA1NAIAAAAJNjkuNzY0NTI4AgAAAAk3MS4yODUyMzcCAAAACTc1LjU4NTczNAIAAAAJNzYuMjY0MzI5AgAAAAk3NC42NTM2ODcCAAAACTcwLjE0MDYxOAIAAAAJNjYuODk5NzAzJ20UFTwl3gj5ghWjPCXeCEZDSVFSQU5HRVYuQ09QLklRX1BSSUNFREFURS4xMS8xMy8yMDIwLjExLzEzLzIwMjUuLi5ERVNDLlcuSVFfUFJJQ0VEQVRFBAAAAE+GBAAFAQAABQAAAAkxMS83LzIwMjUFAAAACjEwLzMxLzIwMjUFAAAACjEwLzI0LzIwMjUFAAAACjEwLzE3LzIwMjUFAAAACjEwLzEwLzIwMjUFAAAACTEwLzMvMjAyNQUAAAAJOS8yNi8yMDI1BQAAAAk5LzE5LzIwMjUFAAAACTkvMTIvMjAyNQUAAAAIOS81LzIwMjUFAAAACTgvMjkvMjAyNQUAAAAJOC8yMi8yMDI1BQAAAAk4LzE1LzIwMjUFAAAACDgvOC8yMDI1BQAAAAg4LzEvMjAyNQUAAAAJNy8yNS8yMDI1BQAAAAk3LzE4LzIwMjUFAAAACTcvMTEvMjAyNQUAAAAINy8zLzIwMjUFAAAACTYvMjcvMjAyNQUAAAAJ</t>
  </si>
  <si>
    <t>CTkvMjQvMjAyMQUAAAAJOS8xNy8yMDIxBQAAAAk5LzEwLzIwMjEFAAAACDkvMy8yMDIxBQAAAAk4LzI3LzIwMjEFAAAACTgvMjAvMjAyMQUAAAAJOC8xMy8yMDIxBQAAAAg4LzYvMjAyMQUAAAAJNy8zMC8yMDIxBQAAAAk3LzIzLzIwMjEFAAAACTcvMTYvMjAyMQUAAAAINy85LzIwMjEFAAAACDcvMi8yMDIxBQAAAAk2LzI1LzIwMjEFAAAACTYvMTgvMjAyMQUAAAAJNi8xMS8yMDIxBQAAAAg2LzQvMjAyMQUAAAAJNS8yOC8yMDIxBQAAAAk1LzIxLzIwMjEFAAAACTUvMTQvMjAyMQUAAAAINS83LzIwMjEFAAAACTQvMzAvMjAyMQUAAAAJNC8yMy8yMDIxBQAAAAk0LzE2LzIwMjEFAAAACDQvOS8yMDIxBQAAAAg0LzEvMjAyMQUAAAAJMy8yNi8yMDIxBQAAAAkzLzE5LzIwMjEFAAAACTMvMTIvMjAyMQUAAAAIMy81LzIwMjEFAAAACTIvMjYvMjAyMQUAAAAJMi8xOS8yMDIxBQAAAAkyLzEyLzIwMjEFAAAACDIvNS8yMDIxBQAAAAkxLzI5LzIwMjEFAAAACTEvMjIvMjAyMQUAAAAJMS8xNS8yMDIxBQAAAAgxLzgvMjAyMQUAAAAKMTIvMzEvMjAyMAUAAAAKMTIvMjQvMjAyMAUAAAAKMTIvMTgvMjAyMAUAAAAKMTIvMTEvMjAyMAUAAAAJMTIvNC8yMDIwBQAAAAoxMS8yNy8yMDIwBQAAAAoxMS8yMC8yMDIwBQAAAAoxMS8xMy8yMDIwJ20UFTwl3ghW4EltPCXeCDxDSVFSQU5HRVYuQ09QLklRX1BSSUNFREFURS4u</t>
  </si>
  <si>
    <t>ATEBAAAACy0yMDg2NTg0NzcyAwAAAAMxNjACAAAABDQxOTkEAAAAATAHAAAACTYvMzAvMjAyMQgAAAAJNi8zMC8yMDIxCQAAAAEwldgSLHwk3giV2BIsfCTeCCVDSVEuQ1ZYLklRX0VCSVREQS4uNi8zMC8yMDIxLkwuLlVTRC5IAQAAAMqAAQACAAAABTIxMDQyAQgAAAAFAAAAATEBAAAACy0yMDg2NDg4OTU0AwAAAAMxNjACAAAABDQwNTEEAAAAATAHAAAACTYvMzAvMjAyMQgAAAAJNi8zMC8yMDIxCQAAAAEwldgSLHwk3ggiVqjKPCXeCCVDSVEuWE9NLklRX0VCSVREQS4uNi8zMC8yMDIxLkwuLlVTRC5IAQAAAEIzBgACAAAABTI0ODg4AQgAAAAFAAAAATEBAAAACy0yMDg2NjA5NjU4AwAAAAMxNjACAAAABDQwNTEEAAAAATAHAAAACTYvMzAvMjAyMQgAAAAJNi8zMC8yMDIxCQAAAAEwldgSLHwk3ggiVqjKPCXeCDBDSVEuRFZOLklRX05JXzFZUl9BTk5fR1JPV1RILi42LzMwLzIwMjEuTC4uVVNELkgBAAAADhEEAAMAAAACTk0BCAAAAAUAAAABMQEAAAALLTIwNzIzNjIxODUDAAAAAzE2MAIAAAAENDE5OQQAAAABMAcAAAAJNi8zMC8yMDIxCAAAAAk2LzMwLzIwMjEJAAAAATCV2BIsfCTeCJXYEix8JN4IMENJUS5YT00uSVFfTklfMVlSX0FOTl9HUk9XVEguLjYvMzAvMjAyMS5MLi5VU0QuSAEAAABCMwYAAwAAAAJOTQEIAAAABQAAAAExAQAAAAstMjA4NjYwOTY1OAMAAAADMTYwAgAAAAQ0MTk5BAAAAAEw</t>
  </si>
  <si>
    <t>BwAAAAk2LzMwLzIwMjEIAAAACTYvMzAvMjAyMQkAAAABMJXYEix8JN4IldgSLHwk3gglQ0lRLkRWTi5JUV9FQklUREEuLjYvMzAvMjAyMS5MLi5VU0QuSAEAAAAOEQQAAgAAAAQyMDkzAQgAAAAFAAAAATEBAAAACy0yMDcyMzYyMTg1AwAAAAMxNjACAAAABDQwNTEEAAAAATAHAAAACTYvMzAvMjAyMQgAAAAJNi8zMC8yMDIxCQAAAAEwldgSLHwk3ggwfajKPCXeCCRDSVEuQlAuSVFfRUJJVERBLi42LzMwLzIwMjEuTC4uVVNELkgBAAAA4gQGAAIAAAAFMjAwOTgBCAAAAAUAAAABMQEAAAALLTIwODcxODMzMzADAAAAAzE2MAIAAAAENDA1MQQAAAABMAcAAAAJNi8zMC8yMDIxCAAAAAk2LzMwLzIwMjEJAAAAATCV2BIsfCTeCBAvqMo8Jd4IJUNJUS5FT0cuSVFfRUJJVERBLi42LzMwLzIwMjEuTC4uVVNELkgBAAAAXB0EAAIAAAAENjQzNwEIAAAABQAAAAExAQAAAAstMjA4NjU4NDc3MgMAAAADMTYwAgAAAAQ0MDUxBAAAAAEwBwAAAAk2LzMwLzIwMjEIAAAACTYvMzAvMjAyMQkAAAABMJXYEix8JN4IIlaoyjwl3ggwQ0lRLkNWWC5JUV9OSV8xWVJfQU5OX0dST1dUSC4uNi8zMC8yMDIxLkwuLlVTRC5IAQAAAMqAAQADAAAAAk5NAQgAAAAFAAAAATEBAAAACy0yMDg2NDg4OTU0AwAAAAMxNjACAAAABDQxOTkEAAAAATAHAAAACTYvMzAvMjAyMQgAAAAJNi8zMC8yMDIxCQAAAAEwldgSLHwk3giV2BIsfCTeCCVD</t>
  </si>
  <si>
    <t>PzOmyjwl3gglQ0lRLkVPRy5JUV9FQklUREEuLjYvMzAvMjAyMC5MLi5VU0QuSAEAAABcHQQAAgAAAAg2NTI4Ljk3MQEIAAAABQAAAAExAQAAAAstMjE0MDExNDE0NwMAAAADMTYwAgAAAAQ0MDUxBAAAAAEwBwAAAAk2LzMwLzIwMjAIAAAACTYvMzAvMjAyMAkAAAABMJXYEix8JN4IMAymyjwl3gglQ0lRLkRWTi5JUV9FQklUREEuLjYvMzAvMjAyMC5MLi5VU0QuSAEAAAAOEQQAAgAAAAQxOTQzAQgAAAAFAAAAATEBAAAACy0yMTIzODU3MjcwAwAAAAMxNjACAAAABDQwNTEEAAAAATAHAAAACTYvMzAvMjAyMAgAAAAJNi8zMC8yMDIwCQAAAAEwldgSLHwk3ghPWqbKPCXeCCRDSVEuQlAuSVFfRUJJVERBLi42LzMwLzIwMjAuTC4uVVNELkgBAAAA4gQGAAIAAAAFMjA1OTIBCAAAAAUAAAABMQEAAAALLTIxNDA1MDExNjADAAAAAzE2MAIAAAAENDA1MQQAAAABMAcAAAAJNi8zMC8yMDIwCAAAAAk2LzMwLzIwMjAJAAAAATCV2BIsfCTeCD8zpso8Jd4IJUNJUS5DT1AuSVFfRUJJVERBLi42LzMwLzIwMjAuTC4uVVNELkgBAAAAT4YEAAIAAAAEODY5NAEIAAAABQAAAAExAQAAAAstMjEzOTc0MjA2OQMAAAADMTYwAgAAAAQ0MDUxBAAAAAEwBwAAAAk2LzMwLzIwMjAIAAAACTYvMzAvMjAyMAkAAAABMJXYEix8JN4IT1qmyjwl3ggzQ0lRLkNPUC5JUV9SRVRVUk5fSU5WRVNURURfQ0FQSVRBTC5JUV9MVE0uLkwuLlVT</t>
  </si>
  <si>
    <t>OQQAAAABMAcAAAAKMTEvMTUvMjAyNQgAAAAJOS8zMC8yMDI1CQAAAAEwd9FQLHwk3gh30VAsfCTeCCdDSVEuWE9NLklRX05JXzFZUl9BTk5fR1JPV1RILi4uTC4uVVNELkgBAAAAQjMGAAIAAAAILTExLjExODcBCAAAAAUAAAABMQEAAAALLTE5MTg2NTUwNTcDAAAAAzE2MAIAAAAENDE5OQQAAAABMAcAAAAKMTEvMTUvMjAyNQgAAAAJOS8zMC8yMDI1CQAAAAEwd9FQLHwk3gh30VAsfCTeCDJDSVEuRU9HLklRX1JFVFVSTl9JTlZFU1RFRF9DQVBJVEFMLklRX0NRLi5MLi5VU0QuSAEAAABcHQQAAgAAAAcxMC4yNTM2AJXYEix8JN4IAvDhKT0l3ggxQ0lRLkJQLklRX1JFVFVSTl9JTlZFU1RFRF9DQVBJVEFMLklRX0NRLi5MLi5VU0QuSAEAAADiBAYAAgAAAActMC4zMzA0AJXYEix8JN4IAvDhKT0l3ggyQ0lRLkRWTi5JUV9SRVRVUk5fSU5WRVNURURfQ0FQSVRBTC5JUV9DUS4uTC4uVVNELkgBAAAADhEEAAIAAAAGOC44Njk2AJXYEix8JN4IAvDhKT0l3ggzQ0lRLkNWWC5JUV9SRVRVUk5fSU5WRVNURURfQ0FQSVRBTC5JUV9MVE0uLkwuLlVTRC5IAQAAAMqAAQACAAAABjAuMjU0MgCV2BIsfCTeCBcr4ik9Jd4IMkNJUS5CUC5JUV9SRVRVUk5fSU5WRVNURURfQ0FQSVRBTC5JUV9MVE0uLkwuLlVTRC5IAQAAAOIEBgACAAAABy0yLjM1ODIAldgSLHwk3ggC8OEpPSXeCDNDSVEuRFZOLklRX1JFVFVSTl9JTlZF</t>
  </si>
  <si>
    <t>AgAAAAUyNTQyMgEIAAAABQAAAAExAQAAAAstMTkxODA0NTQyMQMAAAADMTYwAgAAAAQ0MDUxBAAAAAEwBwAAAAoxMS8xNS8yMDI1CAAAAAk5LzMwLzIwMjUJAAAAATCV2BIsfCTeCJXYEix8JN4IJ0NJUS5DT1AuSVFfTklfMVlSX0FOTl9HUk9XVEguLi5MLi5VU0QuSAEAAABPhgQAAgAAAAgtMTAuOTk5NAEIAAAABQAAAAExAQAAAAstMTkxODA0NTQyMQMAAAADMTYwAgAAAAQ0MTk5BAAAAAEwBwAAAAoxMS8xNS8yMDI1CAAAAAk5LzMwLzIwMjUJAAAAATCV2BIsfCTeCJXYEix8JN4IMkNJUS5DVlguSVFfUkVUVVJOX0lOVkVTVEVEX0NBUElUQUwuSVFfQ1EuLkwuLlVTRC5IAQAAAMqAAQACAAAABjAuMjEyNACV2BIsfCTeCALw4Sk9Jd4IMkNJUS5DT1AuSVFfUkVUVVJOX0lOVkVTVEVEX0NBUElUQUwuSVFfQ1EuLkwuLlVTRC5IAQAAAE+GBAACAAAABjMuMzg0NACV2BIsfCTeCBcr4ik9Jd4IMkNJUS5YT00uSVFfUkVUVVJOX0lOVkVTVEVEX0NBUElUQUwuSVFfQ1EuLkwuLlVTRC5IAQAAAEIzBgACAAAABjQuMjcxMgCV2BIsfCTeCBcr4ik9Jd4IJUNJUS5DT1AuSVFfRUJJVERBLi45LzMwLzIwMjAuTC4uVVNELkgBAAAAT4YEAAIAAAAENjU0OAEIAAAABQAAAAExAQAAAAstMjEyMzU3NTk3OAMAAAADMTYwAgAAAAQ0MDUxBAAAAAEwBwAAAAk5LzMwLzIwMjAIAAAACTkvMzAvMjAyMAkAAAABMJXYEix8JN4I</t>
  </si>
  <si>
    <t>RC5IAQAAAE+GBAACAAAABjYuMzgzNQCV2BIsfCTeCALw4Sk9Jd4IIkNJUS5YT00uSVFfRUJJVERBLklRX0xUTS4uTC4uVVNELkgBAAAAQjMGAAIAAAAFNjE2OTQBCAAAAAUAAAABMQEAAAALLTE5MTg2NTUwNTcDAAAAAzE2MAIAAAAENDA1MQQAAAABMAcAAAAKMTEvMTUvMjAyNQgAAAAJOS8zMC8yMDI1CQAAAAEwldgSLHwk3giV2BIsfCTeCCJDSVEuQ09QLklRX0VCSVREQS5JUV9MVE0uLkwuLlVTRC5IAQAAAE+GBAACAAAABTI1NDIyAQgAAAAFAAAAATEBAAAACy0xOTE4MDQ1NDIxAwAAAAMxNjACAAAABDQwNTEEAAAAATAHAAAACjExLzE1LzIwMjUIAAAACTkvMzAvMjAyNQkAAAABMJXYEix8JN4IldgSLHwk3ggiQ0lRLkVPRy5JUV9FQklUREEuSVFfTFRNLi5MLi5VU0QuSAEAAABcHQQAAgAAAAUxMTc2MAEIAAAABQAAAAExAQAAAAstMTkxODE2OTMxNQMAAAADMTYwAgAAAAQ0MDUxBAAAAAEwBwAAAAoxMS8xNS8yMDI1CAAAAAk5LzMwLzIwMjUJAAAAATCV2BIsfCTeCJXYEix8JN4IIkNJUS5DVlguSVFfRUJJVERBLklRX0xUTS4uTC4uVVNELkgBAAAAyoABAAIAAAAFMzc2ODMBCAAAAAUAAAABMQEAAAALLTE5MTgwOTYzMjADAAAAAzE2MAIAAAAENDA1MQQAAAABMAcAAAAKMTEvMTUvMjAyNQgAAAAJOS8zMC8yMDI1CQAAAAEwldgSLHwk3giV2BIsfCTeCCFDSVEuQlAuSVFfRUJJVERBLklRX0xUTS4u</t>
  </si>
  <si>
    <t>UV9FQklUREEuSVFfTFRNLjYvMzAvMjAxMC5MLi5VU0QuSAUAAAAAAAAACAAAABQoSW52YWxpZCBJZGVudGlmaWVyKZdB3Rc8Jd4IjP8AHDwl3gg7Q0lRUkFOR0UuQ09QLklRX1BSSUNFREFURS4uMTEvMTIvMjAyNS4uLkRFU0MuVy5JUV9QUklDRURBVEUFAAAAAQAAAAgAAAASKEludmFsaWQgRW5kIERhdGUp2cJkKj0l3gjZwmQqPSXeCEZDSVFSQU5HRVYuWE9NLklRX0NMT1NFUFJJQ0VfQURKLi4xMS8xMi8yMDI1Li4uREVTQy5XLklRX0NMT1NFUFJJQ0VfQURKBQAAAAEAAAAIAAAAEihJbnZhbGlkIEVuZCBEYXRlKdnCZCo9Jd4I2cJkKj0l3gg+Q0lRUkFOR0VWLl5IRy5JUV9DTE9TRVBSSUNFLi4xMS8xMi8yMDI1Li4uREVTQy5XLklRX0NMT1NFUFJJQ0UFAAAAAQAAAAgAAAASKEludmFsaWQgRW5kIERhdGUp2cJkKj0l3gjZwmQqPSXeCEZDSVFSQU5HRVYuQ1ZYLklRX0NMT1NFUFJJQ0VfQURKLi4xMS8xMi8yMDI1Li4uREVTQy5XLklRX0NMT1NFUFJJQ0VfQURKBQAAAAEAAAAIAAAAEihJbnZhbGlkIEVuZCBEYXRlKdnCZCo9Jd4I2cJkKj0l3ghGQ0lRUkFOR0VWLkVPRy5JUV9DTE9TRVBSSUNFX0FESi4uMTEvMTIvMjAyNS4uLkRFU0MuVy5JUV9DTE9TRVBSSUNFX0FESgUAAAABAAAACAAAABIoSW52YWxpZCBFbmQgRGF0ZSnZwmQqPSXeCNnCZCo9Jd4IRUNJUVJBTkdFVi5CUC5JUV9DTE9TRVBSSUNF</t>
  </si>
  <si>
    <t>MAIAAAAENDA1MQQAAAABMAcAAAAJOS8zMC8yMDE4CAAAAAk5LzMwLzIwMTgJAAAAATDk6WQqPSXeCOTpZCo9Jd4IJUNJUS5YT00uSVFfRUJJVERBLi45LzMwLzIwMTguTC4uVVNELkgBAAAAQjMGAAIAAAAFMzc3MDQBCAAAAAUAAAABMQEAAAAKMTk5MDc4ODYxMwMAAAADMTYwAgAAAAQ0MDUxBAAAAAEwBwAAAAk5LzMwLzIwMTgIAAAACTkvMzAvMjAxOAkAAAABMOTpZCo9Jd4I5OlkKj0l3gglQ0lRLkVPRy5JUV9FQklUREEuLjkvMzAvMjAxOC5MLi5VU0QuSAEAAABcHQQAAgAAAAg3NTA0LjI0NgEIAAAABQAAAAExAQAAAAoxOTkwNzM0ODA5AwAAAAMxNjACAAAABDQwNTEEAAAAATAHAAAACTkvMzAvMjAxOAgAAAAJOS8zMC8yMDE4CQAAAAEw5OlkKj0l3gjk6WQqPSXeCCVDSVEuQ1ZYLklRX0VCSVREQS4uOS8zMC8yMDE4LkwuLlVTRC5IAQAAAMqAAQACAAAABTMwMTczAQgAAAAFAAAAATEBAAAACjE5OTA5ODgxMzYDAAAAAzE2MAIAAAAENDA1MQQAAAABMAcAAAAJOS8zMC8yMDE4CAAAAAk5LzMwLzIwMTgJAAAAATDk6WQqPSXeCOTpZCo9Jd4IJUNJUS5YT00uSVFfRUJJVERBLi4zLzMxLzIwMTcuTC4uVVNELkgBAAAAQjMGAAIAAAAFMjc2NTgBCAAAAAUAAAABMQEAAAAKMTg4NjQ3NjYwNgMAAAADMTYwAgAAAAQ0MDUxBAAAAAEwBwAAAAkzLzMxLzIwMTcIAAAACTMvMzEvMjAxNwkAAAABMOTpZCo9Jd4I</t>
  </si>
  <si>
    <t>5OlkKj0l3gglQ0lRLkNWWC5JUV9FQklUREEuLjMvMzEvMjAxNy5MLi5VU0QuSAEAAADKgAEAAgAAAAUxNjYyNgEIAAAABQAAAAExAQAAAAoxODg2NjE3MjEyAwAAAAMxNjACAAAABDQwNTEEAAAAATAHAAAACTMvMzEvMjAxNwgAAAAJMy8zMS8yMDE3CQAAAAEw5OlkKj0l3gjk6WQqPSXeCCVDSVEuRU9HLklRX0VCSVREQS4uMy8zMS8yMDE3LkwuLlVTRC5IAQAAAFwdBAACAAAACDM1MDQuMDc1AQgAAAAFAAAAATEBAAAACjE4ODYzMjQwODcDAAAAAzE2MAIAAAAENDA1MQQAAAABMAcAAAAJMy8zMS8yMDE3CAAAAAkzLzMxLzIwMTcJAAAAATDk6WQqPSXeCOTpZCo9Jd4IJUNJUS5DT1AuSVFfRUJJVERBLi4zLzMxLzIwMTcuTC4uVVNELkgBAAAAT4YEAAIAAAAENjY1MwEIAAAABQAAAAExAQAAAAoxODg2NzMyMTI5AwAAAAMxNjACAAAABDQwNTEEAAAAATAHAAAACTMvMzEvMjAxNwgAAAAJMy8zMS8yMDE3CQAAAAEw5OlkKj0l3gjk6WQqPSXeCCVDSVEuRFZOLklRX0VCSVREQS4uMy8zMS8yMDE3LkwuLlVTRC5IAQAAAA4RBAACAAAABDI0NDIBCAAAAAUAAAABMQEAAAAKMTg5ODExMDYzOAMAAAADMTYwAgAAAAQ0MDUxBAAAAAEwBwAAAAkzLzMxLzIwMTcIAAAACTMvMzEvMjAxNwkAAAABMOTpZCo9Jd4I5OlkKj0l3ggkQ0lRLkJQLklRX0VCSVREQS4uMy8zMS8yMDE3LkwuLlVTRC5IAQAAAOIEBgACAAAABTE5</t>
  </si>
  <si>
    <t>NzI2AQgAAAAFAAAAATEBAAAACjE4ODU4MjE1NjcDAAAAAzE2MAIAAAAENDA1MQQAAAABMAcAAAAJMy8zMS8yMDE3CAAAAAkzLzMxLzIwMTcJAAAAATDk6WQqPSXeCOTpZCo9Jd4IJUNJUS5DVlguSVFfRUJJVERBLi4zLzMxLzIwMTYuTC4uVVNELkgBAAAAyoABAAIAAAAFMTU4NjMBCAAAAAUAAAABMQEAAAAKMTg0MDM5MzgyMQMAAAADMTYwAgAAAAQ0MDUxBAAAAAEwBwAAAAkzLzMxLzIwMTYIAAAACTMvMzEvMjAxNgkAAAABMOTpZCo9Jd4I5OlkKj0l3gglQ0lRLkVPRy5JUV9FQklUREEuLjMvMzEvMjAxNi5MLi5VU0QuSAEAAABcHQQAAgAAAAgyNzk1LjUwNwEIAAAABQAAAAExAQAAAAoxODQwOTY0NDg3AwAAAAMxNjACAAAABDQwNTEEAAAAATAHAAAACTMvMzEvMjAxNggAAAAJMy8zMS8yMDE2CQAAAAEw5OlkKj0l3gjk6WQqPSXeCCVDSVEuWE9NLklRX0VCSVREQS4uMy8zMS8yMDE2LkwuLlVTRC5IAQAAAEIzBgACAAAABTI3NzM4AQgAAAAFAAAAATEBAAAACjE4ODY0NzY4MDMDAAAAAzE2MAIAAAAENDA1MQQAAAABMAcAAAAJMy8zMS8yMDE2CAAAAAkzLzMxLzIwMTYJAAAAATDk6WQqPSXeCOTpZCo9Jd4IJUNJUS5EVk4uSVFfRUJJVERBLi4zLzMxLzIwMTYuTC4uVVNELkgBAAAADhEEAAIAAAAEMjc4NQEIAAAABQAAAAExAQAAAAoxODQwMTc5MTA3AwAAAAMxNjACAAAABDQwNTEEAAAAATAHAAAACTMv</t>
  </si>
  <si>
    <t>MzEvMjAxNggAAAAJMy8zMS8yMDE2CQAAAAEw5OlkKj0l3gjk6WQqPSXeCCVDSVEuQ09QLklRX0VCSVREQS4uMy8zMS8yMDE2LkwuLlVTRC5IAQAAAE+GBAACAAAABDUyNDIBCAAAAAUAAAABMQEAAAAKMTg0MDQyNzk2OQMAAAADMTYwAgAAAAQ0MDUxBAAAAAEwBwAAAAkzLzMxLzIwMTYIAAAACTMvMzEvMjAxNgkAAAABMOTpZCo9Jd4I5OlkKj0l3ggkQ0lRLkJQLklRX0VCSVREQS4uMy8zMS8yMDE2LkwuLlVTRC5IAQAAAOIEBgACAAAABTE2ODE3AQgAAAAFAAAAATEBAAAACjE4Mzk0MDk0MzYDAAAAAzE2MAIAAAAENDA1MQQAAAABMAcAAAAJMy8zMS8yMDE2CAAAAAkzLzMxLzIwMTYJAAAAATDk6WQqPSXeCOTpZCo9Jd4IJUNJUS5FT0cuSVFfRUJJVERBLi4zLzMxLzIwMTUuTC4uVVNELkgBAAAAXB0EAAIAAAAIODE0OS44MzgBCAAAAAUAAAABMQEAAAAKMTc4OTcxMTcyMgMAAAADMTYwAgAAAAQ0MDUxBAAAAAEwBwAAAAkzLzMxLzIwMTUIAAAACTMvMzEvMjAxNQkAAAABMOTpZCo9Jd4I5OlkKj0l3gglQ0lRLkNWWC5JUV9FQklUREEuLjMvMzEvMjAxNS5MLi5VU0QuSAEAAADKgAEAAgAAAAUzMjExNwEIAAAABQAAAAExAQAAAAoxNzg5ODU0ODk0AwAAAAMxNjACAAAABDQwNTEEAAAAATAHAAAACTMvMzEvMjAxNQgAAAAJMy8zMS8yMDE1CQAAAAEw5OlkKj0l3gjk6WQqPSXeCCVDSVEuQ09QLklRX0VCSVRE</t>
  </si>
  <si>
    <t>QS4uMy8zMS8yMDE1LkwuLlVTRC5IAQAAAE+GBAACAAAABTE1NjU2AQgAAAAFAAAAATEBAAAACjE3ODkzNDYzOTMDAAAAAzE2MAIAAAAENDA1MQQAAAABMAcAAAAJMy8zMS8yMDE1CAAAAAkzLzMxLzIwMTUJAAAAATDk6WQqPSXeCOTpZCo9Jd4IJUNJUS5YT00uSVFfRUJJVERBLi4zLzMxLzIwMTUuTC4uVVNELkgBAAAAQjMGAAIAAAAFNDUwNzABCAAAAAUAAAABMQEAAAAKMTc4OTYxMTMzOQMAAAADMTYwAgAAAAQ0MDUxBAAAAAEwBwAAAAkzLzMxLzIwMTUIAAAACTMvMzEvMjAxNQkAAAABMOTpZCo9Jd4I5OlkKj0l3ggkQ0lRLkJQLklRX0VCSVREQS4uMy8zMS8yMDE1LkwuLlVTRC5IAQAAAOIEBgACAAAABTI2MzY2AQgAAAAFAAAAATEBAAAACjE4MDAzNTkwOTYDAAAAAzE2MAIAAAAENDA1MQQAAAABMAcAAAAJMy8zMS8yMDE1CAAAAAkzLzMxLzIwMTUJAAAAATDk6WQqPSXeCOTpZCo9Jd4IJUNJUS5EVk4uSVFfRUJJVERBLi4zLzMxLzIwMTUuTC4uVVNELkgBAAAADhEEAAIAAAAEODQ4NgEIAAAABQAAAAExAQAAAAoxODAxNjI3NzY2AwAAAAMxNjACAAAABDQwNTEEAAAAATAHAAAACTMvMzEvMjAxNQgAAAAJMy8zMS8yMDE1CQAAAAEw5OlkKj0l3gjk6WQqPSXeCCVDSVEuWE9NLklRX0VCSVREQS4uMy8zMS8yMDE5LkwuLlVTRC5IAQAAAEIzBgACAAAABTM3Nzc3AQgAAAAFAAAAATEBAAAACjIwMzM3NDQy</t>
  </si>
  <si>
    <t>U0QuSAEAAABcHQQAAgAAAAg3OTI5LjQxOQEIAAAABQAAAAExAQAAAAoxNzMzMzIxNzExAwAAAAMxNjACAAAABDQwNTEEAAAAATAHAAAACTMvMzEvMjAxNAgAAAAJMy8zMS8yMDE0CQAAAAEw5OlkKj0l3gjk6WQqPSXeCCVDSVEuQ09QLklRX0VCSVREQS4uMy8zMS8yMDE0LkwuLlVTRC5IAQAAAE+GBAACAAAABTIxODUyAQgAAAAFAAAAATEBAAAACjE3MzI1ODA5OTMDAAAAAzE2MAIAAAAENDA1MQQAAAABMAcAAAAJMy8zMS8yMDE0CAAAAAkzLzMxLzIwMTQJAAAAATDk6WQqPSXeCOTpZCo9Jd4IJUNJUS5DVlguSVFfRUJJVERBLi4zLzMxLzIwMTQuTC4uVVNELkgBAAAAyoABAAIAAAAFMzk4OTcBCAAAAAUAAAABMQEAAAAKMTczMjk0NjI2NQMAAAADMTYwAgAAAAQ0MDUxBAAAAAEwBwAAAAkzLzMxLzIwMTQIAAAACTMvMzEvMjAxNAkAAAABMOTpZCo9Jd4I5OlkKj0l3gglQ0lRLkRWTi5JUV9FQklUREEuLjMvMzEvMjAxNC5MLi5VU0QuSAEAAAAOEQQAAgAAAAQ2MTc4AQgAAAAFAAAAATEBAAAACjE3MzMwMDU5OTQDAAAAAzE2MAIAAAAENDA1MQQAAAABMAcAAAAJMy8zMS8yMDE0CAAAAAkzLzMxLzIwMTQJAAAAATDk6WQqPSXeCOTpZCo9Jd4IJENJUS5CUC5JUV9FQklUREEuLjMvMzEvMjAxNC5MLi5VU0QuSAEAAADiBAYAAgAAAAUzMTM4MAEIAAAABQAAAAExAQAAAAoxNzMwNjA1MTEwAwAAAAMxNjACAAAA</t>
  </si>
  <si>
    <t>BDQwNTEEAAAAATAHAAAACTMvMzEvMjAxNAgAAAAJMy8zMS8yMDE0CQAAAAEw5OlkKj0l3gjk6WQqPSXeCCVDSVEuRFZOLklRX0VCSVREQS4uMy8zMS8yMDEzLkwuLlVTRC5IAQAAAA4RBAACAAAABDQ1MTEBCAAAAAUAAAABMQEAAAAKMTY4OTg0MjQ0MAMAAAADMTYwAgAAAAQ0MDUxBAAAAAEwBwAAAAkzLzMxLzIwMTMIAAAACTMvMzEvMjAxMwkAAAABMOTpZCo9Jd4I5OlkKj0l3gglQ0lRLlhPTS5JUV9FQklUREEuLjMvMzEvMjAxMy5MLi5VU0QuSAEAAABCMwYAAgAAAAU2NDM2MgEIAAAABQAAAAExAQAAAAoxNjc1OTkwNzA2AwAAAAMxNjACAAAABDQwNTEEAAAAATAHAAAACTMvMzEvMjAxMwgAAAAJMy8zMS8yMDEzCQAAAAEw5OlkKj0l3gjk6WQqPSXeCCVDSVEuRU9HLklRX0VCSVREQS4uMy8zMS8yMDEzLkwuLlVTRC5IAQAAAFwdBAACAAAACDU5MjIuMTU4AQgAAAAFAAAAATEBAAAACjE2NzU3NTA2MDQDAAAAAzE2MAIAAAAENDA1MQQAAAABMAcAAAAJMy8zMS8yMDEzCAAAAAkzLzMxLzIwMTMJAAAAATDk6WQqPSXeCOTpZCo9Jd4IJUNJUS5DT1AuSVFfRUJJVERBLi4zLzMxLzIwMTMuTC4uVVNELkgBAAAAT4YEAAIAAAAFMjE5NTcBCAAAAAUAAAABMQEAAAAKMTY3NTc0OTg2MwMAAAADMTYwAgAAAAQ0MDUxBAAAAAEwBwAAAAkzLzMxLzIwMTMIAAAACTMvMzEvMjAxMwkAAAABMOTpZCo9Jd4I5OlkKj0l</t>
  </si>
  <si>
    <t>3gglQ0lRLkNWWC5JUV9FQklUREEuLjMvMzEvMjAxMy5MLi5VU0QuSAEAAADKgAEAAgAAAAU0NjE5NwEIAAAABQAAAAExAQAAAAoxNjc1MDQxNzA5AwAAAAMxNjACAAAABDQwNTEEAAAAATAHAAAACTMvMzEvMjAxMwgAAAAJMy8zMS8yMDEzCQAAAAEw5OlkKj0l3gjk6WQqPSXeCCRDSVEuQlAuSVFfRUJJVERBLi4zLzMxLzIwMTMuTC4uVVNELkgBAAAA4gQGAAIAAAAFMzU4MTQBCAAAAAUAAAABMQEAAAAKMTY3NDIzMzk1NQMAAAADMTYwAgAAAAQ0MDUxBAAAAAEwBwAAAAkzLzMxLzIwMTMIAAAACTMvMzEvMjAxMwkAAAABMOTpZCo9Jd4I5OlkKj0l3gglQ0lRLkRWTi5JUV9FQklUREEuLjkvMzAvMjAxNy5MLi5VU0QuSAEAAAAOEQQAAgAAAAQyMTA1AQgAAAAFAAAAATEBAAAACjE5MjAyODMzNzcDAAAAAzE2MAIAAAAENDA1MQQAAAABMAcAAAAJOS8zMC8yMDE3CAAAAAk5LzMwLzIwMTcJAAAAATDk6WQqPSXeCOTpZCo9Jd4IJUNJUS5FT0cuSVFfRUJJVERBLi45LzMwLzIwMTcuTC4uVVNELkgBAAAAXB0EAAIAAAAINDI2OS43NTUBCAAAAAUAAAABMQEAAAAKMTkxNzcyNDg2NAMAAAADMTYwAgAAAAQ0MDUxBAAAAAEwBwAAAAk5LzMwLzIwMTcIAAAACTkvMzAvMjAxNwkAAAABMOTpZCo9Jd4I5OlkKj0l3gglQ0lRLlhPTS5JUV9FQklUREEuLjkvMzAvMjAxNy5MLi5VU0QuSAEAAABCMwYAAgAAAAUzMDA0NAEI</t>
  </si>
  <si>
    <t>AAAABQAAAAExAQAAAAoxOTIwMDE4NTMwAwAAAAMxNjACAAAABDQwNTEEAAAAATAHAAAACTkvMzAvMjAxNwgAAAAJOS8zMC8yMDE3CQAAAAEw5OlkKj0l3gjk6WQqPSXeCCRDSVEuQlAuSVFfRUJJVERBLi45LzMwLzIwMTcuTC4uVVNELkgBAAAA4gQGAAIAAAAFMjMzNjkBCAAAAAUAAAABMQEAAAAKMTkxNjUzMzY2MwMAAAADMTYwAgAAAAQ0MDUxBAAAAAEwBwAAAAk5LzMwLzIwMTcIAAAACTkvMzAvMjAxNwkAAAABMOTpZCo9Jd4I5OlkKj0l3gglQ0lRLkNPUC5JUV9FQklUREEuLjkvMzAvMjAxNy5MLi5VU0QuSAEAAABPhgQAAgAAAAQ4NjY2AQgAAAAFAAAAATEBAAAACjE5MTczMTk3NDADAAAAAzE2MAIAAAAENDA1MQQAAAABMAcAAAAJOS8zMC8yMDE3CAAAAAk5LzMwLzIwMTcJAAAAATDk6WQqPSXeCOTpZCo9Jd4IJUNJUS5DVlguSVFfRUJJVERBLi45LzMwLzIwMTcuTC4uVVNELkgBAAAAyoABAAIAAAAFMjAyMTABCAAAAAUAAAABMQEAAAAKMTkyMDUzNTY5OAMAAAADMTYwAgAAAAQ0MDUxBAAAAAEwBwAAAAk5LzMwLzIwMTcIAAAACTkvMzAvMjAxNwkAAAABMOTpZCo9Jd4I5OlkKj0l3gglQ0lRLkRWTi5JUV9FQklUREEuLjkvMzAvMjAxNi5MLi5VU0QuSAEAAAAOEQQAAgAAAAQyMzY2AQgAAAAFAAAAATEBAAAACjE4NjM2ODMzOTIDAAAAAzE2MAIAAAAENDA1MQQAAAABMAcAAAAJOS8zMC8yMDE2CAAA</t>
  </si>
  <si>
    <t>AAk5LzMwLzIwMTYJAAAAATDk6WQqPSXeCOTpZCo9Jd4IJUNJUS5DT1AuSVFfRUJJVERBLi45LzMwLzIwMTYuTC4uVVNELkgBAAAAT4YEAAIAAAAEMzcyMQEIAAAABQAAAAExAQAAAAoxODYzNDYxMDc1AwAAAAMxNjACAAAABDQwNTEEAAAAATAHAAAACTkvMzAvMjAxNggAAAAJOS8zMC8yMDE2CQAAAAEw5OlkKj0l3gjk6WQqPSXeCCVDSVEuWE9NLklRX0VCSVREQS4uOS8zMC8yMDE2LkwuLlVTRC5IAQAAAEIzBgACAAAABTIzNjUwAQgAAAAFAAAAATEBAAAACjE4NjM2ODM0NDIDAAAAAzE2MAIAAAAENDA1MQQAAAABMAcAAAAJOS8zMC8yMDE2CAAAAAk5LzMwLzIwMTYJAAAAATDk6WQqPSXeCOTpZCo9Jd4IJENJUS5CUC5JUV9FQklUREEuLjkvMzAvMjAxNi5MLi5VU0QuSAEAAADiBAYAAgAAAAUxNTEwNAEIAAAABQAAAAExAQAAAAoxODYzMjA5NTU5AwAAAAMxNjACAAAABDQwNTEEAAAAATAHAAAACTkvMzAvMjAxNggAAAAJOS8zMC8yMDE2CQAAAAEw5OlkKj0l3gjk6WQqPSXeCCVDSVEuRU9HLklRX0VCSVREQS4uOS8zMC8yMDE2LkwuLlVTRC5IAQAAAFwdBAACAAAABzI0MDMuMTUBCAAAAAUAAAABMQEAAAAKMTg2Mzc3MDY0MQMAAAADMTYwAgAAAAQ0MDUxBAAAAAEwBwAAAAk5LzMwLzIwMTYIAAAACTkvMzAvMjAxNgkAAAABMOTpZCo9Jd4I5OlkKj0l3gglQ0lRLkNWWC5JUV9FQklUREEuLjkvMzAvMjAx</t>
  </si>
  <si>
    <t>LzIwMjUIAAAACTkvMzAvMjAyNQkAAAABMOTpZCo9Jd4I5OlkKj0l3ggtQ0lRLkVPRy5JUV9OSV8xWVJfQU5OX0dST1dUSC5JUV9MVE0uLkwuLlVTRC5IAQAAAFwdBAACAAAACC0yMi41NDkxAQgAAAAFAAAAATEBAAAACy0xOTE4MTY5MzE1AwAAAAMxNjACAAAABDQxOTkEAAAAATAHAAAACjExLzE2LzIwMjUIAAAACTkvMzAvMjAyNQkAAAABMOTpZCo9Jd4I5OlkKj0l3ggeQ0lRLkNPUC5JUV9OSS5JUV9MVE0uLkwuLlVTRC5IAQAAAE+GBAACAAAABDg4NTIBCAAAAAUAAAABMQEAAAALLTE5MTgwNDU0MjEDAAAAAzE2MAIAAAACMTUEAAAAATAHAAAACjExLzE2LzIwMjUIAAAACTkvMzAvMjAyNQkAAAABMOTpZCo9Jd4I5OlkKj0l3ggdQ0lRLkRWTi5JUV9OSS5JUV9DUS4uTC4uVVNELkgBAAAADhEEAAIAAAADNjg3AQgAAAAFAAAAATEBAAAACy0xOTE4MDI5MDU5AwAAAAMxNjACAAAAAjE1BAAAAAEwBwAAAAoxMS8xNi8yMDI1CAAAAAk5LzMwLzIwMjUJAAAAATDk6WQqPSXeCOTpZCo9Jd4IHUNJUS5FT0cuSVFfTkkuSVFfQ1EuLkwuLlVTRC5IAQAAAFwdBAACAAAABDE0NzEBCAAAAAUAAAABMQEAAAALLTE5MTgxNzEwMzUDAAAAAzE2MAIAAAACMTUEAAAAATAHAAAACjExLzE2LzIwMjUIAAAACTkvMzAvMjAyNQkAAAABMOTpZCo9Jd4I5OlkKj0l3ggoQ0lRLkNPUC5JUV9UT1RBTF9SRVZFTlVFLklRX0NRLi5M</t>
  </si>
  <si>
    <t>Li5VU0QuSAEAAABPhgQAAgAAAAUxNTM3NgEIAAAABQAAAAExAQAAAAstMTkxODA0ODE0NQMAAAADMTYwAgAAAAIyOAQAAAABMAcAAAAKMTEvMTYvMjAyNQgAAAAJOS8zMC8yMDI1CQAAAAEw5OlkKj0l3gjk6WQqPSXeCDNDSVEuQ09QLklRX1RPVEFMX1JFVl8xWVJfQU5OX0dST1dUSC5JUV9DUS4uTC4uVVNELkgBAAAAT4YEAAIAAAAHMTQuMDQ4MwEIAAAABQAAAAExAQAAAAstMTkxODA0ODE0NQMAAAADMTYwAgAAAAQ0MTk0BAAAAAEwBwAAAAoxMS8xNi8yMDI1CAAAAAk5LzMwLzIwMjUJAAAAATDk6WQqPSXeCOTpZCo9Jd4IKENJUS5FT0cuSVFfVE9UQUxfUkVWRU5VRS5JUV9DUS4uTC4uVVNELkgBAAAAXB0EAAIAAAAENTc0OQEIAAAABQAAAAExAQAAAAstMTkxODE3MTAzNQMAAAADMTYwAgAAAAIyOAQAAAABMAcAAAAKMTEvMTYvMjAyNQgAAAAJOS8zMC8yMDI1CQAAAAEw5OlkKj0l3gjk6WQqPSXeCB1DSVEuQ1ZYLklRX05JLklRX0NRLi5MLi5VU0QuSAEAAADKgAEAAgAAAAQzNTM5AQgAAAAFAAAAATEBAAAACy0xOTE4MDk4MDU5AwAAAAMxNjACAAAAAjE1BAAAAAEwBwAAAAoxMS8xNi8yMDI1CAAAAAk5LzMwLzIwMjUJAAAAATDk6WQqPSXeCOTpZCo9Jd4IHUNJUS5CUC5JUV9OSS5JUV9MVE0uLkwuLlVTRC5IAQAAAOIEBgACAAAABDE1MTgBCAAAAAUAAAABMQEAAAALLTE5MTg2NDY3MTMDAAAAAzE2</t>
  </si>
  <si>
    <t>MAIAAAACMTUEAAAAATAHAAAACjExLzE2LzIwMjUIAAAACTkvMzAvMjAyNQkAAAABMOTpZCo9Jd4I5OlkKj0l3ggeQ0lRLkVPRy5JUV9OSS5JUV9MVE0uLkwuLlVTRC5IAQAAAFwdBAACAAAABDU1MzABCAAAAAUAAAABMQEAAAALLTE5MTgxNjkzMTUDAAAAAzE2MAIAAAACMTUEAAAAATAHAAAACjExLzE2LzIwMjUIAAAACTkvMzAvMjAyNQkAAAABMOTpZCo9Jd4I5OlkKj0l3ggpQ0lRLkVPRy5JUV9UT1RBTF9SRVZFTlVFLklRX0xUTS4uTC4uVVNELkgBAAAAXB0EAAIAAAAFMjI2NTQBCAAAAAUAAAABMQEAAAALLTE5MTgxNjkzMTUDAAAAAzE2MAIAAAACMjgEAAAAATAHAAAACjExLzE2LzIwMjUIAAAACTkvMzAvMjAyNQkAAAABMOTpZCo9Jd4I5OlkKj0l3ggeQ0lRLkNWWC5JUV9OSS5JUV9MVE0uLkwuLlVTRC5IAQAAAMqAAQACAAAABTEyNzY4AQgAAAAFAAAAATEBAAAACy0xOTE4MDk2MzIwAwAAAAMxNjACAAAAAjE1BAAAAAEwBwAAAAoxMS8xNi8yMDI1CAAAAAk5LzMwLzIwMjUJAAAAATDk6WQqPSXeCOTpZCo9Jd4ILUNJUS5DT1AuSVFfTklfMVlSX0FOTl9HUk9XVEguSVFfTFRNLi5MLi5VU0QuSAEAAABPhgQAAgAAAAgtMTAuOTk5NAEIAAAABQAAAAExAQAAAAstMTkxODA0NTQyMQMAAAADMTYwAgAAAAQ0MTk5BAAAAAEwBwAAAAoxMS8xNi8yMDI1CAAAAAk5LzMwLzIwMjUJAAAAATDk6WQqPSXeCOTp</t>
  </si>
  <si>
    <t>ZCo9Jd4ILENJUS5DVlguSVFfTklfMVlSX0FOTl9HUk9XVEguSVFfQ1EuLkwuLlVTRC5IAQAAAMqAAQACAAAACC0yMS4xMjc4AQgAAAAFAAAAATEBAAAACy0xOTE4MDk4MDU5AwAAAAMxNjACAAAABDQxOTkEAAAAATAHAAAACjExLzE2LzIwMjUIAAAACTkvMzAvMjAyNQkAAAABMOTpZCo9Jd4I5OlkKj0l3ggcQ0lRLkJQLklRX05JLklRX0NRLi5MLi5VU0QuSAEAAADiBAYAAgAAAAQxMTYxAQgAAAAFAAAAATEBAAAACy0xOTE4NjQ2NzQzAwAAAAMxNjACAAAAAjE1BAAAAAEwBwAAAAoxMS8xNi8yMDI1CAAAAAk5LzMwLzIwMjUJAAAAATDk6WQqPSXeCOTpZCo9Jd4IKENJUS5YT00uSVFfVE9UQUxfUkVWRU5VRS5JUV9DUS4uTC4uVVNELkgBAAAAQjMGAAIAAAAFODMzMzEBCAAAAAUAAAABMQEAAAALLTE5MTg2NzUzMzIDAAAAAzE2MAIAAAACMjgEAAAAATAHAAAACjExLzE2LzIwMjUIAAAACTkvMzAvMjAyNQkAAAABMOTpZCo9Jd4I5OlkKj0l3ggzQ0lRLkVPRy5JUV9UT1RBTF9SRVZfMVlSX0FOTl9HUk9XVEguSVFfQ1EuLkwuLlVTRC5IAQAAAFwdBAACAAAABy0yLjQ0MzYBCAAAAAUAAAABMQEAAAALLTE5MTgxNzEwMzUDAAAAAzE2MAIAAAAENDE5NAQAAAABMAcAAAAKMTEvMTYvMjAyNQgAAAAJOS8zMC8yMDI1CQAAAAEw5OlkKj0l3gjk6WQqPSXeCDNDSVEuWE9NLklRX1RPVEFMX1JFVl8xWVJfQU5OX0dS</t>
  </si>
  <si>
    <t>T1dUSC5JUV9DUS4uTC4uVVNELkgBAAAAQjMGAAIAAAAHLTUuMDgxNAEIAAAABQAAAAExAQAAAAstMTkxODY3NTMzMgMAAAADMTYwAgAAAAQ0MTk0BAAAAAEwBwAAAAoxMS8xNi8yMDI1CAAAAAk5LzMwLzIwMjUJAAAAATDk6WQqPSXeCOTpZCo9Jd4ILUNJUS5EVk4uSVFfTklfMVlSX0FOTl9HUk9XVEguSVFfTFRNLi5MLi5VU0QuSAEAAAAOEQQAAgAAAAgtMjAuMTIzNAEIAAAABQAAAAExAQAAAAstMTkxODAyNzQzNQMAAAADMTYwAgAAAAQ0MTk5BAAAAAEwBwAAAAoxMS8xNi8yMDI1CAAAAAk5LzMwLzIwMjUJAAAAATDk6WQqPSXeCOTpZCo9Jd4INENJUS5EVk4uSVFfVE9UQUxfUkVWXzFZUl9BTk5fR1JPV1RILklRX0xUTS4uTC4uVVNELkgBAAAADhEEAAIAAAAHMTMuOTM3NgEIAAAABQAAAAExAQAAAAstMTkxODAyNzQzNQMAAAADMTYwAgAAAAQ0MTk0BAAAAAEwBwAAAAoxMS8xNi8yMDI1CAAAAAk5LzMwLzIwMjUJAAAAATDk6WQqPSXeCOTpZCo9Jd4IHUNJUS5YT00uSVFfTkkuSVFfQ1EuLkwuLlVTRC5IAQAAAEIzBgACAAAABDc1NDgBCAAAAAUAAAABMQEAAAALLTE5MTg2NzUzMzIDAAAAAzE2MAIAAAACMTUEAAAAATAHAAAACjExLzE2LzIwMjUIAAAACTkvMzAvMjAyNQkAAAABMOTpZCo9Jd4I5OlkKj0l3ggpQ0lRLkNWWC5JUV9UT1RBTF9SRVZFTlVFLklRX0xUTS4uTC4uVVNELkgBAAAAyoABAAIA</t>
  </si>
  <si>
    <t>AAAGMTg4Njg3AQgAAAAFAAAAATEBAAAACy0xOTE4MDk2MzIwAwAAAAMxNjACAAAAAjI4BAAAAAEwBwAAAAoxMS8xNi8yMDI1CAAAAAk5LzMwLzIwMjUJAAAAATDk6WQqPSXeCOTpZCo9Jd4IKUNJUS5YT00uSVFfVE9UQUxfUkVWRU5VRS5JUV9MVE0uLkwuLlVTRC5IAQAAAEIzBgACAAAABjMyNjI0NQEIAAAABQAAAAExAQAAAAstMTkxODY1NTA1NwMAAAADMTYwAgAAAAIyOAQAAAABMAcAAAAKMTEvMTYvMjAyNQgAAAAJOS8zMC8yMDI1CQAAAAEw5OlkKj0l3gjk6WQqPSXeCB5DSVEuRFZOLklRX05JLklRX0xUTS4uTC4uVVNELkgBAAAADhEEAAIAAAAEMjcxOQEIAAAABQAAAAExAQAAAAstMTkxODAyNzQzNQMAAAADMTYwAgAAAAIxNQQAAAABMAcAAAAKMTEvMTYvMjAyNQgAAAAJOS8zMC8yMDI1CQAAAAEw5OlkKj0l3gjk6WQqPSXeCB1DSVEuQ09QLklRX05JLklRX0NRLi5MLi5VU0QuSAEAAABPhgQAAgAAAAQxNzI2AQgAAAAFAAAAATEBAAAACy0xOTE4MDQ4MTQ1AwAAAAMxNjACAAAAAjE1BAAAAAEwBwAAAAoxMS8xNi8yMDI1CAAAAAk5LzMwLzIwMjUJAAAAATDk6WQqPSXeCOTpZCo9Jd4IM0NJUS5DVlguSVFfVE9UQUxfUkVWXzFZUl9BTk5fR1JPV1RILklRX0NRLi5MLi5VU0QuSAEAAADKgAEAAgAAAActMS4zNTM5AQgAAAAFAAAAATEBAAAACy0xOTE4MDk4MDU5AwAAAAMxNjACAAAABDQxOTQEAAAA</t>
  </si>
  <si>
    <t>ATAHAAAACjExLzE2LzIwMjUIAAAACTkvMzAvMjAyNQkAAAABMOTpZCo9Jd4I5OlkKj0l3ggsQ0lRLkNPUC5JUV9OSV8xWVJfQU5OX0dST1dUSC5JUV9DUS4uTC4uVVNELkgBAAAAT4YEAAIAAAAILTE2LjE3MjkBCAAAAAUAAAABMQEAAAALLTE5MTgwNDgxNDUDAAAAAzE2MAIAAAAENDE5OQQAAAABMAcAAAAKMTEvMTYvMjAyNQgAAAAJOS8zMC8yMDI1CQAAAAEw5OlkKj0l3gjk6WQqPSXeCDNDSVEuQlAuSVFfVE9UQUxfUkVWXzFZUl9BTk5fR1JPV1RILklRX0xUTS4uTC4uVVNELkgBAAAA4gQGAAIAAAAHLTQuMTIyNwEIAAAABQAAAAExAQAAAAstMTkxODY0NjcxMwMAAAADMTYwAgAAAAQ0MTk0BAAAAAEwBwAAAAoxMS8xNi8yMDI1CAAAAAk5LzMwLzIwMjUJAAAAATDk6WQqPSXeCOTpZCo9Jd4ILENJUS5EVk4uSVFfTklfMVlSX0FOTl9HUk9XVEguSVFfQ1EuLkwuLlVTRC5IAQAAAA4RBAACAAAACC0xNS4zOTQxAQgAAAAFAAAAATEBAAAACy0xOTE4MDI5MDU5AwAAAAMxNjACAAAABDQxOTkEAAAAATAHAAAACjExLzE2LzIwMjUIAAAACTkvMzAvMjAyNQkAAAABMOTpZCo9Jd4I5OlkKj0l3gg0Q0lRLkVPRy5JUV9UT1RBTF9SRVZfMVlSX0FOTl9HUk9XVEguSVFfTFRNLi5MLi5VU0QuSAEAAABcHQQAAgAAAActNS4wNzA0AQgAAAAFAAAAATEBAAAACy0xOTE4MTY5MzE1AwAAAAMxNjACAAAABDQxOTQEAAAA</t>
  </si>
  <si>
    <t>ATAHAAAACjExLzE2LzIwMjUIAAAACTkvMzAvMjAyNQkAAAABMOTpZCo9Jd4I5OlkKj0l3ggrQ0lRLkJQLklRX05JXzFZUl9BTk5fR1JPV1RILklRX0NRLi5MLi5VU0QuSAEAAADiBAYAAgAAAAg0NjMuNTkyMgEIAAAABQAAAAExAQAAAAstMTkxODY0Njc0MwMAAAADMTYwAgAAAAQ0MTk5BAAAAAEwBwAAAAoxMS8xNi8yMDI1CAAAAAk5LzMwLzIwMjUJAAAAATDk6WQqPSXeCOTpZCo9Jd4INENJUS5DVlguSVFfVE9UQUxfUkVWXzFZUl9BTk5fR1JPV1RILklRX0xUTS4uTC4uVVNELkgBAAAAyoABAAIAAAAHLTEuNTY2MQEIAAAABQAAAAExAQAAAAstMTkxODA5NjMyMAMAAAADMTYwAgAAAAQ0MTk0BAAAAAEwBwAAAAoxMS8xNi8yMDI1CAAAAAk5LzMwLzIwMjUJAAAAATDk6WQqPSXeCOTpZCo9Jd4ILENJUS5FT0cuSVFfTklfMVlSX0FOTl9HUk9XVEguSVFfQ1EuLkwuLlVTRC5IAQAAAFwdBAACAAAACC0xMi4wNzQyAQgAAAAFAAAAATEBAAAACy0xOTE4MTcxMDM1AwAAAAMxNjACAAAABDQxOTkEAAAAATAHAAAACjExLzE2LzIwMjUIAAAACTkvMzAvMjAyNQkAAAABMOTpZCo9Jd4I5OlkKj0l3ggoQ0lRLkJQLklRX1RPVEFMX1JFVkVOVUUuSVFfTFRNLi5MLi5VU0QuSAEAAADiBAYAAgAAAAYxODU5MzQBCAAAAAUAAAABMQEAAAALLTE5MTg2NDY3MTMDAAAAAzE2MAIAAAACMjgEAAAAATAHAAAACjExLzE2LzIw</t>
  </si>
  <si>
    <t>MjUIAAAACTkvMzAvMjAyNQkAAAABMOTpZCo9Jd4I5OlkKj0l3ggsQ0lRLlhPTS5JUV9OSV8xWVJfQU5OX0dST1dUSC5JUV9DUS4uTC4uVVNELkgBAAAAQjMGAAIAAAAILTEyLjMzNDUBCAAAAAUAAAABMQEAAAALLTE5MTg2NzUzMzIDAAAAAzE2MAIAAAAENDE5OQQAAAABMAcAAAAKMTEvMTYvMjAyNQgAAAAJOS8zMC8yMDI1CQAAAAEw5OlkKj0l3gjk6WQqPSXeCClDSVEuQ09QLklRX1RPVEFMX1JFVkVOVUUuSVFfTFRNLi5MLi5VU0QuSAEAAABPhgQAAgAAAAU2MTI4MAEIAAAABQAAAAExAQAAAAstMTkxODA0NTQyMQMAAAADMTYwAgAAAAIyOAQAAAABMAcAAAAKMTEvMTYvMjAyNQgAAAAJOS8zMC8yMDI1CQAAAAEw5OlkKj0l3gjk6WQqPSXeCDRDSVEuWE9NLklRX1RPVEFMX1JFVl8xWVJfQU5OX0dST1dUSC5JUV9MVE0uLkwuLlVTRC5IAQAAAEIzBgACAAAABy00LjU2MzUBCAAAAAUAAAABMQEAAAALLTE5MTg2NTUwNTcDAAAAAzE2MAIAAAAENDE5NAQAAAABMAcAAAAKMTEvMTYvMjAyNQgAAAAJOS8zMC8yMDI1CQAAAAEw5OlkKj0l3gjk6WQqPSXeCB5DSVEuWE9NLklRX05JLklRX0xUTS4uTC4uVVNELkgBAAAAQjMGAAIAAAAFMjk5NTMBCAAAAAUAAAABMQEAAAALLTE5MTg2NTUwNTcDAAAAAzE2MAIAAAACMTUEAAAAATAHAAAACjExLzE2LzIwMjUIAAAACTkvMzAvMjAyNQkAAAABMOTpZCo9Jd4I5Olk</t>
  </si>
  <si>
    <t>Kj0l3ggoQ0lRLkRWTi5JUV9UT1RBTF9SRVZFTlVFLklRX0NRLi5MLi5VU0QuSAEAAAAOEQQAAgAAAAQ0MDY3AQgAAAAFAAAAATEBAAAACy0xOTE4MDI5MDU5AwAAAAMxNjACAAAAAjI4BAAAAAEwBwAAAAoxMS8xNi8yMDI1CAAAAAk5LzMwLzIwMjUJAAAAATDk6WQqPSXeCOTpZCo9Jd4IM0NJUS5EVk4uSVFfVE9UQUxfUkVWXzFZUl9BTk5fR1JPV1RILklRX0NRLi5MLi5VU0QuSAEAAAAOEQQAAgAAAAY3LjExMDgBCAAAAAUAAAABMQEAAAALLTE5MTgwMjkwNTkDAAAAAzE2MAIAAAAENDE5NAQAAAABMAcAAAAKMTEvMTYvMjAyNQgAAAAJOS8zMC8yMDI1CQAAAAEw5OlkKj0l3gjk6WQqPSXeCC1DSVEuQ1ZYLklRX05JXzFZUl9BTk5fR1JPV1RILklRX0xUTS4uTC4uVVNELkgBAAAAyoABAAIAAAAILTIzLjQ1NzkBCAAAAAUAAAABMQEAAAALLTE5MTgwOTYzMjADAAAAAzE2MAIAAAAENDE5OQQAAAABMAcAAAAKMTEvMTYvMjAyNQgAAAAJOS8zMC8yMDI1CQAAAAEw5OlkKj0l3gjk6WQqPSXeCCdDSVEuQlAuSVFfVE9UQUxfUkVWRU5VRS5JUV9DUS4uTC4uVVNELkgBAAAA4gQGAAIAAAAFNDgzODYBCAAAAAUAAAABMQEAAAALLTE5MTg2NDY3NDMDAAAAAzE2MAIAAAACMjgEAAAAATAHAAAACjExLzE2LzIwMjUIAAAACTkvMzAvMjAyNQkAAAABMOTpZCo9Jd4I5OlkKj0l3ggyQ0lRLkJQLklRX1RPVEFMX1JFVl8x</t>
  </si>
  <si>
    <t>WVJfQU5OX0dST1dUSC5JUV9DUS4uTC4uVVNELkgBAAAA4gQGAAIAAAAGMi40NjI3AQgAAAAFAAAAATEBAAAACy0xOTE4NjQ2NzQzAwAAAAMxNjACAAAABDQxOTQEAAAAATAHAAAACjExLzE2LzIwMjUIAAAACTkvMzAvMjAyNQkAAAABMOTpZCo9Jd4I5OlkKj0l3ggtQ0lRLlhPTS5JUV9OSV8xWVJfQU5OX0dST1dUSC5JUV9MVE0uLkwuLlVTRC5IAQAAAEIzBgACAAAACC0xMS4xMTg3AQgAAAAFAAAAATEBAAAACy0xOTE4NjU1MDU3AwAAAAMxNjACAAAABDQxOTkEAAAAATAHAAAACjExLzE2LzIwMjUIAAAACTkvMzAvMjAyNQkAAAABMOTpZCo9Jd4I5OlkKj0l3ghQQ0lRUkFOR0VWLkRWTi5JUV9DTE9TRVBSSUNFX0FESi4xMS8xMi8yMDIwLjExLzEyLzIwMjUuLi5ERVNDLlcuSVFfQ0xPU0VQUklDRV9BREoEAAAADhEEAAUBAAACAAAABDMzLjcCAAAABTMyLjQ5AgAAAAUzMi45NwIAAAAFMzEuNzQCAAAABDMyLjUCAAAABTM0LjU2AgAAAAUzNi45OQIAAAAFMzMuOTYCAAAABTM0LjUzAgAAAAkzNC41MjAwNjkCAAAACDM1Ljg1MDgyAgAAAAkzNC45MTczMDgCAAAACTMzLjQ1NzQ1NQIAAAAJMzMuMDUwMjg1AgAAAAkzMS45MTgxNTQCAAAACTMyLjcxMjYzMgIAAAAJMzIuNjIzMjUzAgAAAAkzMy43MzU1MjICAAAACDMzLjAwMDYzAgAAAAkzMi4wMjczOTQCAAAACTM0LjA1MzMxMwIAAAAJMzQuODY3NjUzAgAA</t>
  </si>
  <si>
    <t>AAkzMS44NDI5MzgCAAAACTI5Ljg0MTA0NAIAAAAJMzAuNzI4NTgzAgAAAAkzMi43OTk1MDgCAAAACTMyLjA3OTYxNQIAAAAJMzEuMDA0NzA2AgAAAAkzMC45MTU5NTICAAAACTI5Ljg5MDM1MQIAAAAIMjcuODM5MTUCAAAACTI4LjkwNDE5NwIAAAAIMzYuMjUxMDUCAAAACTM1LjY0OTQ5NQIAAAAJMzQuMDcxNjQ4AgAAAAkzMy45ODYzMTECAAAACTM1LjQ2NDgyOQIAAAAIMzYuNzA4MzUCAAAACTMzLjkxNzc3MQIAAAAJMzIuNDU4ODM3AgAAAAgzMy4zODkwMwIAAAAJMzUuMjEwMjQ5AgAAAAkzNy4xNTg3NTkCAAAACTM1LjIzOTYyNAIAAAAJMzMuMjIyNTc0AgAAAAkzMC41NDk0OTMCAAAACTMwLjEyODQ1OQIAAAAJMzMuMTczNjE3AgAAAAkzNC4wMzk2MzICAAAACTM2LjkxOTIzNgIAAAAJMzguMzc4NDk0AgAAAAkzNy40MjUxMTICAAAACTM3LjgxNDI0NwIAAAAJMzcuMjc5MTg2AgAAAAkzOC4xMjU1NTYCAAAACTM5LjU1NTYyOQIAAAAJNDEuNzkzMTU4AgAAAAk0MS4yNjc4MjUCAAAACTM3LjkwMTgwMwIAAAAJMzkuNjgyMDk4AgAAAAkzOC4zNzg0OTQCAAAACTM5Ljc3NDg4MQIAAAAJNDMuMDg0NjQ0AgAAAAk0My4wMDc2NzMCAAAACTQzLjM4MjkwNwIAAAAJNDMuMjE5MzQ0AgAAAAk0MS4xNjk5ODUCAAAACTQ0LjU4NTU4MwIAAAAJNDUuOTMyNTc5AgAAAAk0NC43MjAyODICAAAACDQ1LjI0OTQ2AgAA</t>
  </si>
  <si>
    <t>AAk0NS42MDU0NTICAAAACDQ0LjA4NTI3AgAAAAk0My44MzUxMTMCAAAACTQ0LjY3NDIxNwIAAAAJNDYuODYwNjY2AgAAAAg0NS45NzI3MgIAAAAJNDcuMzc2MjQ4AgAAAAk0Ny44NTM2MzkCAAAACTQ4LjI1NDY0NwIAAAAJNTAuMzI2NTIyAgAAAAk0OS40ODYzMTUCAAAACTUxLjAwNDQxNwIAAAAHNTAuODYxMgIAAAAJNDcuOTEwOTI2AgAAAAk0Ni4xODI3NzICAAAACTQ1LjQ2NjY4NgIAAAAJNDMuNjYzNjc3AgAAAAk0MS45ODkzOTkCAAAACTQxLjUwNjk3OQIAAAAJNDEuMTA5NjkzAgAAAAkzOS4zNDA4MjICAAAACTM5LjA2NjUwNQIAAAAINDAuMzE1MTICAAAACTM4Ljc1NDM1MQIAAAAJNDAuNDU3MDA4AgAAAAk0My40NTU1NzUCAAAACTQyLjg1MDE4NgIAAAAJNDMuMzMyNjA1AgAAAAg0Mi40NDM0NAIAAAAJNDAuOTc5NDA1AgAAAAg0MS45ODMyMQIAAAAJNDIuMTUwNTExAgAAAAk0Mi4xNTk4MDUCAAAACTQyLjQwMTQ2MgIAAAAJNDQuMDAwMTE0AgAAAAk0My40NzAzMjgCAAAACTQ0LjkxMDk3NAIAAAAJNDQuOTc2MDM2AgAAAAg0MC42MTY5MgIAAAAJNDQuMzM0NzE2AgAAAAk0My4zMDMwMjgCAAAACTQ2LjE3NTAyNQIAAAAINDguNDcxMjgCAAAACTQ4LjcxMDU5OQIAAAAINDYuNDE4NjYCAAAACTQ2LjAxMzY1OQIAAAAJNDYuNDAwMjUxAgAAAAk0Ni43NTkyMjkCAAAACTQ4Ljc4NDIzNQIAAAAJNDgu</t>
  </si>
  <si>
    <t>MTAzMDk3AgAAAAg0NS4wMTAzNgIAAAAJNDQuOTY0MzM3AgAAAAk0NC40OTQ5MDQCAAAACDQzLjM5OTU2AgAAAAk0NS44Mzg3NzICAAAACTQ1LjI0NzMxNAIAAAAJNDQuMDMxNTI1AgAAAAk0My42MTQxNjQCAAAACTQ0LjYzOTQxOQIAAAAJNDMuMTE1MTQ2AgAAAAk0NS42OTE4OTMCAAAACDQ4LjQ3NzMyAgAAAAk0OC42NTg3ODECAAAACTUwLjUzNjkwMwIAAAAJNDguMDA1NTIyAgAAAAg0NS45MTg3MgIAAAAJNDIuMjUzMjA2AgAAAAk0MS44NzIxMzgCAAAACDQ2LjEyNTg2AgAAAAk1MC41MDE0MDECAAAACTQ5LjAxMzE4MgIAAAAJNDcuNTI0OTY0AgAAAAk1Ni42MjM1OTMCAAAACTU0LjIyNjQwMwIAAAAINTguMTY1MjgCAAAACTU3LjcwMTg4MwIAAAAINTYuNjY4MTUCAAAACTU0LjU2NTAzOQIAAAAJNTQuODE0NTYxAgAAAAg1NS43MDU3MQIAAAAJNTMuNTQwMjE4AgAAAAg1My4xMzAyOQIAAAAJNTkuNzExMDIzAgAAAAk1OS42MTUwODECAAAACTYwLjcyMjc3OQIAAAAJNjIuNjI0MTgyAgAAAAk2Mi4zNDUwNzcCAAAACTY2LjI5NjE1NwIAAAAJNjQuNzk1OTY3AgAAAAk1OS4zMjcyNTQCAAAACDYyLjgzMzUxAgAAAAk1Mi40NDU1NzICAAAACTUwLjMxNzM5NgIAAAAINTguMjgwNjECAAAACTU5Ljc1NDYzNAIAAAAJNTkuOTcwNzk2AgAAAAk2Mi4wNDI1NzYCAAAACTU4LjQxMDU2NgIAAAAJNTUuODg2OTE2</t>
  </si>
  <si>
    <t>AgAAAAk0OC4yOTg5MTQCAAAACTUzLjU4NDkzOAIAAAAINDcuMDU0MTQCAAAACTQ0LjkzOTczMQIAAAAJNDYuNDQ4ODA1AgAAAAk0Ni45ODU5MzMCAAAACDQ1Ljg0MzQ3AgAAAAk0OS40NjY5NTQCAAAACDYzLjE0MjQxAgAAAAk2NC41OTQ4MjICAAAACTYzLjU3MTYzOAIAAAAJNTguNjQwMjIzAgAAAAk1Ny42MTcwMzgCAAAACTU4LjQ0NzMyOAIAAAAINDguNzg1NzgCAAAACTQ4LjcwMTkxMwIAAAAJNTIuNDY3NTY4AgAAAAg1Mi4zMDgyMgIAAAAJNTAuNjE0MDk0AgAAAAk1Mi40MTcyNDcCAAAACTQ4Ljg2OTY0OAIAAAAJNDkuMTc5OTU4AgAAAAk0OS4xMzUwOTcCAAAACTQ1LjUzMDU5MgIAAAAJNDUuMTg0MTY0AgAAAAk0NC42MzE1MjgCAAAACTQzLjYwODczOQIAAAAJNDIuNTE5OTY0AgAAAAgzOC4wNDExNAIAAAAJNDEuNTYzMTYyAgAAAAk0MC4zMjU5MTcCAAAACTM2LjMzMzc0MgIAAAAJMzQuNjg0MDgzAgAAAAkzMi4zMzMzMTkCAAAABzM1LjgxNDECAAAACTMzLjgwODcxNwIAAAAJMzQuNTYxNDYxAgAAAAkzMi44NjE3MTcCAAAACTM0LjQ2NDMzMwIAAAAJMzUuMjczNzM0AgAAAAkzMi40NDA4MjgCAAAACTMyLjczMjIxMwIAAAAJMzIuNDU3MDE2AgAAAAkzMi4yNjI3NTkCAAAACTI5Ljc5NDA4NAIAAAAJMjYuNzgzMTA5AgAAAAkyNC4xMTIwODICAAAACTIyLjcxOTkxMQIAAAAJMjMuMjAzNjA5AgAA</t>
  </si>
  <si>
    <t>AADiBAYABQEAAAIAAAAJMzYuMDg0NTgxAgAAAAkzNC42NTQyMTkCAAAACDM0LjA3MjIxAgAAAAkzMi42ODEzMDYCAAAACDMzLjAzNjQzAgAAAAkzMy42OTczNTYCAAAACTM1LjIwNjYzNQIAAAAJMzMuNjU3ODk4AgAAAAkzMy40MzEwMTMCAAAACTMzLjQ3MDQ3MQIAAAAJMzQuNzUyODY1AgAAAAkzNC4yNjk1MDECAAAACTMzLjg2NTA1NAIAAAAJMzMuMTk3MTU3AgAAAAkzMC44NzMxNjICAAAACTMxLjMxMDczNAIAAAAJMzEuMTA2NTMzAgAAAAkzMS43Mzg1ODICAAAACTMwLjA3NTgwNwIAAAAJMjkuNTAyMTAxAgAAAAgzMC4zODY5NwIAAAAIMzAuODQzOTkCAAAACTI4LjQ4MTA5OQIAAAAJMjguMjk2MzQ2AgAAAAkyOC4yODY2MjMCAAAACTI4LjkzODExOQIAAAAJMjguNDkxMTc3AgAAAAkyNi45MTIwNTUCAAAACTI3LjkzNjA5MgIAAAAJMjcuMTAzNDY0AgAAAAkyNS40NDc3NzkCAAAACTI3LjE2MDg4NwIAAAAJMzIuNDA1NDgzAgAAAAkzMy4wNjU4NDMCAAAACTMxLjk1NTY3MwIAAAAJMzAuNjkyMzc2AgAAAAkzMS42OTcyNzICAAAACTMyLjQzNDE5NQIAAAAJMzMuMDM3MzI1AgAAAAkzMC40NjA0MTQCAAAACTI5LjMxODI2NgIAAAAJMjkuNjg2Mzk3AgAAAAkyOS45MTI5MzgCAAAACTI5LjUzNTM2OQIAAAAJMjguNzYxMzUyAgAAAAkyNy4zMzYwMjcCAAAACTI2Ljk5NjIxNAIAAAAJMjguMjk4ODI5AgAA</t>
  </si>
  <si>
    <t>AAkyNy4wOTA2MDcCAAAABzI3LjY2NjQCAAAACTI4LjA1MzQwOQIAAAAJMjcuMzU0OTA1AgAAAAkyNy4zMDc3MDkCAAAACTI3LjE1ODIxMwIAAAAJMjkuMjg1OTAxAgAAAAkyOS4xMDkzNjgCAAAACTI5LjgzNDA4MgIAAAAJMzAuNTQ5NTA2AgAAAAkyOS4xOTI5ODkCAAAACTMwLjMyNjUxNgIAAAAJMjkuNTgzMjE5AgAAAAkyOS42Mzg5NjcCAAAACTMxLjU1Mjk1NgIAAAAJMzEuNjkyMzI1AgAAAAkzMS42OTIzMjUCAAAACTMwLjkwMjU3MgIAAAAJMzEuMjE1NDc3AgAAAAkzMi4yODcxMzYCAAAACTMyLjQwNjIwOQIAAAAJMzIuMjMyMTc5AgAAAAgzMy45MzU4NAIAAAAJMzMuMDY1NjkxAgAAAAkzMi41MjUyODICAAAACTMxLjk1NzM5NQIAAAAJMzIuMjk2Mjk1AgAAAAkzNC40MTIxMzMCAAAACTMzLjYzMzU3OAIAAAAJMzQuMzM4ODU3AgAAAAkzNC4yNjM2NDUCAAAACTM1LjA0MjM2NQIAAAAIMzUuNzM5NTkCAAAACTM0Ljg3OTM3NwIAAAAJMzUuNzEyNDI1AgAAAAkzNS4wMDYxNDUCAAAACTM0LjExODc2NwIAAAAJMzQuMjI3NDI2AgAAAAkzMy45NDY3MjUCAAAACTMyLjk2ODc5OAIAAAAJMzIuMjcxNTczAgAAAAkzMi4wMzYxNDYCAAAACDMyLjA5OTUzAgAAAAkzMi41MjY1MjcCAAAACTMwLjk4Nzg2OAIAAAAJMzEuODczNDkxAgAAAAkzMC4yODExNTkCAAAACTMxLjE4NDY3MwIAAAAJMzIuMjMxMzE5AgAA</t>
  </si>
  <si>
    <t>AAgzMS42Njc3NAIAAAAJMzEuNjA1MTIxAgAAAAkzMS4xMzk5NDUCAAAACTMxLjU3ODI4NAIAAAAIMzIuMTg2NTkCAAAACTMyLjA0MzQ1OQIAAAAHMzEuODU1NgIAAAAJMzEuMzgxNDc4AgAAAAkzMS45ODMyODkCAAAACTM0LjEzOTA2OQIAAAAIMzQuOTk2MDgCAAAACTM1LjM0OTQ4NgIAAAAJMzIuOTI4NjUxAgAAAAgzNC4yMDk3NQIAAAAJMzMuOTYyMzY1AgAAAAkzNC4yMzYyNTYCAAAACTM0LjE2NTU3NAIAAAAJMzMuNjg4NDc1AgAAAAkzMS45MzkxMTMCAAAACDMyLjAxODYzAgAAAAkzMi43Nzg0NTQCAAAACTMyLjEzODczOQIAAAAJMzIuMDYwMTM5AgAAAAkzMi4wNTE0MDUCAAAACDMxLjAyMDg3AgAAAAkzMC43ODUwNjkCAAAACTMwLjgyMDAwMgIAAAAJMzAuNDAwODAyAgAAAAkzMC44NzI0MDMCAAAACTMwLjk3NzIwMwIAAAAJMzEuMTM0NDAzAgAAAAgzMS4wNDcwNwIAAAAJMzEuNDY2MjcxAgAAAAkzMS4yNzQxMzcCAAAACTMyLjA4MTQwNQIAAAAJMzQuODAzMDk3AgAAAAkzNC4yNTAxMTgCAAAACTM1LjA2MjMwNgIAAAAJMzQuMTM3Nzk1AgAAAAkzMi43ODEyNjkCAAAACTMxLjAwMTM2OAIAAAAJMzAuMzg3OTA4AgAAAAgzMy43MDU3OAIAAAAJMzQuNzUxMjU1AgAAAAgzNC4zMDE5NgIAAAAJMzQuNTc4NDQ5AgAAAAkzNC43ODYzMzgCAAAACTMwLjA3OTY5OQIAAAAIMzEuMDgwOTMCAAAACTMwLjM3</t>
  </si>
  <si>
    <t>OTIxMgIAAAAJMzAuNDMwNTU4AgAAAAgyOS40ODkyMwIAAAAJMjkuODkxNDM0AgAAAAkyOS45NTk4OTQCAAAACTI4LjgyMTc0MwIAAAAJMjguODQ3NDE2AgAAAAkzMC4yNTk0MDcCAAAACTMwLjE4MjM4OQIAAAAJMjkuMTI5ODE0AgAAAAkyOC45NTg2NjMCAAAACDI4LjcyMTMxAgAAAAkyOC4wNjkzMjMCAAAACTI2LjU1MzY2NAIAAAAJMjUuNjgxNTI2AgAAAAkyNi4zMTY1NzgCAAAACTI0LjE3NDMzNAIAAAAJMjMuNzc2MzY4AgAAAAkyNi4yNTczMDYCAAAACTI2LjgzMzA4NwIAAAAJMjYuMzU4OTE1AgAAAAkyNy4zNzQ5OTkCAAAACTI2LjY4MDY3NQIAAAAJMjYuODE2MTUzAgAAAAkyNC44MjQ0NTMCAAAACTI0LjU5MDEwMgIAAAAJMjMuMDU4NDUxAgAAAAgyMi4zMTM1NQIAAAAJMjMuMzAxMTcyAgAAAAkyMy42Njk0MzgCAAAACTIzLjYyNzU4OQIAAAAJMjMuMjM0MjE1AgAAAAkyNy4xNjc5NjECAAAACTI3LjYwMzE4NAIAAAAJMjcuMjUxNjU4AgAAAAgyNi4xODAzNAIAAAAJMjUuNTE5MTM2AgAAAAkyNi4zODExMjICAAAABzIzLjc4MTECAAAACTI0Ljc0MTYxOAIAAAAJMjUuOTA5MTQ0AgAAAAkyNS4yMzAxNTcCAAAACTI0LjcwODQ5NgIAAAAJMjUuNzEwNDE2AgAAAAgyMy43OTc2NgIAAAAJMjMuNDA4NDg1AgAAAAkyMy4xOTMxOTYCAAAACTI1LjQ0NTQ0NQIAAAAJMjYuMzA2NTk5AgAAAAkyNy4yNDIy</t>
  </si>
  <si>
    <t>MzYCAAAACTI2Ljk1NTMwMwIAAAAJMjUuNDcxNDQ5AgAAAAkyNS4xNzYzMTgCAAAACTI2LjI2NjY2MwIAAAAJMjQuMzIzNzE3AgAAAAcyMS44MzE1AgAAAAkyMi4xMTAyMzUCAAAACTIxLjU2MDk2MwIAAAAIMjIuNDcwOTUCAAAACTIyLjA2MTA0NgIAAAAJMjEuMjgyMjI4AgAAAAkyMS41MDM1NzYCAAAACTIyLjQ0NjM1NgIAAAAJMjIuNTcwNDc4AgAAAAkyMy4zMzIyODMCAAAACTIzLjkxNTc5MgIAAAAJMjQuMjU2MTczAgAAAAkyMy4zOTcxMTcCAAAACTIyLjM2Nzg3MQIAAAAJMjEuMjY1Njg2AgAAAAkyMC40NTUyNTYCAAAACTE5Ljg1NTUzNwIAAAAJMjAuMDgyNDU4AgAAAAkyMC4yMTIxMjcCAAAACTE5LjE1ODU2OAIAAAAJMjAuNDM5MDQ3AgAAAAkyMC40NTgyNjMCAAAACTE5LjM1MzcwOQIAAAAJMTguODQxNDUyAgAAAAkxOS4xMDU1ODUCAAAACTIwLjgxODQ0NAIAAAAJMjEuNTk0ODMzAgAAAAgyMS44NjY5NwIAAAAIMjAuODkwNDgCAAAACTIyLjA0MzA1OAIAAAAJMjEuOTYzMDE4AgAAAAkyMC45OTQ1MzICAAAACTIxLjIyNjY0OQIAAAAJMjEuMzMwNzAxAgAAAAkyMS4zOTQ3MzMCAAAACTE5LjkwNDk4OAIAAAAJMTkuMzk4NjYxAgAAAAkxOS45MjA4MTECAAAACTE5LjI5NTgxMwIAAAAJMTkuNDQ2MTI5AgAAAAkxOS45NjAzNjcCAAAACTIwLjEyNjUwNgIAAAAJMjEuMzI5MDMzAgAAAAkyMS4xNzg3</t>
  </si>
  <si>
    <t>LjIzNjQ3OQIAAAAKMTEzLjQ2MjYzNwIAAAAKMTA5LjE1OTg5OAIAAAAKMTA4LjkwNDQ4NAIAAAAKMTExLjA3NTUwMQIAAAAKMTA4LjU1MDgzNAIAAAAJMTA1LjY1ODE2AgAAAAoxMDcuNjE0NzkzAgAAAAoxMjMuMjI4OTE2AgAAAAoxMjEuODQ2NjE4AgAAAAoxMjAuNjI5ODA3AgAAAAoxMjEuOTM0MjI4AgAAAAoxMjMuNTY5NjIzAgAAAAgxMjkuNTQ2NgIAAAAKMTI1Ljg3NjY5NwIAAAAKMTIzLjE0MTMwNQIAAAAKMTIyLjQ1MDE1NgIAAAAKMTI4LjMyMDA1NAIAAAAKMTMyLjk1MzY3MgIAAAAKMTI3LjAxNzQ3OAIAAAAKMTIyLjMzOTI2MQIAAAAKMTE2LjM3NTQ5OQIAAAAKMTE1LjA2MDk1OQIAAAAKMTIyLjUzMjU3NQIAAAAKMTIzLjUzNzgxMgIAAAAJMTI4LjgwNTY0AgAAAAoxMzEuNzkyMzUzAgAAAAoxMzAuMDYyMTg2AgAAAAoxMjkuNjM2ODk0AgAAAAoxMTYuODAwNzkyAgAAAAoxMTkuMDUyOTA5AgAAAAoxMjIuMzg3NTg5AgAAAAkxMjcuMTA3OTgCAAAACjEyNy43NTA5NTcCAAAACjExNy41MDE3MDcCAAAACjEyMC45NDY5MTQCAAAACjExNC41NTU1MjcCAAAACjExNS40OTYwMDECAAAACjEyMy42MjQzODYCAAAACjEyMS43ODE4MjUCAAAACjEyMi44OTUwMzkCAAAACjEyMS40MjY3NDcCAAAACjExNy45NjIzNDcCAAAACjEyMi4wMjE3NDECAAAACjEyNC4wMzcwNDMCAAAACjEyMi44OTI5MTECAAAA</t>
  </si>
  <si>
    <t>CTExOS4wNzEyNwIAAAAKMTE5Ljk1NzU4NQIAAAAJMTE2LjMxNzAyAgAAAAoxMTIuNjg1OTg1AgAAAAoxMTQuNTQ0Mzg5AgAAAAoxMTguNjk5NTg5AgAAAAoxMTcuNDc5NzE0AgAAAAoxMjMuODM2NDA4AgAAAAoxMjMuOTg4ODkyAgAAAAkxMjMuOTEyNjUCAAAACjEyOS4zMjU4NDcCAAAACjEyNi45MTQ2ODcCAAAACTEyOC4wNjc4NQIAAAAKMTI4LjY4MzE1MgIAAAAKMTIxLjAxNTU1MgIAAAAIMTE4LjE3NTcCAAAACjExNi4yMzUxMzUCAAAACjExMi4zODI0MDICAAAACjEwOS45MDIyNjUCAAAACjEwNS44ODg2MDgCAAAACjEwNy40OTc4NTcCAAAACjEwNS4xMjE4NDgCAAAACjEwNC45MzI1MjQCAAAACjEwOS4zNzIxNTkCAAAACjEwNC4yODg4MjUCAAAACjEwOC45OTM1MTICAAAACjExMy4wNjAyMjQCAAAACjExMy41OTU1NjUCAAAACjExNC44MzUzMDICAAAACjExMi44MDY2NDICAAAACjExMC4zMTIwNjkCAAAACjExNC42MTQ3NTkCAAAACjExNC41MjIwMjkCAAAACjExNC45ODU2ODECAAAACjExMy43ODAxODYCAAAACjExOC44NDMyNjUCAAAACjExNi44MzEwMTUCAAAACjEyMy41NDQ2OTUCAAAACjEyMy4zNDUzMjUCAAAACjExMS4yMTcyMjgCAAAACjExNi44MjA0ODMCAAAACjExMy4wMDUxMDkCAAAACjEyMS44MTU0ODkCAAAACjEyMi4zMjIzNjMCAAAACjEyMC43MDk1ODQCAAAACjExNy4xMTUzOTEC</t>
  </si>
  <si>
    <t>AAAACjEyMC4zODcwMjgCAAAACjEyMS45NTM3MjcCAAAACTExOS42MjIxMQIAAAAKMTIwLjQ1MTUzOQIAAAAKMTE0LjgzOTA2OQIAAAAKMTA5LjYwNDQ0OQIAAAAKMTA2LjM2NzcxOAIAAAAKMTA0Ljc1NjY0MQIAAAAJOTcuNzgxNDA4AgAAAAoxMDMuODEzNzk0AgAAAAoxMDYuNDEzNDg3AgAAAAoxMDIuNDQ5ODcxAgAAAAoxMDAuODAyMTc4AgAAAAoxMDQuODkzOTQ4AgAAAAoxMDEuMDc2Nzk0AgAAAAoxMDQuNTA5NDg3AgAAAAoxMDkuMzYxMDI2AgAAAAoxMDcuMzgzNzk1AgAAAAkxMTEuMzE5OTUCAAAACjEwOC41MzI0NDgCAAAACjEwNC4yMjI3OTECAAAACTk1LjkxMjYwOAIAAAAJOTMuNDIxMzcxAgAAAAoxMDEuMDYxMjAzAgAAAAoxMDkuNzAwNjg0AgAAAAoxMDIuOTM1MDQyAgAAAAoxMDYuNjgyNzIxAgAAAAoxMjAuODQ0NjIzAgAAAAoxMTIuMjY4MjA0AgAAAAoxMjEuMzEzMDgzAgAAAAoxMTkuNTkyMzk0AgAAAAoxMTYuNjI4NDg0AgAAAAoxMTQuMTA5NDczAgAAAAoxMTUuOTQ0NjA2AgAAAAkxMTYuOTIwMzYCAAAACjExMi41ODc2NTUCAAAACjEwNy42MzU2MDYCAAAACjEyMi45NDAwODUCAAAACjEyNi4xODY3NTgCAAAACjEyNC43NTM2MjICAAAACjEzMC4xNDExNTICAAAACjEyNS44MjQwNTECAAAACjExOC4yNjkxMjMCAAAACjExOS40MjgwMTcCAAAACjEwNi42NjI0ODkCAAAACjExMi4wODQ4</t>
  </si>
  <si>
    <t>MzICAAAACDk4LjI2MDAxAgAAAAk5NS45NjQ2NjgCAAAACjEwNi44MDgxODMCAAAACjEwNy4xNjM5MjQCAAAACDEwNS41NjU1AgAAAAoxMDguMjE1MDYyAgAAAAoxMDMuMTU5MTc2AgAAAAk5OS40NTg0NzYCAAAACTkyLjk2MDUzNAIAAAAJOTYuNjE3Nzk5AgAAAAk4Ny43Mzk1OTQCAAAACTg0LjUwNzk5NwIAAAAJOTAuOTc0NDQyAgAAAAk5Ni4yMzM1NzkCAAAACTk1LjM0NTU2MQIAAAAJOTYuMjc2Njg3AgAAAAoxMjIuNDY2NDY2AgAAAAoxMjEuMTczNzY0AgAAAAoxMTYuMzg1NjY2AgAAAAoxMDMuNzk4ODM0AgAAAAoxMDUuNjk1MzY0AgAAAAoxMTIuNDQ4MDI5AgAAAAk5OS4yOTk4OTMCAAAACTk4Ljc1NTU5NwIAAAAKMTA0LjU1NTc0NQIAAAAJMTA3LjI1Njg5AgAAAAoxMDEuNzE5OTA1AgAAAAoxMDUuMjUzNDMxAgAAAAk5Ny44OTA1MDkCAAAACTk3Ljc4OTA2OAIAAAAJOTkuNTIzOTI4AgAAAAk4OS45MTA5NjQCAAAACTkzLjU0ODMwMQIAAAAJOTcuODQ3NzM1AgAAAAk5NS4yOTE1NDICAAAACTkxLjkzOTE1NwIAAAAJODQuMzM3NjI0AgAAAAk4OC41MjgxMDUCAAAACDgxLjY2NzE1AgAAAAk3My45MDQ3NzcCAAAACDcyLjUzMjAxAgAAAAk2OS44ODYzMTQCAAAACTcyLjkxNjgxMgIAAAAJNjkuOTE2NTU1AgAAAAk3MS4wNzkyNTYCAAAACTY5LjY2NDUwMQIAAAAJNzcuMTEyMjkzAgAAAAk3Ny4zMzk5</t>
  </si>
  <si>
    <t>NTUCAAAACTc1LjE3NzE2OAIAAAAJNzQuODAzMTUyAgAAAAk3Mi44NjgwMjcCAAAACTczLjI3MjA4OAIAAAAJNjcuOTE0MDcyAgAAAAk2My4yMTE2NDMCAAAACTYwLjA5NTU3NwIAAAAINTQuMzQwOTcCAAAACTU1LjAyODkzMwIAAAAJNTYuMzU2Mjk2AgAAAAk1Mi4xNzk5NTcCAAAACTU1LjAzNzAyNgIAAAAJNTcuNDA4NDc1AgAAAAk1OC45NzA1NTUCAAAACTU4LjY4NzI3NgIAAAAJNTkuODIwMzkxAgAAAAk2NS42NjA0MjQCAAAACTY4LjE4ODU3NwIAAAAJNjkuNjgzMjA4AgAAAAk2My4wNTI3NjkCAAAACTY3LjkyNjIyMQIAAAAJNjkuNTMyMTU1AgAAAAk2My44NzE2MzcCAAAACTYzLjY1Njk4MgIAAAAJNjUuNjY4Mzc0AgAAAAk2Ni4wNjU4ODICAAAACTU4LjU0NTAyNQIAAAAJNTQuOTAzODQ5AgAAAAk1Ni4wNTY2MjMCAAAACTU2Ljc0MDc5NwIAAAAJNTkuNTYzMjExAgAAAAk1OS4xOTk1MzkCAAAACTU1LjQwNDY5NwIAAAAINTkuMjk0NDECAAAACTU4Ljk2MjM2MQIAAAAJNTEuMDQwNjI4AgAAAAk0OS40MTk5MTQCAAAACTQ4LjI0MTkzMgIAAAAJNDQuNzU1NDIxAgAAAAk0MC4yODg1NzUCAAAACTQzLjM3MTg4NAIAAAAJNDYuNzk1MTQ4AgAAAAk0Ni4yNTM1MzECAAAACTM5LjE4MjMyNwIAAAAJMzguOTcwMTkxAgAAAAk0MC42NzUxMzcCAAAACTQyLjExMjk0OAIAAAAJNDEuNjQxNTM1AgAAAAk0MC40</t>
  </si>
  <si>
    <t>ODc0NzECAAAACTE0NC4xNzI4MgIAAAAKMTUwLjQxNTU3MwIAAAAJMTU2LjAzOTg1AgAAAAoxNDcuOTg5OTgzAgAAAAoxNDIuODc3ODgzAgAAAAoxMzkuMTU3MzU3AgAAAAoxMzguMDQ2MDMxAgAAAAoxNDguNjk1NDM0AgAAAAoxNTAuMDE5MzYyAgAAAAkxNTYuNDg0MzgCAAAACTE1Ni44OTk5MgIAAAAKMTU0LjQxNjM0NwIAAAAKMTUwLjEyMTE1OAIAAAAKMTQ2LjQyODYzNQIAAAAKMTQ0LjI2NjY5MgIAAAAKMTQ0LjIwOTI5NQIAAAAKMTQ0Ljg1MDIyNQIAAAAKMTQ0LjE5OTcyOQIAAAAKMTM5LjE3NzUxNAIAAAAKMTM5LjM1OTI3MQIAAAAKMTM0LjUwOTI0NwIAAAAKMTMyLjU0ODE5MgIAAAAKMTQxLjUzMDc4MQIAAAAKMTQxLjIxNTA5OQIAAAAKMTM5LjMyMTAwNgIAAAAKMTM3LjE2NDA3MQIAAAAKMTQwLjUzMTkxNwIAAAAKMTQ5LjMyMDQ4NAIAAAAKMTUwLjU1OTc3NgIAAAAKMTQ3LjE5MTkyOQIAAAAKMTQ1Ljk4MTAxOAIAAAAKMTQ3Ljk3NzEyOQIAAAAKMTQ2Ljg5ODY2MQIAAAAKMTQ0LjMzNDkzNQIAAAAKMTQ3LjY1NTQ4MQIAAAAKMTUzLjUzOTc1MgIAAAAKMTQ5LjIzNTM0MgIAAAAKMTUzLjg4OTc4MQIAAAAKMTU1LjMwMTU0MgIAAAAKMTUwLjA4NDg2MwIAAAAKMTU1LjM2NzEwMQIAAAAKMTQ5Ljg1MDcyMgIAAAAKMTQ4Ljg3NjY5MgIAAAAKMTUxLjM0OTIyOQIAAAAJMTQ3LjczNDA4AgAAAAox</t>
  </si>
  <si>
    <t>NDQuODQ5NDU0AgAAAAoxNDUuNjgyOTk4AgAAAAoxNDAuMzcyNjYzAgAAAAoxNDMuMTE2ODA1AgAAAAoxNDQuODQ5NDU0AgAAAAoxNDQuODIxMzU3AgAAAAoxMzkuOTMyMTc0AgAAAAoxNDEuMDQzOTIzAgAAAAoxMzguMTcxOTA0AgAAAAoxMzEuNzc5MzQ2AgAAAAoxMzYuNDM5NDI4AgAAAAoxMzkuMzM5MjQxAgAAAAoxMzguMTkwNDMzAgAAAAoxMzkuOTQxNDM4AgAAAAkxMzguMzY2NDYCAAAACjEzMy42OTcxMTMCAAAACjEzNC4xNjAzNDICAAAACjEzNC4yNDM3MjMCAAAACjEzMy44MzYwODICAAAACjEzMS4wNjMyNjQCAAAACTEzNS4zMzU3NwIAAAAKMTMyLjM0Njg0OQIAAAAKMTUyLjk1NzU2OAIAAAAKMTUwLjQxNzkwMgIAAAAKMTQ4Ljc0MDA3MgIAAAAKMTU0LjU5ODcyNAIAAAAKMTUyLjQ1MzMwMgIAAAAKMTUyLjY1NTAwOAIAAAAKMTUzLjMwNTk2OQIAAAAKMTUwLjYzNzk0NQIAAAAKMTQ1Ljg4ODY3OAIAAAAKMTQ3LjUyMDY2NgIAAAAKMTQ5LjA2NzgwMwIAAAAKMTQ0LjY3MjUwNQIAAAAKMTQ0LjI3MjkzMwIAAAAKMTQ0LjEwOTQ3MQIAAAAKMTM5LjQ2ODk4MQIAAAAKMTQwLjA1MDE3OAIAAAAKMTQyLjg5MjU5MQIAAAAKMTM3LjQ0Mzg3NQIAAAAKMTQyLjgxMDg2MQIAAAAKMTQ0LjI2Mzg1MgIAAAAKMTQxLjkwMjc0MQIAAAAKMTM5LjkyMzA0MQIAAAAKMTQwLjk2NzM3OAIAAAAJMTQwLjg1MDM5</t>
  </si>
  <si>
    <t>AgAAAAoxNDQuMDc4OTIzAgAAAAoxNTEuNjA2MTczAgAAAAoxNTIuMDkxODAyAgAAAAkxNTUuMDc3NTICAAAACjE1MC43Njk4MTICAAAACjE0Ni43MzE4OTcCAAAACjE0MC4zNDY3NzUCAAAACjEzNy4wMDEzMzECAAAACjE0My41OTMyOTQCAAAACTE0OC4zNTA2NgIAAAAKMTQ2LjA1NzQxMgIAAAAJMTQ2LjQ1MzExAgAAAAoxNTMuMjk5NjM5AgAAAAoxNTEuMDUzMjI5AgAAAAoxNTkuOTY3NTU0AgAAAAoxNjEuMjYwMTMxAgAAAAoxNTguMjgyNzQ2AgAAAAoxNTcuMzkxMzE0AgAAAAoxNjAuMDAzMjExAgAAAAoxNTguMTQwMTE3AgAAAAoxNTAuNDAyNDg0AgAAAAoxNDkuNzYwNjUyAgAAAAoxNjEuMzc2MDE3AgAAAAoxNjMuNzU2MTQyAgAAAAoxNjMuMTIzMjI1AgAAAAoxNjQuOTQwNjAyAgAAAAkxNjIuMjUxNDUCAAAACjE1OS4yMDg0NjECAAAACjE1My4yMDIwOTcCAAAACDE0MS42NTgyAgAAAAoxNDEuNTYwODk2AgAAAAoxMjcuMDg5MDA4AgAAAAoxMjguMDYyMDU2AgAAAAoxMzguMzk0MDY0AgAAAAkxNDEuNTA3ODICAAAACTEzOS42MzI0OQIAAAAKMTQ0LjU1MDgwOQIAAAAKMTM5LjQ5MDk1NgIAAAAKMTQwLjEyODQyNwIAAAAKMTM0LjY4NDU4OQIAAAAKMTQzLjU3MzU2MQIAAAAKMTI2LjQwMDQ4NwIAAAAKMTIwLjY2NzM2MwIAAAAJMTI1LjE1NTY4AgAAAAoxMjguNDM0MjU2AgAAAAoxMjYuOTA4OTI5</t>
  </si>
  <si>
    <t>AgAAAAoxMzAuMDczNTQ0AgAAAAoxNTMuNzU5OTM4AgAAAAoxNTUuNjg4NTEyAgAAAAoxNTYuMjg0NjE2AgAAAAoxNDcuMTE1MTI0AgAAAAkxNDUuOTU4MjECAAAACTE0OC40MTAxMgIAAAAKMTM2LjIyMDEyNwIAAAAKMTM5Ljk0MTQ2NgIAAAAKMTQ5LjE5MjY0NQIAAAAKMTQ3Ljc0OTMyMgIAAAAKMTQyLjc4NDYzOAIAAAAKMTQ3LjIxMDI0OQIAAAAKMTQwLjYxOTY1NAIAAAAKMTQ4LjU5MjcwOQIAAAAKMTM3Ljk0MTY4MQIAAAAKMTIyLjA1NjQzNAIAAAAKMTE2LjAwNDkxMQIAAAAKMTE5LjQzNzM4MQIAAAAKMTE2LjkxNjI5OAIAAAAJMTEyLjM4MTc5AgAAAAkxMDkuMTk4MTcCAAAACjExMC45NjIwNjgCAAAACjEwNy41ODA1NDcCAAAACjEwMC45NzIzODQCAAAACjEwMC4xNjM1NzMCAAAACTk3Ljc0NTc0MgIAAAAKMTAxLjgyNDIxOAIAAAAJOTguNDQyNjk3AgAAAAk5OC41Mjg3NDECAAAACTk2LjI5MTYwMgIAAAAJOTcuMTY0ODE2AgAAAAk5Ny41OTg2MjYCAAAACTk3LjM4NTk3NAIAAAAJOTUuOTQ4NDQ4AgAAAAk5My4yMzUwMTMCAAAACTkxLjkwODA2NgIAAAAJODguNzQzODA5AgAAAAk4NS41NzEwNDUCAAAACTgyLjMwNDcxNQIAAAAJODEuNzE3Nzk2AgAAAAk4Mi45MjU2NTgCAAAACTgzLjkwMzg1NgIAAAAJODAuMjEyMjIyAgAAAAk4NS41NzQxMzkCAAAACTg1LjU2NTc0NgIAAAAJODUuNDQ4MjQ2</t>
  </si>
  <si>
    <t>AAAGNC43NzE1AgAAAAU0LjU3NgIAAAAGNC42MDA1AgAAAAU0LjQ5OQIAAAAGNC41MTg1AgAAAAU0LjQ1OQIAAAAGNC40OTI1AgAAAAY0LjQ3MTUCAAAABjQuNDM1NQIAAAAFNS43ODUCAAAABjUuNjA0NQIAAAAGNS42MDQ1AgAAAAY1LjE0MTUCAAAABTUuMTIzAgAAAAY0LjgzMzUCAAAABjQuODE0NQIAAAAFNC44NDgCAAAABjQuNjc3NQIAAAAGNC44MzY1AgAAAAY0LjU5MzUCAAAABTQuNjUzAgAAAAU0LjY3MwIAAAAENC44NAIAAAAFNC43MzkCAAAABTQuNTIzAgAAAAU0LjQwMgIAAAAENS4xMwIAAAAGNS4xMTM1AgAAAAU0Ljg5NgIAAAAENC43MQIAAAAFNC41NDgCAAAABDQuNTYCAAAABjQuNjY0NQIAAAAFNC41ODkCAAAABTQuMjc5AgAAAAU0LjMyMQIAAAAGNC4zNjg1AgAAAAU0LjMwNAIAAAAGNC4wNzM1AgAAAAU0LjEyMgIAAAAFNC4wNTECAAAABTQuMTU3AgAAAAU0LjE1NwIAAAAGNC4wODA1AgAAAAU0LjA4NgIAAAAGNC4wNjQ1AgAAAAU0LjMwNgIAAAAGNC4zNzE1AgAAAAY0LjM3MDUCAAAABjQuMzg0NQIAAAAGNC40OTM1AgAAAAU0LjU3NAIAAAAGNC41OTk1AgAAAAU0LjI4OQIAAAAFNC4xODkCAAAABjQuMDMxNQIAAAAFNC4xNjcCAAAABTQuMjAxAgAAAAY0LjE0MzUCAAAABTMuOTkzAgAAAAU0LjEwMwIAAAAFNC4xMjQCAAAABjQuMjM2NQIAAAAFNC41OTMCAAAABTQuNjUyAgAAAAY0LjM5</t>
  </si>
  <si>
    <t>MTUCAAAABTQuNDQyAgAAAAU0LjQ5NQIAAAAGNC40ODM1AgAAAAU0LjYwMgIAAAAGNC43NTM1AgAAAAQ1LjA1AgAAAAY0LjY2MjUCAAAABTQuNTU3AgAAAAU0LjU3NAIAAAAGNC40OTc1AgAAAAY0LjI1ODUCAAAABTQuMjM2AgAAAAU0LjAwNwIAAAAGNC4wMDc1AgAAAAY0LjEyNDUCAAAABjMuODkxNQIAAAAGMy44NjE1AgAAAAQzLjg4AgAAAAYzLjgzODUCAAAABjMuNjgxNQIAAAAGMy44MjE1AgAAAAUzLjg1MgIAAAAGMy43ODY1AgAAAAYzLjc0MDUCAAAABTMuODA2AgAAAAYzLjg5MDUCAAAABTMuODg5AgAAAAYzLjg4NDUCAAAABDMuODICAAAABTMuOTA5AgAAAAUzLjc4OQIAAAAGMy43Mzg1AgAAAAUzLjU4NwIAAAAGMy42ODE1AgAAAAUzLjY0NgIAAAAFMy41NjMCAAAABTMuNTcxAgAAAAYzLjYyNzUCAAAABjMuNzM3NQIAAAAFMy42NjMCAAAABjMuNzcwNQIAAAAFMy42OTMCAAAABjMuODEyNQIAAAAFMy43NjICAAAABTMuNzA2AgAAAAUzLjcxOQIAAAAGMy44Njc1AgAAAAYzLjkyNjUCAAAABTMuODE4AgAAAAUzLjkzMwIAAAAFMy43ODICAAAABjMuNzU5NQIAAAAGMy44MDM1AgAAAAUzLjg4OQIAAAAFMy43ODkCAAAABjMuNzI3NQIAAAAFMy42ODICAAAABTMuNzMyAgAAAAYzLjcyODUCAAAABTMuODgzAgAAAAYzLjg5MDUCAAAABDMuOTgCAAAABjQuMTA2NQIAAAAGNC4wMTU1AgAAAAY0LjA5NDUC</t>
  </si>
  <si>
    <t>AAAABTQuMDc1AgAAAAYzLjg5MjUCAAAABjQuMDMwNQIAAAAFNC4wNjcCAAAABTMuOTUzAgAAAAY0LjEwODUCAAAABjQuMDE2NQIAAAAGNC4wNTY1AgAAAAY0LjIyMjUCAAAABjQuMjUxNQIAAAAFNC4yMTYCAAAABTMuOTExAgAAAAYzLjgxMDUCAAAABjMuODA0NQIAAAAGMy43NjE1AgAAAAYzLjg3NzUCAAAABTMuODQ4AgAAAAYzLjYyNzUCAAAABTMuNjMyAgAAAAYzLjkxMzUCAAAABjMuNjg2NQIAAAAFMy40MjkCAAAABjMuNDc0NQIAAAAGMy40MjM1AgAAAAYzLjM4NjUCAAAABjMuNDEyNQIAAAAFMy4zNjkCAAAABTMuNTQzAgAAAAUzLjU4MQIAAAAGMy40MjE1AgAAAAUzLjY5NwIAAAAGMy42NjQ1AgAAAAYzLjY2ODUCAAAABTMuNTUyAgAAAAYzLjU3MzUCAAAABjMuMzQ5NQIAAAAFMy4yMzQCAAAABTMuNTIyAgAAAAUzLjYwNAIAAAAGMy43NDA1AgAAAAY0LjAxMzUCAAAABjQuMjk0NQIAAAAFNC40NzICAAAABjQuMzA2NQIAAAAFNC4yNzUCAAAABTQuMTc1AgAAAAU0LjI2NwIAAAAGNC40MDg1AgAAAAY0LjU4MTUCAAAABjQuNzIzNQIAAAAFNC43MjUCAAAABjQuNjg4NQIAAAAGNC42OTg1AgAAAAY0LjczOTUCAAAABjQuNjI1NQIAAAAGNC45Mzc1AgAAAAU0LjQ4NQIAAAAGNC41MTk1AgAAAAU0LjUwNgIAAAAGNC40ODc1AgAAAAQ0LjMxAgAAAAU0LjUyNAIAAAAGNC40MjA1AgAAAAQ0LjQxAgAAAAY0</t>
  </si>
  <si>
    <t>MTIvMjAyNS4uLkRFU0MuVy5JUV9DTE9TRVBSSUNFX0FESgQAAABCMwYABQEAAAIAAAAKMTE2LjIwMzYxMwIAAAAKMTEzLjM2ODQxMQIAAAAKMTE0LjM4OTQ4MQIAAAAKMTExLjI2Njc5NAIAAAAKMTA5Ljc2OTg4NgIAAAAKMTEyLjI3Nzk0OQIAAAAKMTE2LjIwMzYxMwIAAAAKMTExLjg0MTc2NAIAAAAKMTExLjE4NzQ4NwIAAAAKMTA4LjI4Mjg5MwIAAAAKMTEzLjI5OTAxOAIAAAAKMTEwLjMxNTExNwIAAAAJMTA1LjU2NjY1AgAAAAoxMDQuODk3ODQ4AgAAAAoxMDcuNjg3MjY2AgAAAAkxMDguNDMzNzMCAAAACjEwNS44NTA1NzECAAAACjExMy4zNzQxNDQCAAAACjExMC4yMDE2NzECAAAACjEwNy40MzE4OTcCAAAACjExMi42NTcxNDUCAAAACjExMC4xMjMwOTYCAAAACjEwMi40MTI5MDgCAAAACjEwMC40Nzc5OTQCAAAACjEwMS4xOTQ5OTMCAAAACjEwNi4yNjMwOTECAAAACjEwNC40MzY4ODQCAAAACjEwMy4zNjYzMzUCAAAACjEwNS42NjMxNDkCAAAACjEwNC4wNTczMjYCAAAACjEwMC4zNzg1MzECAAAACjEwMS41NDY0MDMCAAAACjExNC41Nzc4OTkCAAAACjExMi40MDc2MDUCAAAACjEwOC45MDM5OTECAAAACDEwNi4xMDExAgAAAAoxMDguMzQ5MjUyAgAAAAoxMDcuNzI2Mzg4AgAAAAoxMDUuMzQxOTg0AgAAAAoxMDUuMDM1MDczAgAAAAoxMDMuMDQ4MDAxAgAAAAoxMDQuODEzMjE2AgAAAAoxMDgu</t>
  </si>
  <si>
    <t>MzQzNjQ0AgAAAAoxMDIuNzY4MjY4AgAAAAoxMDQuMDQxNTM3AgAAAAoxMDIuNzEwMzkyAgAAAAoxMDIuMTIxOTg3AgAAAAoxMDYuOTE2MDM5AgAAAAoxMDkuNTQ5MzkyAgAAAAoxMTMuNzgzOTc3AgAAAAoxMTcuNDc4Mzg3AgAAAAoxMTUuMDg2MTg0AgAAAAoxMTUuODcwMzM5AgAAAAoxMDkuOTc2ODQzAgAAAAoxMTQuMzIwNDI2AgAAAAoxMTQuODE3OTI5AgAAAAoxMTguMjYyMTc5AgAAAAoxMTkuNDI5Mzk4AgAAAAoxMTAuODA5MjAzAgAAAAoxMTAuMjgyOTk4AgAAAAoxMDYuMzQxMjQ1AgAAAAoxMDcuNzY2NzgyAgAAAAoxMTIuODM3NDg0AgAAAAoxMTEuMjg3NTcyAgAAAAoxMTMuMDU3NTM0AgAAAAoxMTIuNzk5OTc5AgAAAAoxMTAuOTMwMjYxAgAAAAoxMTEuMzU3MzU0AgAAAAoxMTAuMTYxNDk0AgAAAAoxMDcuNTA0MDI3AgAAAAoxMDcuNTk4OTM3AgAAAAoxMDkuMjU5ODUzAgAAAAoxMDUuMTIxNzk4AgAAAAoxMDMuNTU1NzkxAgAAAAoxMDcuMDEwNDk4AgAAAAoxMTEuMjkwOTE3AgAAAAoxMDcuNjQ2MzkxAgAAAAoxMTMuNTQ5NzY0AgAAAAoxMTEuMDUzMjYxAgAAAAoxMDkuMjA4MDIyAgAAAAoxMTEuMDUzMjYxAgAAAAoxMTIuODYwODQyAgAAAAoxMTMuMzIyMTUyAgAAAAoxMTQuMjYzNjAxAgAAAAkxMDkuNDMzOTcCAAAACjEwNi44NDQ5ODcCAAAACjEwNC43NTQ5NzECAAAACjEwMi4wMzQxODUC</t>
  </si>
  <si>
    <t>AAAACTk5LjY0MjkwNgIAAAAJOTcuNzYwMDA5AgAAAAg5Ny42NTY0NQIAAAAJOTQuOTI4OTcxAgAAAAk5NS4xMTU1MjcCAAAACDk2LjA3NjI5AgAAAAk5MC40MzI5NzQCAAAACTkzLjIzMTMxMgIAAAAJOTUuNzMxMTYxAgAAAAk5My4yNTkyOTYCAAAACDk1LjA1OTU2AgAAAAk5NC4xMTc0NTMCAAAACTkyLjg1ODIwMQIAAAAJOTYuMDY2OTYyAgAAAAk5Ny41NDA3NTQCAAAACTk3LjkwNDUzOAIAAAAJOTUuODk4OTQ3AgAAAAk5OS42MjM5ODYCAAAACTk3LjU2MjczNgIAAAAKMTAyLjY3NDI2NQIAAAAKMTAxLjU1NTgyOQIAAAAJOTkuMDYwMTQ2AgAAAAoxMDguNjgyMzkyAgAAAAoxMDYuMjQyMTY4AgAAAAoxMDcuODY4OTg0AgAAAAoxMDYuODYxNDY4AgAAAAoxMDQuOTI5NjI0AgAAAAoxMDAuMDU4NDE5AgAAAAoxMDEuNzEyOTY1AgAAAAoxMDIuNTI3MDQ5AgAAAAg5OC40ODM5MQIAAAAJOTUuNDk1MTA0AgAAAAk5NS4yNDc1NjUCAAAACDkyLjU0Mjk3AgAAAAk5NC41NzgyOTICAAAACTk4LjMyODA1MgIAAAAJOTMuODgxNTE1AgAAAAk5Ni4zODQ0MTECAAAACTk4LjQ1NjQwNgIAAAAJOTYuOTYyMDAzAgAAAAk5Ni4yMzc3MjECAAAACTk3LjQyMDQwOAIAAAAIOTYuMTQ2MDQCAAAACTk4Ljc4MTkyMQIAAAAKMTA3LjU2MjEzMwIAAAAKMTA1LjQ0NDMzOAIAAAAKMTA1LjQ4MDY5NQIAAAAKMTA0LjU3MTc3MQIA</t>
  </si>
  <si>
    <t>AAAJOTkuNjcyNjY4AgAAAAg5NC4xMDA5NgIAAAAJOTAuNzQ3MDI4AgAAAAk5Ny45NjM4ODkCAAAACTEwMi41MzU3OAIAAAAKMTAwLjY2MzM5NQIAAAAKMTAxLjE0NTEyNQIAAAAKMTA3LjQ4OTQxOQIAAAAKMTAwLjk1MDAzNgIAAAAKMTA0LjI3ODM1NgIAAAAKMTAyLjIzOTg3MwIAAAAKMTAyLjA1OTQ3NgIAAAAJOTkuNjk2Mjc4AgAAAAk5OS40ODg4MjICAAAACTk4LjAyNzYwOAIAAAAJOTQuNDM3NzEyAgAAAAk5My4zOTE0MTECAAAACTk5LjA5MTk0OQIAAAAKMTAyLjExMzU5NQIAAAAKMTAxLjA5NDM1MwIAAAAKMTAxLjk2MDI1OAIAAAAKMTAwLjQ5MjgxNwIAAAAIOTkuMDUyMjICAAAACTk0LjcyMTQ4MgIAAAAJODguNzUzMjk1AgAAAAk5MC4zOTk2OTECAAAABzc4LjEyMzMCAAAACTc2LjcyNzQ0MwIAAAAJODMuNDAyNTA2AgAAAAk4Ni4zNDYzMzUCAAAACTg1LjUzMjA4NAIAAAAJODcuNTcyMTg0AgAAAAk4NC4xODA5NjYCAAAACTg0LjEwOTM4MwIAAAAJNzguMzgxNzc0AgAAAAk4NS44OTY0OTkCAAAACTc3LjE2NzcyMQIAAAAJNzQuOTE2ODQ4AgAAAAg3Ni4yODE1NQIAAAAJNzcuNTg0MjIxAgAAAAg3Ny4wMDgyMQIAAAAJNzYuMzE2OTk3AgAAAAk4OS4wMjQ2ODECAAAACTg3LjgxMDYyOAIAAAAJODYuNDgxMzcyAgAAAAk4MS40MDM2MTUCAAAACTc4Ljc0NTEwNAIAAAAJODAuNDI5MTA5AgAAAAk3</t>
  </si>
  <si>
    <t>NC43ODAwMzYCAAAACTc0LjY3NDc3NAIAAAAJNzcuMDQzMTc0AgAAAAk3Ni4xNzQ3NjECAAAACTcyLjkxMTYzMgIAAAAJNzQuNzM2MTc3AgAAAAk2OS4wMDgxNTgCAAAACTc0LjQ5MDU2NQIAAAAJNzMuNzYyNTAxAgAAAAk2OC4yODAwOTQCAAAACTY3Ljg1OTA0NQIAAAAJNzAuMzU5MDIzAgAAAAk3MC42Mjg2NjICAAAACTY1LjMxMDQ3NAIAAAAJNjIuNjEyMzM5AgAAAAk2Mi4zNTIwNjkCAAAACTU5Ljc1ODA0MgIAAAAJNTMuMDg2NDQ5AgAAAAk1Mi45Mzg5NjICAAAACTUyLjA4MDA3MQIAAAAJNTQuNjY1NDIyAgAAAAk1Mi44MjYxNzkCAAAACTUzLjEzODUwMwIAAAAJNTIuNjM1MzE0AgAAAAk1NS4zNjgxNTECAAAACTU1LjY2MTE4OQIAAAAJNTUuMTkwMzU1AgAAAAg1NC4wMzQ2NwIAAAAJNTMuNTgwOTU3AgAAAAk1My4yMjk5NzECAAAACTUyLjE1OTg5MwIAAAAJNDkuMzAwNjQ0AgAAAAk0Ny4yMjA0MTICAAAACTQ2LjIxMDI1OAIAAAAJNDYuOTcyMTU0AgAAAAg0Ny43NDI2MQIAAAAJNDUuMTQ4NzQxAgAAAAk0OC41OTg2NzMCAAAACTQ4Ljc5MzI2MQIAAAAJNDguNTQ4NzA0AgAAAAk0OC4xMDE3NTYCAAAACDQ4LjMzNzg4AgAAAAk1MS42MzUxNzcCAAAACTUzLjI3MTE3NwIAAAAJNTQuNTI3NjkyAgAAAAg1MC45MzUyNAIAAAAJNTIuNDI3ODc4AgAAAAk1MS44MjA3MDMCAAAACTQ5LjIyMzM0MwIAAAAJ</t>
  </si>
  <si>
    <t>DElRX1BSSUNFREFURQIAAAAMIjEwLzI0LzIwMjUiCjEwLzI0LzIwMjUAAAAAAwAAAAAAAAAFIkNPUCIDQ09QAQAAAA4iSVFfUFJJQ0VEQVRFIgxJUV9QUklDRURBVEUCAAAADCIxMC8xNy8yMDI1IgoxMC8xNy8yMDI1AAAAAAMAAAAAAAAABSJDT1AiA0NPUAEAAAAOIklRX1BSSUNFREFURSIMSVFfUFJJQ0VEQVRFAgAAAAwiMTAvMTAvMjAyNSIKMTAvMTAvMjAyNQAAAAADAAAAAAAAAAUiQ09QIgNDT1ABAAAADiJJUV9QUklDRURBVEUiDElRX1BSSUNFREFURQIAAAALIjEwLzMvMjAyNSIJMTAvMy8yMDI1AAAAAAMAAAAAAAAABSJDT1AiA0NPUAEAAAAOIklRX1BSSUNFREFURSIMSVFfUFJJQ0VEQVRFAgAAAAsiOS8yNi8yMDI1Igk5LzI2LzIwMjUAAAAAAwAAAAAAAAAFIkNPUCIDQ09QAQAAAA4iSVFfUFJJQ0VEQVRFIgxJUV9QUklDRURBVEUCAAAACyI5LzE5LzIwMjUiCTkvMTkvMjAyNQAAAAADAAAAAAAAAAUiQ09QIgNDT1ABAAAADiJJUV9QUklDRURBVEUiDElRX1BSSUNFREFURQIAAAALIjkvMTIvMjAyNSIJOS8xMi8yMDI1AAAAAAMAAAAAAAAABSJDT1AiA0NPUAEAAAAOIklRX1BSSUNFREFURSIMSVFfUFJJQ0VEQVRFAgAAAAoiOS81LzIwMjUiCDkvNS8yMDI1AAAAAAMAAAAAAAAABSJDT1AiA0NPUAEAAAAOIklRX1BSSUNFREFURSIMSVFfUFJJQ0VEQVRFAgAAAAsiOC8yOS8yMDI1Igk4LzI5LzIw</t>
  </si>
  <si>
    <t>MjUAAAAAAwAAAAAAAAAFIkNPUCIDQ09QAQAAAA4iSVFfUFJJQ0VEQVRFIgxJUV9QUklDRURBVEUCAAAACyI4LzIyLzIwMjUiCTgvMjIvMjAyNQAAAAADAAAAAAAAAAUiQ09QIgNDT1ABAAAADiJJUV9QUklDRURBVEUiDElRX1BSSUNFREFURQIAAAALIjgvMTUvMjAyNSIJOC8xNS8yMDI1AAAAAAMAAAAAAAAABSJDT1AiA0NPUAEAAAAOIklRX1BSSUNFREFURSIMSVFfUFJJQ0VEQVRFAgAAAAoiOC84LzIwMjUiCDgvOC8yMDI1AAAAAAMAAAAAAAAABSJDT1AiA0NPUAEAAAAOIklRX1BSSUNFREFURSIMSVFfUFJJQ0VEQVRFAgAAAAoiOC8xLzIwMjUiCDgvMS8yMDI1AAAAAAMAAAAAAAAABSJDT1AiA0NPUAEAAAAOIklRX1BSSUNFREFURSIMSVFfUFJJQ0VEQVRFAgAAAAsiNy8yNS8yMDI1Igk3LzI1LzIwMjUAAAAAAwAAAAAAAAAFIkNPUCIDQ09QAQAAAA4iSVFfUFJJQ0VEQVRFIgxJUV9QUklDRURBVEUCAAAACyI3LzE4LzIwMjUiCTcvMTgvMjAyNQAAAAADAAAAAAAAAAUiQ09QIgNDT1ABAAAADiJJUV9QUklDRURBVEUiDElRX1BSSUNFREFURQIAAAALIjcvMTEvMjAyNSIJNy8xMS8yMDI1AAAAAAMAAAAAAAAABSJDT1AiA0NPUAEAAAAOIklRX1BSSUNFREFURSIMSVFfUFJJQ0VEQVRFAgAAAAoiNy8zLzIwMjUiCDcvMy8yMDI1AAAAAAMAAAAAAAAABSJDT1AiA0NPUAEAAAAOIklRX1BSSUNFREFURSIMSVFf</t>
  </si>
  <si>
    <t>UFJJQ0VEQVRFAgAAAAsiNi8yNy8yMDI1Igk2LzI3LzIwMjUAAAAAAwAAAAAAAAAFIkNPUCIDQ09QAQAAAA4iSVFfUFJJQ0VEQVRFIgxJUV9QUklDRURBVEUCAAAACyI2LzIwLzIwMjUiCTYvMjAvMjAyNQAAAAADAAAAAAAAAAUiQ09QIgNDT1ABAAAADiJJUV9QUklDRURBVEUiDElRX1BSSUNFREFURQIAAAALIjYvMTMvMjAyNSIJNi8xMy8yMDI1AAAAAAMAAAAAAAAABSJDT1AiA0NPUAEAAAAOIklRX1BSSUNFREFURSIMSVFfUFJJQ0VEQVRFAgAAAAoiNi82LzIwMjUiCDYvNi8yMDI1AAAAAAMAAAAAAAAABSJDT1AiA0NPUAEAAAAOIklRX1BSSUNFREFURSIMSVFfUFJJQ0VEQVRFAgAAAAsiNS8zMC8yMDI1Igk1LzMwLzIwMjUAAAAAAwAAAAAAAAAFIkNPUCIDQ09QAQAAAA4iSVFfUFJJQ0VEQVRFIgxJUV9QUklDRURBVEUCAAAACyI1LzIzLzIwMjUiCTUvMjMvMjAyNQAAAAADAAAAAAAAAAUiQ09QIgNDT1ABAAAADiJJUV9QUklDRURBVEUiDElRX1BSSUNFREFURQIAAAALIjUvMTYvMjAyNSIJNS8xNi8yMDI1AAAAAAMAAAAAAAAABSJDT1AiA0NPUAEAAAAOIklRX1BSSUNFREFURSIMSVFfUFJJQ0VEQVRFAgAAAAoiNS85LzIwMjUiCDUvOS8yMDI1AAAAAAMAAAAAAAAABSJDT1AiA0NPUAEAAAAOIklRX1BSSUNFREFURSIMSVFfUFJJQ0VEQVRFAgAAAAoiNS8yLzIwMjUiCDUvMi8yMDI1AAAAAAMAAAAAAAAA</t>
  </si>
  <si>
    <t>BSJDT1AiA0NPUAEAAAAOIklRX1BSSUNFREFURSIMSVFfUFJJQ0VEQVRFAgAAAAsiNC8yNS8yMDI1Igk0LzI1LzIwMjUAAAAAAwAAAAAAAAAFIkNPUCIDQ09QAQAAAA4iSVFfUFJJQ0VEQVRFIgxJUV9QUklDRURBVEUCAAAACyI0LzE3LzIwMjUiCTQvMTcvMjAyNQAAAAADAAAAAAAAAAUiQ09QIgNDT1ABAAAADiJJUV9QUklDRURBVEUiDElRX1BSSUNFREFURQIAAAALIjQvMTEvMjAyNSIJNC8xMS8yMDI1AAAAAAMAAAAAAAAABSJDT1AiA0NPUAEAAAAOIklRX1BSSUNFREFURSIMSVFfUFJJQ0VEQVRFAgAAAAoiNC80LzIwMjUiCDQvNC8yMDI1AAAAAAMAAAAAAAAABSJDT1AiA0NPUAEAAAAOIklRX1BSSUNFREFURSIMSVFfUFJJQ0VEQVRFAgAAAAsiMy8yOC8yMDI1IgkzLzI4LzIwMjUAAAAAAwAAAAAAAAAFIkNPUCIDQ09QAQAAAA4iSVFfUFJJQ0VEQVRFIgxJUV9QUklDRURBVEUCAAAACyIzLzIxLzIwMjUiCTMvMjEvMjAyNQAAAAADAAAAAAAAAAUiQ09QIgNDT1ABAAAADiJJUV9QUklDRURBVEUiDElRX1BSSUNFREFURQIAAAALIjMvMTQvMjAyNSIJMy8xNC8yMDI1AAAAAAMAAAAAAAAABSJDT1AiA0NPUAEAAAAOIklRX1BSSUNFREFURSIMSVFfUFJJQ0VEQVRFAgAAAAoiMy83LzIwMjUiCDMvNy8yMDI1AAAAAAMAAAAAAAAABSJDT1AiA0NPUAEAAAAOIklRX1BSSUNFREFURSIMSVFfUFJJQ0VEQVRFAgAA</t>
  </si>
  <si>
    <t>AAsiMi8yOC8yMDI1IgkyLzI4LzIwMjUAAAAAAwAAAAAAAAAFIkNPUCIDQ09QAQAAAA4iSVFfUFJJQ0VEQVRFIgxJUV9QUklDRURBVEUCAAAACyIyLzIxLzIwMjUiCTIvMjEvMjAyNQAAAAADAAAAAAAAAAUiQ09QIgNDT1ABAAAADiJJUV9QUklDRURBVEUiDElRX1BSSUNFREFURQIAAAALIjIvMTQvMjAyNSIJMi8xNC8yMDI1AAAAAAMAAAAAAAAABSJDT1AiA0NPUAEAAAAOIklRX1BSSUNFREFURSIMSVFfUFJJQ0VEQVRFAgAAAAoiMi83LzIwMjUiCDIvNy8yMDI1AAAAAAMAAAAAAAAABSJDT1AiA0NPUAEAAAAOIklRX1BSSUNFREFURSIMSVFfUFJJQ0VEQVRFAgAAAAsiMS8zMS8yMDI1IgkxLzMxLzIwMjUAAAAAAwAAAAAAAAAFIkNPUCIDQ09QAQAAAA4iSVFfUFJJQ0VEQVRFIgxJUV9QUklDRURBVEUCAAAACyIxLzI0LzIwMjUiCTEvMjQvMjAyNQAAAAADAAAAAAAAAAUiQ09QIgNDT1ABAAAADiJJUV9QUklDRURBVEUiDElRX1BSSUNFREFURQIAAAALIjEvMTcvMjAyNSIJMS8xNy8yMDI1AAAAAAMAAAAAAAAABSJDT1AiA0NPUAEAAAAOIklRX1BSSUNFREFURSIMSVFfUFJJQ0VEQVRFAgAAAAsiMS8xMC8yMDI1IgkxLzEwLzIwMjUAAAAAAwAAAAAAAAAFIkNPUCIDQ09QAQAAAA4iSVFfUFJJQ0VEQVRFIgxJUV9QUklDRURBVEUCAAAACiIxLzMvMjAyNSIIMS8zLzIwMjUAAAAAAwAAAAAAAAAFIkNPUCIDQ09Q</t>
  </si>
  <si>
    <t>AQAAAA4iSVFfUFJJQ0VEQVRFIgxJUV9QUklDRURBVEUCAAAADCIxMi8yNy8yMDI0IgoxMi8yNy8yMDI0AAAAAAMAAAAAAAAABSJDT1AiA0NPUAEAAAAOIklRX1BSSUNFREFURSIMSVFfUFJJQ0VEQVRFAgAAAAwiMTIvMjAvMjAyNCIKMTIvMjAvMjAyNAAAAAADAAAAAAAAAAUiQ09QIgNDT1ABAAAADiJJUV9QUklDRURBVEUiDElRX1BSSUNFREFURQIAAAAMIjEyLzEzLzIwMjQiCjEyLzEzLzIwMjQAAAAAAwAAAAAAAAAFIkNPUCIDQ09QAQAAAA4iSVFfUFJJQ0VEQVRFIgxJUV9QUklDRURBVEUCAAAACyIxMi82LzIwMjQiCTEyLzYvMjAyNAAAAAADAAAAAAAAAAUiQ09QIgNDT1ABAAAADiJJUV9QUklDRURBVEUiDElRX1BSSUNFREFURQIAAAAMIjExLzI5LzIwMjQiCjExLzI5LzIwMjQAAAAAAwAAAAAAAAAFIkNPUCIDQ09QAQAAAA4iSVFfUFJJQ0VEQVRFIgxJUV9QUklDRURBVEUCAAAADCIxMS8yMi8yMDI0IgoxMS8yMi8yMDI0AAAAAAMAAAAAAAAABSJDT1AiA0NPUAEAAAAOIklRX1BSSUNFREFURSIMSVFfUFJJQ0VEQVRFAgAAAAwiMTEvMTUvMjAyNCIKMTEvMTUvMjAyNAAAAAADAAAAAAAAAAUiQ09QIgNDT1ABAAAADiJJUV9QUklDRURBVEUiDElRX1BSSUNFREFURQIAAAALIjExLzgvMjAyNCIJMTEvOC8yMDI0AAAAAAMAAAAAAAAABSJDT1AiA0NPUAEAAAAOIklRX1BSSUNFREFURSIMSVFfUFJJQ0VE</t>
  </si>
  <si>
    <t>QVRFAgAAAAsiMTEvMS8yMDI0IgkxMS8xLzIwMjQAAAAAAwAAAAAAAAAFIkNPUCIDQ09QAQAAAA4iSVFfUFJJQ0VEQVRFIgxJUV9QUklDRURBVEUCAAAADCIxMC8yNS8yMDI0IgoxMC8yNS8yMDI0AAAAAAMAAAAAAAAABSJDT1AiA0NPUAEAAAAOIklRX1BSSUNFREFURSIMSVFfUFJJQ0VEQVRFAgAAAAwiMTAvMTgvMjAyNCIKMTAvMTgvMjAyNAAAAAADAAAAAAAAAAUiQ09QIgNDT1ABAAAADiJJUV9QUklDRURBVEUiDElRX1BSSUNFREFURQIAAAAMIjEwLzExLzIwMjQiCjEwLzExLzIwMjQAAAAAAwAAAAAAAAAFIkNPUCIDQ09QAQAAAA4iSVFfUFJJQ0VEQVRFIgxJUV9QUklDRURBVEUCAAAACyIxMC80LzIwMjQiCTEwLzQvMjAyNAAAAAADAAAAAAAAAAUiQ09QIgNDT1ABAAAADiJJUV9QUklDRURBVEUiDElRX1BSSUNFREFURQIAAAALIjkvMjcvMjAyNCIJOS8yNy8yMDI0AAAAAAMAAAAAAAAABSJDT1AiA0NPUAEAAAAOIklRX1BSSUNFREFURSIMSVFfUFJJQ0VEQVRFAgAAAAsiOS8yMC8yMDI0Igk5LzIwLzIwMjQAAAAAAwAAAAAAAAAFIkNPUCIDQ09QAQAAAA4iSVFfUFJJQ0VEQVRFIgxJUV9QUklDRURBVEUCAAAACyI5LzEzLzIwMjQiCTkvMTMvMjAyNAAAAAADAAAAAAAAAAUiQ09QIgNDT1ABAAAADiJJUV9QUklDRURBVEUiDElRX1BSSUNFREFURQIAAAAKIjkvNi8yMDI0Igg5LzYvMjAyNAAAAAADAAAA</t>
  </si>
  <si>
    <t>AAAAAAUiQ09QIgNDT1ABAAAADiJJUV9QUklDRURBVEUiDElRX1BSSUNFREFURQIAAAALIjgvMzAvMjAyNCIJOC8zMC8yMDI0AAAAAAMAAAAAAAAABSJDT1AiA0NPUAEAAAAOIklRX1BSSUNFREFURSIMSVFfUFJJQ0VEQVRFAgAAAAsiOC8yMy8yMDI0Igk4LzIzLzIwMjQAAAAAAwAAAAAAAAAFIkNPUCIDQ09QAQAAAA4iSVFfUFJJQ0VEQVRFIgxJUV9QUklDRURBVEUCAAAACyI4LzE2LzIwMjQiCTgvMTYvMjAyNAAAAAADAAAAAAAAAAUiQ09QIgNDT1ABAAAADiJJUV9QUklDRURBVEUiDElRX1BSSUNFREFURQIAAAAKIjgvOS8yMDI0Igg4LzkvMjAyNAAAAAADAAAAAAAAAAUiQ09QIgNDT1ABAAAADiJJUV9QUklDRURBVEUiDElRX1BSSUNFREFURQIAAAAKIjgvMi8yMDI0Igg4LzIvMjAyNAAAAAADAAAAAAAAAAUiQ09QIgNDT1ABAAAADiJJUV9QUklDRURBVEUiDElRX1BSSUNFREFURQIAAAALIjcvMjYvMjAyNCIJNy8yNi8yMDI0AAAAAAMAAAAAAAAABSJDT1AiA0NPUAEAAAAOIklRX1BSSUNFREFURSIMSVFfUFJJQ0VEQVRFAgAAAAsiNy8xOS8yMDI0Igk3LzE5LzIwMjQAAAAAAwAAAAAAAAAFIkNPUCIDQ09QAQAAAA4iSVFfUFJJQ0VEQVRFIgxJUV9QUklDRURBVEUCAAAACyI3LzEyLzIwMjQiCTcvMTIvMjAyNAAAAAADAAAAAAAAAAUiQ09QIgNDT1ABAAAADiJJUV9QUklDRURBVEUiDElRX1BSSUNFREFU</t>
  </si>
  <si>
    <t>RQIAAAAKIjcvNS8yMDI0Igg3LzUvMjAyNAAAAAADAAAAAAAAAAUiQ09QIgNDT1ABAAAADiJJUV9QUklDRURBVEUiDElRX1BSSUNFREFURQIAAAALIjYvMjgvMjAyNCIJNi8yOC8yMDI0AAAAAAMAAAAAAAAABSJDT1AiA0NPUAEAAAAOIklRX1BSSUNFREFURSIMSVFfUFJJQ0VEQVRFAgAAAAsiNi8yMS8yMDI0Igk2LzIxLzIwMjQAAAAAAwAAAAAAAAAFIkNPUCIDQ09QAQAAAA4iSVFfUFJJQ0VEQVRFIgxJUV9QUklDRURBVEUCAAAACyI2LzE0LzIwMjQiCTYvMTQvMjAyNAAAAAADAAAAAAAAAAUiQ09QIgNDT1ABAAAADiJJUV9QUklDRURBVEUiDElRX1BSSUNFREFURQIAAAAKIjYvNy8yMDI0Igg2LzcvMjAyNAAAAAADAAAAAAAAAAUiQ09QIgNDT1ABAAAADiJJUV9QUklDRURBVEUiDElRX1BSSUNFREFURQIAAAALIjUvMzEvMjAyNCIJNS8zMS8yMDI0AAAAAAMAAAAAAAAABSJDT1AiA0NPUAEAAAAOIklRX1BSSUNFREFURSIMSVFfUFJJQ0VEQVRFAgAAAAsiNS8yNC8yMDI0Igk1LzI0LzIwMjQAAAAAAwAAAAAAAAAFIkNPUCIDQ09QAQAAAA4iSVFfUFJJQ0VEQVRFIgxJUV9QUklDRURBVEUCAAAACyI1LzE3LzIwMjQiCTUvMTcvMjAyNAAAAAADAAAAAAAAAAUiQ09QIgNDT1ABAAAADiJJUV9QUklDRURBVEUiDElRX1BSSUNFREFURQIAAAALIjUvMTAvMjAyNCIJNS8xMC8yMDI0AAAAAAMAAAAAAAAABSJDT1Ai</t>
  </si>
  <si>
    <t>A0NPUAEAAAAOIklRX1BSSUNFREFURSIMSVFfUFJJQ0VEQVRFAgAAAAoiNS8zLzIwMjQiCDUvMy8yMDI0AAAAAAMAAAAAAAAABSJDT1AiA0NPUAEAAAAOIklRX1BSSUNFREFURSIMSVFfUFJJQ0VEQVRFAgAAAAsiNC8yNi8yMDI0Igk0LzI2LzIwMjQAAAAAAwAAAAAAAAAFIkNPUCIDQ09QAQAAAA4iSVFfUFJJQ0VEQVRFIgxJUV9QUklDRURBVEUCAAAACyI0LzE5LzIwMjQiCTQvMTkvMjAyNAAAAAADAAAAAAAAAAUiQ09QIgNDT1ABAAAADiJJUV9QUklDRURBVEUiDElRX1BSSUNFREFURQIAAAALIjQvMTIvMjAyNCIJNC8xMi8yMDI0AAAAAAMAAAAAAAAABSJDT1AiA0NPUAEAAAAOIklRX1BSSUNFREFURSIMSVFfUFJJQ0VEQVRFAgAAAAoiNC81LzIwMjQiCDQvNS8yMDI0AAAAAAMAAAAAAAAABSJDT1AiA0NPUAEAAAAOIklRX1BSSUNFREFURSIMSVFfUFJJQ0VEQVRFAgAAAAsiMy8yOC8yMDI0IgkzLzI4LzIwMjQAAAAAAwAAAAAAAAAFIkNPUCIDQ09QAQAAAA4iSVFfUFJJQ0VEQVRFIgxJUV9QUklDRURBVEUCAAAACyIzLzIyLzIwMjQiCTMvMjIvMjAyNAAAAAADAAAAAAAAAAUiQ09QIgNDT1ABAAAADiJJUV9QUklDRURBVEUiDElRX1BSSUNFREFURQIAAAALIjMvMTUvMjAyNCIJMy8xNS8yMDI0AAAAAAMAAAAAAAAABSJDT1AiA0NPUAEAAAAOIklRX1BSSUNFREFURSIMSVFfUFJJQ0VEQVRFAgAAAAoiMy84</t>
  </si>
  <si>
    <t>LzIwMjQiCDMvOC8yMDI0AAAAAAMAAAAAAAAABSJDT1AiA0NPUAEAAAAOIklRX1BSSUNFREFURSIMSVFfUFJJQ0VEQVRFAgAAAAoiMy8xLzIwMjQiCDMvMS8yMDI0AAAAAAMAAAAAAAAABSJDT1AiA0NPUAEAAAAOIklRX1BSSUNFREFURSIMSVFfUFJJQ0VEQVRFAgAAAAsiMi8yMy8yMDI0IgkyLzIzLzIwMjQAAAAAAwAAAAAAAAAFIkNPUCIDQ09QAQAAAA4iSVFfUFJJQ0VEQVRFIgxJUV9QUklDRURBVEUCAAAACyIyLzE2LzIwMjQiCTIvMTYvMjAyNAAAAAADAAAAAAAAAAUiQ09QIgNDT1ABAAAADiJJUV9QUklDRURBVEUiDElRX1BSSUNFREFURQIAAAAKIjIvOS8yMDI0IggyLzkvMjAyNAAAAAADAAAAAAAAAAUiQ09QIgNDT1ABAAAADiJJUV9QUklDRURBVEUiDElRX1BSSUNFREFURQIAAAAKIjIvMi8yMDI0IggyLzIvMjAyNAAAAAADAAAAAAAAAAUiQ09QIgNDT1ABAAAADiJJUV9QUklDRURBVEUiDElRX1BSSUNFREFURQIAAAALIjEvMjYvMjAyNCIJMS8yNi8yMDI0AAAAAAMAAAAAAAAABSJDT1AiA0NPUAEAAAAOIklRX1BSSUNFREFURSIMSVFfUFJJQ0VEQVRFAgAAAAsiMS8xOS8yMDI0IgkxLzE5LzIwMjQAAAAAAwAAAAAAAAAFIkNPUCIDQ09QAQAAAA4iSVFfUFJJQ0VEQVRFIgxJUV9QUklDRURBVEUCAAAACyIxLzEyLzIwMjQiCTEvMTIvMjAyNAAAAAADAAAAAAAAAAUiQ09QIgNDT1ABAAAADiJJUV9Q</t>
  </si>
  <si>
    <t>UklDRURBVEUiDElRX1BSSUNFREFURQIAAAAKIjEvNS8yMDI0IggxLzUvMjAyNAAAAAADAAAAAAAAAAUiQ09QIgNDT1ABAAAADiJJUV9QUklDRURBVEUiDElRX1BSSUNFREFURQIAAAAMIjEyLzI5LzIwMjMiCjEyLzI5LzIwMjMAAAAAAwAAAAAAAAAFIkNPUCIDQ09QAQAAAA4iSVFfUFJJQ0VEQVRFIgxJUV9QUklDRURBVEUCAAAADCIxMi8yMi8yMDIzIgoxMi8yMi8yMDIzAAAAAAMAAAAAAAAABSJDT1AiA0NPUAEAAAAOIklRX1BSSUNFREFURSIMSVFfUFJJQ0VEQVRFAgAAAAwiMTIvMTUvMjAyMyIKMTIvMTUvMjAyMwAAAAADAAAAAAAAAAUiQ09QIgNDT1ABAAAADiJJUV9QUklDRURBVEUiDElRX1BSSUNFREFURQIAAAALIjEyLzgvMjAyMyIJMTIvOC8yMDIzAAAAAAMAAAAAAAAABSJDT1AiA0NPUAEAAAAOIklRX1BSSUNFREFURSIMSVFfUFJJQ0VEQVRFAgAAAAsiMTIvMS8yMDIzIgkxMi8xLzIwMjMAAAAAAwAAAAAAAAAFIkNPUCIDQ09QAQAAAA4iSVFfUFJJQ0VEQVRFIgxJUV9QUklDRURBVEUCAAAADCIxMS8yNC8yMDIzIgoxMS8yNC8yMDIzAAAAAAMAAAAAAAAABSJDT1AiA0NPUAEAAAAOIklRX1BSSUNFREFURSIMSVFfUFJJQ0VEQVRFAgAAAAwiMTEvMTcvMjAyMyIKMTEvMTcvMjAyMwAAAAADAAAAAAAAAAUiQ09QIgNDT1ABAAAADiJJUV9QUklDRURBVEUiDElRX1BSSUNFREFURQIAAAAMIjExLzEw</t>
  </si>
  <si>
    <t>LzIwMjMiCjExLzEwLzIwMjMAAAAAAwAAAAAAAAAFIkNPUCIDQ09QAQAAAA4iSVFfUFJJQ0VEQVRFIgxJUV9QUklDRURBVEUCAAAACyIxMS8zLzIwMjMiCTExLzMvMjAyMwAAAAADAAAAAAAAAAUiQ09QIgNDT1ABAAAADiJJUV9QUklDRURBVEUiDElRX1BSSUNFREFURQIAAAAMIjEwLzI3LzIwMjMiCjEwLzI3LzIwMjMAAAAAAwAAAAAAAAAFIkNPUCIDQ09QAQAAAA4iSVFfUFJJQ0VEQVRFIgxJUV9QUklDRURBVEUCAAAADCIxMC8yMC8yMDIzIgoxMC8yMC8yMDIzAAAAAAMAAAAAAAAABSJDT1AiA0NPUAEAAAAOIklRX1BSSUNFREFURSIMSVFfUFJJQ0VEQVRFAgAAAAwiMTAvMTMvMjAyMyIKMTAvMTMvMjAyMwAAAAADAAAAAAAAAAUiQ09QIgNDT1ABAAAADiJJUV9QUklDRURBVEUiDElRX1BSSUNFREFURQIAAAALIjEwLzYvMjAyMyIJMTAvNi8yMDIzAAAAAAMAAAAAAAAABSJDT1AiA0NPUAEAAAAOIklRX1BSSUNFREFURSIMSVFfUFJJQ0VEQVRFAgAAAAsiOS8yOS8yMDIzIgk5LzI5LzIwMjMAAAAAAwAAAAAAAAAFIkNPUCIDQ09QAQAAAA4iSVFfUFJJQ0VEQVRFIgxJUV9QUklDRURBVEUCAAAACyI5LzIyLzIwMjMiCTkvMjIvMjAyMwAAAAADAAAAAAAAAAUiQ09QIgNDT1ABAAAADiJJUV9QUklDRURBVEUiDElRX1BSSUNFREFURQIAAAALIjkvMTUvMjAyMyIJOS8xNS8yMDIzAAAAAAMAAAAAAAAABSJDT1Ai</t>
  </si>
  <si>
    <t>A0NPUAEAAAAOIklRX1BSSUNFREFURSIMSVFfUFJJQ0VEQVRFAgAAAAoiOS84LzIwMjMiCDkvOC8yMDIzAAAAAAMAAAAAAAAABSJDT1AiA0NPUAEAAAAOIklRX1BSSUNFREFURSIMSVFfUFJJQ0VEQVRFAgAAAAoiOS8xLzIwMjMiCDkvMS8yMDIzAAAAAAMAAAAAAAAABSJDT1AiA0NPUAEAAAAOIklRX1BSSUNFREFURSIMSVFfUFJJQ0VEQVRFAgAAAAsiOC8yNS8yMDIzIgk4LzI1LzIwMjMAAAAAAwAAAAAAAAAFIkNPUCIDQ09QAQAAAA4iSVFfUFJJQ0VEQVRFIgxJUV9QUklDRURBVEUCAAAACyI4LzE4LzIwMjMiCTgvMTgvMjAyMwAAAAADAAAAAAAAAAUiQ09QIgNDT1ABAAAADiJJUV9QUklDRURBVEUiDElRX1BSSUNFREFURQIAAAALIjgvMTEvMjAyMyIJOC8xMS8yMDIzAAAAAAMAAAAAAAAABSJDT1AiA0NPUAEAAAAOIklRX1BSSUNFREFURSIMSVFfUFJJQ0VEQVRFAgAAAAoiOC80LzIwMjMiCDgvNC8yMDIzAAAAAAMAAAAAAAAABSJDT1AiA0NPUAEAAAAOIklRX1BSSUNFREFURSIMSVFfUFJJQ0VEQVRFAgAAAAsiNy8yOC8yMDIzIgk3LzI4LzIwMjMAAAAAAwAAAAAAAAAFIkNPUCIDQ09QAQAAAA4iSVFfUFJJQ0VEQVRFIgxJUV9QUklDRURBVEUCAAAACyI3LzIxLzIwMjMiCTcvMjEvMjAyMwAAAAADAAAAAAAAAAUiQ09QIgNDT1ABAAAADiJJUV9QUklDRURBVEUiDElRX1BSSUNFREFURQIAAAALIjcvMTQv</t>
  </si>
  <si>
    <t>MjAyMyIJNy8xNC8yMDIzAAAAAAMAAAAAAAAABSJDT1AiA0NPUAEAAAAOIklRX1BSSUNFREFURSIMSVFfUFJJQ0VEQVRFAgAAAAoiNy83LzIwMjMiCDcvNy8yMDIzAAAAAAMAAAAAAAAABSJDT1AiA0NPUAEAAAAOIklRX1BSSUNFREFURSIMSVFfUFJJQ0VEQVRFAgAAAAsiNi8zMC8yMDIzIgk2LzMwLzIwMjMAAAAAAwAAAAAAAAAFIkNPUCIDQ09QAQAAAA4iSVFfUFJJQ0VEQVRFIgxJUV9QUklDRURBVEUCAAAACyI2LzIzLzIwMjMiCTYvMjMvMjAyMwAAAAADAAAAAAAAAAUiQ09QIgNDT1ABAAAADiJJUV9QUklDRURBVEUiDElRX1BSSUNFREFURQIAAAALIjYvMTYvMjAyMyIJNi8xNi8yMDIzAAAAAAMAAAAAAAAABSJDT1AiA0NPUAEAAAAOIklRX1BSSUNFREFURSIMSVFfUFJJQ0VEQVRFAgAAAAoiNi85LzIwMjMiCDYvOS8yMDIzAAAAAAMAAAAAAAAABSJDT1AiA0NPUAEAAAAOIklRX1BSSUNFREFURSIMSVFfUFJJQ0VEQVRFAgAAAAoiNi8yLzIwMjMiCDYvMi8yMDIzAAAAAAMAAAAAAAAABSJDT1AiA0NPUAEAAAAOIklRX1BSSUNFREFURSIMSVFfUFJJQ0VEQVRFAgAAAAsiNS8yNi8yMDIzIgk1LzI2LzIwMjMAAAAAAwAAAAAAAAAFIkNPUCIDQ09QAQAAAA4iSVFfUFJJQ0VEQVRFIgxJUV9QUklDRURBVEUCAAAACyI1LzE5LzIwMjMiCTUvMTkvMjAyMwAAAAADAAAAAAAAAAUiQ09QIgNDT1ABAAAADiJJUV9Q</t>
  </si>
  <si>
    <t>UklDRURBVEUiDElRX1BSSUNFREFURQIAAAALIjUvMTIvMjAyMyIJNS8xMi8yMDIzAAAAAAMAAAAAAAAABSJDT1AiA0NPUAEAAAAOIklRX1BSSUNFREFURSIMSVFfUFJJQ0VEQVRFAgAAAAoiNS81LzIwMjMiCDUvNS8yMDIzAAAAAAMAAAAAAAAABSJDT1AiA0NPUAEAAAAOIklRX1BSSUNFREFURSIMSVFfUFJJQ0VEQVRFAgAAAAsiNC8yOC8yMDIzIgk0LzI4LzIwMjMAAAAAAwAAAAAAAAAFIkNPUCIDQ09QAQAAAA4iSVFfUFJJQ0VEQVRFIgxJUV9QUklDRURBVEUCAAAACyI0LzIxLzIwMjMiCTQvMjEvMjAyMwAAAAADAAAAAAAAAAUiQ09QIgNDT1ABAAAADiJJUV9QUklDRURBVEUiDElRX1BSSUNFREFURQIAAAALIjQvMTQvMjAyMyIJNC8xNC8yMDIzAAAAAAMAAAAAAAAABSJDT1AiA0NPUAEAAAAOIklRX1BSSUNFREFURSIMSVFfUFJJQ0VEQVRFAgAAAAoiNC82LzIwMjMiCDQvNi8yMDIzAAAAAAMAAAAAAAAABSJDT1AiA0NPUAEAAAAOIklRX1BSSUNFREFURSIMSVFfUFJJQ0VEQVRFAgAAAAsiMy8zMS8yMDIzIgkzLzMxLzIwMjMAAAAAAwAAAAAAAAAFIkNPUCIDQ09QAQAAAA4iSVFfUFJJQ0VEQVRFIgxJUV9QUklDRURBVEUCAAAACyIzLzI0LzIwMjMiCTMvMjQvMjAyMwAAAAADAAAAAAAAAAUiQ09QIgNDT1ABAAAADiJJUV9QUklDRURBVEUiDElRX1BSSUNFREFURQIAAAALIjMvMTcvMjAyMyIJMy8xNy8y</t>
  </si>
  <si>
    <t>MDIzAAAAAAMAAAAAAAAABSJDT1AiA0NPUAEAAAAOIklRX1BSSUNFREFURSIMSVFfUFJJQ0VEQVRFAgAAAAsiMy8xMC8yMDIzIgkzLzEwLzIwMjMAAAAAAwAAAAAAAAAFIkNPUCIDQ09QAQAAAA4iSVFfUFJJQ0VEQVRFIgxJUV9QUklDRURBVEUCAAAACiIzLzMvMjAyMyIIMy8zLzIwMjMAAAAAAwAAAAAAAAAFIkNPUCIDQ09QAQAAAA4iSVFfUFJJQ0VEQVRFIgxJUV9QUklDRURBVEUCAAAACyIyLzI0LzIwMjMiCTIvMjQvMjAyMwAAAAADAAAAAAAAAAUiQ09QIgNDT1ABAAAADiJJUV9QUklDRURBVEUiDElRX1BSSUNFREFURQIAAAALIjIvMTcvMjAyMyIJMi8xNy8yMDIzAAAAAAMAAAAAAAAABSJDT1AiA0NPUAEAAAAOIklRX1BSSUNFREFURSIMSVFfUFJJQ0VEQVRFAgAAAAsiMi8xMC8yMDIzIgkyLzEwLzIwMjMAAAAAAwAAAAAAAAAFIkNPUCIDQ09QAQAAAA4iSVFfUFJJQ0VEQVRFIgxJUV9QUklDRURBVEUCAAAACiIyLzMvMjAyMyIIMi8zLzIwMjMAAAAAAwAAAAAAAAAFIkNPUCIDQ09QAQAAAA4iSVFfUFJJQ0VEQVRFIgxJUV9QUklDRURBVEUCAAAACyIxLzI3LzIwMjMiCTEvMjcvMjAyMwAAAAADAAAAAAAAAAUiQ09QIgNDT1ABAAAADiJJUV9QUklDRURBVEUiDElRX1BSSUNFREFURQIAAAALIjEvMjAvMjAyMyIJMS8yMC8yMDIzAAAAAAMAAAAAAAAABSJDT1AiA0NPUAEAAAAOIklRX1BSSUNFREFURSIM</t>
  </si>
  <si>
    <t>SVFfUFJJQ0VEQVRFAgAAAAsiMS8xMy8yMDIzIgkxLzEzLzIwMjMAAAAAAwAAAAAAAAAFIkNPUCIDQ09QAQAAAA4iSVFfUFJJQ0VEQVRFIgxJUV9QUklDRURBVEUCAAAACiIxLzYvMjAyMyIIMS82LzIwMjMAAAAAAwAAAAAAAAAFIkNPUCIDQ09QAQAAAA4iSVFfUFJJQ0VEQVRFIgxJUV9QUklDRURBVEUCAAAADCIxMi8zMC8yMDIyIgoxMi8zMC8yMDIyAAAAAAMAAAAAAAAABSJDT1AiA0NPUAEAAAAOIklRX1BSSUNFREFURSIMSVFfUFJJQ0VEQVRFAgAAAAwiMTIvMjMvMjAyMiIKMTIvMjMvMjAyMgAAAAADAAAAAAAAAAUiQ09QIgNDT1ABAAAADiJJUV9QUklDRURBVEUiDElRX1BSSUNFREFURQIAAAAMIjEyLzE2LzIwMjIiCjEyLzE2LzIwMjIAAAAAAwAAAAAAAAAFIkNPUCIDQ09QAQAAAA4iSVFfUFJJQ0VEQVRFIgxJUV9QUklDRURBVEUCAAAACyIxMi85LzIwMjIiCTEyLzkvMjAyMgAAAAADAAAAAAAAAAUiQ09QIgNDT1ABAAAADiJJUV9QUklDRURBVEUiDElRX1BSSUNFREFURQIAAAALIjEyLzIvMjAyMiIJMTIvMi8yMDIyAAAAAAMAAAAAAAAABSJDT1AiA0NPUAEAAAAOIklRX1BSSUNFREFURSIMSVFfUFJJQ0VEQVRFAgAAAAwiMTEvMjUvMjAyMiIKMTEvMjUvMjAyMgAAAAADAAAAAAAAAAUiQ09QIgNDT1ABAAAADiJJUV9QUklDRURBVEUiDElRX1BSSUNFREFURQIAAAAMIjExLzE4LzIwMjIiCjExLzE4</t>
  </si>
  <si>
    <t>LzIwMjIAAAAAAwAAAAAAAAAFIkNPUCIDQ09QAQAAAA4iSVFfUFJJQ0VEQVRFIgxJUV9QUklDRURBVEUCAAAADCIxMS8xMS8yMDIyIgoxMS8xMS8yMDIyAAAAAAMAAAAAAAAABSJDT1AiA0NPUAEAAAAOIklRX1BSSUNFREFURSIMSVFfUFJJQ0VEQVRFAgAAAAsiMTEvNC8yMDIyIgkxMS80LzIwMjIAAAAAAwAAAAAAAAAFIkNPUCIDQ09QAQAAAA4iSVFfUFJJQ0VEQVRFIgxJUV9QUklDRURBVEUCAAAADCIxMC8yOC8yMDIyIgoxMC8yOC8yMDIyAAAAAAMAAAAAAAAABSJDT1AiA0NPUAEAAAAOIklRX1BSSUNFREFURSIMSVFfUFJJQ0VEQVRFAgAAAAwiMTAvMjEvMjAyMiIKMTAvMjEvMjAyMgAAAAADAAAAAAAAAAUiQ09QIgNDT1ABAAAADiJJUV9QUklDRURBVEUiDElRX1BSSUNFREFURQIAAAAMIjEwLzE0LzIwMjIiCjEwLzE0LzIwMjIAAAAAAwAAAAAAAAAFIkNPUCIDQ09QAQAAAA4iSVFfUFJJQ0VEQVRFIgxJUV9QUklDRURBVEUCAAAACyIxMC83LzIwMjIiCTEwLzcvMjAyMgAAAAADAAAAAAAAAAUiQ09QIgNDT1ABAAAADiJJUV9QUklDRURBVEUiDElRX1BSSUNFREFURQIAAAALIjkvMzAvMjAyMiIJOS8zMC8yMDIyAAAAAAMAAAAAAAAABSJDT1AiA0NPUAEAAAAOIklRX1BSSUNFREFURSIMSVFfUFJJQ0VEQVRFAgAAAAsiOS8yMy8yMDIyIgk5LzIzLzIwMjIAAAAAAwAAAAAAAAAFIkNPUCIDQ09QAQAAAA4i</t>
  </si>
  <si>
    <t>SVFfUFJJQ0VEQVRFIgxJUV9QUklDRURBVEUCAAAACyI5LzE2LzIwMjIiCTkvMTYvMjAyMgAAAAADAAAAAAAAAAUiQ09QIgNDT1ABAAAADiJJUV9QUklDRURBVEUiDElRX1BSSUNFREFURQIAAAAKIjkvOS8yMDIyIgg5LzkvMjAyMgAAAAADAAAAAAAAAAUiQ09QIgNDT1ABAAAADiJJUV9QUklDRURBVEUiDElRX1BSSUNFREFURQIAAAAKIjkvMi8yMDIyIgg5LzIvMjAyMgAAAAADAAAAAAAAAAUiQ09QIgNDT1ABAAAADiJJUV9QUklDRURBVEUiDElRX1BSSUNFREFURQIAAAALIjgvMjYvMjAyMiIJOC8yNi8yMDIyAAAAAAMAAAAAAAAABSJDT1AiA0NPUAEAAAAOIklRX1BSSUNFREFURSIMSVFfUFJJQ0VEQVRFAgAAAAsiOC8xOS8yMDIyIgk4LzE5LzIwMjIAAAAAAwAAAAAAAAAFIkNPUCIDQ09QAQAAAA4iSVFfUFJJQ0VEQVRFIgxJUV9QUklDRURBVEUCAAAACyI4LzEyLzIwMjIiCTgvMTIvMjAyMgAAAAADAAAAAAAAAAUiQ09QIgNDT1ABAAAADiJJUV9QUklDRURBVEUiDElRX1BSSUNFREFURQIAAAAKIjgvNS8yMDIyIgg4LzUvMjAyMgAAAAADAAAAAAAAAAUiQ09QIgNDT1ABAAAADiJJUV9QUklDRURBVEUiDElRX1BSSUNFREFURQIAAAALIjcvMjkvMjAyMiIJNy8yOS8yMDIyAAAAAAMAAAAAAAAABSJDT1AiA0NPUAEAAAAOIklRX1BSSUNFREFURSIMSVFfUFJJQ0VEQVRFAgAAAAsiNy8yMi8yMDIyIgk3LzIy</t>
  </si>
  <si>
    <t>LzIwMjIAAAAAAwAAAAAAAAAFIkNPUCIDQ09QAQAAAA4iSVFfUFJJQ0VEQVRFIgxJUV9QUklDRURBVEUCAAAACyI3LzE1LzIwMjIiCTcvMTUvMjAyMgAAAAADAAAAAAAAAAUiQ09QIgNDT1ABAAAADiJJUV9QUklDRURBVEUiDElRX1BSSUNFREFURQIAAAAKIjcvOC8yMDIyIgg3LzgvMjAyMgAAAAADAAAAAAAAAAUiQ09QIgNDT1ABAAAADiJJUV9QUklDRURBVEUiDElRX1BSSUNFREFURQIAAAAKIjcvMS8yMDIyIgg3LzEvMjAyMgAAAAADAAAAAAAAAAUiQ09QIgNDT1ABAAAADiJJUV9QUklDRURBVEUiDElRX1BSSUNFREFURQIAAAALIjYvMjQvMjAyMiIJNi8yNC8yMDIyAAAAAAMAAAAAAAAABSJDT1AiA0NPUAEAAAAOIklRX1BSSUNFREFURSIMSVFfUFJJQ0VEQVRFAgAAAAsiNi8xNy8yMDIyIgk2LzE3LzIwMjIAAAAAAwAAAAAAAAAFIkNPUCIDQ09QAQAAAA4iSVFfUFJJQ0VEQVRFIgxJUV9QUklDRURBVEUCAAAACyI2LzEwLzIwMjIiCTYvMTAvMjAyMgAAAAADAAAAAAAAAAUiQ09QIgNDT1ABAAAADiJJUV9QUklDRURBVEUiDElRX1BSSUNFREFURQIAAAAKIjYvMy8yMDIyIgg2LzMvMjAyMgAAAAADAAAAAAAAAAUiQ09QIgNDT1ABAAAADiJJUV9QUklDRURBVEUiDElRX1BSSUNFREFURQIAAAALIjUvMjcvMjAyMiIJNS8yNy8yMDIyAAAAAAMAAAAAAAAABSJDT1AiA0NPUAEAAAAOIklRX1BSSUNFREFURSIM</t>
  </si>
  <si>
    <t>SVFfUFJJQ0VEQVRFAgAAAAsiNS8yMC8yMDIyIgk1LzIwLzIwMjIAAAAAAwAAAAAAAAAFIkNPUCIDQ09QAQAAAA4iSVFfUFJJQ0VEQVRFIgxJUV9QUklDRURBVEUCAAAACyI1LzEzLzIwMjIiCTUvMTMvMjAyMgAAAAADAAAAAAAAAAUiQ09QIgNDT1ABAAAADiJJUV9QUklDRURBVEUiDElRX1BSSUNFREFURQIAAAAKIjUvNi8yMDIyIgg1LzYvMjAyMgAAAAADAAAAAAAAAAUiQ09QIgNDT1ABAAAADiJJUV9QUklDRURBVEUiDElRX1BSSUNFREFURQIAAAALIjQvMjkvMjAyMiIJNC8yOS8yMDIyAAAAAAMAAAAAAAAABSJDT1AiA0NPUAEAAAAOIklRX1BSSUNFREFURSIMSVFfUFJJQ0VEQVRFAgAAAAsiNC8yMi8yMDIyIgk0LzIyLzIwMjIAAAAAAwAAAAAAAAAFIkNPUCIDQ09QAQAAAA4iSVFfUFJJQ0VEQVRFIgxJUV9QUklDRURBVEUCAAAACyI0LzE0LzIwMjIiCTQvMTQvMjAyMgAAAAADAAAAAAAAAAUiQ09QIgNDT1ABAAAADiJJUV9QUklDRURBVEUiDElRX1BSSUNFREFURQIAAAAKIjQvOC8yMDIyIgg0LzgvMjAyMgAAAAADAAAAAAAAAAUiQ09QIgNDT1ABAAAADiJJUV9QUklDRURBVEUiDElRX1BSSUNFREFURQIAAAAKIjQvMS8yMDIyIgg0LzEvMjAyMgAAAAADAAAAAAAAAAUiQ09QIgNDT1ABAAAADiJJUV9QUklDRURBVEUiDElRX1BSSUNFREFURQIAAAALIjMvMjUvMjAyMiIJMy8yNS8yMDIyAAAAAAMAAAAA</t>
  </si>
  <si>
    <t>AAAABSJDT1AiA0NPUAEAAAAOIklRX1BSSUNFREFURSIMSVFfUFJJQ0VEQVRFAgAAAAsiMy8xOC8yMDIyIgkzLzE4LzIwMjIAAAAAAwAAAAAAAAAFIkNPUCIDQ09QAQAAAA4iSVFfUFJJQ0VEQVRFIgxJUV9QUklDRURBVEUCAAAACyIzLzExLzIwMjIiCTMvMTEvMjAyMgAAAAADAAAAAAAAAAUiQ09QIgNDT1ABAAAADiJJUV9QUklDRURBVEUiDElRX1BSSUNFREFURQIAAAAKIjMvNC8yMDIyIggzLzQvMjAyMgAAAAADAAAAAAAAAAUiQ09QIgNDT1ABAAAADiJJUV9QUklDRURBVEUiDElRX1BSSUNFREFURQIAAAALIjIvMjUvMjAyMiIJMi8yNS8yMDIyAAAAAAMAAAAAAAAABSJDT1AiA0NPUAEAAAAOIklRX1BSSUNFREFURSIMSVFfUFJJQ0VEQVRFAgAAAAsiMi8xOC8yMDIyIgkyLzE4LzIwMjIAAAAAAwAAAAAAAAAFIkNPUCIDQ09QAQAAAA4iSVFfUFJJQ0VEQVRFIgxJUV9QUklDRURBVEUCAAAACyIyLzExLzIwMjIiCTIvMTEvMjAyMgAAAAADAAAAAAAAAAUiQ09QIgNDT1ABAAAADiJJUV9QUklDRURBVEUiDElRX1BSSUNFREFURQIAAAAKIjIvNC8yMDIyIggyLzQvMjAyMgAAAAADAAAAAAAAAAUiQ09QIgNDT1ABAAAADiJJUV9QUklDRURBVEUiDElRX1BSSUNFREFURQIAAAALIjEvMjgvMjAyMiIJMS8yOC8yMDIyAAAAAAMAAAAAAAAABSJDT1AiA0NPUAEAAAAOIklRX1BSSUNFREFURSIMSVFfUFJJQ0VEQVRF</t>
  </si>
  <si>
    <t>AgAAAAsiMS8yMS8yMDIyIgkxLzIxLzIwMjIAAAAAAwAAAAAAAAAFIkNPUCIDQ09QAQAAAA4iSVFfUFJJQ0VEQVRFIgxJUV9QUklDRURBVEUCAAAACyIxLzE0LzIwMjIiCTEvMTQvMjAyMgAAAAADAAAAAAAAAAUiQ09QIgNDT1ABAAAADiJJUV9QUklDRURBVEUiDElRX1BSSUNFREFURQIAAAAKIjEvNy8yMDIyIggxLzcvMjAyMgAAAAADAAAAAAAAAAUiQ09QIgNDT1ABAAAADiJJUV9QUklDRURBVEUiDElRX1BSSUNFREFURQIAAAAMIjEyLzMxLzIwMjEiCjEyLzMxLzIwMjEAAAAAAwAAAAAAAAAFIkNPUCIDQ09QAQAAAA4iSVFfUFJJQ0VEQVRFIgxJUV9QUklDRURBVEUCAAAADCIxMi8yMy8yMDIxIgoxMi8yMy8yMDIxAAAAAAMAAAAAAAAABSJDT1AiA0NPUAEAAAAOIklRX1BSSUNFREFURSIMSVFfUFJJQ0VEQVRFAgAAAAwiMTIvMTcvMjAyMSIKMTIvMTcvMjAyMQAAAAADAAAAAAAAAAUiQ09QIgNDT1ABAAAADiJJUV9QUklDRURBVEUiDElRX1BSSUNFREFURQIAAAAMIjEyLzEwLzIwMjEiCjEyLzEwLzIwMjEAAAAAAwAAAAAAAAAFIkNPUCIDQ09QAQAAAA4iSVFfUFJJQ0VEQVRFIgxJUV9QUklDRURBVEUCAAAACyIxMi8zLzIwMjEiCTEyLzMvMjAyMQAAAAADAAAAAAAAAAUiQ09QIgNDT1ABAAAADiJJUV9QUklDRURBVEUiDElRX1BSSUNFREFURQIAAAAMIjExLzI2LzIwMjEiCjExLzI2LzIwMjEAAAAAAwAA</t>
  </si>
  <si>
    <t>AAAAAAAFIkNPUCIDQ09QAQAAAA4iSVFfUFJJQ0VEQVRFIgxJUV9QUklDRURBVEUCAAAADCIxMS8xOS8yMDIxIgoxMS8xOS8yMDIxAAAAAAMAAAAAAAAABSJDT1AiA0NPUAEAAAAOIklRX1BSSUNFREFURSIMSVFfUFJJQ0VEQVRFAgAAAAwiMTEvMTIvMjAyMSIKMTEvMTIvMjAyMQAAAAADAAAAAAAAAAUiQ09QIgNDT1ABAAAADiJJUV9QUklDRURBVEUiDElRX1BSSUNFREFURQIAAAALIjExLzUvMjAyMSIJMTEvNS8yMDIxAAAAAAMAAAAAAAAABSJDT1AiA0NPUAEAAAAOIklRX1BSSUNFREFURSIMSVFfUFJJQ0VEQVRFAgAAAAwiMTAvMjkvMjAyMSIKMTAvMjkvMjAyMQAAAAADAAAAAAAAAAUiQ09QIgNDT1ABAAAADiJJUV9QUklDRURBVEUiDElRX1BSSUNFREFURQIAAAAMIjEwLzIyLzIwMjEiCjEwLzIyLzIwMjEAAAAAAwAAAAAAAAAFIkNPUCIDQ09QAQAAAA4iSVFfUFJJQ0VEQVRFIgxJUV9QUklDRURBVEUCAAAADCIxMC8xNS8yMDIxIgoxMC8xNS8yMDIxAAAAAAMAAAAAAAAABSJDT1AiA0NPUAEAAAAOIklRX1BSSUNFREFURSIMSVFfUFJJQ0VEQVRFAgAAAAsiMTAvOC8yMDIxIgkxMC84LzIwMjEAAAAAAwAAAAAAAAAFIkNPUCIDQ09QAQAAAA4iSVFfUFJJQ0VEQVRFIgxJUV9QUklDRURBVEUCAAAACyIxMC8xLzIwMjEiCTEwLzEvMjAyMQAAAAADAAAAAAAAAAUiQ09QIgNDT1ABAAAADiJJUV9QUklDRURB</t>
  </si>
  <si>
    <t>VEUiDElRX1BSSUNFREFURQIAAAALIjkvMjQvMjAyMSIJOS8yNC8yMDIxAAAAAAMAAAAAAAAABSJDT1AiA0NPUAEAAAAOIklRX1BSSUNFREFURSIMSVFfUFJJQ0VEQVRFAgAAAAsiOS8xNy8yMDIxIgk5LzE3LzIwMjEAAAAAAwAAAAAAAAAFIkNPUCIDQ09QAQAAAA4iSVFfUFJJQ0VEQVRFIgxJUV9QUklDRURBVEUCAAAACyI5LzEwLzIwMjEiCTkvMTAvMjAyMQAAAAADAAAAAAAAAAUiQ09QIgNDT1ABAAAADiJJUV9QUklDRURBVEUiDElRX1BSSUNFREFURQIAAAAKIjkvMy8yMDIxIgg5LzMvMjAyMQAAAAADAAAAAAAAAAUiQ09QIgNDT1ABAAAADiJJUV9QUklDRURBVEUiDElRX1BSSUNFREFURQIAAAALIjgvMjcvMjAyMSIJOC8yNy8yMDIxAAAAAAMAAAAAAAAABSJDT1AiA0NPUAEAAAAOIklRX1BSSUNFREFURSIMSVFfUFJJQ0VEQVRFAgAAAAsiOC8yMC8yMDIxIgk4LzIwLzIwMjEAAAAAAwAAAAAAAAAFIkNPUCIDQ09QAQAAAA4iSVFfUFJJQ0VEQVRFIgxJUV9QUklDRURBVEUCAAAACyI4LzEzLzIwMjEiCTgvMTMvMjAyMQAAAAADAAAAAAAAAAUiQ09QIgNDT1ABAAAADiJJUV9QUklDRURBVEUiDElRX1BSSUNFREFURQIAAAAKIjgvNi8yMDIxIgg4LzYvMjAyMQAAAAADAAAAAAAAAAUiQ09QIgNDT1ABAAAADiJJUV9QUklDRURBVEUiDElRX1BSSUNFREFURQIAAAALIjcvMzAvMjAyMSIJNy8zMC8yMDIxAAAA</t>
  </si>
  <si>
    <t>AAMAAAAAAAAABSJDT1AiA0NPUAEAAAAOIklRX1BSSUNFREFURSIMSVFfUFJJQ0VEQVRFAgAAAAsiNy8yMy8yMDIxIgk3LzIzLzIwMjEAAAAAAwAAAAAAAAAFIkNPUCIDQ09QAQAAAA4iSVFfUFJJQ0VEQVRFIgxJUV9QUklDRURBVEUCAAAACyI3LzE2LzIwMjEiCTcvMTYvMjAyMQAAAAADAAAAAAAAAAUiQ09QIgNDT1ABAAAADiJJUV9QUklDRURBVEUiDElRX1BSSUNFREFURQIAAAAKIjcvOS8yMDIxIgg3LzkvMjAyMQAAAAADAAAAAAAAAAUiQ09QIgNDT1ABAAAADiJJUV9QUklDRURBVEUiDElRX1BSSUNFREFURQIAAAAKIjcvMi8yMDIxIgg3LzIvMjAyMQAAAAADAAAAAAAAAAUiQ09QIgNDT1ABAAAADiJJUV9QUklDRURBVEUiDElRX1BSSUNFREFURQIAAAALIjYvMjUvMjAyMSIJNi8yNS8yMDIxAAAAAAMAAAAAAAAABSJDT1AiA0NPUAEAAAAOIklRX1BSSUNFREFURSIMSVFfUFJJQ0VEQVRFAgAAAAsiNi8xOC8yMDIxIgk2LzE4LzIwMjEAAAAAAwAAAAAAAAAFIkNPUCIDQ09QAQAAAA4iSVFfUFJJQ0VEQVRFIgxJUV9QUklDRURBVEUCAAAACyI2LzExLzIwMjEiCTYvMTEvMjAyMQAAAAADAAAAAAAAAAUiQ09QIgNDT1ABAAAADiJJUV9QUklDRURBVEUiDElRX1BSSUNFREFURQIAAAAKIjYvNC8yMDIxIgg2LzQvMjAyMQAAAAADAAAAAAAAAAUiQ09QIgNDT1ABAAAADiJJUV9QUklDRURBVEUiDElRX1BSSUNF</t>
  </si>
  <si>
    <t>REFURQIAAAALIjUvMjgvMjAyMSIJNS8yOC8yMDIxAAAAAAMAAAAAAAAABSJDT1AiA0NPUAEAAAAOIklRX1BSSUNFREFURSIMSVFfUFJJQ0VEQVRFAgAAAAsiNS8yMS8yMDIxIgk1LzIxLzIwMjEAAAAAAwAAAAAAAAAFIkNPUCIDQ09QAQAAAA4iSVFfUFJJQ0VEQVRFIgxJUV9QUklDRURBVEUCAAAACyI1LzE0LzIwMjEiCTUvMTQvMjAyMQAAAAADAAAAAAAAAAUiQ09QIgNDT1ABAAAADiJJUV9QUklDRURBVEUiDElRX1BSSUNFREFURQIAAAAKIjUvNy8yMDIxIgg1LzcvMjAyMQAAAAADAAAAAAAAAAUiQ09QIgNDT1ABAAAADiJJUV9QUklDRURBVEUiDElRX1BSSUNFREFURQIAAAALIjQvMzAvMjAyMSIJNC8zMC8yMDIxAAAAAAMAAAAAAAAABSJDT1AiA0NPUAEAAAAOIklRX1BSSUNFREFURSIMSVFfUFJJQ0VEQVRFAgAAAAsiNC8yMy8yMDIxIgk0LzIzLzIwMjEAAAAAAwAAAAAAAAAFIkNPUCIDQ09QAQAAAA4iSVFfUFJJQ0VEQVRFIgxJUV9QUklDRURBVEUCAAAACyI0LzE2LzIwMjEiCTQvMTYvMjAyMQAAAAADAAAAAAAAAAUiQ09QIgNDT1ABAAAADiJJUV9QUklDRURBVEUiDElRX1BSSUNFREFURQIAAAAKIjQvOS8yMDIxIgg0LzkvMjAyMQAAAAADAAAAAAAAAAUiQ09QIgNDT1ABAAAADiJJUV9QUklDRURBVEUiDElRX1BSSUNFREFURQIAAAAKIjQvMS8yMDIxIgg0LzEvMjAyMQAAAAADAAAAAAAAAAUiQ09Q</t>
  </si>
  <si>
    <t>IgNDT1ABAAAADiJJUV9QUklDRURBVEUiDElRX1BSSUNFREFURQIAAAALIjMvMjYvMjAyMSIJMy8yNi8yMDIxAAAAAAMAAAAAAAAABSJDT1AiA0NPUAEAAAAOIklRX1BSSUNFREFURSIMSVFfUFJJQ0VEQVRFAgAAAAsiMy8xOS8yMDIxIgkzLzE5LzIwMjEAAAAAAwAAAAAAAAAFIkNPUCIDQ09QAQAAAA4iSVFfUFJJQ0VEQVRFIgxJUV9QUklDRURBVEUCAAAACyIzLzEyLzIwMjEiCTMvMTIvMjAyMQAAAAADAAAAAAAAAAUiQ09QIgNDT1ABAAAADiJJUV9QUklDRURBVEUiDElRX1BSSUNFREFURQIAAAAKIjMvNS8yMDIxIggzLzUvMjAyMQAAAAADAAAAAAAAAAUiQ09QIgNDT1ABAAAADiJJUV9QUklDRURBVEUiDElRX1BSSUNFREFURQIAAAALIjIvMjYvMjAyMSIJMi8yNi8yMDIxAAAAAAMAAAAAAAAABSJDT1AiA0NPUAEAAAAOIklRX1BSSUNFREFURSIMSVFfUFJJQ0VEQVRFAgAAAAsiMi8xOS8yMDIxIgkyLzE5LzIwMjEAAAAAAwAAAAAAAAAFIkNPUCIDQ09QAQAAAA4iSVFfUFJJQ0VEQVRFIgxJUV9QUklDRURBVEUCAAAACyIyLzEyLzIwMjEiCTIvMTIvMjAyMQAAAAADAAAAAAAAAAUiQ09QIgNDT1ABAAAADiJJUV9QUklDRURBVEUiDElRX1BSSUNFREFURQIAAAAKIjIvNS8yMDIxIggyLzUvMjAyMQAAAAADAAAAAAAAAAUiQ09QIgNDT1ABAAAADiJJUV9QUklDRURBVEUiDElRX1BSSUNFREFURQIAAAALIjEv</t>
  </si>
  <si>
    <t>MjkvMjAyMSIJMS8yOS8yMDIxAAAAAAMAAAAAAAAABSJDT1AiA0NPUAEAAAAOIklRX1BSSUNFREFURSIMSVFfUFJJQ0VEQVRFAgAAAAsiMS8yMi8yMDIxIgkxLzIyLzIwMjEAAAAAAwAAAAAAAAAFIkNPUCIDQ09QAQAAAA4iSVFfUFJJQ0VEQVRFIgxJUV9QUklDRURBVEUCAAAACyIxLzE1LzIwMjEiCTEvMTUvMjAyMQAAAAADAAAAAAAAAAUiQ09QIgNDT1ABAAAADiJJUV9QUklDRURBVEUiDElRX1BSSUNFREFURQIAAAAKIjEvOC8yMDIxIggxLzgvMjAyMQAAAAADAAAAAAAAAAUiQ09QIgNDT1ABAAAADiJJUV9QUklDRURBVEUiDElRX1BSSUNFREFURQIAAAAMIjEyLzMxLzIwMjAiCjEyLzMxLzIwMjAAAAAAAwAAAAAAAAAFIkNPUCIDQ09QAQAAAA4iSVFfUFJJQ0VEQVRFIgxJUV9QUklDRURBVEUCAAAADCIxMi8yNC8yMDIwIgoxMi8yNC8yMDIwAAAAAAMAAAAAAAAABSJDT1AiA0NPUAEAAAAOIklRX1BSSUNFREFURSIMSVFfUFJJQ0VEQVRFAgAAAAwiMTIvMTgvMjAyMCIKMTIvMTgvMjAyMAAAAAADAAAAAAAAAAUiQ09QIgNDT1ABAAAADiJJUV9QUklDRURBVEUiDElRX1BSSUNFREFURQIAAAAMIjEyLzExLzIwMjAiCjEyLzExLzIwMjAAAAAAAwAAAAAAAAAFIkNPUCIDQ09QAQAAAA4iSVFfUFJJQ0VEQVRFIgxJUV9QUklDRURBVEUCAAAACyIxMi80LzIwMjAiCTEyLzQvMjAyMAAAAAADAAAAAAAAAAUiQ09Q</t>
  </si>
  <si>
    <t>AAAABTcxLjI0AgAAAAU2Ni45MgIAAAAFNzAuMzgCAAAABTY5LjQ5AgAAAAU3MS43OAIAAAAFNjguNjkCAAAABTc0Ljg1AgAAAAU3NC4zOAIAAAAFNjguMTgCAAAAAjcxAgAAAAU2Ny43NQIAAAAFNjcuNjcCAAAABTczLjU1AgAAAAU3NC44MwIAAAAFNzUuNTQCAAAABTc1LjYxAgAAAAU3My41MgIAAAAFNzcuMTYCAAAABTc4LjY0AgAAAAU4MS4wMgIAAAAFODMuMTYCAAAABTgxLjU0AgAAAAU4MC43MwIAAAAFNzguMDUCAAAABTc1LjUzAgAAAAU3Ni45OQIAAAAFNzcuNzICAAAABTc5LjU4AgAAAAU3Ny44NAIAAAAFNzguMTECAAAABTgzLjg1AgAAAAU4Mi4yMgIAAAAFODUuMDgCAAAABTg2LjkxAgAAAAU4My4xNwIAAAAFODAuNjMCAAAABTgwLjU4AgAAAAU3OC4wMQIAAAAFNzkuOTcCAAAABTc2LjQ5AgAAAAU3OC40NgIAAAAFNzYuNzcCAAAABTcyLjI4AgAAAAU3OC4wMQIAAAAFNzMuMjUCAAAABTcyLjc5AgAAAAU3My44MQIAAAAFNzEuNjUCAAAABTczLjU2AgAAAAU3MS43OAIAAAAFNzEuMjMCAAAABTc0LjA3AgAAAAU3NS41NAIAAAAFNzYuMDQCAAAABTc3LjE1AgAAAAU4MC41MQIAAAAFODUuNTQCAAAABTg4LjA4AgAAAAU4Ni4zNQIAAAAFODEuMjgCAAAABTkwLjc5AgAAAAU5MC4wMwIAAAAFOTAuMDICAAAABTg3LjUxAgAAAAU4NS41NQIAAAAFNzkuODMCAAAABTgwLjY2AgAAAAU4Mi41NwIAAAAF</t>
  </si>
  <si>
    <t>ODIuODICAAAABTgwLjU4AgAAAAU3Ny4wNwIAAAAFNzUuMzICAAAABTczLjc3AgAAAAU3MC42NAIAAAAFNjkuMTYCAAAABTcxLjkzAgAAAAU3MC4zMwIAAAAFNzEuNzQCAAAABTcyLjY3AgAAAAU3MS42OQIAAAAFNzAuMDICAAAABTcxLjM0AgAAAAU3Ni43OAIAAAAFNzcuODcCAAAABTgyLjQzAgAAAAU4MC42OAIAAAAFNzUuNjcCAAAABTY5LjI2AgAAAAU2Ni45MwIAAAAFNzYuNzgCAAAABTc5LjY4AgAAAAU3Ni4zMgIAAAAFNzYuNTUCAAAABTc5LjkyAgAAAAU3My4zOQIAAAAFNzkuNjgCAAAABTgxLjY0AgAAAAU4MC4xMQIAAAAFNzMuNzcCAAAABTgwLjI2AgAAAAU3OS41NgIAAAAFNzQuNDYCAAAABTcxLjAyAgAAAAU3OS45OAIAAAAFNzYuMjgCAAAABTgwLjExAgAAAAU4OC4xNgIAAAAFOTIuNjECAAAABDg3LjkCAAAABTg1LjA1AgAAAAU4NC42NQIAAAAFOTEuMzUCAAAABTc4LjcyAgAAAAU3OC43NAIAAAAFODQuNzYCAAAABTg1Ljc1AgAAAAU4Ni44NwIAAAAFOTMuMDYCAAAABTkwLjQ0AgAAAAU5MS40NgIAAAAFODkuMDECAAAABTk4LjYyAgAAAAQ5NC43AgAAAAU5NC41NwIAAAAGMTAxLjUzAgAAAAYxMDguNDMCAAAABjEwNy42MgIAAAAGMTA3Ljk5AgAAAAYxMjAuNjcCAAAABjExOC44NwIAAAAGMTE1LjA3AgAAAAYxMTAuMjgCAAAABjEwOC42MwIAAAAGMTA5Ljc3AgAAAAYxMDQuNjkCAAAABjEw</t>
  </si>
  <si>
    <t>Mi4wNwIAAAAGMTA2LjM4AgAAAAU5Ny43MwIAAAAFOTkuMjcCAAAABTExMy45AgAAAAYxMDMuMDkCAAAABTEwNi4zAgAAAAYxMTUuNjgCAAAABTkxLjU5AgAAAAU5MC4yMQIAAAAFOTEuNDICAAAABTkyLjMxAgAAAAU4Ni44MgIAAAAFODUuMTQCAAAABDgzLjMCAAAABTc4LjQ0AgAAAAU3NS4yMQIAAAAFNzMuNzkCAAAABTcwLjcyAgAAAAU3MS40OAIAAAAFNjYuMjYCAAAABTY4LjE1AgAAAAU3NS45NAIAAAAFNzkuNjkCAAAABTgxLjI3AgAAAAU4My41NwIAAAAFODMuNzYCAAAABTgxLjczAgAAAAU3OS4zNQIAAAAFNzUuODgCAAAABTczLjk4AgAAAAU3MS44MgIAAAAFNjkuNDcCAAAABTY5LjI5AgAAAAU2OC43NAIAAAAFNjIuMTQCAAAABTY4LjIxAgAAAAU2OC4yOAIAAAAFNzMuOTUCAAAABTcyLjA3AgAAAAU3MS41NgIAAAAFNzMuODECAAAABTc1LjE2AgAAAAU3NC4wNQIAAAAFNzEuMjkCAAAABTY5LjkyAgAAAAU2OS42MgIAAAAFNjYuMzICAAAABTYzLjU4AgAAAAU2NS4zNgIAAAAENjQuOQIAAAAFNjMuNTgCAAAABTYyLjE0AgAAAAU2My4xOQIAAAAFNTkuMzUCAAAABTYxLjQ1AgAAAAU2MC45NwIAAAAFNjEuNDQCAAAABTY1LjY0AgAAAAU2Ni4wOQIAAAAENjEuNQIAAAAFNTkuMjYCAAAABTU5LjM4AgAAAAU1Ni44NQIAAAAENTIuMgIAAAAFNTIuMjcCAAAABTUyLjQyAgAAAAU1Mi4yNgIAAAAFNDgu</t>
  </si>
  <si>
    <t>NTMzMQIAAAAIOTYuNDExODECAAAACTk5LjMzODQwNgIAAAAKMTAzLjI2MDA0NAIAAAAJOTkuNDI2MjAzAgAAAAk5OC42MTY1MTICAAAACTk0LjU0ODU0NAIAAAAJOTIuNzkyNTg3AgAAAAk5OC41NDgyMjUCAAAACjEwMC42OTQzOTUCAAAACjEwNS42ODkxMTgCAAAACjEwOS4wMTU2ODECAAAACjEwOS41NzE3MzQCAAAACjEwOC44NTk1OTYCAAAACjEwNC40NzEzMDcCAAAACjEwMS4yOTM3NjcCAAAACjEwMi4zNjkwOTMCAAAACjEwNy4wMzg1MjcCAAAACjExMC45NjIwMTMCAAAACjEwMS40NDg3NjkCAAAACjEwNi40Mzc4OTQCAAAACjEwMC4yNjY4NzkCAAAACTEwMi43MDgxNgIAAAAKMTEwLjIzNTQ0MgIAAAAIMTA3LjkyMDECAAAACjEwNy43MDY5NzICAAAACjEwNC40NjE2MTkCAAAACjEwMS43MzAwOTQCAAAACTEwNi42MjU2OAIAAAAKMTA5Ljk4MjM3OQIAAAAKMTA4LjgxODU5NQIAAAAJMTA4LjI1MTEzAgAAAAoxMTAuMDExMjMzAgAAAAoxMDcuMDg3MzQ2AgAAAAoxMDUuMjExODI3AgAAAAoxMDcuNzIyMTM4AgAAAAoxMTIuMDMxMDIzAgAAAAoxMTIuNzcxNjEzAgAAAAoxMTcuMDYxMjYyAgAAAAoxMTcuMjUzNjIzAgAAAAoxMTYuODE4MjQ2AgAAAAoxMjQuNDczNjAyAgAAAAoxMjMuNjUxNjc4AgAAAAoxMjUuMzkxMDk3AgAAAAoxMjcuNjA4Mzc5AgAAAAoxMjEuNjQ0NjU2AgAAAAoxMTcuNTgyODI2</t>
  </si>
  <si>
    <t>AgAAAAoxMTQuNzI1MjA4AgAAAAoxMDcuOTk2OTA2AgAAAAoxMDkuMTgyMDA0AgAAAAoxMDYuNTcyODc2AgAAAAoxMDUuNjc0NDk0AgAAAAoxMDUuNDg1ODY2AgAAAAkxMDQuOTgyOTICAAAACjEwNi41MDEyNDgCAAAACjEwMi4zNjM4MDMCAAAACjEwNS45OTgzMDICAAAACjExMC41ODE3NTYCAAAACjExMC4xNDUyMzYCAAAACjExMS42NTQwNzUCAAAACjEwOC42OTMzMzUCAAAACjEwNi4zNDk0MTUCAAAACjEwOS4zNDgxMTQCAAAACjEwOS41OTQ4NDICAAAACjEwOC43NDA3ODMCAAAACjEwOS4xNTgzMjMCAAAACjExMy4wNjcyODgCAAAACjExMS4yMjYxMDkCAAAACjExNy4xMzY3NjYCAAAACjExNy44OTIxMjICAAAACjEwOC44OTM5NDkCAAAACjExMy4xMTQ0OTgCAAAACjExMS45NDgzMTgCAAAACTExNi4wOTE0MgIAAAAKMTE1LjI5Mjg2MwIAAAAKMTE0Ljc0Nzk2NQIAAAAKMTA5LjQ2ODA5MwIAAAAKMTEwLjE5MTQ5MgIAAAAKMTEwLjIwMDM5OAIAAAAKMTA2LjM2NTIyNgIAAAAKMTA4LjQ0MTgzMgIAAAAKMTA1LjU5ODE5MgIAAAAKMTAwLjE3MjgyNgIAAAAJOTYuNTYyMTUyAgAAAAk5Ni45MTc2MDcCAAAACTkzLjQwOTgyNwIAAAAIOTcuNTU2ODMCAAAACTk2LjU5OTExNAIAAAAJOTUuMTY3MTg5AgAAAAk5NC43MDIyNzkCAAAACTk1LjM5OTY0NQIAAAAJOTEuOTc3OTAzAgAAAAk5Mi44NDc0NTICAAAA</t>
  </si>
  <si>
    <t>CTk1LjE3ODU4MgIAAAAHOTQuNTk1OAIAAAAKMTAwLjM2ODEyMwIAAAAJOTguMjk2MDA3AgAAAAk5MS43NzQzOTICAAAACTg3LjczNDMzNwIAAAAJODYuNzc4MjA1AgAAAAk5NS44MTU0OTQCAAAACTk5Ljg3OTA1NgIAAAAJOTYuNzYyNDMzAgAAAAk5NS43MjM1NTgCAAAACjEwNS4zMTI0NjICAAAACTk4Ljk1MTI0NgIAAAAKMTEzLjEzODEzMgIAAAAJMTExLjQ4MTQ3AgAAAAoxMTEuMTc5NDI2AgAAAAkxMDguMjEzOTECAAAACjEwOC4wMDMzOTQCAAAACjEwNy4xMzM4NzYCAAAACjEwMC40NTcxMTcCAAAACjEwMC4wNzUwODICAAAACjExMS4xMzU5MTYCAAAACjExNS4zNDc0MDICAAAACjExNi45NjY1MDQCAAAACjEyMS4zODcxOTkCAAAACjExOS45MDExMjECAAAACjExNS4yMzQ0NzQCAAAACjExMi44MDYwMDUCAAAACjEwNi44ODg4NzcCAAAACjEwNy4zODcyNTcCAAAACTkyLjczNDg5MQIAAAAJODkuODU3MDI3AgAAAAoxMDEuMDU5MDA2AgAAAAoxMDAuMDIyNzc4AgAAAAk5OC40OTUyMzYCAAAACjEwMC4xNTY3NzMCAAAACTkzLjkyMTU0MQIAAAAJOTEuMzc1NjM2AgAAAAg4Mi41NzE1NgIAAAAJODYuNjQ0NTU3AgAAAAk3OC4zNzQwNjICAAAACTczLjcxNDEyNwIAAAAINzYuODg4OTMCAAAACTgwLjkwODU2OAIAAAAJODAuMjIzODA3AgAAAAk4Mi43MjExNDkCAAAACTEwMy4wOTY5OQIAAAAKMTA0LjIz</t>
  </si>
  <si>
    <t>NTM1NAIAAAAJMTAxLjEyOTEyAgAAAAk5Mi42NzUyMTkCAAAACTkwLjQwNzMxNQIAAAAJOTQuNjA2NTg2AgAAAAk4My45MTUxMzcCAAAACTg0LjM0NTYwNgIAAAAJODkuMDU0NDEyAgAAAAk5MC41MzAzMDYCAAAACDg4LjM2MDM5AgAAAAk5NC4xNTgyOTICAAAACTg3LjIzODc1MgIAAAAJODYuMTk2NDQyAgAAAAk4Ny44MjU1OTkCAAAACDc5Ljk0MjU4AgAAAAk3OC41MDYxMTgCAAAACTgxLjkxMzMzNAIAAAAIODAuMDY1MzgCAAAACTc3Ljc1NTg4NQIAAAAJNzIuMDkxMDg3AgAAAAk3NS41OTQ1NDcCAAAACTcwLjI3ODM1MgIAAAAHNjIuOTA1NAIAAAAJNjEuODcwOTM1AgAAAAk1OS42Mjg2NjcCAAAACTYzLjg2OTg1NQIAAAAJNjEuODAxNDA3AgAAAAk2Mi4xMjI5NzMCAAAACTYwLjQ5Nzc2MwIAAAAJNjIuODg3Nzc3AgAAAAk2NS41NzMyODMCAAAACTY0LjczODk1MQIAAAAJNjUuNDE0OTU0AgAAAAk2NC4wNDk5ODMCAAAACTY0LjcyMzgyOQIAAAAJNjAuNTU5ODAzAgAAAAk1Ni4xNzExNjECAAAACTUwLjkwMTMzNQIAAAAJNDguMTQ1NDc1AgAAAAk0OC41ODYwNjcCAAAACDQ5LjAxODAyAgAAAAk0NS41ODgzMTQCAAAACTQ4LjM1MjgxMwIAAAAJNDguODEwNjgzAgAAAAk0OC40MzA1NjQCAAAACTQ3LjgwODU1MgIAAAAJNDcuNTgyOTY3AgAAAAk1MS41NTI1MDECAAAACDUzLjc5ODc2AgAAAAk1Mi41NjQx</t>
  </si>
  <si>
    <t>MwIAAAAQMTI3MDEuOTE3NzUzNjE0OQIAAAAQMTI3NDAuMzA2OTk3NjMzNAIAAAAQMTI1ODQuNjM1OTM2MzY5NgIAAAAQMTIzODYuNzY2NTU2NzY0MwIAAAAQMTIzNDIuMzI2NDYyNTAxOAIAAAAQMTIzNTMuMzA5NDU1NzI0MQIAAAAQMTIzMTcuNTM2NjU5NTY5OQIAAAAQMTIxOTguNjYzOTM2NDU1OQIAAAAQMTE5MDguMjExMzcwNDcxMgIAAAAQMTIxOTQuNjQxODY4MjYwNQIAAAAQMTIwMTguMzE2MTg0NDA0NgIAAAAQMTE5NDYuMjA4MDA2Mjk0OAIAAAAQMTE5ODIuMTI0MDkyMDY2MgIAAAAQMTE3NzYuOTM1MTM1NjE4MwIAAAAQMTEzODQuMzQzMTI1MzQxNQIAAAAQMTEzOTkuNDg1MjAxMzQ3NgIAAAAPMTE0NDEuNjExMTQxOTMzAgAAABAxMTI2OS41Nzk0NTE5OTIzAgAAABAxMTA2MC40NzkyNzEyMTEzAgAAABAxMTM1NC43NzI0NTU1MDM2AgAAABAxMDc4MS43MTkxODMwMzI4AgAAABAxMDgzMC44MDkzNTcxOTAyAgAAABAxMDUyMi4yMTY4MjkwODQ2AgAAABAxMDA1OS40MzkwNjMzNTkzAgAAABAxMDIxMi4wNDM5NTU4MTQ3AgAAABA5NjU5LjY2NjYyNzY0ODE1AgAAABAxMDYyMi4wMTk0MzU0NTExAgAAABAxMDc4Ni4yNTk3MTE0Nzg3AgAAABAxMDcyOS44MDExMDYzMDgzAgAAABAxMDk3NS43MTQ5MzAwNjI4AgAAABAxMTMyMy43Mjg2Mjg4MDc4AgAAABAxMTQzMy41NjM5NDQxODk3AgAAABAxMTYy</t>
  </si>
  <si>
    <t>My43OTMzOTM4Njg0AgAAABAxMTQ1MS4xMjM2NTk4OTkyAgAAABAxMTQ3Ny41OTc1MDIyNDAzAgAAABAxMTU5Mi4xOTM2NTI1ODU4AgAAABAxMTM5Mi4yNzk2NzQxNDU0AgAAABAxMTA2OC45NTg4OTc4ODE0AgAAABAxMTI4NS43OTU2MzAzMDQxAgAAABAxMTMzNy45ODYxNTAwMDI4AgAAAA8xMTI2MC4yNjkxMTUwNTgCAAAAEDExNDg2Ljc0OTc3NjE1MDICAAAAEDExNTU4LjY4NjczNDU5NDcCAAAADzExNDQ2LjE2MzUxNDM0NwIAAAAQMTEzMjQuNjk5Nzk1NjQ5NQIAAAAQMTExMzQuMzY0NDMzMTM1OQIAAAAQMTEzNjguNDUxODMyMTcwNQIAAAAQMTA4NjAuMzkzNjUyNjQ5NAIAAAAPMTEwMDkuNjkzOTE0MjIyAgAAABAxMTExNi4zNjcxNjY0ODY4AgAAABAxMTAyMS4wMDk5OTU1NTA1AgAAABAxMDg5OC4yMTA0MzU3ODA4AgAAABAxMDg3MC43OTY4NTE5MjAyAgAAABAxMDgwMi40NjEwMDkxOTQ2AgAAABAxMDY1NS4yMDQ1MTY3MzA5AgAAAA8xMDI0MC43NjYxNDM1ODYCAAAAEDEwNjkyLjg3NzIzMTIwMjYCAAAAEDEwNjY0LjU0Nzg0ODI4MzICAAAAEDEwNTEwLjg5MDQ0NDAxMDECAAAAEDEwMTA5LjAyODgyMTkxMDICAAAAEDEwMTEyLjAyMTQyMzE1NjYCAAAAEDEwMzIzLjc5Mzc4NzIyNTUCAAAAEDEwNDA5LjYyOTIyNTk3NjMCAAAAEDEwNjE2Ljk2MDA2ODU4NjYCAAAAEDEwNTI0LjMzMzQyNzExNzEC</t>
  </si>
  <si>
    <t>AAAAEDEwMzIxLjAwNTMxODAxODcCAAAAEDEwMzI3LjM3NTg0NDA3NTUCAAAAEDEwMjYzLjQ0MDEzNjcxMzkCAAAADzEwMTAwLjkxOTczMDgwMQIAAAAQOTk2Ni45OTIwMjc5NDMxNgIAAAAQMTAwMTYuOTIzODY5MDQ4MwIAAAAPMTAwMTIuODk1MzYxMzYxAgAAABA5ODU2LjYxODU4MDk3NDc4AgAAABA5Njc0LjYxNjIzNDk4MDY0AgAAABA5NjIxLjA0MTM2NTEwNTg0AgAAABA5MzcwLjI0NDA1NDk1MzU1AgAAABA5NjY0LjAxNjI4Mjk1MzA3AgAAABA5ODE0LjQ1OTI1ODIzNTc3AgAAABA5OTA3LjMzMjA4NjE3NDU2AgAAABA5ODY4LjI2MTY0Nzg5MTkzAgAAABA5NjQ2LjA0ODI5NzA2NTE2AgAAABA5NjU2LjA4NzMxMTU4MDk3AgAAABA5Njc5LjAxNjkzMDE5Nzk4AgAAABA5NTg1LjIyNTgzNzQwNDM3AgAAAA85NDI3LjQzNjU3NzQyNTcCAAAAEDk0NjIuNDA2NTI3NDQzMjkCAAAAEDkzMzIuNjE1Mjc3MDIxMDQCAAAAEDkyMDMuODM3MDI3MjcxNTUCAAAAEDkxMDcuMDAxMzgyNTUzNDICAAAAEDkwMDAuNTY5NDYwNjQ5MzgCAAAAEDg4MzUuODI0NTQ2Mzg4MTUCAAAADzg5NzEuMDcxNjg4NzU0NgIAAAAQODk0MC45MzYxMjcxMjkzMwIAAAAQODg3Mi45NzM0OTI4NzIyMgIAAAAQODY1NC45NzI0NjQ5MTE0MQIAAAANODYzNS4xMTc3Njk5OQIAAAAQODU2NS4zMTAzMzU5MzAzOAIAAAAQODQ3OC45ODQ2MTU0</t>
  </si>
  <si>
    <t>OTc5NQIAAAAQODI4OS4zMDczMTg0NzA2NwIAAAAQODE3OS45Mjc4NzkwNzg3MwIAAAAQNzcyNi4xOTQzODUyMjAyNAIAAAAQNzkyNi4yMzU4NjcyNjk0NQIAAAAQODExOS44Mzg4OTkwNjQ0OQIAAAAQODA4Mi42NTA5MzI3ODQ4NgIAAAAQODA0MS44NzM2NDI0Njg5OAIAAAAQODEwMC40MDA3ODIzMzMzNAIAAAAPODM0My44ODE0ODUwNTM1AgAAABA4MzU1LjE2ODI1NjU1MTc0AgAAABA4NDYyLjc1OTAzMjAwNzM5AgAAAA84MjUzLjY1ODQzNzA0MTcCAAAAEDgxODUuMDcxNzcxNjg1NDgCAAAAEDgzNTguMDUwNDk1MTUwNTMCAAAAEDgzODEuOTM4NTQyOTY4NDECAAAAEDg1NzUuODYxNTQ3MjQzNTMCAAAAEDg0ODguNzAzNjg0NTc1ODECAAAAEDg0MzAuMTY3MzQ2ODcwMTcCAAAAEDgyMjkuODg4MzAzMjM3MDQCAAAADjgzMjMuNjk1OTA0ODk5AgAAABA4MTMxLjgzOTQ1NzA5NTExAgAAABA4MjQ1LjQzMjU2NzM4NTc1AgAAABA4MDM1LjczMzEzNzUyNTU0AgAAABA4MDAzLjcwOTU3MTg0ODM3AgAAABA3ODU3LjEyMDM4OTI5NTMyAgAAAA03ODMwLjU1NDU4NDk0AgAAABA3NzAwLjU1NzkwNzQ4MzI5AgAAABA3NzIwLjI5MTQ2NzUwODk0AgAAABA3NzgxLjI4OTUwNTQ5OTM4AgAAABA3NzEzLjIxMDcyNDEzMjYyAgAAABA3NzIwLjEyMzU2MTc3NTE0AgAAABA3NjU4LjE3MzAzMjk2MTAyAgAAABA3NjYzLjg5</t>
  </si>
  <si>
    <t>MDQ4NzA3NTc0AgAAABA3NDA0Ljg5NTczNzkyMjA4AgAAAA83MzAyLjI3NTMxNTQ1NjICAAAAEDcxOTcuMjk1MjE0NzQyNDECAAAADzc1MzguMjQwMDc5ODU0MgIAAAAQNzM5NC42NjY5OTM4NTUxNQIAAAAPNzU5Ni45ODcxNjUzNTIyAgAAABA3NjEzLjg3NTQzMzc2MjU2AgAAABA3Njk2Ljk4MjA5NDk4NzczAgAAABA3NTczLjE2NTA2OTM3OTg4AgAAABA3MzkwLjI5NzY5NjgwODQzAgAAABA3NDM4Ljc3ODUxMDc0NzA2AgAAABA3MjQzLjQ1NDE1NDM4OTI2AgAAABA3MTM4Ljc2NTE2OTM2MDQ1AgAAABA3MTQ3LjI1NzY3MDAxOTQ1AgAAABA3MTU5LjkyMTU3NDcyNTIyAgAAABA3MzEwLjM3NTkyOTQxODM4AgAAABA3NTY0LjE1NzU5NTI0OTYxAgAAABA3NDc2LjMxODIxMDQ3MzMyAgAAABA3MzYyLjMyMTIyNDAzMzk0AgAAABA3NDA5LjU1NTA5ODk5MTE0AgAAABA2OTk1LjMzNTI2ODQ1Mzg2AgAAABA3MjM1LjQ3NTkzNDY2NzMzAgAAABA2OTU5Ljc0Mjk3MzIyNjMyAgAAABA2NjQ0LjM1MTkxOTg2MTQyAgAAAA82NzQ4LjI5NTcxOTMzNDkCAAAAEDY2NDUuODY4MDc1NDA4NjECAAAAEDY4NDMuODE1MzA2OTkyMzECAAAAEDcxNzYuNzYxNDYxNjk1ODgCAAAAEDc1MzQuMDY1MTA1MDMxNDUCAAAAEDcyNjcuNTM0MTg1NTYyODQCAAAAEDc1MTEuNTE4NDE0OTg3MDECAAAADzc4MjYuNjkxNjgyMjY0NAIAAAAQ</t>
  </si>
  <si>
    <t>NzkxOS44NjM2NzMxNTUzOAIAAAAQNzY2Ny4zNDE3NjMzODc3NgIAAAAQNzYzOC40ODIxNDA1MjYyNAIAAAAQNzMyNS4yOTY3NzY0MTcyOQIAAAAQNzE0Mi40MzQxMzYyNDI5NQIAAAAQNzIwOC40NTk2NTYyOTc5OAIAAAAQNzA2OS42MjE4MjUyMzQyNAIAAAAQNzIyNy43MDM5MjA0Njk3MwIAAAAQNjc4OS4zNTI3NzkwMjEzOAIAAAAQNzIwNC4zMzU4MjI2OTQ5MgIAAAAPNzU4Ni44MTAyOTc0MDc0AgAAABA3Njc2LjI2MDMwOTc3MzAyAgAAABA3MjAwLjI1MDE3MTAyNjE4AgAAABA3NDIzLjk0ODE3NjExMjI0AgAAABA3NjA0LjMwMDMxNDUyNTMyAgAAABA3NjE4LjY2Nzk1MjM3NDg2AgAAAA83ODc1LjYyMjM0OTY0NjECAAAAEDgwOTcuNjM4NzkzNjA5NDcCAAAAEDgyNzIuNzYyNTA3OTM1NjYCAAAAEDgzNzcuMDQyODE4Mzc2OTMCAAAAEDgzNzAuODYwMjcwMDYwNTMCAAAAEDgyMjIuNDEyNDI0ODU3MDUCAAAAEDc3NDMuNzkzMjc5Nzk5MDUCAAAAEDc5NzEuMzA0MDUwNTk0MjECAAAACzgwNzEuOTUwMTAyAgAAABA4MDA0LjkwOTgwNjM0NDUyAgAAAAo4MTI5Ljk1OTI4AgAAABA4Mjc4Ljc1OTg0MDE0NzQzAgAAABA4MTUxLjAwODA4NDUwMDY3AgAAABA4MDg3LjUyNTExMDg1OTgzAgAAAA84NTczLjk0NTg3MTQ3MjMCAAAAEDg1OTkuMTQ4NzQ5MzA4NzICAAAAEDg3NjAuNTkzMzk1ODczMTkCAAAAEDg2</t>
  </si>
  <si>
    <t>ODUuMjY1MTQ5MzgzODECAAAAEDg0OTAuNzk5OTU5NTA2MDgCAAAADzg2NTYuOTk0ODkwODAzMwIAAAAQODMzNi45MzA0NDc4NjkwMgIAAAAQODQzNy4yODE4OTAxNTQxMgIAAAAQODYyNi4wMDk3Njg3MDU1NwIAAAAQODU5NS44Mjc2MTk4Mjc0OQIAAAAQODYyMC4zNTY4OTMxMzY4OQIAAAAPODQ0OS44MjQ5NDQ3ODQ5AgAAABA4MzM3Ljc3NTIwMTU5MjQzAgAAABA4MjAyLjIyODYyMjEzNDgxAgAAABA4MDU0LjY4Mzc1MjcwMTIzAgAAABA3OTg5LjQxNDI0NjMzNTY4AgAAABA4MTY4LjQ5NTQ2Mjg3ODk3AgAAABA4MTI2LjY2MzUyNzI1NzkxAgAAABA4MTcxLjc2MzY4NzA0ODA5AgAAAA84MzExLjQ3MTcwMTE1NjgCAAAAEDgyNjEuMjQwNDM2MDY5MzUCAAAADzgxMzYuMTkzNDAzNjMxOQIAAAAQODE4Mi4xNTYxNDg5MjUxNgIAAAAQODEyMi4xMjMxNTczNTE1MgIAAAAQODA0NS40NDkzMTA3NzI5MwIAAAAQODA3NC40NzExMjYxMDMzMQIAAAAQNzkxOC42NTQ2NTU2NjgzNAIAAAAQNzk5NS40MjEzODM1MTk0NAIAAAAQNzk2Mi40ODI0NzkwMjcxOAIAAAAQNzgyOS43MjE3OTczMDA0NgIAAAAPNzYxOS45NDQ0NDMwNDc0AgAAABA3NzY2LjAyNzQyODUzNTQ5AgAAABA3NzMzLjA5NjAwODAxMTc1AgAAABA3Njg0LjMwMjU0Mzk4OTk0AgAAABA3NTk0LjMwNDQyOTU4Mzc5AgAAABA3NjI1LjA2NTc2NTI3NTYz</t>
  </si>
  <si>
    <t>NC43MzY4NjE0ODk3NTQCAAAAEDY3NC43NjMyNzA4MTIyMjYCAAAAEDY1OS4xNDQyMDQxNTcxMjQCAAAAEDY1My4wMTY4NDM2MTUwNDYCAAAAEDY4MC4wOTUyNDc3NDcyOTkCAAAAEDcwMy42Mzg3NTA1MDYwMDcCAAAAEDY3Mi4yMjI0MzIzNzc2MzcCAAAAEDY3Mi4zOTUyNzI4NzQyMjQCAAAAEDY2Mi4yNTA5NjkwOTI2NTQCAAAAEDY4Ni4zOTM2NTgyNDk2ODkCAAAADzY2OS45NDQ2MTAzNDgzMQIAAAAQNjUxLjY0NDA4NDk2NTExMQIAAAAQNjQ4LjY1ODY5MDEzNTkzNAIAAAAQNjU1LjA4NDgyOTQ4NDEwNgIAAAAQNjY1Ljk4ODAxMzMzMzc1NgIAAAAQNjU2Ljc5ODcyMDg0NjYxOAIAAAAQNjgzLjE4ODMxODM1OTYzNQIAAAAQNjY2LjYzNTQ0NzA2MDc2NQIAAAAQNjUzLjAwMzcwNDc2MTAyMwIAAAAQNjc2LjM0Nzg3MDkyNDQxNgIAAAAQNjY4Ljk5NzQxODY3NzMwOQIAAAAPNjMyLjc3MDEzNzI5NTc1AgAAABA2MTkuMzQwMzA1NzQ2OTc4AgAAABA2MjEuOTk3MzQwNDM4ODQ3AgAAABA2NTAuODE0NjcxODg4MTQ5AgAAABA2MzAuOTQ0Mjg0NzgyNTg3AgAAABA2MjguMjgzNTIxOTU4NzY1AgAAAA42MzIuNDE0Mzg4ODA2MgIAAAAQNjI1LjQxOTEwMTY4NjE2MwIAAAAQNjA1LjkzMjEwNzM3MTA2MQIAAAAQNjA4LjMyMzU0MjY2OTU5NAIAAAAQNzA4LjE1MDA3MjkxMDA1NQIAAAAQNzAyLjczMzczNjU0ODMx</t>
  </si>
  <si>
    <t>NAIAAAAQNjgxLjAwMDUyMjQ4NDc4NQIAAAAPNjYzLjk0Njc4NDE4NzQ4AgAAABA2ODkuODgxMDc2MDA4OTA2AgAAAA82ODguOTY4NTg5OTc3MDECAAAAEDY4MS43NTcyMTMwMDQ1MjYCAAAAEDY3NC41OTM2NDIwNjAzNTkCAAAAEDY2Ny45NTM4MDQyNTMwMTECAAAAEDY5NC4yMjc3NDU1NTc2MDgCAAAAEDcxNC45NDc2MzE1MTUxMjICAAAAEDY3My42MDA3NTM0OTkyMDQCAAAAEDY2Ny42MDI0ODU0OTQwNzMCAAAAEDY0Ni42Njc0MjkzNTc1MTICAAAAEDYzOC45MjMxNjc1NTk1NTMCAAAAEDY3Ni42Nzc2NDg3NTQyNTkCAAAAEDY5MS4xMzE4Nzg0MTA3MTECAAAAEDcyNC4wNTU5NjI2ODU2OTMCAAAAEDczOC44MjkyNzU3NDM5MjMCAAAAEDcyMi4wNDQ1ODY4MjAxNzECAAAAEDcxNy44NjY2NDA5MTQ1OTQCAAAAEDY3Ni4xOTg5OTcwOTUwNjQCAAAAEDY5MC45MTE0MjgxMzEzMjgCAAAAEDY5NS4yNjI1OTUxNDE4OTgCAAAAEDcxNC4wODAyMDkwOTk0MzcCAAAAEDcxNy45Nzc3MjI0OTkwNjMCAAAAEDY3MC45MTYyODg2MjE4MzYCAAAAEDY3Ni40OTgxMTU1OTY3MDMCAAAAEDY1MS43OTEyMTg2NjE5MzUCAAAAEDY1Ni42NjgyMTU4MDA2MTQCAAAAEDY5NS44NjEzMDE3MTMxNjICAAAAEDY4OC44MTM3Njc0MTYwOTMCAAAAEDY5Mi4yNTA5MzYyODA0NTcCAAAAEDY4Ni4zOTg1MDcxMzY1MjECAAAAEDY3OC40</t>
  </si>
  <si>
    <t>Njk2MDIzODkxNTICAAAAEDcwNC43OTg0MjU1MTcyMjYCAAAAEDcwNi41MTExMDQ0OTg3NzMCAAAAEDY5Mi40ODk3MDc1MTIxMzYCAAAAEDY4OS4zNzg5NTY2ODIyNzQCAAAAEDY5OC4yMzIwNzIyNjM3MTECAAAAEDY4MC4wMTg3ODkxMjE1NTYCAAAAEDY2Ny41ODAzMzMwMTI0MDcCAAAAEDY4My40MzMxMjEzNTU4NDMCAAAAEDcwOC4wNDQ3MDI0NzU4MjICAAAAEDY5NC4wNjkwMTM0MzQyNjkCAAAAEDcyMS42NjA0NDAxNTg5NDgCAAAAEDcxNi40NDM3MTMyNTc0MTECAAAAEDcwNi44MDQ3Nzc1OTAwODICAAAAEDczMS4zMzg2NDE4OTEwOTgCAAAAEDcyNS45ODY5NTIyMTY5NzcCAAAADzczNC45NjM2NDU0MzU5NQIAAAAQNzQ5LjM4NjA3OTczODgyNAIAAAAQNzIxLjI0MjI2Nzc4NTA4MgIAAAAQNzA1LjY2NjgzNTkzMTk0NQIAAAAQNjkzLjQ4MjExNzIxNTAwNQIAAAAQNjY4LjQ5NzgxMjA3NDc3NwIAAAAQNjYwLjgwOTY5Mzk4MTkxNQIAAAAQNjUyLjM1MDc4MTYyNzY1NQIAAAAQNjQ5LjU5MjQ5OTQxMDgzNAIAAAAQNjM1LjgwODU1Nzk5MTIyNwIAAAAQNjM3LjM0OTcxOTM4NzQzNwIAAAAQNjQzLjg0NzY0NTU4OTY2MwIAAAAQNjEyLjMyNjA1MTk2MTk4NwIAAAAQNjMxLjc3Mjc1MjcxNDc5NQIAAAAQNjQ3LjIyNTI1NjQ1NTc0MQIAAAAQNjQwLjA0ODA1MzY5OTUwNgIAAAAQNjQ4LjkxMjM2MzQyMTYy</t>
  </si>
  <si>
    <t>OQIAAAAQNjM4LjI4NzMwMzE2Mzk0OAIAAAAQNjIzLjIyMjcxODU5MjQ5NQIAAAAQNjQ0LjM1NjY3NDU5NDg0NQIAAAAQNjQ1LjA4MjQ1OTQ5MDY1OQIAAAAQNjQzLjQ5NzYyNzAyNzczNQIAAAAQNjM3Ljg4MDE2NjI5NzQ1NAIAAAAQNjYzLjIzNTgyOTQ5NDk4MgIAAAAQNjQ4LjU3NzUxNjMzOTgzNgIAAAAQNjkxLjA5OTk2MTgyMDg1NQIAAAAQNjg2LjQzOTQ2MDI3ODI0NgIAAAAQNjU2Ljc4NTE0NTc4OTY2MwIAAAAQNjk0LjE5MTM2MjE3Njc4MgIAAAAQNjg1LjQ3NjE4MDY4NzMyNgIAAAAQNzAxLjg0MDAyMjk4OTM0OAIAAAAQNzAwLjk2NjcwMDM0NTMyNwIAAAAQNjkxLjM4NjIyNjkzMDQ4MgIAAAAQNjY2LjE4MDQwNjExOTM0OAIAAAAQNjc1LjQzMTEyMTQ4OTY5MwIAAAAQNjg2Ljg0NDU1NTk2MzIyNwIAAAAQNjYzLjM4MTA1NTY0NDUwNgIAAAAQNjU1Ljg1NTI1NDkyMTk0NwIAAAAQNjQ1LjAwMjg1Mjk5OTI4MwIAAAAQNjIzLjAxNTUyMzc4MTkzNQIAAAAQNjE5LjM5Njg3MDg5ODcxMQIAAAAQNjIzLjU1NzA1MzI1MTI2MwIAAAAQNTk1LjE3MjA4MjYwOTAzMgIAAAAQNjE2LjQyNTI5NzM4NDk0MwIAAAAPNjIwLjgxODQ2NTQyMjE2AgAAAA82MTAuNDEyNDg1MDIzOTICAAAAEDYwMi41MTEzNTI5NDUxNjMCAAAAEDYwOS4yOTUyNzg4MzQ5NjgCAAAAEDYwMy44Mzg4NDYyMDEzMTcCAAAAEDYxNy4x</t>
  </si>
  <si>
    <t>NDg5OTExNzQwNTICAAAAEDY1NS4xOTYxNDAxNDUxMTICAAAAEDY1My4yOTUyODMyMzY2MDUCAAAAEDY3MC4zMTY4OTM4NTY0MTcCAAAAEDY1NC4xMzc3ODk2ODMwNzUCAAAAEDYzNC45MDEwMDc3NjA3NTICAAAAEDU5OC4wMjk3NDI1ODMxODUCAAAAEDU4NC42NDExNTg5NjQ3MzMCAAAAEDYyOC43ODQyMzIxNDk0MjcCAAAAEDY2NC4zMDI3MzUxNjg4NTMCAAAADzY0NS4zMTkzMTcxMzc5MgIAAAAQNjQ0LjIwMTQ3MzU1OTkzOQIAAAAQNjkyLjA5NjQxNDYwMjMyNQIAAAAQNjU4Ljk1MTk3MjM1NjU1MQIAAAAQNzAwLjU4MTkwNDIxNjAwNQIAAAAQNjk1LjMyNDA1MjI5Mzg2MQIAAAAQNjkwLjIwNzgwODY0MDYyMgIAAAAQNjcyLjM0NjcwNDM2OTcwNgIAAAAQNjcyLjM0MzU4NzUxMjg5OAIAAAAQNjY4LjMyNzM1NDU5MTE1OAIAAAAQNjQwLjI3NzMyNjMxODUwOAIAAAAPNjI5LjQ3MTIxMzgyMTk2AgAAABA2ODcuMjAwMzExMjMyNDgxAgAAABA3MDEuMDA0NzYwMTI0NjkxAgAAABA2OTkuMTg5MjY4NzI0NjI0AgAAAA83MTYuMDE5MDUzMzMyMTYCAAAAEDcwMS45ODczNzQ3MDM1MzICAAAAEDY4NS43MTQ1OTk5MzQ3ODkCAAAAEDY2Ny4zNTAwMDQ1MTM0NjUCAAAAEDYxNy40ODIwNzU1MjI3NTcCAAAAEDYyOS4xMzY4MDA4NDk4NDgCAAAAEDU1Mi41NjExMjcxNjM5ODgCAAAAEDU0Mi42MDcyMjI2NTgzMTkC</t>
  </si>
  <si>
    <t>AAAAEDU5Ni4yNzQxOTIzODE1NTMCAAAAEDYxMi4xOTAwNjEzMjU5NTUCAAAAEDYwOC41NDM1MTI3NTY2NDkCAAAAEDYyOS4zODAzOTk4MDMyNzgCAAAAEDYwMy42MDQ1MDMyNTc5ODECAAAAEDU5Ny43MDI0NzE3NjQyMTMCAAAAEDU1Ny44ODEwNjQ3MjQxMzQCAAAAEDU5OC43MzUyNzM0MTkwNzMCAAAAEDU0Mi44MDI2MjY4NjE1MzQCAAAAEDUyNC4yNjYzNzc5NTYxMTECAAAAEDU0MC44NzE2OTgzMjc0NzICAAAAEDU1NC4xMDA5ODAwMzUxMjYCAAAAEDU0Ny4wMTkyMTcwNzIxNjcCAAAAEDU1NS42NTQ1NjI0ODQ1ODECAAAAEDY3MC43MTg3OTU1Mjk4MTgCAAAAEDY3Ni45MzA2ODkyNjIxODkCAAAAEDY2OS4wMzIxMTIyNTI0NjgCAAAADzYxOC45MzM4MjEwMjA4NAIAAAAQNjEyLjI0NTY2MjU4NTcxMgIAAAAQNjMwLjYyMzM1ODYwMzI3MQIAAAAQNTcyLjQxMDY4ODg5NzUxNAIAAAAQNTc5Ljg5NTU4NjQ4MTgwMwIAAAAQNjA3LjYzMTcxODk1NjY0MQIAAAAQNjA1LjcwNzc1NTI5MDU5MQIAAAAQNTg2Ljg5MzEwMzU0NzI0MwIAAAAPNjAxLjMzNjQwOTcyMTY0AgAAABA1NTkuNzgyNjE1MzcwMzQ2AgAAABA1ODAuNTUwMTUwOTc3NzI2AgAAABA1NjkuODA2MDU3OTkxNDAzAgAAAAo1MjEuNTM4MjI0AgAAAA81MTQuODE4NzY3NzA4ODUCAAAACjUzNC42NDg5MTQCAAAAEDUyNS40NTM1MTkxMjQzMTUCAAAA</t>
  </si>
  <si>
    <t>EDUwMC43MjAxNjc4MzE4NzcCAAAAEDQ3Ni44MTMwNzgxNjI2MjECAAAAEDQ5MS45ODI1NjY1NTY1MTICAAAAEDQ2Ny41NzU4ODU2OTg0NDMCAAAAEDQyMi43MzY0Nzg5ODk1NDMCAAAAEDQxOC4zNzM3MjUyODg4NDUCAAAAEDQwOC42ODA1MzY3ODUwODMCAAAAEDQzMC42MTI0ODMwOTg0NDUCAAAAEDQxNS4yNzk1NTczMjQ4MTUCAAAAEDQxOC43NDI3NTQzODA0NzICAAAAEDQxMS45MDc4OTI1MzEyODgCAAAAEDQzNC42MDQxODA3Nzc2NjkCAAAAEDQ0Mi4wMDI4NzE3ODI5NzkCAAAAEDQzNi4xOTQ0MzAwNzg3NTcCAAAADzQzOS41NjAzNTE1OTYwOQIAAAAQNDM0LjQzNjM1OTkxNjg4NAIAAAAQNDI5LjQ2NDcwODM2Njg3NQIAAAAQNDA4Ljk0NDAzOTE0MzQ4OAIAAAAQMzg2LjU3MjU2ODgwNTQ0NQIAAAAQMzY5LjIyOTA2MjM0NTU3OAIAAAAQMzU3LjM5MTM5ODI5NDM2OAIAAAAQMzYzLjg4MjA0NDYzMzYzMgIAAAAQMzY5LjIwNzk1OTg0NDg2NAIAAAAQMzQzLjk1MzU3MTQwMDgxMwIAAAAQMzcxLjE0MzA4NTkwNjc0NwIAAAAQMzc0LjE4NzMzNzE5ODQ0NwIAAAAQMzcyLjk4Njc4NDM2NjUzMwIAAAAPMzY3LjE3MTM0MTM1ODUyAgAAABAzNjguNjAyMDYxMjg5OTQxAgAAABAzOTkuNDI0MDY3NjIwOTU2AgAAABA0MTMuNTE3NTUxMTI2NTU2AgAAABA0MTguMDM0MzM2ODQ5MzYyAgAAAA8zOTEuOTE5Njkx</t>
  </si>
  <si>
    <t>UV9DTE9TRVBSSUNFX0FESi43LzIvMjAyMQEAAABCMwYAAgAAAAk1My4yNzExNzcAf3+yYT0l3gh/f7JhPSXeCCNDSVEuQ1ZYLklRX0NMT1NFUFJJQ0VfQURKLjExLzcvMjAyNQEAAADKgAEAAgAAAAYxNTUuMDIAU7yxYT0l3ghTvLFhPSXeCCRDSVEuQ1ZYLklRX0NMT1NFUFJJQ0VfQURKLjEwLzMxLzIwMjUBAAAAyoABAAIAAAAGMTU3LjcyAFO8sWE9Jd4IU7yxYT0l3ggkQ0lRLkNWWC5JUV9DTE9TRVBSSUNFX0FESi4xMC8yNC8yMDI1AQAAAMqAAQACAAAABjE1NS41NgBTvLFhPSXeCFO8sWE9Jd4IJENJUS5DVlguSVFfQ0xPU0VQUklDRV9BREouMTAvMTcvMjAyNQEAAADKgAEAAgAAAAYxNTMuMDgAU7yxYT0l3ghTvLFhPSXeCCRDSVEuQ1ZYLklRX0NMT1NFUFJJQ0VfQURKLjEwLzEwLzIwMjUBAAAAyoABAAIAAAAFMTQ4LjkAU7yxYT0l3ghTvLFhPSXeCCNDSVEuQ1ZYLklRX0NMT1NFUFJJQ0VfQURKLjEwLzMvMjAyNQEAAADKgAEAAgAAAAYxNTMuNTUAU7yxYT0l3ghTvLFhPSXeCCNDSVEuQ1ZYLklRX0NMT1NFUFJJQ0VfQURKLjkvMjYvMjAyNQEAAADKgAEAAgAAAAYxNjAuMTYAU7yxYT0l3ghTvLFhPSXeCCNDSVEuQ1ZYLklRX0NMT1NFUFJJQ0VfQURKLjkvMTkvMjAyNQEAAADKgAEAAgAAAAYxNTYuMjEAU7yxYT0l3ghTvLFhPSXeCCNDSVEuQ1ZYLklRX0NMT1NFUFJJQ0VfQURKLjkvMTIvMjAyNQEA</t>
  </si>
  <si>
    <t>AADKgAEAAgAAAAYxNTcuMTEAU7yxYT0l3ghTvLFhPSXeCCJDSVEuQ1ZYLklRX0NMT1NFUFJJQ0VfQURKLjkvNS8yMDI1AQAAAMqAAQACAAAABjE1My42NgBTvLFhPSXeCFO8sWE9Jd4II0NJUS5DVlguSVFfQ0xPU0VQUklDRV9BREouOC8yOS8yMDI1AQAAAMqAAQACAAAABTE2MC42AFO8sWE9Jd4IU7yxYT0l3ggjQ0lRLkNWWC5JUV9DTE9TRVBSSUNFX0FESi44LzIyLzIwMjUBAAAAyoABAAIAAAAGMTU4LjE4AFO8sWE9Jd4IU7yxYT0l3ggjQ0lRLkNWWC5JUV9DTE9TRVBSSUNFX0FESi44LzE1LzIwMjUBAAAAyoABAAIAAAAKMTU0LjgyNjQ1OABTvLFhPSXeCFO8sWE9Jd4IIkNJUS5DVlguSVFfQ0xPU0VQUklDRV9BREouOC84LzIwMjUBAAAAyoABAAIAAAAKMTUzLjMwMzQxMwBTvLFhPSXeCFO8sWE9Jd4IIkNJUS5DVlguSVFfQ0xPU0VQUklDRV9BREouOC8xLzIwMjUBAAAAyoABAAIAAAAKMTQ5LjczMzE1NwBTvLFhPSXeCFO8sWE9Jd4II0NJUS5DVlguSVFfQ0xPU0VQUklDRV9BREouNy8yNS8yMDI1AQAAAMqAAQACAAAACjE1My4xMzUyODUAU7yxYT0l3ghTvLFhPSXeCCNDSVEuQ1ZYLklRX0NMT1NFUFJJQ0VfQURKLjcvMTgvMjAyNQEAAADKgAEAAgAAAAkxNDguMzg4MTMAU7yxYT0l3ghTvLFhPSXeCCNDSVEuQ1ZYLklRX0NMT1NFUFJJQ0VfQURKLjcvMTEvMjAyNQEAAADKgAEAAgAAAAkxNTMuNjAw</t>
  </si>
  <si>
    <t>MTEAU7yxYT0l3ghTvLFhPSXeCCJDSVEuQ1ZYLklRX0NMT1NFUFJJQ0VfQURKLjcvMy8yMDI1AQAAAMqAAQACAAAACjE0Ni43MzY1MTYAU7yxYT0l3ghTvLFhPSXeCCNDSVEuQ1ZYLklRX0NMT1NFUFJJQ0VfQURKLjYvMjcvMjAyNQEAAADKgAEAAgAAAAkxNDIuMjA2OTQAU7yxYT0l3ghTvLFhPSXeCCNDSVEuQ1ZYLklRX0NMT1NFUFJJQ0VfQURKLjYvMjAvMjAyNQEAAADKgAEAAgAAAAoxNDcuOTAzNTI1AFO8sWE9Jd4IU7yxYT0l3ggjQ0lRLkNWWC5JUV9DTE9TRVBSSUNFX0FESi42LzEzLzIwMjUBAAAAyoABAAIAAAAIMTQ0LjMwMzYAU7yxYT0l3ghTvLFhPSXeCCJDSVEuQ1ZYLklRX0NMT1NFUFJJQ0VfQURKLjYvNi8yMDI1AQAAAMqAAQACAAAACjEzOC42NjYzNTQAU7yxYT0l3ghTvLFhPSXeCCNDSVEuQ1ZYLklRX0NMT1NFUFJJQ0VfQURKLjUvMzAvMjAyNQEAAADKgAEAAgAAAAoxMzUuMTk0OTk3AFO8sWE9Jd4IU7yxYT0l3ggjQ0lRLkNWWC5JUV9DTE9TRVBSSUNFX0FESi41LzIzLzIwMjUBAAAAyoABAAIAAAAKMTM1LjAzNjc1OQBTvLFhPSXeCFO8sWE9Jd4II0NJUS5DVlguSVFfQ0xPU0VQUklDRV9BREouNS8xNi8yMDI1AQAAAMqAAQACAAAACjEzOC44NDQzNzIAU7yxYT0l3ghTvLFhPSXeCCJDSVEuQ1ZYLklRX0NMT1NFUFJJQ0VfQURKLjUvOS8yMDI1AQAAAMqAAQACAAAACTEzNS4zMTcwOABT</t>
  </si>
  <si>
    <t>vLFhPSXeCFO8sWE9Jd4IIkNJUS5DVlguSVFfQ0xPU0VQUklDRV9BREouNS8yLzIwMjUBAAAAyoABAAIAAAAKMTM1LjMyNjg1MQBTvLFhPSXeCFO8sWE9Jd4II0NJUS5DVlguSVFfQ0xPU0VQUklDRV9BREouNC8yNS8yMDI1AQAAAMqAAQACAAAACjEzNS41NTE1ODIAU7yxYT0l3ghTvLFhPSXeCCNDSVEuQ1ZYLklRX0NMT1NFUFJJQ0VfQURKLjQvMTcvMjAyNQEAAADKgAEAAgAAAAoxMzQuNzExMjg1AFO8sWE9Jd4IU7yxYT0l3ggjQ0lRLkNWWC5JUV9DTE9TRVBSSUNFX0FESi40LzExLzIwMjUBAAAAyoABAAIAAAAKMTMyLjUyMjYwNQBTvLFhPSXeCFO8sWE9Jd4IIkNJUS5DVlguSVFfQ0xPU0VQUklDRV9BREouNC80LzIwMjUBAAAAyoABAAIAAAAKMTM5Ljk5NzMzNwBTvLFhPSXeCFO8sWE9Jd4II0NJUS5DVlguSVFfQ0xPU0VQUklDRV9BREouMy8yOC8yMDI1AQAAAMqAAQACAAAACjE2Mi4yODQ3NDIAU7yxYT0l3ghTvLFhPSXeCCNDSVEuQ1ZYLklRX0NMT1NFUFJJQ0VfQURKLjMvMjEvMjAyNQEAAADKgAEAAgAAAAoxNjAuOTc1NDQyAFO8sWE9Jd4IU7yxYT0l3ggjQ0lRLkNWWC5JUV9DTE9TRVBSSUNFX0FESi4zLzE0LzIwMjUBAAAAyoABAAIAAAAKMTUzLjQyMjU0MwBTvLFhPSXeCFO8sWE9Jd4IIkNJUS5DVlguSVFfQ0xPU0VQUklDRV9BREouMy83LzIwMjUBAAAAyoABAAIAAAAKMTUyLjc1ODEyMgBT</t>
  </si>
  <si>
    <t>vLFhPSXeCFO8sWE9Jd4II0NJUS5DVlguSVFfQ0xPU0VQUklDRV9BREouMi8yOC8yMDI1AQAAAMqAAQACAAAACjE1NC45ODU4ODUAU7yxYT0l3ghTvLFhPSXeCCNDSVEuQ1ZYLklRX0NMT1NFUFJJQ0VfQURKLjIvMjEvMjAyNQEAAADKgAEAAgAAAAoxNTMuMzI0ODM0AFO8sWE9Jd4IU7yxYT0l3ggjQ0lRLkNWWC5JUV9DTE9TRVBSSUNFX0FESi4yLzE0LzIwMjUBAAAAyoABAAIAAAAKMTUxLjc4MTAzMwBTvLFhPSXeCFO8sWE9Jd4IIkNJUS5DVlguSVFfQ0xPU0VQUklDRV9BREouMi83LzIwMjUBAAAAyoABAAIAAAAKMTQ3LjQ4NzQ3MQBTvLFhPSXeCFO8sWE9Jd4II0NJUS5DVlguSVFfQ0xPU0VQUklDRV9BREouMS8zMS8yMDI1AQAAAMqAAQACAAAACTE0NC4xNzI4MgBTvLFhPSXeCFO8sWE9Jd4II0NJUS5DVlguSVFfQ0xPU0VQUklDRV9BREouMS8yNC8yMDI1AQAAAMqAAQACAAAACjE1MC40MTU1NzMAU7yxYT0l3ghTvLFhPSXeCCNDSVEuQ1ZYLklRX0NMT1NFUFJJQ0VfQURKLjEvMTcvMjAyNQEAAADKgAEAAgAAAAkxNTYuMDM5ODUAU7yxYT0l3ghTvLFhPSXeCCNDSVEuQ1ZYLklRX0NMT1NFUFJJQ0VfQURKLjEvMTAvMjAyNQEAAADKgAEAAgAAAAoxNDcuOTg5OTgzAFO8sWE9Jd4IU7yxYT0l3ggiQ0lRLkNWWC5JUV9DTE9TRVBSSUNFX0FESi4xLzMvMjAyNQEAAADKgAEAAgAAAAoxNDIuODc3ODgzAFO8</t>
  </si>
  <si>
    <t>sWE9Jd4IU7yxYT0l3ggkQ0lRLkNWWC5JUV9DTE9TRVBSSUNFX0FESi4xMi8yNy8yMDI0AQAAAMqAAQACAAAACjEzOS4xNTczNTcAU7yxYT0l3ghTvLFhPSXeCCRDSVEuQ1ZYLklRX0NMT1NFUFJJQ0VfQURKLjEyLzIwLzIwMjQBAAAAyoABAAIAAAAKMTM4LjA0NjAzMQBTvLFhPSXeCFO8sWE9Jd4IJENJUS5DVlguSVFfQ0xPU0VQUklDRV9BREouMTIvMTMvMjAyNAEAAADKgAEAAgAAAAoxNDguNjk1NDM0AFO8sWE9Jd4IU7yxYT0l3ggjQ0lRLkNWWC5JUV9DTE9TRVBSSUNFX0FESi4xMi82LzIwMjQBAAAAyoABAAIAAAAKMTUwLjAxOTM2MgBTvLFhPSXeCFO8sWE9Jd4IJENJUS5DVlguSVFfQ0xPU0VQUklDRV9BREouMTEvMjkvMjAyNAEAAADKgAEAAgAAAAkxNTYuNDg0MzgAU7yxYT0l3ghTvLFhPSXeCCRDSVEuQ1ZYLklRX0NMT1NFUFJJQ0VfQURKLjExLzIyLzIwMjQBAAAAyoABAAIAAAAJMTU2Ljg5OTkyAFO8sWE9Jd4IU7yxYT0l3ggkQ0lRLkNWWC5JUV9DTE9TRVBSSUNFX0FESi4xMS8xNS8yMDI0AQAAAMqAAQACAAAACjE1NC40MTYzNDcAU7yxYT0l3ghTvLFhPSXeCCNDSVEuQ1ZYLklRX0NMT1NFUFJJQ0VfQURKLjExLzgvMjAyNAEAAADKgAEAAgAAAAoxNTAuMTIxMTU4AFO8sWE9Jd4IU7yxYT0l3ggjQ0lRLkNWWC5JUV9DTE9TRVBSSUNFX0FESi4xMS8xLzIwMjQBAAAAyoABAAIAAAAKMTQ2LjQy</t>
  </si>
  <si>
    <t>ODYzNQBTvLFhPSXeCFO8sWE9Jd4IJENJUS5DVlguSVFfQ0xPU0VQUklDRV9BREouMTAvMjUvMjAyNAEAAADKgAEAAgAAAAoxNDQuMjY2NjkyAFO8sWE9Jd4IU7yxYT0l3ggkQ0lRLkNWWC5JUV9DTE9TRVBSSUNFX0FESi4xMC8xOC8yMDI0AQAAAMqAAQACAAAACjE0NC4yMDkyOTUAU7yxYT0l3ghTvLFhPSXeCCRDSVEuQ1ZYLklRX0NMT1NFUFJJQ0VfQURKLjEwLzExLzIwMjQBAAAAyoABAAIAAAAKMTQ0Ljg1MDIyNQBTvLFhPSXeCFO8sWE9Jd4II0NJUS5DVlguSVFfQ0xPU0VQUklDRV9BREouMTAvNC8yMDI0AQAAAMqAAQACAAAACjE0NC4xOTk3MjkAU7yxYT0l3ghTvLFhPSXeCCNDSVEuQ1ZYLklRX0NMT1NFUFJJQ0VfQURKLjkvMjcvMjAyNAEAAADKgAEAAgAAAAoxMzkuMTc3NTE0AFO8sWE9Jd4IU7yxYT0l3ggjQ0lRLkNWWC5JUV9DTE9TRVBSSUNFX0FESi45LzIwLzIwMjQBAAAAyoABAAIAAAAKMTM5LjM1OTI3MQBTvLFhPSXeCFO8sWE9Jd4II0NJUS5DVlguSVFfQ0xPU0VQUklDRV9BREouOS8xMy8yMDI0AQAAAMqAAQACAAAACjEzNC41MDkyNDcAU7yxYT0l3ghTvLFhPSXeCCJDSVEuQ1ZYLklRX0NMT1NFUFJJQ0VfQURKLjkvNi8yMDI0AQAAAMqAAQACAAAACjEzMi41NDgxOTIAU7yxYT0l3ghTvLFhPSXeCCNDSVEuQ1ZYLklRX0NMT1NFUFJJQ0VfQURKLjgvMzAvMjAyNAEAAADKgAEAAgAAAAox</t>
  </si>
  <si>
    <t>NDEuNTMwNzgxAFO8sWE9Jd4IU7yxYT0l3ggjQ0lRLkNWWC5JUV9DTE9TRVBSSUNFX0FESi44LzIzLzIwMjQBAAAAyoABAAIAAAAKMTQxLjIxNTA5OQBTvLFhPSXeCFO8sWE9Jd4II0NJUS5DVlguSVFfQ0xPU0VQUklDRV9BREouOC8xNi8yMDI0AQAAAMqAAQACAAAACjEzOS4zMjEwMDYAU7yxYT0l3ghTvLFhPSXeCCJDSVEuQ1ZYLklRX0NMT1NFUFJJQ0VfQURKLjgvOS8yMDI0AQAAAMqAAQACAAAACjEzNy4xNjQwNzEAU7yxYT0l3ghTvLFhPSXeCCJDSVEuQ1ZYLklRX0NMT1NFUFJJQ0VfQURKLjgvMi8yMDI0AQAAAMqAAQACAAAACjE0MC41MzE5MTcAU7yxYT0l3ghTvLFhPSXeCCNDSVEuQ1ZYLklRX0NMT1NFUFJJQ0VfQURKLjcvMjYvMjAyNAEAAADKgAEAAgAAAAoxNDkuMzIwNDg0AFO8sWE9Jd4IU7yxYT0l3ggjQ0lRLkNWWC5JUV9DTE9TRVBSSUNFX0FESi43LzE5LzIwMjQBAAAAyoABAAIAAAAKMTUwLjU1OTc3NgBTvLFhPSXeCFO8sWE9Jd4II0NJUS5DVlguSVFfQ0xPU0VQUklDRV9BREouNy8xMi8yMDI0AQAAAMqAAQACAAAACjE0Ny4xOTE5MjkAU7yxYT0l3ghTvLFhPSXeCCJDSVEuQ1ZYLklRX0NMT1NFUFJJQ0VfQURKLjcvNS8yMDI0AQAAAMqAAQACAAAACjE0NS45ODEwMTgAU7yxYT0l3ghTvLFhPSXeCCNDSVEuQ1ZYLklRX0NMT1NFUFJJQ0VfQURKLjYvMjgvMjAyNAEAAADKgAEAAgAAAAox</t>
  </si>
  <si>
    <t>NDcuOTc3MTI5AFO8sWE9Jd4IU7yxYT0l3ggjQ0lRLkNWWC5JUV9DTE9TRVBSSUNFX0FESi42LzIxLzIwMjQBAAAAyoABAAIAAAAKMTQ2Ljg5ODY2MQBTvLFhPSXeCFO8sWE9Jd4II0NJUS5DVlguSVFfQ0xPU0VQUklDRV9BREouNi8xNC8yMDI0AQAAAMqAAQACAAAACjE0NC4zMzQ5MzUAU7yxYT0l3ghTvLFhPSXeCCJDSVEuQ1ZYLklRX0NMT1NFUFJJQ0VfQURKLjYvNy8yMDI0AQAAAMqAAQACAAAACjE0Ny42NTU0ODEAU7yxYT0l3ghTvLFhPSXeCCNDSVEuQ1ZYLklRX0NMT1NFUFJJQ0VfQURKLjUvMzEvMjAyNAEAAADKgAEAAgAAAAoxNTMuNTM5NzUyAFO8sWE9Jd4IU7yxYT0l3ggjQ0lRLkNWWC5JUV9DTE9TRVBSSUNFX0FESi41LzI0LzIwMjQBAAAAyoABAAIAAAAKMTQ5LjIzNTM0MgBTvLFhPSXeCFO8sWE9Jd4II0NJUS5DVlguSVFfQ0xPU0VQUklDRV9BREouNS8xNy8yMDI0AQAAAMqAAQACAAAACjE1My44ODk3ODEAU7yxYT0l3ghTvLFhPSXeCCNDSVEuQ1ZYLklRX0NMT1NFUFJJQ0VfQURKLjUvMTAvMjAyNAEAAADKgAEAAgAAAAoxNTUuMzAxNTQyAFO8sWE9Jd4IU7yxYT0l3ggiQ0lRLkNWWC5JUV9DTE9TRVBSSUNFX0FESi41LzMvMjAyNAEAAADKgAEAAgAAAAoxNTAuMDg0ODYzAFO8sWE9Jd4IU7yxYT0l3ggjQ0lRLkNWWC5JUV9DTE9TRVBSSUNFX0FESi40LzI2LzIwMjQBAAAAyoABAAIAAAAK</t>
  </si>
  <si>
    <t>MTU1LjM2NzEwMQBTvLFhPSXeCFO8sWE9Jd4II0NJUS5DVlguSVFfQ0xPU0VQUklDRV9BREouNC8xOS8yMDI0AQAAAMqAAQACAAAACjE0OS44NTA3MjIAU7yxYT0l3ghTvLFhPSXeCCNDSVEuQ1ZYLklRX0NMT1NFUFJJQ0VfQURKLjQvMTIvMjAyNAEAAADKgAEAAgAAAAoxNDguODc2NjkyAFO8sWE9Jd4IU7yxYT0l3ggiQ0lRLkNWWC5JUV9DTE9TRVBSSUNFX0FESi40LzUvMjAyNAEAAADKgAEAAgAAAAoxNTEuMzQ5MjI5AFO8sWE9Jd4IU7yxYT0l3ggjQ0lRLkNWWC5JUV9DTE9TRVBSSUNFX0FESi4zLzI4LzIwMjQBAAAAyoABAAIAAAAJMTQ3LjczNDA4AFO8sWE9Jd4IU7yxYT0l3ggjQ0lRLkNWWC5JUV9DTE9TRVBSSUNFX0FESi4zLzIyLzIwMjQBAAAAyoABAAIAAAAKMTQ0Ljg0OTQ1NABTvLFhPSXeCFO8sWE9Jd4II0NJUS5DVlguSVFfQ0xPU0VQUklDRV9BREouMy8xNS8yMDI0AQAAAMqAAQACAAAACjE0NS42ODI5OTgAU7yxYT0l3ghTvLFhPSXeCCJDSVEuQ1ZYLklRX0NMT1NFUFJJQ0VfQURKLjMvOC8yMDI0AQAAAMqAAQACAAAACjE0MC4zNzI2NjMAU7yxYT0l3ghTvLFhPSXeCCJDSVEuQ1ZYLklRX0NMT1NFUFJJQ0VfQURKLjMvMS8yMDI0AQAAAMqAAQACAAAACjE0My4xMTY4MDUAU7yxYT0l3ghTvLFhPSXeCCNDSVEuQ1ZYLklRX0NMT1NFUFJJQ0VfQURKLjIvMjMvMjAyNAEAAADKgAEAAgAAAAox</t>
  </si>
  <si>
    <t>NDQuODQ5NDU0AFO8sWE9Jd4IU7yxYT0l3ggjQ0lRLkNWWC5JUV9DTE9TRVBSSUNFX0FESi4yLzE2LzIwMjQBAAAAyoABAAIAAAAKMTQ0LjgyMTM1NwBTvLFhPSXeCFO8sWE9Jd4IIkNJUS5DVlguSVFfQ0xPU0VQUklDRV9BREouMi85LzIwMjQBAAAAyoABAAIAAAAKMTM5LjkzMjE3NABTvLFhPSXeCFO8sWE9Jd4IIkNJUS5DVlguSVFfQ0xPU0VQUklDRV9BREouMi8yLzIwMjQBAAAAyoABAAIAAAAKMTQxLjA0MzkyMwBTvLFhPSXeCFO8sWE9Jd4II0NJUS5DVlguSVFfQ0xPU0VQUklDRV9BREouMS8yNi8yMDI0AQAAAMqAAQACAAAACjEzOC4xNzE5MDQAU7yxYT0l3ghTvLFhPSXeCCNDSVEuQ1ZYLklRX0NMT1NFUFJJQ0VfQURKLjEvMTkvMjAyNAEAAADKgAEAAgAAAAoxMzEuNzc5MzQ2AFO8sWE9Jd4IU7yxYT0l3ggjQ0lRLkNWWC5JUV9DTE9TRVBSSUNFX0FESi4xLzEyLzIwMjQBAAAAyoABAAIAAAAKMTM2LjQzOTQyOABTvLFhPSXeCFO8sWE9Jd4IIkNJUS5DVlguSVFfQ0xPU0VQUklDRV9BREouMS81LzIwMjQBAAAAyoABAAIAAAAKMTM5LjMzOTI0MQBTvLFhPSXeCFO8sWE9Jd4IJENJUS5DVlguSVFfQ0xPU0VQUklDRV9BREouMTIvMjkvMjAyMwEAAADKgAEAAgAAAAoxMzguMTkwNDMzAFO8sWE9Jd4IU7yxYT0l3ggkQ0lRLkNWWC5JUV9DTE9TRVBSSUNFX0FESi4xMi8yMi8yMDIzAQAAAMqAAQACAAAA</t>
  </si>
  <si>
    <t>CjEzOS45NDE0MzgAU7yxYT0l3ghTvLFhPSXeCCRDSVEuQ1ZYLklRX0NMT1NFUFJJQ0VfQURKLjEyLzE1LzIwMjMBAAAAyoABAAIAAAAJMTM4LjM2NjQ2AFO8sWE9Jd4IU7yxYT0l3ggjQ0lRLkNWWC5JUV9DTE9TRVBSSUNFX0FESi4xMi84LzIwMjMBAAAAyoABAAIAAAAKMTMzLjY5NzExMwBTvLFhPSXeCFO8sWE9Jd4II0NJUS5DVlguSVFfQ0xPU0VQUklDRV9BREouMTIvMS8yMDIzAQAAAMqAAQACAAAACjEzNC4xNjAzNDIAU7yxYT0l3ghTvLFhPSXeCCRDSVEuQ1ZYLklRX0NMT1NFUFJJQ0VfQURKLjExLzI0LzIwMjMBAAAAyoABAAIAAAAKMTM0LjI0MzcyMwBTvLFhPSXeCFO8sWE9Jd4IJENJUS5DVlguSVFfQ0xPU0VQUklDRV9BREouMTEvMTcvMjAyMwEAAADKgAEAAgAAAAoxMzMuODM2MDgyAFO8sWE9Jd4IU7yxYT0l3ggkQ0lRLkNWWC5JUV9DTE9TRVBSSUNFX0FESi4xMS8xMC8yMDIzAQAAAMqAAQACAAAACjEzMS4wNjMyNjQAU7yxYT0l3ghTvLFhPSXeCCNDSVEuQ1ZYLklRX0NMT1NFUFJJQ0VfQURKLjExLzMvMjAyMwEAAADKgAEAAgAAAAkxMzUuMzM1NzcAU7yxYT0l3ghTvLFhPSXeCCRDSVEuQ1ZYLklRX0NMT1NFUFJJQ0VfQURKLjEwLzI3LzIwMjMBAAAAyoABAAIAAAAKMTMyLjM0Njg0OQBTvLFhPSXeCFO8sWE9Jd4IJENJUS5DVlguSVFfQ0xPU0VQUklDRV9BREouMTAvMjAvMjAyMwEAAADK</t>
  </si>
  <si>
    <t>gAEAAgAAAAoxNTIuOTU3NTY4AFO8sWE9Jd4IU7yxYT0l3ggkQ0lRLkNWWC5JUV9DTE9TRVBSSUNFX0FESi4xMC8xMy8yMDIzAQAAAMqAAQACAAAACjE1MC40MTc5MDIAU7yxYT0l3ghTvLFhPSXeCCNDSVEuQ1ZYLklRX0NMT1NFUFJJQ0VfQURKLjEwLzYvMjAyMwEAAADKgAEAAgAAAAoxNDguNzQwMDcyAFO8sWE9Jd4IU7yxYT0l3ggjQ0lRLkNWWC5JUV9DTE9TRVBSSUNFX0FESi45LzI5LzIwMjMBAAAAyoABAAIAAAAKMTU0LjU5ODcyNABTvLFhPSXeCFO8sWE9Jd4II0NJUS5DVlguSVFfQ0xPU0VQUklDRV9BREouOS8yMi8yMDIzAQAAAMqAAQACAAAACjE1Mi40NTMzMDIAU7yxYT0l3ghTvLFhPSXeCCNDSVEuQ1ZYLklRX0NMT1NFUFJJQ0VfQURKLjkvMTUvMjAyMwEAAADKgAEAAgAAAAoxNTIuNjU1MDA4AFO8sWE9Jd4IU7yxYT0l3ggiQ0lRLkNWWC5JUV9DTE9TRVBSSUNFX0FESi45LzgvMjAyMwEAAADKgAEAAgAAAAoxNTMuMzA1OTY5AFO8sWE9Jd4IU7yxYT0l3ggiQ0lRLkNWWC5JUV9DTE9TRVBSSUNFX0FESi45LzEvMjAyMwEAAADKgAEAAgAAAAoxNTAuNjM3OTQ1AFO8sWE9Jd4IU7yxYT0l3ggjQ0lRLkNWWC5JUV9DTE9TRVBSSUNFX0FESi44LzI1LzIwMjMBAAAAyoABAAIAAAAKMTQ1Ljg4ODY3OABTvLFhPSXeCFO8sWE9Jd4II0NJUS5DVlguSVFfQ0xPU0VQUklDRV9BREouOC8xOC8yMDIzAQAA</t>
  </si>
  <si>
    <t>AMqAAQACAAAACjE0Ny41MjA2NjYAU7yxYT0l3ghTvLFhPSXeCCNDSVEuQ1ZYLklRX0NMT1NFUFJJQ0VfQURKLjgvMTEvMjAyMwEAAADKgAEAAgAAAAoxNDkuMDY3ODAzAFO8sWE9Jd4IU7yxYT0l3ggiQ0lRLkNWWC5JUV9DTE9TRVBSSUNFX0FESi44LzQvMjAyMwEAAADKgAEAAgAAAAoxNDQuNjcyNTA1AFO8sWE9Jd4IU7yxYT0l3ggjQ0lRLkNWWC5JUV9DTE9TRVBSSUNFX0FESi43LzI4LzIwMjMBAAAAyoABAAIAAAAKMTQ0LjI3MjkzMwBTvLFhPSXeCFO8sWE9Jd4II0NJUS5DVlguSVFfQ0xPU0VQUklDRV9BREouNy8yMS8yMDIzAQAAAMqAAQACAAAACjE0NC4xMDk0NzEAU7yxYT0l3ghTvLFhPSXeCCNDSVEuQ1ZYLklRX0NMT1NFUFJJQ0VfQURKLjcvMTQvMjAyMwEAAADKgAEAAgAAAAoxMzkuNDY4OTgxAFO8sWE9Jd4IU7yxYT0l3ggiQ0lRLkNWWC5JUV9DTE9TRVBSSUNFX0FESi43LzcvMjAyMwEAAADKgAEAAgAAAAoxNDAuMDUwMTc4AFO8sWE9Jd4IU7yxYT0l3ggjQ0lRLkNWWC5JUV9DTE9TRVBSSUNFX0FESi42LzMwLzIwMjMBAAAAyoABAAIAAAAKMTQyLjg5MjU5MQBTvLFhPSXeCFO8sWE9Jd4II0NJUS5DVlguSVFfQ0xPU0VQUklDRV9BREouNi8yMy8yMDIzAQAAAMqAAQACAAAACjEzNy40NDM4NzUAU7yxYT0l3ghTvLFhPSXeCCNDSVEuQ1ZYLklRX0NMT1NFUFJJQ0VfQURKLjYvMTYvMjAyMwEA</t>
  </si>
  <si>
    <t>AADKgAEAAgAAAAoxNDIuODEwODYxAFO8sWE9Jd4IU7yxYT0l3ggiQ0lRLkNWWC5JUV9DTE9TRVBSSUNFX0FESi42LzkvMjAyMwEAAADKgAEAAgAAAAoxNDQuMjYzODUyAFO8sWE9Jd4IU7yxYT0l3ggiQ0lRLkNWWC5JUV9DTE9TRVBSSUNFX0FESi42LzIvMjAyMwEAAADKgAEAAgAAAAoxNDEuOTAyNzQxAFO8sWE9Jd4IU7yxYT0l3ggjQ0lRLkNWWC5JUV9DTE9TRVBSSUNFX0FESi41LzI2LzIwMjMBAAAAyoABAAIAAAAKMTM5LjkyMzA0MQBTvLFhPSXeCFO8sWE9Jd4II0NJUS5DVlguSVFfQ0xPU0VQUklDRV9BREouNS8xOS8yMDIzAQAAAMqAAQACAAAACjE0MC45NjczNzgAU7yxYT0l3ghTvLFhPSXeCCNDSVEuQ1ZYLklRX0NMT1NFUFJJQ0VfQURKLjUvMTIvMjAyMwEAAADKgAEAAgAAAAkxNDAuODUwMzkAU7yxYT0l3ghTvLFhPSXeCCJDSVEuQ1ZYLklRX0NMT1NFUFJJQ0VfQURKLjUvNS8yMDIzAQAAAMqAAQACAAAACjE0NC4wNzg5MjMAU7yxYT0l3ghTvLFhPSXeCCNDSVEuQ1ZYLklRX0NMT1NFUFJJQ0VfQURKLjQvMjgvMjAyMwEAAADKgAEAAgAAAAoxNTEuNjA2MTczAFO8sWE9Jd4IU7yxYT0l3ggjQ0lRLkNWWC5JUV9DTE9TRVBSSUNFX0FESi40LzIxLzIwMjMBAAAAyoABAAIAAAAKMTUyLjA5MTgwMgBTvLFhPSXeCFO8sWE9Jd4II0NJUS5DVlguSVFfQ0xPU0VQUklDRV9BREouNC8xNC8yMDIzAQAA</t>
  </si>
  <si>
    <t>AMqAAQACAAAACTE1NS4wNzc1MgBTvLFhPSXeCFO8sWE9Jd4IIkNJUS5DVlguSVFfQ0xPU0VQUklDRV9BREouNC82LzIwMjMBAAAAyoABAAIAAAAKMTUwLjc2OTgxMgBTvLFhPSXeCFO8sWE9Jd4II0NJUS5DVlguSVFfQ0xPU0VQUklDRV9BREouMy8zMS8yMDIzAQAAAMqAAQACAAAACjE0Ni43MzE4OTcAU7yxYT0l3ghTvLFhPSXeCCNDSVEuQ1ZYLklRX0NMT1NFUFJJQ0VfQURKLjMvMjQvMjAyMwEAAADKgAEAAgAAAAoxNDAuMzQ2Nzc1AFO8sWE9Jd4IU7yxYT0l3ggjQ0lRLkNWWC5JUV9DTE9TRVBSSUNFX0FESi4zLzE3LzIwMjMBAAAAyoABAAIAAAAKMTM3LjAwMTMzMQBTvLFhPSXeCFO8sWE9Jd4II0NJUS5DVlguSVFfQ0xPU0VQUklDRV9BREouMy8xMC8yMDIzAQAAAMqAAQACAAAACjE0My41OTMyOTQAU7yxYT0l3ghTvLFhPSXeCCJDSVEuQ1ZYLklRX0NMT1NFUFJJQ0VfQURKLjMvMy8yMDIzAQAAAMqAAQACAAAACTE0OC4zNTA2NgBTvLFhPSXeCFO8sWE9Jd4II0NJUS5DVlguSVFfQ0xPU0VQUklDRV9BREouMi8yNC8yMDIzAQAAAMqAAQACAAAACjE0Ni4wNTc0MTIAU7yxYT0l3ghTvLFhPSXeCCNDSVEuQ1ZYLklRX0NMT1NFUFJJQ0VfQURKLjIvMTcvMjAyMwEAAADKgAEAAgAAAAkxNDYuNDUzMTEAU7yxYT0l3ghTvLFhPSXeCCNDSVEuQ1ZYLklRX0NMT1NFUFJJQ0VfQURKLjIvMTAvMjAyMwEAAADK</t>
  </si>
  <si>
    <t>gAEAAgAAAAoxNTMuMjk5NjM5AFO8sWE9Jd4IU7yxYT0l3ggiQ0lRLkNWWC5JUV9DTE9TRVBSSUNFX0FESi4yLzMvMjAyMwEAAADKgAEAAgAAAAoxNTEuMDUzMjI5AFO8sWE9Jd4IU7yxYT0l3ggjQ0lRLkNWWC5JUV9DTE9TRVBSSUNFX0FESi4xLzI3LzIwMjMBAAAAyoABAAIAAAAKMTU5Ljk2NzU1NABTvLFhPSXeCFO8sWE9Jd4II0NJUS5DVlguSVFfQ0xPU0VQUklDRV9BREouMS8yMC8yMDIzAQAAAMqAAQACAAAACjE2MS4yNjAxMzEAU7yxYT0l3ghTvLFhPSXeCCNDSVEuQ1ZYLklRX0NMT1NFUFJJQ0VfQURKLjEvMTMvMjAyMwEAAADKgAEAAgAAAAoxNTguMjgyNzQ2AFO8sWE9Jd4IU7yxYT0l3ggiQ0lRLkNWWC5JUV9DTE9TRVBSSUNFX0FESi4xLzYvMjAyMwEAAADKgAEAAgAAAAoxNTcuMzkxMzE0AFO8sWE9Jd4IU7yxYT0l3ggkQ0lRLkNWWC5JUV9DTE9TRVBSSUNFX0FESi4xMi8zMC8yMDIyAQAAAMqAAQACAAAACjE2MC4wMDMyMTEAU7yxYT0l3ghTvLFhPSXeCCRDSVEuQ1ZYLklRX0NMT1NFUFJJQ0VfQURKLjEyLzIzLzIwMjIBAAAAyoABAAIAAAAKMTU4LjE0MDExNwBTvLFhPSXeCFO8sWE9Jd4IJENJUS5DVlguSVFfQ0xPU0VQUklDRV9BREouMTIvMTYvMjAyMgEAAADKgAEAAgAAAAoxNTAuNDAyNDg0AFO8sWE9Jd4IU7yxYT0l3ggjQ0lRLkNWWC5JUV9DTE9TRVBSSUNFX0FESi4xMi85LzIwMjIB</t>
  </si>
  <si>
    <t>AAAAyoABAAIAAAAKMTQ5Ljc2MDY1MgBTvLFhPSXeCFO8sWE9Jd4II0NJUS5DVlguSVFfQ0xPU0VQUklDRV9BREouMTIvMi8yMDIyAQAAAMqAAQACAAAACjE2MS4zNzYwMTcAU7yxYT0l3ghTvLFhPSXeCCRDSVEuQ1ZYLklRX0NMT1NFUFJJQ0VfQURKLjExLzI1LzIwMjIBAAAAyoABAAIAAAAKMTYzLjc1NjE0MgBTvLFhPSXeCFO8sWE9Jd4IJENJUS5DVlguSVFfQ0xPU0VQUklDRV9BREouMTEvMTgvMjAyMgEAAADKgAEAAgAAAAoxNjMuMTIzMjI1AFO8sWE9Jd4IU7yxYT0l3ggkQ0lRLkNWWC5JUV9DTE9TRVBSSUNFX0FESi4xMS8xMS8yMDIyAQAAAMqAAQACAAAACjE2NC45NDA2MDIAU7yxYT0l3ghTvLFhPSXeCCNDSVEuQ1ZYLklRX0NMT1NFUFJJQ0VfQURKLjExLzQvMjAyMgEAAADKgAEAAgAAAAkxNjIuMjUxNDUAU7yxYT0l3ghTvLFhPSXeCCRDSVEuQ1ZYLklRX0NMT1NFUFJJQ0VfQURKLjEwLzI4LzIwMjIBAAAAyoABAAIAAAAKMTU5LjIwODQ2MQBTvLFhPSXeCFO8sWE9Jd4IJENJUS5DVlguSVFfQ0xPU0VQUklDRV9BREouMTAvMjEvMjAyMgEAAADKgAEAAgAAAAoxNTMuMjAyMDk3AFO8sWE9Jd4IU7yxYT0l3ggkQ0lRLkNWWC5JUV9DTE9TRVBSSUNFX0FESi4xMC8xNC8yMDIyAQAAAMqAAQACAAAACDE0MS42NTgyAFO8sWE9Jd4IU7yxYT0l3ggjQ0lRLkNWWC5JUV9DTE9TRVBSSUNFX0FESi4xMC83</t>
  </si>
  <si>
    <t>LzIwMjIBAAAAyoABAAIAAAAKMTQxLjU2MDg5NgBTvLFhPSXeCFO8sWE9Jd4II0NJUS5DVlguSVFfQ0xPU0VQUklDRV9BREouOS8zMC8yMDIyAQAAAMqAAQACAAAACjEyNy4wODkwMDgAU7yxYT0l3ghTvLFhPSXeCCNDSVEuQ1ZYLklRX0NMT1NFUFJJQ0VfQURKLjkvMjMvMjAyMgEAAADKgAEAAgAAAAoxMjguMDYyMDU2AFO8sWE9Jd4IU7yxYT0l3ggjQ0lRLkNWWC5JUV9DTE9TRVBSSUNFX0FESi45LzE2LzIwMjIBAAAAyoABAAIAAAAKMTM4LjM5NDA2NABTvLFhPSXeCFO8sWE9Jd4IIkNJUS5DVlguSVFfQ0xPU0VQUklDRV9BREouOS85LzIwMjIBAAAAyoABAAIAAAAJMTQxLjUwNzgyAFO8sWE9Jd4IU7yxYT0l3ggiQ0lRLkNWWC5JUV9DTE9TRVBSSUNFX0FESi45LzIvMjAyMgEAAADKgAEAAgAAAAkxMzkuNjMyNDkAU7yxYT0l3ghTvLFhPSXeCCNDSVEuQ1ZYLklRX0NMT1NFUFJJQ0VfQURKLjgvMjYvMjAyMgEAAADKgAEAAgAAAAoxNDQuNTUwODA5AFO8sWE9Jd4IU7yxYT0l3ggjQ0lRLkNWWC5JUV9DTE9TRVBSSUNFX0FESi44LzE5LzIwMjIBAAAAyoABAAIAAAAKMTM5LjQ5MDk1NgBTvLFhPSXeCFO8sWE9Jd4II0NJUS5DVlguSVFfQ0xPU0VQUklDRV9BREouOC8xMi8yMDIyAQAAAMqAAQACAAAACjE0MC4xMjg0MjcAU7yxYT0l3ghTvLFhPSXeCCJDSVEuQ1ZYLklRX0NMT1NFUFJJQ0VfQURKLjgvNS8y</t>
  </si>
  <si>
    <t>MDIyAQAAAMqAAQACAAAACjEzNC42ODQ1ODkAU7yxYT0l3ghTvLFhPSXeCCNDSVEuQ1ZYLklRX0NMT1NFUFJJQ0VfQURKLjcvMjkvMjAyMgEAAADKgAEAAgAAAAoxNDMuNTczNTYxAFO8sWE9Jd4IU7yxYT0l3ggjQ0lRLkNWWC5JUV9DTE9TRVBSSUNFX0FESi43LzIyLzIwMjIBAAAAyoABAAIAAAAKMTI2LjQwMDQ4NwBTvLFhPSXeCFO8sWE9Jd4II0NJUS5DVlguSVFfQ0xPU0VQUklDRV9BREouNy8xNS8yMDIyAQAAAMqAAQACAAAACjEyMC42NjczNjMAU7yxYT0l3ghTvLFhPSXeCCJDSVEuQ1ZYLklRX0NMT1NFUFJJQ0VfQURKLjcvOC8yMDIyAQAAAMqAAQACAAAACTEyNS4xNTU2OABTvLFhPSXeCFO8sWE9Jd4IIkNJUS5DVlguSVFfQ0xPU0VQUklDRV9BREouNy8xLzIwMjIBAAAAyoABAAIAAAAKMTI4LjQzNDI1NgBTvLFhPSXeCFO8sWE9Jd4II0NJUS5DVlguSVFfQ0xPU0VQUklDRV9BREouNi8yNC8yMDIyAQAAAMqAAQACAAAACjEyNi45MDg5MjkAU7yxYT0l3ghTvLFhPSXeCCNDSVEuQ1ZYLklRX0NMT1NFUFJJQ0VfQURKLjYvMTcvMjAyMgEAAADKgAEAAgAAAAoxMzAuMDczNTQ0AFO8sWE9Jd4IU7yxYT0l3ggjQ0lRLkNWWC5JUV9DTE9TRVBSSUNFX0FESi42LzEwLzIwMjIBAAAAyoABAAIAAAAKMTUzLjc1OTkzOABTvLFhPSXeCFO8sWE9Jd4IIkNJUS5DVlguSVFfQ0xPU0VQUklDRV9BREouNi8zLzIw</t>
  </si>
  <si>
    <t>MjIBAAAAyoABAAIAAAAKMTU1LjY4ODUxMgBTvLFhPSXeCFO8sWE9Jd4II0NJUS5DVlguSVFfQ0xPU0VQUklDRV9BREouNS8yNy8yMDIyAQAAAMqAAQACAAAACjE1Ni4yODQ2MTYAU7yxYT0l3ghTvLFhPSXeCCNDSVEuQ1ZYLklRX0NMT1NFUFJJQ0VfQURKLjUvMjAvMjAyMgEAAADKgAEAAgAAAAoxNDcuMTE1MTI0AFO8sWE9Jd4IU7yxYT0l3ggjQ0lRLkNWWC5JUV9DTE9TRVBSSUNFX0FESi41LzEzLzIwMjIBAAAAyoABAAIAAAAJMTQ1Ljk1ODIxAFO8sWE9Jd4IU7yxYT0l3ggiQ0lRLkNWWC5JUV9DTE9TRVBSSUNFX0FESi41LzYvMjAyMgEAAADKgAEAAgAAAAkxNDguNDEwMTIAU7yxYT0l3ghTvLFhPSXeCCNDSVEuQ1ZYLklRX0NMT1NFUFJJQ0VfQURKLjQvMjkvMjAyMgEAAADKgAEAAgAAAAoxMzYuMjIwMTI3AFO8sWE9Jd4IU7yxYT0l3ggjQ0lRLkNWWC5JUV9DTE9TRVBSSUNFX0FESi40LzIyLzIwMjIBAAAAyoABAAIAAAAKMTM5Ljk0MTQ2NgBTvLFhPSXeCFO8sWE9Jd4II0NJUS5DVlguSVFfQ0xPU0VQUklDRV9BREouNC8xNC8yMDIyAQAAAMqAAQACAAAACjE0OS4xOTI2NDUAU7yxYT0l3ghTvLFhPSXeCCJDSVEuQ1ZYLklRX0NMT1NFUFJJQ0VfQURKLjQvOC8yMDIyAQAAAMqAAQACAAAACjE0Ny43NDkzMjIAU7yxYT0l3ghTvLFhPSXeCCJDSVEuQ1ZYLklRX0NMT1NFUFJJQ0VfQURKLjQvMS8yMDIy</t>
  </si>
  <si>
    <t>AQAAAMqAAQACAAAACjE0Mi43ODQ2MzgAU7yxYT0l3ghTvLFhPSXeCCNDSVEuQ1ZYLklRX0NMT1NFUFJJQ0VfQURKLjMvMjUvMjAyMgEAAADKgAEAAgAAAAoxNDcuMjEwMjQ5AFO8sWE9Jd4IU7yxYT0l3ggjQ0lRLkNWWC5JUV9DTE9TRVBSSUNFX0FESi4zLzE4LzIwMjIBAAAAyoABAAIAAAAKMTQwLjYxOTY1NABTvLFhPSXeCFO8sWE9Jd4II0NJUS5DVlguSVFfQ0xPU0VQUklDRV9BREouMy8xMS8yMDIyAQAAAMqAAQACAAAACjE0OC41OTI3MDkAU7yxYT0l3ghTvLFhPSXeCCJDSVEuQ1ZYLklRX0NMT1NFUFJJQ0VfQURKLjMvNC8yMDIyAQAAAMqAAQACAAAACjEzNy45NDE2ODEAU7yxYT0l3ghTvLFhPSXeCCNDSVEuQ1ZYLklRX0NMT1NFUFJJQ0VfQURKLjIvMjUvMjAyMgEAAADKgAEAAgAAAAoxMjIuMDU2NDM0AFO8sWE9Jd4IU7yxYT0l3ggjQ0lRLkNWWC5JUV9DTE9TRVBSSUNFX0FESi4yLzE4LzIwMjIBAAAAyoABAAIAAAAKMTE2LjAwNDkxMQBTvLFhPSXeCFO8sWE9Jd4II0NJUS5DVlguSVFfQ0xPU0VQUklDRV9BREouMi8xMS8yMDIyAQAAAMqAAQACAAAACjExOS40MzczODEAU7yxYT0l3ghTvLFhPSXeCCJDSVEuQ1ZYLklRX0NMT1NFUFJJQ0VfQURKLjIvNC8yMDIyAQAAAMqAAQACAAAACjExNi45MTYyOTgAU7yxYT0l3ghTvLFhPSXeCCNDSVEuQ1ZYLklRX0NMT1NFUFJJQ0VfQURKLjEvMjgvMjAy</t>
  </si>
  <si>
    <t>MgEAAADKgAEAAgAAAAkxMTIuMzgxNzkAU7yxYT0l3ghTvLFhPSXeCCNDSVEuQ1ZYLklRX0NMT1NFUFJJQ0VfQURKLjEvMjEvMjAyMgEAAADKgAEAAgAAAAkxMDkuMTk4MTcAU7yxYT0l3ghTvLFhPSXeCCNDSVEuQ1ZYLklRX0NMT1NFUFJJQ0VfQURKLjEvMTQvMjAyMgEAAADKgAEAAgAAAAoxMTAuOTYyMDY4AFO8sWE9Jd4IU7yxYT0l3ggiQ0lRLkNWWC5JUV9DTE9TRVBSSUNFX0FESi4xLzcvMjAyMgEAAADKgAEAAgAAAAoxMDcuNTgwNTQ3AFO8sWE9Jd4IU7yxYT0l3ggkQ0lRLkNWWC5JUV9DTE9TRVBSSUNFX0FESi4xMi8zMS8yMDIxAQAAAMqAAQACAAAACjEwMC45NzIzODQAU7yxYT0l3ghTvLFhPSXeCCRDSVEuQ1ZYLklRX0NMT1NFUFJJQ0VfQURKLjEyLzIzLzIwMjEBAAAAyoABAAIAAAAKMTAwLjE2MzU3MwBTvLFhPSXeCFO8sWE9Jd4IJENJUS5DVlguSVFfQ0xPU0VQUklDRV9BREouMTIvMTcvMjAyMQEAAADKgAEAAgAAAAk5Ny43NDU3NDIAU7yxYT0l3ghTvLFhPSXeCCRDSVEuQ1ZYLklRX0NMT1NFUFJJQ0VfQURKLjEyLzEwLzIwMjEBAAAAyoABAAIAAAAKMTAxLjgyNDIxOABTvLFhPSXeCFO8sWE9Jd4II0NJUS5DVlguSVFfQ0xPU0VQUklDRV9BREouMTIvMy8yMDIxAQAAAMqAAQACAAAACTk4LjQ0MjY5NwBTvLFhPSXeCFO8sWE9Jd4IJENJUS5DVlguSVFfQ0xPU0VQUklDRV9BREouMTEvMjYv</t>
  </si>
  <si>
    <t>MjAyMQEAAADKgAEAAgAAAAk5OC41Mjg3NDEAU7yxYT0l3ghTvLFhPSXeCCRDSVEuQ1ZYLklRX0NMT1NFUFJJQ0VfQURKLjExLzE5LzIwMjEBAAAAyoABAAIAAAAJOTYuMjkxNjAyAFO8sWE9Jd4IU7yxYT0l3ggkQ0lRLkNWWC5JUV9DTE9TRVBSSUNFX0FESi4xMS8xMi8yMDIxAQAAAMqAAQACAAAACTk3LjE2NDgxNgBTvLFhPSXeCFO8sWE9Jd4II0NJUS5DVlguSVFfQ0xPU0VQUklDRV9BREouMTEvNS8yMDIxAQAAAMqAAQACAAAACTk3LjU5ODYyNgBTvLFhPSXeCFO8sWE9Jd4IJENJUS5DVlguSVFfQ0xPU0VQUklDRV9BREouMTAvMjkvMjAyMQEAAADKgAEAAgAAAAk5Ny4zODU5NzQAU7yxYT0l3ghTvLFhPSXeCCRDSVEuQ1ZYLklRX0NMT1NFUFJJQ0VfQURKLjEwLzIyLzIwMjEBAAAAyoABAAIAAAAJOTUuOTQ4NDQ4AFO8sWE9Jd4IU7yxYT0l3ggkQ0lRLkNWWC5JUV9DTE9TRVBSSUNFX0FESi4xMC8xNS8yMDIxAQAAAMqAAQACAAAACTkzLjIzNTAxMwBTvLFhPSXeCFO8sWE9Jd4II0NJUS5DVlguSVFfQ0xPU0VQUklDRV9BREouMTAvOC8yMDIxAQAAAMqAAQACAAAACTkxLjkwODA2NgBTvLFhPSXeCFO8sWE9Jd4II0NJUS5DVlguSVFfQ0xPU0VQUklDRV9BREouMTAvMS8yMDIxAQAAAMqAAQACAAAACTg4Ljc0MzgwOQBTvLFhPSXeCFO8sWE9Jd4II0NJUS5DVlguSVFfQ0xPU0VQUklDRV9BREouOS8yNC8y</t>
  </si>
  <si>
    <t>MDIxAQAAAMqAAQACAAAACTg1LjU3MTA0NQBTvLFhPSXeCFO8sWE9Jd4II0NJUS5DVlguSVFfQ0xPU0VQUklDRV9BREouOS8xNy8yMDIxAQAAAMqAAQACAAAACTgyLjMwNDcxNQBTvLFhPSXeCFO8sWE9Jd4II0NJUS5DVlguSVFfQ0xPU0VQUklDRV9BREouOS8xMC8yMDIxAQAAAMqAAQACAAAACTgxLjcxNzc5NgBTvLFhPSXeCFO8sWE9Jd4IIkNJUS5DVlguSVFfQ0xPU0VQUklDRV9BREouOS8zLzIwMjEBAAAAyoABAAIAAAAJODIuOTI1NjU4AFO8sWE9Jd4IU7yxYT0l3ggjQ0lRLkNWWC5JUV9DTE9TRVBSSUNFX0FESi44LzI3LzIwMjEBAAAAyoABAAIAAAAJODMuOTAzODU2AFO8sWE9Jd4IU7yxYT0l3ggjQ0lRLkNWWC5JUV9DTE9TRVBSSUNFX0FESi44LzIwLzIwMjEBAAAAyoABAAIAAAAJODAuMjEyMjIyAFO8sWE9Jd4IU7yxYT0l3ggjQ0lRLkNWWC5JUV9DTE9TRVBSSUNFX0FESi44LzEzLzIwMjEBAAAAyoABAAIAAAAJODUuNTc0MTM5AFO8sWE9Jd4IU7yxYT0l3ggiQ0lRLkNWWC5JUV9DTE9TRVBSSUNFX0FESi44LzYvMjAyMQEAAADKgAEAAgAAAAk4NS41NjU3NDYAU7yxYT0l3ghTvLFhPSXeCCNDSVEuQ1ZYLklRX0NMT1NFUFJJQ0VfQURKLjcvMzAvMjAyMQEAAADKgAEAAgAAAAk4NS40NDgyNDYAU7yxYT0l3ghTvLFhPSXeCCNDSVEuQ1ZYLklRX0NMT1NFUFJJQ0VfQURKLjcvMjMvMjAyMQEAAADK</t>
  </si>
  <si>
    <t>gAEAAgAAAAk4Mi45NzIzMzYAU7yxYT0l3ghTvLFhPSXeCCNDSVEuQ1ZYLklRX0NMT1NFUFJJQ0VfQURKLjcvMTYvMjAyMQEAAADKgAEAAgAAAAk4Mi43NzA5MDYAU7yxYT0l3ghTvLFhPSXeCCJDSVEuQ1ZYLklRX0NMT1NFUFJJQ0VfQURKLjcvOS8yMDIxAQAAAMqAAQACAAAACTg3LjM0NTA0NABTvLFhPSXeCFO8sWE9Jd4IIkNJUS5DVlguSVFfQ0xPU0VQUklDRV9BREouNy8yLzIwMjEBAAAAyoABAAIAAAAJODkuMDIzNjI2AFO8sWE9Jd4IU7yxYT0l3ggjQ0lRLkNWWC5JUV9DTE9TRVBSSUNFX0FESi42LzI1LzIwMjEBAAAAyoABAAIAAAAJOTAuMDU1OTU1AFO8sWE9Jd4IU7yxYT0l3ggjQ0lRLkNWWC5JUV9DTE9TRVBSSUNFX0FESi42LzE4LzIwMjEBAAAAyoABAAIAAAAJODYuNDcyMTgxAFO8sWE9Jd4IU7yxYT0l3ggjQ0lRLkNWWC5JUV9DTE9TRVBSSUNFX0FESi42LzExLzIwMjEBAAAAyoABAAIAAAAJOTAuNTY3OTIyAFO8sWE9Jd4IU7yxYT0l3ggiQ0lRLkNWWC5JUV9DTE9TRVBSSUNFX0FESi42LzQvMjAyMQEAAADKgAEAAgAAAAg5MS4wMjExNABTvLFhPSXeCFO8sWE9Jd4II0NJUS5DVlguSVFfQ0xPU0VQUklDRV9BREouNS8yOC8yMDIxAQAAAMqAAQACAAAACTg3LjExMDA0MgBTvLFhPSXeCFO8sWE9Jd4II0NJUS5DVlguSVFfQ0xPU0VQUklDRV9BREouNS8yMS8yMDIxAQAAAMqAAQACAAAACTg3</t>
  </si>
  <si>
    <t>LjM4NzAwOABTvLFhPSXeCFO8sWE9Jd4II0NJUS5DVlguSVFfQ0xPU0VQUklDRV9BREouNS8xNC8yMDIxAQAAAMqAAQACAAAACTkwLjc2NjE2NwBTvLFhPSXeCFO8sWE9Jd4IIkNJUS5DVlguSVFfQ0xPU0VQUklDRV9BREouNS83LzIwMjEBAAAAyoABAAIAAAAJOTEuMjIyMTk1AFO8sWE9Jd4IU7yxYT0l3ggjQ0lRLkNWWC5JUV9DTE9TRVBSSUNFX0FESi40LzMwLzIwMjEBAAAAyoABAAIAAAAJODUuNDU5NjU4AFO8sWE9Jd4IU7yxYT0l3ggjQ0lRLkNWWC5JUV9DTE9TRVBSSUNFX0FESi40LzIzLzIwMjEBAAAAyoABAAIAAAAJODQuMTk5MzYzAFO8sWE9Jd4IU7yxYT0l3ggjQ0lRLkNWWC5JUV9DTE9TRVBSSUNFX0FESi40LzE2LzIwMjEBAAAAyoABAAIAAAAJODUuMzY4NDUzAFO8sWE9Jd4IU7yxYT0l3ggiQ0lRLkNWWC5JUV9DTE9TRVBSSUNFX0FESi40LzkvMjAyMQEAAADKgAEAAgAAAAk4NS4zMzUyODcAU7yxYT0l3ghTvLFhPSXeCCJDSVEuQ1ZYLklRX0NMT1NFUFJJQ0VfQURKLjQvMS8yMDIxAQAAAMqAAQACAAAACTg3LjY4MTc1OQBTvLFhPSXeCFO8sWE9Jd4II0NJUS5DVlguSVFfQ0xPU0VQUklDRV9BREouMy8yNi8yMDIxAQAAAMqAAQACAAAACTg5LjExNjE3NABTvLFhPSXeCFO8sWE9Jd4II0NJUS5DVlguSVFfQ0xPU0VQUklDRV9BREouMy8xOS8yMDIxAQAAAMqAAQACAAAACTg1LjcxNjY5MgBT</t>
  </si>
  <si>
    <t>vLFhPSXeCFO8sWE9Jd4II0NJUS5DVlguSVFfQ0xPU0VQUklDRV9BREouMy8xMi8yMDIxAQAAAMqAAQACAAAACTkyLjQ5OTA3MwBTvLFhPSXeCFO8sWE9Jd4IIkNJUS5DVlguSVFfQ0xPU0VQUklDRV9BREouMy81LzIwMjEBAAAAyoABAAIAAAAIOTAuMzc2NDcAU7yxYT0l3ghTvLFhPSXeCCNDSVEuQ1ZYLklRX0NMT1NFUFJJQ0VfQURKLjIvMjYvMjAyMQEAAADKgAEAAgAAAAk4Mi45MTQxOTMAU7yxYT0l3ghTvLFhPSXeCCNDSVEuQ1ZYLklRX0NMT1NFUFJJQ0VfQURKLjIvMTkvMjAyMQEAAADKgAEAAgAAAAk3OS40MzE3OTcAU7yxYT0l3ghTvLFhPSXeCCNDSVEuQ1ZYLklRX0NMT1NFUFJJQ0VfQURKLjIvMTIvMjAyMQEAAADKgAEAAgAAAAk3NS42Njc0OTIAU7yxYT0l3ghTvLFhPSXeCCJDSVEuQ1ZYLklRX0NMT1NFUFJJQ0VfQURKLjIvNS8yMDIxAQAAAMqAAQACAAAACTcyLjk3NzYzNwBTvLFhPSXeCFO8sWE9Jd4II0NJUS5DVlguSVFfQ0xPU0VQUklDRV9BREouMS8yOS8yMDIxAQAAAMqAAQACAAAACTY5LjY1ODI0MgBTvLFhPSXeCFO8sWE9Jd4II0NJUS5DVlguSVFfQ0xPU0VQUklDRV9BREouMS8yMi8yMDIxAQAAAMqAAQACAAAACTc0Ljk5NzA3MgBTvLFhPSXeCFO8sWE9Jd4II0NJUS5DVlguSVFfQ0xPU0VQUklDRV9BREouMS8xNS8yMDIxAQAAAMqAAQACAAAACTc1LjI5MTQwMwBTvLFhPSXeCFO8</t>
  </si>
  <si>
    <t>sWE9Jd4IIkNJUS5DVlguSVFfQ0xPU0VQUklDRV9BREouMS84LzIwMjEBAAAAyoABAAIAAAAJNzQuNDY1NjQyAFO8sWE9Jd4IU7yxYT0l3ggkQ0lRLkNWWC5JUV9DTE9TRVBSSUNFX0FESi4xMi8zMS8yMDIwAQAAAMqAAQACAAAACTY5LjA0NTA1NABTvLFhPSXeCFO8sWE9Jd4IJENJUS5DVlguSVFfQ0xPU0VQUklDRV9BREouMTIvMjQvMjAyMAEAAADKgAEAAgAAAAk2OS43NjQ1MjgAU7yxYT0l3ghTvLFhPSXeCCRDSVEuQ1ZYLklRX0NMT1NFUFJJQ0VfQURKLjEyLzE4LzIwMjABAAAAyoABAAIAAAAJNzEuMjg1MjM3AFO8sWE9Jd4IU7yxYT0l3ggkQ0lRLkNWWC5JUV9DTE9TRVBSSUNFX0FESi4xMi8xMS8yMDIwAQAAAMqAAQACAAAACTc1LjU4NTczNABTvLFhPSXeCFO8sWE9Jd4II0NJUS5DVlguSVFfQ0xPU0VQUklDRV9BREouMTIvNC8yMDIwAQAAAMqAAQACAAAACTc2LjI2NDMyOQBL47FhPSXeCEvjsWE9Jd4IJENJUS5DVlguSVFfQ0xPU0VQUklDRV9BREouMTEvMjcvMjAyMAEAAADKgAEAAgAAAAk3NC42NTM2ODcAS+OxYT0l3ghL47FhPSXeCCRDSVEuQ1ZYLklRX0NMT1NFUFJJQ0VfQURKLjExLzIwLzIwMjABAAAAyoABAAIAAAAJNzAuMTQwNjE4AEvjsWE9Jd4IS+OxYT0l3ggkQ0lRLkNWWC5JUV9DTE9TRVBSSUNFX0FESi4xMS8xMy8yMDIwAQAAAMqAAQACAAAACTY2Ljg5OTcwMwBL47FhPSXeCEvj</t>
  </si>
  <si>
    <t>sWE9Jd4IJENJUS5YT00uSVFfQ0xPU0VQUklDRV9BREouMTIvMTEvMjAyMAEAAABCMwYAAgAAAAkzNS43OTgxODUAf3+yYT0l3gh/f7JhPSXeCCNDSVEuWE9NLklRX0NMT1NFUFJJQ0VfQURKLjIvMTEvMjAyMgEAAABCMwYAAgAAAAk3MC4zNTkwMjMAf3+yYT0l3gh/f7JhPSXeCCNDSVEuWE9NLklRX0NMT1NFUFJJQ0VfQURKLjkvMjMvMjAyMgEAAABCMwYAAgAAAAk3Ni43Mjc0NDMAf3+yYT0l3gh/f7JhPSXeCCJDSVEuWE9NLklRX0NMT1NFUFJJQ0VfQURKLjUvNS8yMDIzAQAAAEIzBgACAAAACTk4Ljc4MTkyMQB/f7JhPSXeCH9/smE9Jd4IJENJUS5YT00uSVFfQ0xPU0VQUklDRV9BREouMTIvMTUvMjAyMwEAAABCMwYAAgAAAAk5NC4xMTc0NTMAf3+yYT0l3gh/f7JhPSXeCCNDSVEuWE9NLklRX0NMT1NFUFJJQ0VfQURKLjcvMjYvMjAyNAEAAABCMwYAAgAAAAoxMTEuMzU3MzU0AH9/smE9Jd4If3+yYT0l3ggiQ0lRLlhPTS5JUV9DTE9TRVBSSUNFX0FESi4zLzcvMjAyNQEAAABCMwYAAgAAAAgxMDYuMTAxMQB/f7JhPSXeCH9/smE9Jd4IJENJUS5YT00uSVFfQ0xPU0VQUklDRV9BREouMTAvMTcvMjAyNQEAAABCMwYAAgAAAAoxMTEuMjY2Nzk0AHlYsmE9Jd4IeViyYT0l3ggjQ0lRLlhPTS5JUV9DTE9TRVBSSUNFX0FESi4xMi84LzIwMjMBAAAAQjMGAAIAAAAJOTIuODU4MjAxAH9/smE9Jd4If3+yYT0l</t>
  </si>
  <si>
    <t>3ggjQ0lRLlhPTS5JUV9DTE9TRVBSSUNFX0FESi4yLzI4LzIwMjUBAAAAQjMGAAIAAAAKMTA4LjM0OTI1MgB/f7JhPSXeCH9/smE9Jd4IJENJUS5YT00uSVFfQ0xPU0VQUklDRV9BREouMTAvMTAvMjAyNQEAAABCMwYAAgAAAAoxMDkuNzY5ODg2AHlYsmE9Jd4IeViyYT0l3ggjQ0lRLlhPTS5JUV9DTE9TRVBSSUNFX0FESi43LzEyLzIwMjQBAAAAQjMGAAIAAAAKMTA3LjUwNDAyNwB/f7JhPSXeCH9/smE9Jd4II0NJUS5YT00uSVFfQ0xPU0VQUklDRV9BREouMTIvNC8yMDIwAQAAAEIzBgACAAAACTM0LjA2NTQ4NwB/f7JhPSXeCH9/smE9Jd4II0NJUS5YT00uSVFfQ0xPU0VQUklDRV9BREouNi8yNS8yMDIxAQAAAEIzBgACAAAACTU0LjUyNzY5MgB/f7JhPSXeCH9/smE9Jd4IIkNJUS5YT00uSVFfQ0xPU0VQUklDRV9BREouMi80LzIwMjIBAAAAQjMGAAIAAAAJNzAuNjI4NjYyAH9/smE9Jd4If3+yYT0l3ggjQ0lRLlhPTS5JUV9DTE9TRVBSSUNFX0FESi45LzE2LzIwMjIBAAAAQjMGAAIAAAAJODMuNDAyNTA2AH9/smE9Jd4If3+yYT0l3ggjQ0lRLlhPTS5JUV9DTE9TRVBSSUNFX0FESi40LzI4LzIwMjMBAAAAQjMGAAIAAAAKMTA3LjU2MjEzMwB/f7JhPSXeCH9/smE9Jd4II0NJUS5YT00uSVFfQ0xPU0VQUklDRV9BREouNy8xOS8yMDI0AQAAAEIzBgACAAAACjExMC4xNjE0OTQAf3+yYT0l3gh/f7JhPSXe</t>
  </si>
  <si>
    <t>CCNDSVEuWE9NLklRX0NMT1NFUFJJQ0VfQURKLjIvMjEvMjAyNQEAAABCMwYAAgAAAAoxMDcuNzI2Mzg4AH9/smE9Jd4If3+yYT0l3ggjQ0lRLlhPTS5JUV9DTE9TRVBSSUNFX0FESi4xMC8zLzIwMjUBAAAAQjMGAAIAAAAKMTEyLjI3Nzk0OQB5WLJhPSXeCHlYsmE9Jd4IIkNJUS5YT00uSVFfQ0xPU0VQUklDRV9BREouNy81LzIwMjQBAAAAQjMGAAIAAAAKMTA3LjU5ODkzNwB/f7JhPSXeCH9/smE9Jd4II0NJUS5YT00uSVFfQ0xPU0VQUklDRV9BREouMi8xNC8yMDI1AQAAAEIzBgACAAAACjEwNS4zNDE5ODQAf3+yYT0l3gh/f7JhPSXeCCNDSVEuWE9NLklRX0NMT1NFUFJJQ0VfQURKLjkvMjYvMjAyNQEAAABCMwYAAgAAAAoxMTYuMjAzNjEzAHlYsmE9Jd4IeViyYT0l3ggiQ0lRLlhPTS5JUV9DTE9TRVBSSUNFX0FESi42LzQvMjAyMQEAAABCMwYAAgAAAAk1MS44MjA3MDMAf3+yYT0l3gh/f7JhPSXeCCNDSVEuWE9NLklRX0NMT1NFUFJJQ0VfQURKLjEvMTQvMjAyMgEAAABCMwYAAgAAAAk2Mi4zNTIwNjkAf3+yYT0l3gh/f7JhPSXeCCNDSVEuWE9NLklRX0NMT1NFUFJJQ0VfQURKLjgvMjYvMjAyMgEAAABCMwYAAgAAAAk4Ny41NzIxODQAf3+yYT0l3gh/f7JhPSXeCCJDSVEuWE9NLklRX0NMT1NFUFJJQ0VfQURKLjQvNi8yMDIzAQAAAEIzBgACAAAACjEwNC41NzE3NzEAf3+yYT0l3gh/f7JhPSXeCCRD</t>
  </si>
  <si>
    <t>SVEuWE9NLklRX0NMT1NFUFJJQ0VfQURKLjExLzE3LzIwMjMBAAAAQjMGAAIAAAAJOTcuOTA0NTM4AH9/smE9Jd4If3+yYT0l3ggjQ0lRLlhPTS5JUV9DTE9TRVBSSUNFX0FESi4xMi85LzIwMjIBAAAAQjMGAAIAAAAJOTMuMzkxNDExAH9/smE9Jd4If3+yYT0l3ggiQ0lRLlhPTS5JUV9DTE9TRVBSSUNFX0FESi4zLzEvMjAyNAEAAABCMwYAAgAAAAk5OS42NDI5MDYAf3+yYT0l3gh/f7JhPSXeCCRDSVEuWE9NLklRX0NMT1NFUFJJQ0VfQURKLjExLzI3LzIwMjABAAAAQjMGAAIAAAAJMzIuODQ3Njk1AH9/smE9Jd4If3+yYT0l3ggjQ0lRLlhPTS5JUV9DTE9TRVBSSUNFX0FESi42LzE4LzIwMjEBAAAAQjMGAAIAAAAINTAuOTM1MjQAf3+yYT0l3gh/f7JhPSXeCCNDSVEuWE9NLklRX0NMT1NFUFJJQ0VfQURKLjEvMjgvMjAyMgEAAABCMwYAAgAAAAk2NS4zMTA0NzQAf3+yYT0l3gh/f7JhPSXeCCJDSVEuWE9NLklRX0NMT1NFUFJJQ0VfQURKLjkvOS8yMDIyAQAAAEIzBgACAAAACTg2LjM0NjMzNQB/f7JhPSXeCH9/smE9Jd4II0NJUS5YT00uSVFfQ0xPU0VQUklDRV9BREouNC8yMS8yMDIzAQAAAEIzBgACAAAACjEwNS40NDQzMzgAf3+yYT0l3gh/f7JhPSXeCCNDSVEuWE9NLklRX0NMT1NFUFJJQ0VfQURKLjEyLzEvMjAyMwEAAABCMwYAAgAAAAk5Ni4wNjY5NjIAf3+yYT0l3gh/f7JhPSXeCCRDSVEuWE9N</t>
  </si>
  <si>
    <t>LklRX0NMT1NFUFJJQ0VfQURKLjExLzIwLzIwMjABAAAAQjMGAAIAAAAJMzAuMTkxNDM3AH9/smE9Jd4If3+yYT0l3ggjQ0lRLlhPTS5JUV9DTE9TRVBSSUNFX0FESi42LzExLzIwMjEBAAAAQjMGAAIAAAAJNTIuNDI3ODc4AH9/smE9Jd4If3+yYT0l3ggjQ0lRLlhPTS5JUV9DTE9TRVBSSUNFX0FESi4xLzIxLzIwMjIBAAAAQjMGAAIAAAAJNjIuNjEyMzM5AH9/smE9Jd4If3+yYT0l3ggiQ0lRLlhPTS5JUV9DTE9TRVBSSUNFX0FESi45LzIvMjAyMgEAAABCMwYAAgAAAAk4NS41MzIwODQAf3+yYT0l3gh/f7JhPSXeCCNDSVEuWE9NLklRX0NMT1NFUFJJQ0VfQURKLjQvMTQvMjAyMwEAAABCMwYAAgAAAAoxMDUuNDgwNjk1AH9/smE9Jd4If3+yYT0l3ggkQ0lRLlhPTS5JUV9DTE9TRVBSSUNFX0FESi4xMS8yNC8yMDIzAQAAAEIzBgACAAAACTk3LjU0MDc1NAB/f7JhPSXeCH9/smE9Jd4IJENJUS5YT00uSVFfQ0xPU0VQUklDRV9BREouMTEvMTMvMjAyMAEAAABCMwYAAgAAAAgyOS40ODg1NQB/f7JhPSXeCH9/smE9Jd4IIkNJUS5YT00uSVFfQ0xPU0VQUklDRV9BREouMi81LzIwMjEBAAAAQjMGAAIAAAAJNDAuODI0NjQyAH9/smE9Jd4If3+yYT0l3ggjQ0lRLlhPTS5JUV9DTE9TRVBSSUNFX0FESi4xLzI5LzIwMjEBAAAAQjMGAAIAAAAJMzYuNjQ4MTg3AH9/smE9Jd4If3+yYT0l3ggjQ0lRLlhPTS5JUV9D</t>
  </si>
  <si>
    <t>TE9TRVBSSUNFX0FESi4xLzIyLzIwMjEBAAAAQjMGAAIAAAAJMzguNzY1MDIxAH9/smE9Jd4If3+yYT0l3ggjQ0lRLlhPTS5JUV9DTE9TRVBSSUNFX0FESi4xLzE1LzIwMjEBAAAAQjMGAAIAAAAJMzkuMTQwOTgzAH9/smE9Jd4If3+yYT0l3ggjQ0lRLlhPTS5JUV9DTE9TRVBSSUNFX0FESi44LzI3LzIwMjEBAAAAQjMGAAIAAAAINDcuNzQyNjEAf3+yYT0l3gh/f7JhPSXeCCJDSVEuWE9NLklRX0NMT1NFUFJJQ0VfQURKLjQvOC8yMDIyAQAAAEIzBgACAAAACTc2LjE3NDc2MQB/f7JhPSXeCH9/smE9Jd4IJENJUS5YT00uSVFfQ0xPU0VQUklDRV9BREouMTEvMTgvMjAyMgEAAABCMwYAAgAAAAoxMDEuMDk0MzUzAH9/smE9Jd4If3+yYT0l3ggjQ0lRLlhPTS5JUV9DTE9TRVBSSUNFX0FESi42LzMwLzIwMjMBAAAAQjMGAAIAAAAJOTguMzI4MDUyAH9/smE9Jd4If3+yYT0l3ggiQ0lRLlhPTS5JUV9DTE9TRVBSSUNFX0FESi4yLzkvMjAyNAEAAABCMwYAAgAAAAk5NC45Mjg5NzEAf3+yYT0l3gh/f7JhPSXeCCNDSVEuWE9NLklRX0NMT1NFUFJJQ0VfQURKLjkvMjAvMjAyNAEAAABCMwYAAgAAAAoxMTAuMjgyOTk4AH9/smE9Jd4If3+yYT0l3ggiQ0lRLlhPTS5JUV9DTE9TRVBSSUNFX0FESi41LzIvMjAyNQEAAABCMwYAAgAAAAoxMDMuMzY2MzM1AH9/smE9Jd4If3+yYT0l3ggjQ0lRLlhPTS5JUV9DTE9TRVBS</t>
  </si>
  <si>
    <t>SUNFX0FESi44LzIwLzIwMjEBAAAAQjMGAAIAAAAJNDUuMTQ4NzQxAH9/smE9Jd4If3+yYT0l3ggiQ0lRLlhPTS5JUV9DTE9TRVBSSUNFX0FESi40LzEvMjAyMgEAAABCMwYAAgAAAAk3Mi45MTE2MzIAf3+yYT0l3gh/f7JhPSXeCCRDSVEuWE9NLklRX0NMT1NFUFJJQ0VfQURKLjExLzExLzIwMjIBAAAAQjMGAAIAAAAKMTAxLjk2MDI1OAB/f7JhPSXeCH9/smE9Jd4II0NJUS5YT00uSVFfQ0xPU0VQUklDRV9BREouNi8yMy8yMDIzAQAAAEIzBgACAAAACTkzLjg4MTUxNQB/f7JhPSXeCH9/smE9Jd4IIkNJUS5YT00uSVFfQ0xPU0VQUklDRV9BREouMi8yLzIwMjQBAAAAQjMGAAIAAAAJOTUuMTE1NTI3AH9/smE9Jd4If3+yYT0l3ggjQ0lRLlhPTS5JUV9DTE9TRVBSSUNFX0FESi45LzEzLzIwMjQBAAAAQjMGAAIAAAAKMTA2LjM0MTI0NQB/f7JhPSXeCH9/smE9Jd4II0NJUS5YT00uSVFfQ0xPU0VQUklDRV9BREouNC8yNS8yMDI1AQAAAEIzBgACAAAACjEwNS42NjMxNDkAf3+yYT0l3gh/f7JhPSXeCCNDSVEuWE9NLklRX0NMT1NFUFJJQ0VfQURKLjExLzQvMjAyMgEAAABCMwYAAgAAAAoxMDAuNDkyODE3AH9/smE9Jd4If3+yYT0l3ggjQ0lRLlhPTS5JUV9DTE9TRVBSSUNFX0FESi42LzE2LzIwMjMBAAAAQjMGAAIAAAAJOTYuMzg0NDExAH9/smE9Jd4If3+yYT0l3ggjQ0lRLlhPTS5JUV9DTE9TRVBSSUNF</t>
  </si>
  <si>
    <t>X0FESi4xLzI2LzIwMjQBAAAAQjMGAAIAAAAIOTYuMDc2MjkAf3+yYT0l3gh/f7JhPSXeCCJDSVEuWE9NLklRX0NMT1NFUFJJQ0VfQURKLjkvNi8yMDI0AQAAAEIzBgACAAAACjEwNy43NjY3ODIAf3+yYT0l3gh/f7JhPSXeCCNDSVEuWE9NLklRX0NMT1NFUFJJQ0VfQURKLjQvMTcvMjAyNQEAAABCMwYAAgAAAAoxMDQuMDU3MzI2AH9/smE9Jd4If3+yYT0l3ggiQ0lRLlhPTS5JUV9DTE9TRVBSSUNFX0FESi4xLzgvMjAyMQEAAABCMwYAAgAAAAgzNy4xNTQ5MgB/f7JhPSXeCH9/smE9Jd4II0NJUS5YT00uSVFfQ0xPU0VQUklDRV9BREouMy8xOC8yMDIyAQAAAEIzBgACAAAACTY5LjAwODE1OAB/f7JhPSXeCH9/smE9Jd4IJENJUS5YT00uSVFfQ0xPU0VQUklDRV9BREouMTAvMjgvMjAyMgEAAABCMwYAAgAAAAg5OS4wNTIyMgB/f7JhPSXeCH9/smE9Jd4IIkNJUS5YT00uSVFfQ0xPU0VQUklDRV9BREouNi85LzIwMjMBAAAAQjMGAAIAAAAJOTguNDU2NDA2AH9/smE9Jd4If3+yYT0l3ggjQ0lRLlhPTS5JUV9DTE9TRVBSSUNFX0FESi4xLzE5LzIwMjQBAAAAQjMGAAIAAAAJOTAuNDMyOTc0AH9/smE9Jd4If3+yYT0l3ggjQ0lRLlhPTS5JUV9DTE9TRVBSSUNFX0FESi44LzMwLzIwMjQBAAAAQjMGAAIAAAAKMTEyLjgzNzQ4NAB/f7JhPSXeCH9/smE9Jd4II0NJUS5YT00uSVFfQ0xPU0VQUklDRV9BREouNC8x</t>
  </si>
  <si>
    <t>MS8yMDI1AQAAAEIzBgACAAAACjEwMC4zNzg1MzEAf3+yYT0l3gh/f7JhPSXeCCNDSVEuWE9NLklRX0NMT1NFUFJJQ0VfQURKLjcvMzAvMjAyMQEAAABCMwYAAgAAAAk0OC41NDg3MDQAf3+yYT0l3gh/f7JhPSXeCCNDSVEuWE9NLklRX0NMT1NFUFJJQ0VfQURKLjMvMTEvMjAyMgEAAABCMwYAAgAAAAk3NC40OTA1NjUAf3+yYT0l3gh/f7JhPSXeCCRDSVEuWE9NLklRX0NMT1NFUFJJQ0VfQURKLjEwLzIxLzIwMjIBAAAAQjMGAAIAAAAJOTQuNzIxNDgyAH9/smE9Jd4If3+yYT0l3ggiQ0lRLlhPTS5JUV9DTE9TRVBSSUNFX0FESi42LzIvMjAyMwEAAABCMwYAAgAAAAk5Ni45NjIwMDMAf3+yYT0l3gh/f7JhPSXeCCNDSVEuWE9NLklRX0NMT1NFUFJJQ0VfQURKLjEvMTIvMjAyNAEAAABCMwYAAgAAAAk5My4yMzEzMTIAf3+yYT0l3gh/f7JhPSXeCCNDSVEuWE9NLklRX0NMT1NFUFJJQ0VfQURKLjgvMjMvMjAyNAEAAABCMwYAAgAAAAoxMTEuMjg3NTcyAH9/smE9Jd4If3+yYT0l3ggiQ0lRLlhPTS5JUV9DTE9TRVBSSUNFX0FESi40LzQvMjAyNQEAAABCMwYAAgAAAAoxMDEuNTQ2NDAzAH9/smE9Jd4If3+yYT0l3ggjQ0lRLlhPTS5JUV9DTE9TRVBSSUNFX0FESi45LzE1LzIwMjMBAAAAQjMGAAIAAAAKMTA3Ljg2ODk4NAB/f7JhPSXeCH9/smE9Jd4II0NJUS5YT00uSVFfQ0xPU0VQUklDRV9BREouMTIvNi8y</t>
  </si>
  <si>
    <t>MDI0AQAAAEIzBgACAAAACjEwOS41NDkzOTIAf3+yYT0l3gh/f7JhPSXeCCNDSVEuWE9NLklRX0NMT1NFUFJJQ0VfQURKLjExLzUvMjAyMQEAAABCMwYAAgAAAAk1NS42NjExODkAf3+yYT0l3gh/f7JhPSXeCCNDSVEuWE9NLklRX0NMT1NFUFJJQ0VfQURKLjEvMjcvMjAyMwEAAABCMwYAAgAAAAoxMDQuMjc4MzU2AH9/smE9Jd4If3+yYT0l3ggjQ0lRLlhPTS5JUV9DTE9TRVBSSUNFX0FESi43LzExLzIwMjUBAAAAQjMGAAIAAAAKMTEzLjM3NDE0NAB/f7JhPSXeCH9/smE9Jd4II0NJUS5YT00uSVFfQ0xPU0VQUklDRV9BREouOC8xOS8yMDIyAQAAAEIzBgACAAAACTg0LjE4MDk2NgB/f7JhPSXeCH9/smE9Jd4IJENJUS5YT00uSVFfQ0xPU0VQUklDRV9BREouMTIvMzEvMjAyMAEAAABCMwYAAgAAAAkzMy42ODk1MjQAf3+yYT0l3gh/f7JhPSXeCCNDSVEuWE9NLklRX0NMT1NFUFJJQ0VfQURKLjgvMTMvMjAyMQEAAABCMwYAAgAAAAk0OC41OTg2NzMAf3+yYT0l3gh/f7JhPSXeCCNDSVEuWE9NLklRX0NMT1NFUFJJQ0VfQURKLjMvMjUvMjAyMgEAAABCMwYAAgAAAAk3NC43MzYxNzcAf3+yYT0l3gh/f7JhPSXeCCRDSVEuWE9NLklRX0NMT1NFUFJJQ0VfQURKLjEyLzI0LzIwMjABAAAAQjMGAAIAAAAJMzQuMDAwMTAyAH9/smE9Jd4If3+yYT0l3ggiQ0lRLlhPTS5JUV9DTE9TRVBSSUNFX0FESi44LzYvMjAy</t>
  </si>
  <si>
    <t>MQEAAABCMwYAAgAAAAk0OC43OTMyNjEAf3+yYT0l3gh/f7JhPSXeCCRDSVEuWE9NLklRX0NMT1NFUFJJQ0VfQURKLjEyLzE4LzIwMjABAAAAQjMGAAIAAAAJMzQuOTIzNjYzAH9/smE9Jd4If3+yYT0l3ggiQ0lRLlhPTS5JUV9DTE9TRVBSSUNFX0FESi40LzEvMjAyMQEAAABCMwYAAgAAAAk0Ny43MDE5ODkAf3+yYT0l3gh/f7JhPSXeCCRDSVEuWE9NLklRX0NMT1NFUFJJQ0VfQURKLjExLzEyLzIwMjEBAAAAQjMGAAIAAAAJNTUuMzY4MTUxAH9/smE9Jd4If3+yYT0l3ggjQ0lRLlhPTS5JUV9DTE9TRVBSSUNFX0FESi42LzI0LzIwMjIBAAAAQjMGAAIAAAAINzcuMDA4MjEAf3+yYT0l3gh/f7JhPSXeCCJDSVEuWE9NLklRX0NMT1NFUFJJQ0VfQURKLjIvMy8yMDIzAQAAAEIzBgACAAAACjEwMC45NTAwMzYAf3+yYT0l3gh/f7JhPSXeCCNDSVEuWE9NLklRX0NMT1NFUFJJQ0VfQURKLjQvMjYvMjAyNAEAAABCMwYAAgAAAAoxMTEuMDUzMjYxAH9/smE9Jd4If3+yYT0l3ggjQ0lRLlhPTS5JUV9DTE9TRVBSSUNFX0FESi43LzE4LzIwMjUBAAAAQjMGAAIAAAAKMTA1Ljg1MDU3MQB/f7JhPSXeCH9/smE9Jd4II0NJUS5YT00uSVFfQ0xPU0VQUklDRV9BREouNi8xNy8yMDIyAQAAAEIzBgACAAAACTc2LjMxNjk5NwB/f7JhPSXeCH9/smE9Jd4IIkNJUS5YT00uSVFfQ0xPU0VQUklDRV9BREouOS84LzIwMjMBAAAA</t>
  </si>
  <si>
    <t>QjMGAAIAAAAKMTA2Ljg2MTQ2OAB/f7JhPSXeCH9/smE9Jd4IJENJUS5YT00uSVFfQ0xPU0VQUklDRV9BREouMTIvMTYvMjAyMgEAAABCMwYAAgAAAAk5NC40Mzc3MTIAf3+yYT0l3gh/f7JhPSXeCCJDSVEuWE9NLklRX0NMT1NFUFJJQ0VfQURKLjkvNS8yMDI1AQAAAEIzBgACAAAACjEwOC4yODI4OTMAeViyYT0l3gh5WLJhPSXeCCNDSVEuWE9NLklRX0NMT1NFUFJJQ0VfQURKLjMvMjYvMjAyMQEAAABCMwYAAgAAAAg0Ny45Njc5NwB/f7JhPSXeCH9/smE9Jd4II0NJUS5YT00uSVFfQ0xPU0VQUklDRV9BREouMy8xOS8yMDIxAQAAAEIzBgACAAAACTQ2Ljk1MzkxOAB/f7JhPSXeCH9/smE9Jd4IJENJUS5YT00uSVFfQ0xPU0VQUklDRV9BREouMTAvMjkvMjAyMQEAAABCMwYAAgAAAAk1NS4xOTAzNTUAf3+yYT0l3gh/f7JhPSXeCCNDSVEuWE9NLklRX0NMT1NFUFJJQ0VfQURKLjYvMTAvMjAyMgEAAABCMwYAAgAAAAk4OS4wMjQ2ODEAf3+yYT0l3gh/f7JhPSXeCCNDSVEuWE9NLklRX0NMT1NFUFJJQ0VfQURKLjEvMjAvMjAyMwEAAABCMwYAAgAAAAoxMDIuMjM5ODczAH9/smE9Jd4If3+yYT0l3ggiQ0lRLlhPTS5JUV9DTE9TRVBSSUNFX0FESi45LzEvMjAyMwEAAABCMwYAAgAAAAoxMDQuOTI5NjI0AH9/smE9Jd4If3+yYT0l3ggjQ0lRLlhPTS5JUV9DTE9TRVBSSUNFX0FESi40LzEyLzIwMjQBAAAAQjMG</t>
  </si>
  <si>
    <t>AAIAAAAKMTEzLjMyMjE1MgB/f7JhPSXeCH9/smE9Jd4IJENJUS5YT00uSVFfQ0xPU0VQUklDRV9BREouMTEvMjIvMjAyNAEAAABCMwYAAgAAAAoxMTcuNDc4Mzg3AH9/smE9Jd4If3+yYT0l3ggiQ0lRLlhPTS5JUV9DTE9TRVBSSUNFX0FESi43LzMvMjAyNQEAAABCMwYAAgAAAAoxMTAuMjAxNjcxAH9/smE9Jd4If3+yYT0l3ggjQ0lRLlhPTS5JUV9DTE9TRVBSSUNFX0FESi44LzE4LzIwMjMBAAAAQjMGAAIAAAAKMTAxLjcxMjk2NQB/f7JhPSXeCH9/smE9Jd4II0NJUS5YT00uSVFfQ0xPU0VQUklDRV9BREouMy8yOC8yMDI0AQAAAEIzBgACAAAACTEwOS40MzM5NwB/f7JhPSXeCH9/smE9Jd4II0NJUS5YT00uSVFfQ0xPU0VQUklDRV9BREouNi8xMy8yMDI1AQAAAEIzBgACAAAACjExMC4xMjMwOTYAf3+yYT0l3gh/f7JhPSXeCCNDSVEuWE9NLklRX0NMT1NFUFJJQ0VfQURKLjEwLzEvMjAyMQEAAABCMwYAAgAAAAk1Mi4xNTk4OTMAf3+yYT0l3gh/f7JhPSXeCCNDSVEuWE9NLklRX0NMT1NFUFJJQ0VfQURKLjUvMTMvMjAyMgEAAABCMwYAAgAAAAk3OC43NDUxMDQAf3+yYT0l3gh/f7JhPSXeCCRDSVEuWE9NLklRX0NMT1NFUFJJQ0VfQURKLjEyLzIzLzIwMjIBAAAAQjMGAAIAAAAJOTguMDI3NjA4AH9/smE9Jd4If3+yYT0l3ggkQ0lRLlhPTS5JUV9DTE9TRVBSSUNFX0FESi4xMC8xOC8yMDI0AQAAAEIz</t>
  </si>
  <si>
    <t>BgACAAAACjExNC44MTc5MjkAf3+yYT0l3gh/f7JhPSXeCCNDSVEuWE9NLklRX0NMT1NFUFJJQ0VfQURKLjYvMjEvMjAyNAEAAABCMwYAAgAAAAoxMDUuMTIxNzk4AH9/smE9Jd4If3+yYT0l3ggjQ0lRLlhPTS5JUV9DTE9TRVBSSUNFX0FESi4zLzEyLzIwMjEBAAAAQjMGAAIAAAAJNTEuNTA4ODM5AH9/smE9Jd4If3+yYT0l3ggkQ0lRLlhPTS5JUV9DTE9TRVBSSUNFX0FESi4xMC8yMi8yMDIxAQAAAEIzBgACAAAACDU0LjAzNDY3AH9/smE9Jd4If3+yYT0l3ggiQ0lRLlhPTS5JUV9DTE9TRVBSSUNFX0FESi42LzMvMjAyMgEAAABCMwYAAgAAAAk4Ny44MTA2MjgAf3+yYT0l3gh/f7JhPSXeCCNDSVEuWE9NLklRX0NMT1NFUFJJQ0VfQURKLjEvMTMvMjAyMwEAAABCMwYAAgAAAAoxMDIuMDU5NDc2AH9/smE9Jd4If3+yYT0l3ggjQ0lRLlhPTS5JUV9DTE9TRVBSSUNFX0FESi44LzI1LzIwMjMBAAAAQjMGAAIAAAAKMTAwLjA1ODQxOQB/f7JhPSXeCH9/smE9Jd4IIkNJUS5YT00uSVFfQ0xPU0VQUklDRV9BREouNC81LzIwMjQBAAAAQjMGAAIAAAAKMTE0LjI2MzYwMQB/f7JhPSXeCH9/smE9Jd4IJENJUS5YT00uSVFfQ0xPU0VQUklDRV9BREouMTEvMTUvMjAyNAEAAABCMwYAAgAAAAoxMTUuMDg2MTg0AH9/smE9Jd4If3+yYT0l3ggjQ0lRLlhPTS5JUV9DTE9TRVBSSUNFX0FESi42LzI3LzIwMjUBAAAAQjMG</t>
  </si>
  <si>
    <t>AAIAAAAKMTA3LjQzMTg5NwB/f7JhPSXeCH9/smE9Jd4II0NJUS5YT00uSVFfQ0xPU0VQUklDRV9BREouNS8yNy8yMDIyAQAAAEIzBgACAAAACTg2LjQ4MTM3MgB/f7JhPSXeCH9/smE9Jd4IIkNJUS5YT00uSVFfQ0xPU0VQUklDRV9BREouMS82LzIwMjMBAAAAQjMGAAIAAAAJOTkuNjk2Mjc4AH9/smE9Jd4If3+yYT0l3ggjQ0lRLlhPTS5JUV9DTE9TRVBSSUNFX0FESi4xMS84LzIwMjQBAAAAQjMGAAIAAAAKMTE1Ljg3MDMzOQB/f7JhPSXeCH9/smE9Jd4II0NJUS5YT00uSVFfQ0xPU0VQUklDRV9BREouNi8yMC8yMDI1AQAAAEIzBgACAAAACjExMi42NTcxNDUAf3+yYT0l3gh/f7JhPSXeCCNDSVEuWE9NLklRX0NMT1NFUFJJQ0VfQURKLjExLzEvMjAyNAEAAABCMwYAAgAAAAoxMDkuOTc2ODQzAH9/smE9Jd4If3+yYT0l3ggiQ0lRLlhPTS5JUV9DTE9TRVBSSUNFX0FESi44LzQvMjAyMwEAAABCMwYAAgAAAAg5OC40ODM5MQB/f7JhPSXeCH9/smE9Jd4IIkNJUS5YT00uSVFfQ0xPU0VQUklDRV9BREouNi82LzIwMjUBAAAAQjMGAAIAAAAKMTAyLjQxMjkwOAB/f7JhPSXeCH9/smE9Jd4II0NJUS5YT00uSVFfQ0xPU0VQUklDRV9BREouNy8yOC8yMDIzAQAAAEIzBgACAAAACTk1LjQ5NTEwNAB/f7JhPSXeCH9/smE9Jd4II0NJUS5YT00uSVFfQ0xPU0VQUklDRV9BREouNS8zMC8yMDI1AQAAAEIzBgACAAAA</t>
  </si>
  <si>
    <t>CjEwMC40Nzc5OTQAf3+yYT0l3gh/f7JhPSXeCCNDSVEuWE9NLklRX0NMT1NFUFJJQ0VfQURKLjEvMjQvMjAyNQEAAABCMwYAAgAAAAoxMDQuODEzMjE2AH9/smE9Jd4If3+yYT0l3ggiQ0lRLlhPTS5JUV9DTE9TRVBSSUNFX0FESi4zLzUvMjAyMQEAAABCMwYAAgAAAAk1MC42NDQ0MDEAf3+yYT0l3gh/f7JhPSXeCCRDSVEuWE9NLklRX0NMT1NFUFJJQ0VfQURKLjEwLzE1LzIwMjEBAAAAQjMGAAIAAAAJNTMuNTgwOTU3AH9/smE9Jd4If3+yYT0l3ggjQ0lRLlhPTS5JUV9DTE9TRVBSSUNFX0FESi4yLzI2LzIwMjEBAAAAQjMGAAIAAAAJNDUuMTkxNzk1AH9/smE9Jd4If3+yYT0l3ggjQ0lRLlhPTS5JUV9DTE9TRVBSSUNFX0FESi4xMC84LzIwMjEBAAAAQjMGAAIAAAAJNTMuMjI5OTcxAH9/smE9Jd4If3+yYT0l3ggjQ0lRLlhPTS5JUV9DTE9TRVBSSUNFX0FESi41LzIwLzIwMjIBAAAAQjMGAAIAAAAJODEuNDAzNjE1AH9/smE9Jd4If3+yYT0l3ggkQ0lRLlhPTS5JUV9DTE9TRVBSSUNFX0FESi4xMi8zMC8yMDIyAQAAAEIzBgACAAAACTk5LjQ4ODgyMgB/f7JhPSXeCH9/smE9Jd4II0NJUS5YT00uSVFfQ0xPU0VQUklDRV9BREouOC8xMS8yMDIzAQAAAEIzBgACAAAACjEwMi41MjcwNDkAf3+yYT0l3gh/f7JhPSXeCCNDSVEuWE9NLklRX0NMT1NFUFJJQ0VfQURKLjMvMjIvMjAyNAEAAABCMwYAAgAAAAox</t>
  </si>
  <si>
    <t>MDYuODQ0OTg3AH9/smE9Jd4If3+yYT0l3ggjQ0lRLlhPTS5JUV9DTE9TRVBSSUNFX0FESi4yLzE5LzIwMjEBAAAAQjMGAAIAAAAJNDMuNTI5NDE1AH9/smE9Jd4If3+yYT0l3ggjQ0lRLlhPTS5JUV9DTE9TRVBSSUNFX0FESi4yLzEyLzIwMjEBAAAAQjMGAAIAAAAJNDEuOTkxNzE0AH9/smE9Jd4If3+yYT0l3ggjQ0lRLlhPTS5JUV9DTE9TRVBSSUNFX0FESi41LzI4LzIwMjEBAAAAQjMGAAIAAAAJNDkuMjIzMzQzAH9/smE9Jd4If3+yYT0l3ggjQ0lRLlhPTS5JUV9DTE9TRVBSSUNFX0FESi41LzIxLzIwMjEBAAAAQjMGAAIAAAAJNDkuNjg3MTU4AH9/smE9Jd4If3+yYT0l3ggkQ0lRLlhPTS5JUV9DTE9TRVBSSUNFX0FESi4xMi8zMS8yMDIxAQAAAEIzBgACAAAACTUzLjA4NjQ0OQB/f7JhPSXeCH9/smE9Jd4II0NJUS5YT00uSVFfQ0xPU0VQUklDRV9BREouOC8xMi8yMDIyAQAAAEIzBgACAAAACTg0LjEwOTM4MwB/f7JhPSXeCH9/smE9Jd4II0NJUS5YT00uSVFfQ0xPU0VQUklDRV9BREouNS8xNC8yMDIxAQAAAEIzBgACAAAACDUxLjI0NzI2AH9/smE9Jd4If3+yYT0l3ggkQ0lRLlhPTS5JUV9DTE9TRVBSSUNFX0FESi4xMi8yMy8yMDIxAQAAAEIzBgACAAAACTUyLjkzODk2MgB/f7JhPSXeCH9/smE9Jd4IIkNJUS5YT00uSVFfQ0xPU0VQUklDRV9BREouOC81LzIwMjIBAAAAQjMGAAIAAAAJNzguMzgx</t>
  </si>
  <si>
    <t>Nzc0AH9/smE9Jd4If3+yYT0l3ggjQ0lRLlhPTS5JUV9DTE9TRVBSSUNFX0FESi4zLzE3LzIwMjMBAAAAQjMGAAIAAAAJOTAuNzQ3MDI4AH9/smE9Jd4If3+yYT0l3ggkQ0lRLlhPTS5JUV9DTE9TRVBSSUNFX0FESi4xMC8yNy8yMDIzAQAAAEIzBgACAAAACTk3LjU2MjczNgB/f7JhPSXeCH9/smE9Jd4IIkNJUS5YT00uSVFfQ0xPU0VQUklDRV9BREouNi83LzIwMjQBAAAAQjMGAAIAAAAKMTA3LjAxMDQ5OAB/f7JhPSXeCH9/smE9Jd4II0NJUS5YT00uSVFfQ0xPU0VQUklDRV9BREouMS8xNy8yMDI1AQAAAEIzBgACAAAACjEwOC4zNDM2NDQAf3+yYT0l3gh/f7JhPSXeCCNDSVEuWE9NLklRX0NMT1NFUFJJQ0VfQURKLjgvMjkvMjAyNQEAAABCMwYAAgAAAAoxMTMuMjk5MDE4AHlYsmE9Jd4IeViyYT0l3ggkQ0lRLlhPTS5JUV9DTE9TRVBSSUNFX0FESi4xMC8xMy8yMDIzAQAAAEIzBgACAAAACjEwMS41NTU4MjkAf3+yYT0l3gh/f7JhPSXeCCNDSVEuWE9NLklRX0NMT1NFUFJJQ0VfQURKLjUvMjQvMjAyNAEAAABCMwYAAgAAAAoxMDcuNjQ2MzkxAH9/smE9Jd4If3+yYT0l3ggjQ0lRLlhPTS5JUV9DTE9TRVBSSUNFX0FESi44LzE1LzIwMjUBAAAAQjMGAAIAAAAJMTA1LjU2NjY1AHlYsmE9Jd4IeViyYT0l3ggjQ0lRLlhPTS5JUV9DTE9TRVBSSUNFX0FESi4xMi8zLzIwMjEBAAAAQjMGAAIAAAAJNTIuODI2</t>
  </si>
  <si>
    <t>MTc5AH9/smE9Jd4If3+yYT0l3ggjQ0lRLlhPTS5JUV9DTE9TRVBSSUNFX0FESi43LzE1LzIwMjIBAAAAQjMGAAIAAAAJNzQuOTE2ODQ4AH9/smE9Jd4If3+yYT0l3ggjQ0lRLlhPTS5JUV9DTE9TRVBSSUNFX0FESi41LzE3LzIwMjQBAAAAQjMGAAIAAAAKMTEzLjU0OTc2NAB/f7JhPSXeCH9/smE9Jd4IIkNJUS5YT00uSVFfQ0xPU0VQUklDRV9BREouOC84LzIwMjUBAAAAQjMGAAIAAAAKMTA0Ljg5Nzg0OAB5WLJhPSXeCHlYsmE9Jd4IJENJUS5YT00uSVFfQ0xPU0VQUklDRV9BREouMTEvMjYvMjAyMQEAAABCMwYAAgAAAAk1My4xMzg1MDMAf3+yYT0l3gh/f7JhPSXeCCNDSVEuWE9NLklRX0NMT1NFUFJJQ0VfQURKLjYvMjgvMjAyNAEAAABCMwYAAgAAAAoxMDkuMjU5ODUzAH9/smE9Jd4If3+yYT0l3ggiQ0lRLlhPTS5JUV9DTE9TRVBSSUNFX0FESi4yLzcvMjAyNQEAAABCMwYAAgAAAAoxMDUuMDM1MDczAH9/smE9Jd4If3+yYT0l3ggjQ0lRLlhPTS5JUV9DTE9TRVBSSUNFX0FESi43LzIxLzIwMjMBAAAAQjMGAAIAAAAJOTUuMjQ3NTY1AH9/smE9Jd4If3+yYT0l3ggjQ0lRLlhPTS5JUV9DTE9TRVBSSUNFX0FESi45LzEwLzIwMjEBAAAAQjMGAAIAAAAJNDYuMjEwMjU4AH9/smE9Jd4If3+yYT0l3ggjQ0lRLlhPTS5JUV9DTE9TRVBSSUNFX0FESi40LzIyLzIwMjIBAAAAQjMGAAIAAAAJNzQuNjc0Nzc0</t>
  </si>
  <si>
    <t>AH9/smE9Jd4If3+yYT0l3ggjQ0lRLlhPTS5JUV9DTE9TRVBSSUNFX0FESi40LzE5LzIwMjQBAAAAQjMGAAIAAAAKMTEyLjg2MDg0MgB/f7JhPSXeCH9/smE9Jd4II0NJUS5YT00uSVFfQ0xPU0VQUklDRV9BREouMy8xNS8yMDI0AQAAAEIzBgACAAAACjEwNC43NTQ5NzEAf3+yYT0l3gh/f7JhPSXeCCRDSVEuWE9NLklRX0NMT1NFUFJJQ0VfQURKLjExLzEwLzIwMjMBAAAAQjMGAAIAAAAJOTUuODk4OTQ3AH9/smE9Jd4If3+yYT0l3ggjQ0lRLlhPTS5JUV9DTE9TRVBSSUNFX0FESi4zLzI0LzIwMjMBAAAAQjMGAAIAAAAIOTQuMTAwOTYAf3+yYT0l3gh/f7JhPSXeCCJDSVEuWE9NLklRX0NMT1NFUFJJQ0VfQURKLjUvNy8yMDIxAQAAAEIzBgACAAAACTUxLjg5MTE4NgB/f7JhPSXeCH9/smE9Jd4IJENJUS5YT00uSVFfQ0xPU0VQUklDRV9BREouMTIvMTcvMjAyMQEAAABCMwYAAgAAAAk1Mi4wODAwNzEAf3+yYT0l3gh/f7JhPSXeCCNDSVEuWE9NLklRX0NMT1NFUFJJQ0VfQURKLjcvMjkvMjAyMgEAAABCMwYAAgAAAAk4NS44OTY0OTkAf3+yYT0l3gh/f7JhPSXeCCNDSVEuWE9NLklRX0NMT1NFUFJJQ0VfQURKLjMvMTAvMjAyMwEAAABCMwYAAgAAAAk5Ny45NjM4ODkAf3+yYT0l3gh/f7JhPSXeCCRDSVEuWE9NLklRX0NMT1NFUFJJQ0VfQURKLjEwLzIwLzIwMjMBAAAAQjMGAAIAAAAKMTAyLjY3NDI2NQB/</t>
  </si>
  <si>
    <t>f7JhPSXeCH9/smE9Jd4II0NJUS5YT00uSVFfQ0xPU0VQUklDRV9BREouNS8zMS8yMDI0AQAAAEIzBgACAAAACjExMS4yOTA5MTcAf3+yYT0l3gh/f7JhPSXeCCNDSVEuWE9NLklRX0NMT1NFUFJJQ0VfQURKLjEvMTAvMjAyNQEAAABCMwYAAgAAAAoxMDIuNzY4MjY4AH9/smE9Jd4If3+yYT0l3ggjQ0lRLlhPTS5JUV9DTE9TRVBSSUNFX0FESi44LzIyLzIwMjUBAAAAQjMGAAIAAAAKMTEwLjMxNTExNwB5WLJhPSXeCHlYsmE9Jd4IJENJUS5YT00uSVFfQ0xPU0VQUklDRV9BREouMTIvMTAvMjAyMQEAAABCMwYAAgAAAAk1NC42NjU0MjIAf3+yYT0l3gh/f7JhPSXeCCNDSVEuWE9NLklRX0NMT1NFUFJJQ0VfQURKLjcvMjIvMjAyMgEAAABCMwYAAgAAAAk3Ny4xNjc3MjEAf3+yYT0l3gh/f7JhPSXeCCJDSVEuWE9NLklRX0NMT1NFUFJJQ0VfQURKLjMvMy8yMDIzAQAAAEIzBgACAAAACTEwMi41MzU3OAB/f7JhPSXeCH9/smE9Jd4IIkNJUS5YT00uSVFfQ0xPU0VQUklDRV9BREouMS8zLzIwMjUBAAAAQjMGAAIAAAAKMTA0LjA0MTUzNwB/f7JhPSXeCH9/smE9Jd4II0NJUS5YT00uSVFfQ0xPU0VQUklDRV9BREouMi8yNC8yMDIzAQAAAEIzBgACAAAACjEwMC42NjMzOTUAf3+yYT0l3gh/f7JhPSXeCCNDSVEuWE9NLklRX0NMT1NFUFJJQ0VfQURKLjEwLzYvMjAyMwEAAABCMwYAAgAAAAk5OS4wNjAxNDYAf3+y</t>
  </si>
  <si>
    <t>YT0l3gh/f7JhPSXeCCRDSVEuWE9NLklRX0NMT1NFUFJJQ0VfQURKLjEyLzI3LzIwMjQBAAAAQjMGAAIAAAAKMTAyLjcxMDM5MgB/f7JhPSXeCH9/smE9Jd4IIkNJUS5YT00uSVFfQ0xPU0VQUklDRV9BREouNy84LzIwMjIBAAAAQjMGAAIAAAAINzYuMjgxNTUAf3+yYT0l3gh/f7JhPSXeCCNDSVEuWE9NLklRX0NMT1NFUFJJQ0VfQURKLjIvMTcvMjAyMwEAAABCMwYAAgAAAAoxMDEuMTQ1MTI1AH9/smE9Jd4If3+yYT0l3ggjQ0lRLlhPTS5JUV9DTE9TRVBSSUNFX0FESi45LzI5LzIwMjMBAAAAQjMGAAIAAAAKMTA4LjY4MjM5MgB/f7JhPSXeCH9/smE9Jd4II0NJUS5YT00uSVFfQ0xPU0VQUklDRV9BREouNS8xMC8yMDI0AQAAAEIzBgACAAAACjExMS4wNTMyNjEAf3+yYT0l3gh/f7JhPSXeCCRDSVEuWE9NLklRX0NMT1NFUFJJQ0VfQURKLjEyLzIwLzIwMjQBAAAAQjMGAAIAAAAKMTAyLjEyMTk4NwB/f7JhPSXeCH9/smE9Jd4IIkNJUS5YT00uSVFfQ0xPU0VQUklDRV9BREouOC8xLzIwMjUBAAAAQjMGAAIAAAAKMTA3LjY4NzI2NgB/f7JhPSXeCH9/smE9Jd4IJENJUS5YT00uSVFfQ0xPU0VQUklDRV9BREouMTAvMjQvMjAyNQEAAABCMwYAAgAAAAoxMTQuMzg5NDgxAHlYsmE9Jd4IeViyYT0l3ggjQ0lRLlhPTS5JUV9DTE9TRVBSSUNFX0FESi45LzE3LzIwMjEBAAAAQjMGAAIAAAAJNDcuMjIwNDEyAH9/</t>
  </si>
  <si>
    <t>smE9Jd4If3+yYT0l3ggkQ0lRLlhPTS5JUV9DTE9TRVBSSUNFX0FESi4xMC8xMS8yMDI0AQAAAEIzBgACAAAACjExOC4yNjIxNzkAf3+yYT0l3gh/f7JhPSXeCCNDSVEuWE9NLklRX0NMT1NFUFJJQ0VfQURKLjcvMTQvMjAyMwEAAABCMwYAAgAAAAg5Mi41NDI5NwB/f7JhPSXeCH9/smE9Jd4II0NJUS5YT00uSVFfQ0xPU0VQUklDRV9BREouNC8xNC8yMDIyAQAAAEIzBgACAAAACTc3LjA0MzE3NAB/f7JhPSXeCH9/smE9Jd4IIkNJUS5YT00uSVFfQ0xPU0VQUklDRV9BREouNy83LzIwMjMBAAAAQjMGAAIAAAAJOTQuNTc4MjkyAH9/smE9Jd4If3+yYT0l3ggjQ0lRLlhPTS5JUV9DTE9TRVBSSUNFX0FESi4yLzE2LzIwMjQBAAAAQjMGAAIAAAAIOTcuNjU2NDUAf3+yYT0l3gh/f7JhPSXeCCJDSVEuWE9NLklRX0NMT1NFUFJJQ0VfQURKLjUvOS8yMDI1AQAAAEIzBgACAAAACjEwNC40MzY4ODQAf3+yYT0l3gh/f7JhPSXeCCRDSVEuWE9NLklRX0NMT1NFUFJJQ0VfQURKLjEwLzI1LzIwMjQBAAAAQjMGAAIAAAAKMTE0LjMyMDQyNgB/f7JhPSXeCH9/smE9Jd4IIkNJUS5YT00uSVFfQ0xPU0VQUklDRV9BREouNS82LzIwMjIBAAAAQjMGAAIAAAAJODAuNDI5MTA5AH9/smE9Jd4If3+yYT0l3ggiQ0lRLlhPTS5JUV9DTE9TRVBSSUNFX0FESi4xLzcvMjAyMgEAAABCMwYAAgAAAAk1OS43NTgwNDIAf3+yYT0l3gh/</t>
  </si>
  <si>
    <t>f7JhPSXeCCNDSVEuWE9NLklRX0NMT1NFUFJJQ0VfQURKLjExLzMvMjAyMwEAAABCMwYAAgAAAAk5OS42MjM5ODYAf3+yYT0l3gh/f7JhPSXeCCNDSVEuWE9NLklRX0NMT1NFUFJJQ0VfQURKLjQvMzAvMjAyMQEAAABCMwYAAgAAAAg0Ny41NzczMQB/f7JhPSXeCH9/smE9Jd4II0NJUS5YT00uSVFfQ0xPU0VQUklDRV9BREouNS8yMy8yMDI1AQAAAEIzBgACAAAACjEwMS4xOTQ5OTMAf3+yYT0l3gh/f7JhPSXeCCNDSVEuWE9NLklRX0NMT1NFUFJJQ0VfQURKLjEwLzQvMjAyNAEAAABCMwYAAgAAAAoxMTkuNDI5Mzk4AH9/smE9Jd4If3+yYT0l3ggjQ0lRLlhPTS5JUV9DTE9TRVBSSUNFX0FESi41LzE2LzIwMjUBAAAAQjMGAAIAAAAKMTA2LjI2MzA5MQB/f7JhPSXeCH9/smE9Jd4IJENJUS5YT00uSVFfQ0xPU0VQUklDRV9BREouMTEvMjUvMjAyMgEAAABCMwYAAgAAAAoxMDIuMTEzNTk1AH9/smE9Jd4If3+yYT0l3ggkQ0lRLlhPTS5JUV9DTE9TRVBSSUNFX0FESi4xMS8yOS8yMDI0AQAAAEIzBgACAAAACjExMy43ODM5NzcAf3+yYT0l3gh/f7JhPSXeCCNDSVEuWE9NLklRX0NMT1NFUFJJQ0VfQURKLjkvMjQvMjAyMQEAAABCMwYAAgAAAAk0OS4zMDA2NDQAf3+yYT0l3gh/f7JhPSXeCCJDSVEuWE9NLklRX0NMT1NFUFJJQ0VfQURKLjMvOC8yMDI0AQAAAEIzBgACAAAACjEwMi4wMzQxODUAf3+yYT0l3gh/</t>
  </si>
  <si>
    <t>f7JhPSXeCCNDSVEuWE9NLklRX0NMT1NFUFJJQ0VfQURKLjYvMTQvMjAyNAEAAABCMwYAAgAAAAoxMDMuNTU1NzkxAH9/smE9Jd4If3+yYT0l3ggjQ0lRLlhPTS5JUV9DTE9TRVBSSUNFX0FESi40LzIzLzIwMjEBAAAAQjMGAAIAAAAJNDYuMTg5MjIzAH9/smE9Jd4If3+yYT0l3ggjQ0lRLlhPTS5JUV9DTE9TRVBSSUNFX0FESi40LzE2LzIwMjEBAAAAQjMGAAIAAAAINDcuMDk1MjIAf3+yYT0l3gh/f7JhPSXeCCJDSVEuWE9NLklRX0NMT1NFUFJJQ0VfQURKLjQvOS8yMDIxAQAAAEIzBgACAAAACDQ2LjQzODU4AH9/smE9Jd4If3+yYT0l3ggkQ0lRLlhPTS5JUV9DTE9TRVBSSUNFX0FESi4xMS8xOS8yMDIxAQAAAEIzBgACAAAACTUyLjYzNTMxNAB/f7JhPSXeCH9/smE9Jd4IIkNJUS5YT00uSVFfQ0xPU0VQUklDRV9BREouNy8xLzIwMjIBAAAAQjMGAAIAAAAJNzcuNTg0MjIxAH9/smE9Jd4If3+yYT0l3ggjQ0lRLlhPTS5JUV9DTE9TRVBSSUNFX0FESi4yLzEwLzIwMjMBAAAAQjMGAAIAAAAKMTA3LjQ4OTQxOQB/f7JhPSXeCH9/smE9Jd4II0NJUS5YT00uSVFfQ0xPU0VQUklDRV9BREouOS8yMi8yMDIzAQAAAEIzBgACAAAACjEwNi4yNDIxNjgAf3+yYT0l3gh/f7JhPSXeCCJDSVEuWE9NLklRX0NMT1NFUFJJQ0VfQURKLjUvMy8yMDI0AQAAAEIzBgACAAAACjEwOS4yMDgwMjIAf3+yYT0l3gh/f7JhPSXe</t>
  </si>
  <si>
    <t>CCRDSVEuWE9NLklRX0NMT1NFUFJJQ0VfQURKLjEyLzEzLzIwMjQBAAAAQjMGAAIAAAAKMTA2LjkxNjAzOQB/f7JhPSXeCH9/smE9Jd4II0NJUS5YT00uSVFfQ0xPU0VQUklDRV9BREouNy8yNS8yMDI1AQAAAEIzBgACAAAACTEwOC40MzM3MwB/f7JhPSXeCH9/smE9Jd4II0NJUS5YT00uSVFfQ0xPU0VQUklDRV9BREouNS8xMi8yMDIzAQAAAEIzBgACAAAACDk2LjE0NjA0AH9/smE9Jd4If3+yYT0l3ggjQ0lRLlhPTS5JUV9DTE9TRVBSSUNFX0FESi4yLzIzLzIwMjQBAAAAQjMGAAIAAAAJOTcuNzYwMDA5AH9/smE9Jd4If3+yYT0l3ggiQ0lRLlhPTS5JUV9DTE9TRVBSSUNFX0FESi45LzMvMjAyMQEAAABCMwYAAgAAAAk0Ni45NzIxNTQAf3+yYT0l3gh/f7JhPSXeCCNDSVEuWE9NLklRX0NMT1NFUFJJQ0VfQURKLjMvMzEvMjAyMwEAAABCMwYAAgAAAAk5OS42NzI2NjgAf3+yYT0l3gh/f7JhPSXeCCNDSVEuWE9NLklRX0NMT1NFUFJJQ0VfQURKLjEvMzEvMjAyNQEAAABCMwYAAgAAAAoxMDMuMDQ4MDAxAH9/smE9Jd4If3+yYT0l3ggjQ0lRLlhPTS5JUV9DTE9TRVBSSUNFX0FESi43LzIzLzIwMjEBAAAAQjMGAAIAAAAJNDguMTAxNzU2AH9/smE9Jd4If3+yYT0l3ggiQ0lRLlhPTS5JUV9DTE9TRVBSSUNFX0FESi4zLzQvMjAyMgEAAABCMwYAAgAAAAk3My43NjI1MDEAf3+yYT0l3gh/f7JhPSXeCCRDSVEu</t>
  </si>
  <si>
    <t>WE9NLklRX0NMT1NFUFJJQ0VfQURKLjEwLzE0LzIwMjIBAAAAQjMGAAIAAAAJODguNzUzMjk1AH9/smE9Jd4If3+yYT0l3ggjQ0lRLlhPTS5JUV9DTE9TRVBSSUNFX0FESi41LzI2LzIwMjMBAAAAQjMGAAIAAAAJOTYuMjM3NzIxAH9/smE9Jd4If3+yYT0l3ggiQ0lRLlhPTS5JUV9DTE9TRVBSSUNFX0FESi4xLzUvMjAyNAEAAABCMwYAAgAAAAk5NS43MzExNjEAf3+yYT0l3gh/f7JhPSXeCCNDSVEuWE9NLklRX0NMT1NFUFJJQ0VfQURKLjgvMTYvMjAyNAEAAABCMwYAAgAAAAoxMTMuMDU3NTM0AH9/smE9Jd4If3+yYT0l3ggjQ0lRLlhPTS5JUV9DTE9TRVBSSUNFX0FESi4zLzI4LzIwMjUBAAAAQjMGAAIAAAAKMTE0LjU3Nzg5OQB/f7JhPSXeCH9/smE9Jd4II0NJUS5YT00uSVFfQ0xPU0VQUklDRV9BREouMTEvNy8yMDI1AQAAAEIzBgACAAAACjExNi4yMDM2MTMAeViyYT0l3gh5WLJhPSXeCCRDSVEuWE9NLklRX0NMT1NFUFJJQ0VfQURKLjEyLzIyLzIwMjMBAAAAQjMGAAIAAAAIOTUuMDU5NTYAf3+yYT0l3gh/f7JhPSXeCCNDSVEuWE9NLklRX0NMT1NFUFJJQ0VfQURKLjkvMTIvMjAyNQEAAABCMwYAAgAAAAoxMTEuMTg3NDg3AHlYsmE9Jd4IeViyYT0l3ggjQ0lRLlhPTS5JUV9DTE9TRVBSSUNFX0FESi43LzE2LzIwMjEBAAAAQjMGAAIAAAAINDguMzM3ODgAf3+yYT0l3gh/f7JhPSXeCCNDSVEuWE9N</t>
  </si>
  <si>
    <t>LklRX0NMT1NFUFJJQ0VfQURKLjIvMjUvMjAyMgEAAABCMwYAAgAAAAk2OC4yODAwOTQAf3+yYT0l3gh/f7JhPSXeCCNDSVEuWE9NLklRX0NMT1NFUFJJQ0VfQURKLjEwLzcvMjAyMgEAAABCMwYAAgAAAAk5MC4zOTk2OTEAf3+yYT0l3gh/f7JhPSXeCCNDSVEuWE9NLklRX0NMT1NFUFJJQ0VfQURKLjUvMTkvMjAyMwEAAABCMwYAAgAAAAk5Ny40MjA0MDgAf3+yYT0l3gh/f7JhPSXeCCRDSVEuWE9NLklRX0NMT1NFUFJJQ0VfQURKLjEyLzI5LzIwMjMBAAAAQjMGAAIAAAAJOTMuMjU5Mjk2AH9/smE9Jd4If3+yYT0l3ggiQ0lRLlhPTS5JUV9DTE9TRVBSSUNFX0FESi44LzkvMjAyNAEAAABCMwYAAgAAAAoxMTIuNzk5OTc5AH9/smE9Jd4If3+yYT0l3ggjQ0lRLlhPTS5JUV9DTE9TRVBSSUNFX0FESi4zLzIxLzIwMjUBAAAAQjMGAAIAAAAKMTEyLjQwNzYwNQB/f7JhPSXeCH9/smE9Jd4IJENJUS5YT00uSVFfQ0xPU0VQUklDRV9BREouMTAvMzEvMjAyNQEAAABCMwYAAgAAAAoxMTMuMzY4NDExAHlYsmE9Jd4IeViyYT0l3ggjQ0lRLlhPTS5JUV9DTE9TRVBSSUNFX0FESi45LzMwLzIwMjIBAAAAQjMGAAIAAAAHNzguMTIzMwB/f7JhPSXeCH9/smE9Jd4II0NJUS5YT00uSVFfQ0xPU0VQUklDRV9BREouOS8xOS8yMDI1AQAAAEIzBgACAAAACjExMS44NDE3NjQAeViyYT0l3gh5WLJhPSXeCCNDSVEuWE9NLklR</t>
  </si>
  <si>
    <t>X0NMT1NFUFJJQ0VfQURKLjQvMjkvMjAyMgEAAABCMwYAAgAAAAk3NC43ODAwMzYAf3+yYT0l3gh/f7JhPSXeCCNDSVEuWE9NLklRX0NMT1NFUFJJQ0VfQURKLjEyLzIvMjAyMgEAAABCMwYAAgAAAAk5OS4wOTE5NDkAf3+yYT0l3gh/f7JhPSXeCCJDSVEuWE9NLklRX0NMT1NFUFJJQ0VfQURKLjcvOS8yMDIxAQAAAEIzBgACAAAACTUxLjYzNTE3NwB/f7JhPSXeCH9/smE9Jd4II0NJUS5YT00uSVFfQ0xPU0VQUklDRV9BREouMi8xOC8yMDIyAQAAAEIzBgACAAAACTY3Ljg1OTA0NQB/f7JhPSXeCH9/smE9Jd4IIkNJUS5YT00uSVFfQ0xPU0VQUklDRV9BREouOC8yLzIwMjQBAAAAQjMGAAIAAAAKMTEwLjkzMDI2MQB/f7JhPSXeCH9/smE9Jd4II0NJUS5YT00uSVFfQ0xPU0VQUklDRV9BREouMy8xNC8yMDI1AQAAAEIzBgACAAAACjEwOC45MDM5OTEAf3+yYT0l3gh/f7JhPSXeCCNDSVEuWE9NLklRX0NMT1NFUFJJQ0VfQURKLjkvMjcvMjAyNAEAAABCMwYAAgAAAAoxMTAuODA5MjAzAH9/smE9Jd4If3+yYT0l3gghQ0lRLkJQLklRX0NMT1NFUFJJQ0VfQURKLjUvNS8yMDIzAQAAAOIEBgACAAAACTMyLjA4MTQwNQBuMbJhPSXeCG4xsmE9Jd4II0NJUS5EVk4uSVFfQ0xPU0VQUklDRV9BREouMTEvNy8yMDI1AQAAAA4RBAACAAAABDMzLjcAVQqyYT0l3ghVCrJhPSXeCCRDSVEuRFZOLklRX0NMT1NFUFJJQ0Vf</t>
  </si>
  <si>
    <t>QURKLjEwLzMxLzIwMjUBAAAADhEEAAIAAAAFMzIuNDkAVQqyYT0l3ghVCrJhPSXeCCRDSVEuRFZOLklRX0NMT1NFUFJJQ0VfQURKLjEwLzI0LzIwMjUBAAAADhEEAAIAAAAFMzIuOTcAVQqyYT0l3ghVCrJhPSXeCCRDSVEuRFZOLklRX0NMT1NFUFJJQ0VfQURKLjEwLzE3LzIwMjUBAAAADhEEAAIAAAAFMzEuNzQAVQqyYT0l3ghVCrJhPSXeCCRDSVEuRFZOLklRX0NMT1NFUFJJQ0VfQURKLjEwLzEwLzIwMjUBAAAADhEEAAIAAAAEMzIuNQBVCrJhPSXeCFUKsmE9Jd4II0NJUS5EVk4uSVFfQ0xPU0VQUklDRV9BREouMTAvMy8yMDI1AQAAAA4RBAACAAAABTM0LjU2AFUKsmE9Jd4IVQqyYT0l3ggjQ0lRLkRWTi5JUV9DTE9TRVBSSUNFX0FESi45LzI2LzIwMjUBAAAADhEEAAIAAAAFMzYuOTkAVQqyYT0l3ghVCrJhPSXeCCNDSVEuRFZOLklRX0NMT1NFUFJJQ0VfQURKLjkvMTkvMjAyNQEAAAAOEQQAAgAAAAUzMy45NgBVCrJhPSXeCFUKsmE9Jd4II0NJUS5EVk4uSVFfQ0xPU0VQUklDRV9BREouOS8xMi8yMDI1AQAAAA4RBAACAAAABTM0LjUzAFUKsmE9Jd4IVQqyYT0l3ggiQ0lRLkRWTi5JUV9DTE9TRVBSSUNFX0FESi45LzUvMjAyNQEAAAAOEQQAAgAAAAkzNC41MjAwNjkAVQqyYT0l3ghVCrJhPSXeCCNDSVEuRFZOLklRX0NMT1NFUFJJQ0VfQURKLjgvMjkvMjAyNQEAAAAOEQQAAgAAAAgzNS44NTA4MgBV</t>
  </si>
  <si>
    <t>CrJhPSXeCFUKsmE9Jd4II0NJUS5EVk4uSVFfQ0xPU0VQUklDRV9BREouOC8yMi8yMDI1AQAAAA4RBAACAAAACTM0LjkxNzMwOABVCrJhPSXeCFUKsmE9Jd4II0NJUS5EVk4uSVFfQ0xPU0VQUklDRV9BREouOC8xNS8yMDI1AQAAAA4RBAACAAAACTMzLjQ1NzQ1NQBVCrJhPSXeCFUKsmE9Jd4IIkNJUS5EVk4uSVFfQ0xPU0VQUklDRV9BREouOC84LzIwMjUBAAAADhEEAAIAAAAJMzMuMDUwMjg1AFUKsmE9Jd4IVQqyYT0l3ggiQ0lRLkRWTi5JUV9DTE9TRVBSSUNFX0FESi44LzEvMjAyNQEAAAAOEQQAAgAAAAkzMS45MTgxNTQAVQqyYT0l3ghVCrJhPSXeCCNDSVEuRFZOLklRX0NMT1NFUFJJQ0VfQURKLjcvMjUvMjAyNQEAAAAOEQQAAgAAAAkzMi43MTI2MzIAVQqyYT0l3ghVCrJhPSXeCCNDSVEuRFZOLklRX0NMT1NFUFJJQ0VfQURKLjcvMTgvMjAyNQEAAAAOEQQAAgAAAAkzMi42MjMyNTMAVQqyYT0l3ghVCrJhPSXeCCNDSVEuRFZOLklRX0NMT1NFUFJJQ0VfQURKLjcvMTEvMjAyNQEAAAAOEQQAAgAAAAkzMy43MzU1MjIAVQqyYT0l3ghVCrJhPSXeCCJDSVEuRFZOLklRX0NMT1NFUFJJQ0VfQURKLjcvMy8yMDI1AQAAAA4RBAACAAAACDMzLjAwMDYzAFUKsmE9Jd4IVQqyYT0l3ggjQ0lRLkRWTi5JUV9DTE9TRVBSSUNFX0FESi42LzI3LzIwMjUBAAAADhEEAAIAAAAJMzIuMDI3Mzk0AFUKsmE9Jd4IVQqy</t>
  </si>
  <si>
    <t>YT0l3ggjQ0lRLkRWTi5JUV9DTE9TRVBSSUNFX0FESi42LzIwLzIwMjUBAAAADhEEAAIAAAAJMzQuMDUzMzEzAFUKsmE9Jd4IVQqyYT0l3ggjQ0lRLkRWTi5JUV9DTE9TRVBSSUNFX0FESi42LzEzLzIwMjUBAAAADhEEAAIAAAAJMzQuODY3NjUzAFUKsmE9Jd4IVQqyYT0l3ggiQ0lRLkRWTi5JUV9DTE9TRVBSSUNFX0FESi42LzYvMjAyNQEAAAAOEQQAAgAAAAkzMS44NDI5MzgAVQqyYT0l3ghVCrJhPSXeCCNDSVEuRFZOLklRX0NMT1NFUFJJQ0VfQURKLjUvMzAvMjAyNQEAAAAOEQQAAgAAAAkyOS44NDEwNDQAVQqyYT0l3ghVCrJhPSXeCCNDSVEuRFZOLklRX0NMT1NFUFJJQ0VfQURKLjUvMjMvMjAyNQEAAAAOEQQAAgAAAAkzMC43Mjg1ODMAVQqyYT0l3ghVCrJhPSXeCCNDSVEuRFZOLklRX0NMT1NFUFJJQ0VfQURKLjUvMTYvMjAyNQEAAAAOEQQAAgAAAAkzMi43OTk1MDgAVQqyYT0l3ghVCrJhPSXeCCJDSVEuRFZOLklRX0NMT1NFUFJJQ0VfQURKLjUvOS8yMDI1AQAAAA4RBAACAAAACTMyLjA3OTYxNQBVCrJhPSXeCFUKsmE9Jd4IIkNJUS5EVk4uSVFfQ0xPU0VQUklDRV9BREouNS8yLzIwMjUBAAAADhEEAAIAAAAJMzEuMDA0NzA2AFUKsmE9Jd4IVQqyYT0l3ggjQ0lRLkRWTi5JUV9DTE9TRVBSSUNFX0FESi40LzI1LzIwMjUBAAAADhEEAAIAAAAJMzAuOTE1OTUyAFUKsmE9Jd4IVQqyYT0l3ggjQ0lR</t>
  </si>
  <si>
    <t>LkRWTi5JUV9DTE9TRVBSSUNFX0FESi40LzE3LzIwMjUBAAAADhEEAAIAAAAJMjkuODkwMzUxAFUKsmE9Jd4IVQqyYT0l3ggjQ0lRLkRWTi5JUV9DTE9TRVBSSUNFX0FESi40LzExLzIwMjUBAAAADhEEAAIAAAAIMjcuODM5MTUAVQqyYT0l3ghVCrJhPSXeCCJDSVEuRFZOLklRX0NMT1NFUFJJQ0VfQURKLjQvNC8yMDI1AQAAAA4RBAACAAAACTI4LjkwNDE5NwBVCrJhPSXeCFUKsmE9Jd4II0NJUS5EVk4uSVFfQ0xPU0VQUklDRV9BREouMy8yOC8yMDI1AQAAAA4RBAACAAAACDM2LjI1MTA1AFUKsmE9Jd4IVQqyYT0l3ggjQ0lRLkRWTi5JUV9DTE9TRVBSSUNFX0FESi4zLzIxLzIwMjUBAAAADhEEAAIAAAAJMzUuNjQ5NDk1AFUKsmE9Jd4IVQqyYT0l3ggjQ0lRLkRWTi5JUV9DTE9TRVBSSUNFX0FESi4zLzE0LzIwMjUBAAAADhEEAAIAAAAJMzQuMDcxNjQ4AFUKsmE9Jd4IVQqyYT0l3ggiQ0lRLkRWTi5JUV9DTE9TRVBSSUNFX0FESi4zLzcvMjAyNQEAAAAOEQQAAgAAAAkzMy45ODYzMTEAVQqyYT0l3ghVCrJhPSXeCCNDSVEuRFZOLklRX0NMT1NFUFJJQ0VfQURKLjIvMjgvMjAyNQEAAAAOEQQAAgAAAAkzNS40NjQ4MjkAVQqyYT0l3ghVCrJhPSXeCCNDSVEuRFZOLklRX0NMT1NFUFJJQ0VfQURKLjIvMjEvMjAyNQEAAAAOEQQAAgAAAAgzNi43MDgzNQBVCrJhPSXeCFUKsmE9Jd4II0NJUS5EVk4uSVFfQ0xP</t>
  </si>
  <si>
    <t>U0VQUklDRV9BREouMi8xNC8yMDI1AQAAAA4RBAACAAAACTMzLjkxNzc3MQBVCrJhPSXeCFUKsmE9Jd4IIkNJUS5EVk4uSVFfQ0xPU0VQUklDRV9BREouMi83LzIwMjUBAAAADhEEAAIAAAAJMzIuNDU4ODM3AFUKsmE9Jd4IVQqyYT0l3ggjQ0lRLkRWTi5JUV9DTE9TRVBSSUNFX0FESi4xLzMxLzIwMjUBAAAADhEEAAIAAAAIMzMuMzg5MDMAVQqyYT0l3ghVCrJhPSXeCCNDSVEuRFZOLklRX0NMT1NFUFJJQ0VfQURKLjEvMjQvMjAyNQEAAAAOEQQAAgAAAAkzNS4yMTAyNDkAVQqyYT0l3ghVCrJhPSXeCCNDSVEuRFZOLklRX0NMT1NFUFJJQ0VfQURKLjEvMTcvMjAyNQEAAAAOEQQAAgAAAAkzNy4xNTg3NTkAVQqyYT0l3ghVCrJhPSXeCCNDSVEuRFZOLklRX0NMT1NFUFJJQ0VfQURKLjEvMTAvMjAyNQEAAAAOEQQAAgAAAAkzNS4yMzk2MjQAVQqyYT0l3ghVCrJhPSXeCCJDSVEuRFZOLklRX0NMT1NFUFJJQ0VfQURKLjEvMy8yMDI1AQAAAA4RBAACAAAACTMzLjIyMjU3NABVCrJhPSXeCFUKsmE9Jd4IJENJUS5EVk4uSVFfQ0xPU0VQUklDRV9BREouMTIvMjcvMjAyNAEAAAAOEQQAAgAAAAkzMC41NDk0OTMAVQqyYT0l3ghVCrJhPSXeCCRDSVEuRFZOLklRX0NMT1NFUFJJQ0VfQURKLjEyLzIwLzIwMjQBAAAADhEEAAIAAAAJMzAuMTI4NDU5AFUKsmE9Jd4IVQqyYT0l3ggkQ0lRLkRWTi5JUV9DTE9TRVBSSUNF</t>
  </si>
  <si>
    <t>X0FESi4xMi8xMy8yMDI0AQAAAA4RBAACAAAACTMzLjE3MzYxNwBVCrJhPSXeCFUKsmE9Jd4II0NJUS5EVk4uSVFfQ0xPU0VQUklDRV9BREouMTIvNi8yMDI0AQAAAA4RBAACAAAACTM0LjAzOTYzMgBVCrJhPSXeCFUKsmE9Jd4IJENJUS5EVk4uSVFfQ0xPU0VQUklDRV9BREouMTEvMjkvMjAyNAEAAAAOEQQAAgAAAAkzNi45MTkyMzYAVQqyYT0l3ghVCrJhPSXeCCRDSVEuRFZOLklRX0NMT1NFUFJJQ0VfQURKLjExLzIyLzIwMjQBAAAADhEEAAIAAAAJMzguMzc4NDk0AFUKsmE9Jd4IVQqyYT0l3ggkQ0lRLkRWTi5JUV9DTE9TRVBSSUNFX0FESi4xMS8xNS8yMDI0AQAAAA4RBAACAAAACTM3LjQyNTExMgBVCrJhPSXeCFUKsmE9Jd4II0NJUS5EVk4uSVFfQ0xPU0VQUklDRV9BREouMTEvOC8yMDI0AQAAAA4RBAACAAAACTM3LjgxNDI0NwBVCrJhPSXeCFUKsmE9Jd4II0NJUS5EVk4uSVFfQ0xPU0VQUklDRV9BREouMTEvMS8yMDI0AQAAAA4RBAACAAAACTM3LjI3OTE4NgBVCrJhPSXeCFUKsmE9Jd4IJENJUS5EVk4uSVFfQ0xPU0VQUklDRV9BREouMTAvMjUvMjAyNAEAAAAOEQQAAgAAAAkzOC4xMjU1NTYAVQqyYT0l3ghVCrJhPSXeCCRDSVEuRFZOLklRX0NMT1NFUFJJQ0VfQURKLjEwLzE4LzIwMjQBAAAADhEEAAIAAAAJMzkuNTU1NjI5AFUKsmE9Jd4IVQqyYT0l3ggkQ0lRLkRWTi5JUV9DTE9TRVBSSUNF</t>
  </si>
  <si>
    <t>X0FESi4xMC8xMS8yMDI0AQAAAA4RBAACAAAACTQxLjc5MzE1OABVCrJhPSXeCFUKsmE9Jd4II0NJUS5EVk4uSVFfQ0xPU0VQUklDRV9BREouMTAvNC8yMDI0AQAAAA4RBAACAAAACTQxLjI2NzgyNQBVCrJhPSXeCFUKsmE9Jd4II0NJUS5EVk4uSVFfQ0xPU0VQUklDRV9BREouOS8yNy8yMDI0AQAAAA4RBAACAAAACTM3LjkwMTgwMwBVCrJhPSXeCFUKsmE9Jd4II0NJUS5EVk4uSVFfQ0xPU0VQUklDRV9BREouOS8yMC8yMDI0AQAAAA4RBAACAAAACTM5LjY4MjA5OABVCrJhPSXeCFUKsmE9Jd4II0NJUS5EVk4uSVFfQ0xPU0VQUklDRV9BREouOS8xMy8yMDI0AQAAAA4RBAACAAAACTM4LjM3ODQ5NABVCrJhPSXeCFUKsmE9Jd4IIkNJUS5EVk4uSVFfQ0xPU0VQUklDRV9BREouOS82LzIwMjQBAAAADhEEAAIAAAAJMzkuNzc0ODgxAFUKsmE9Jd4IVQqyYT0l3ggjQ0lRLkRWTi5JUV9DTE9TRVBSSUNFX0FESi44LzMwLzIwMjQBAAAADhEEAAIAAAAJNDMuMDg0NjQ0AFUKsmE9Jd4IVQqyYT0l3ggjQ0lRLkRWTi5JUV9DTE9TRVBSSUNFX0FESi44LzIzLzIwMjQBAAAADhEEAAIAAAAJNDMuMDA3NjczAFUKsmE9Jd4IVQqyYT0l3ggjQ0lRLkRWTi5JUV9DTE9TRVBSSUNFX0FESi44LzE2LzIwMjQBAAAADhEEAAIAAAAJNDMuMzgyOTA3AFUKsmE9Jd4IVQqyYT0l3ggiQ0lRLkRWTi5JUV9DTE9TRVBSSUNFX0FESi44</t>
  </si>
  <si>
    <t>LzkvMjAyNAEAAAAOEQQAAgAAAAk0My4yMTkzNDQAVQqyYT0l3ghVCrJhPSXeCCJDSVEuRFZOLklRX0NMT1NFUFJJQ0VfQURKLjgvMi8yMDI0AQAAAA4RBAACAAAACTQxLjE2OTk4NQBVCrJhPSXeCFUKsmE9Jd4II0NJUS5EVk4uSVFfQ0xPU0VQUklDRV9BREouNy8yNi8yMDI0AQAAAA4RBAACAAAACTQ0LjU4NTU4MwBVCrJhPSXeCFUKsmE9Jd4II0NJUS5EVk4uSVFfQ0xPU0VQUklDRV9BREouNy8xOS8yMDI0AQAAAA4RBAACAAAACTQ1LjkzMjU3OQBVCrJhPSXeCFUKsmE9Jd4II0NJUS5EVk4uSVFfQ0xPU0VQUklDRV9BREouNy8xMi8yMDI0AQAAAA4RBAACAAAACTQ0LjcyMDI4MgBVCrJhPSXeCFUKsmE9Jd4IIkNJUS5EVk4uSVFfQ0xPU0VQUklDRV9BREouNy81LzIwMjQBAAAADhEEAAIAAAAINDUuMjQ5NDYAVQqyYT0l3ghVCrJhPSXeCCNDSVEuRFZOLklRX0NMT1NFUFJJQ0VfQURKLjYvMjgvMjAyNAEAAAAOEQQAAgAAAAk0NS42MDU0NTIAVQqyYT0l3ghVCrJhPSXeCCNDSVEuRFZOLklRX0NMT1NFUFJJQ0VfQURKLjYvMjEvMjAyNAEAAAAOEQQAAgAAAAg0NC4wODUyNwBVCrJhPSXeCFUKsmE9Jd4II0NJUS5EVk4uSVFfQ0xPU0VQUklDRV9BREouNi8xNC8yMDI0AQAAAA4RBAACAAAACTQzLjgzNTExMwBVCrJhPSXeCFUKsmE9Jd4IIkNJUS5EVk4uSVFfQ0xPU0VQUklDRV9BREouNi83LzIwMjQBAAAA</t>
  </si>
  <si>
    <t>DhEEAAIAAAAJNDQuNjc0MjE3AFUKsmE9Jd4IVQqyYT0l3ggjQ0lRLkRWTi5JUV9DTE9TRVBSSUNFX0FESi41LzMxLzIwMjQBAAAADhEEAAIAAAAJNDYuODYwNjY2AFUKsmE9Jd4IVQqyYT0l3ggjQ0lRLkRWTi5JUV9DTE9TRVBSSUNFX0FESi41LzI0LzIwMjQBAAAADhEEAAIAAAAINDUuOTcyNzIAVQqyYT0l3ghVCrJhPSXeCCNDSVEuRFZOLklRX0NMT1NFUFJJQ0VfQURKLjUvMTcvMjAyNAEAAAAOEQQAAgAAAAk0Ny4zNzYyNDgAVQqyYT0l3ghVCrJhPSXeCCNDSVEuRFZOLklRX0NMT1NFUFJJQ0VfQURKLjUvMTAvMjAyNAEAAAAOEQQAAgAAAAk0Ny44NTM2MzkAVQqyYT0l3ghVCrJhPSXeCCJDSVEuRFZOLklRX0NMT1NFUFJJQ0VfQURKLjUvMy8yMDI0AQAAAA4RBAACAAAACTQ4LjI1NDY0NwBVCrJhPSXeCFUKsmE9Jd4II0NJUS5EVk4uSVFfQ0xPU0VQUklDRV9BREouNC8yNi8yMDI0AQAAAA4RBAACAAAACTUwLjMyNjUyMgBVCrJhPSXeCFUKsmE9Jd4II0NJUS5EVk4uSVFfQ0xPU0VQUklDRV9BREouNC8xOS8yMDI0AQAAAA4RBAACAAAACTQ5LjQ4NjMxNQBVCrJhPSXeCFUKsmE9Jd4II0NJUS5EVk4uSVFfQ0xPU0VQUklDRV9BREouNC8xMi8yMDI0AQAAAA4RBAACAAAACTUxLjAwNDQxNwBVCrJhPSXeCFUKsmE9Jd4IIkNJUS5EVk4uSVFfQ0xPU0VQUklDRV9BREouNC81LzIwMjQBAAAADhEEAAIAAAAH</t>
  </si>
  <si>
    <t>NTAuODYxMgBVCrJhPSXeCFUKsmE9Jd4II0NJUS5EVk4uSVFfQ0xPU0VQUklDRV9BREouMy8yOC8yMDI0AQAAAA4RBAACAAAACTQ3LjkxMDkyNgBVCrJhPSXeCFUKsmE9Jd4II0NJUS5EVk4uSVFfQ0xPU0VQUklDRV9BREouMy8yMi8yMDI0AQAAAA4RBAACAAAACTQ2LjE4Mjc3MgBVCrJhPSXeCFUKsmE9Jd4II0NJUS5EVk4uSVFfQ0xPU0VQUklDRV9BREouMy8xNS8yMDI0AQAAAA4RBAACAAAACTQ1LjQ2NjY4NgBVCrJhPSXeCFUKsmE9Jd4IIkNJUS5EVk4uSVFfQ0xPU0VQUklDRV9BREouMy84LzIwMjQBAAAADhEEAAIAAAAJNDMuNjYzNjc3AFUKsmE9Jd4IVQqyYT0l3ggiQ0lRLkRWTi5JUV9DTE9TRVBSSUNFX0FESi4zLzEvMjAyNAEAAAAOEQQAAgAAAAk0MS45ODkzOTkAVQqyYT0l3ghVCrJhPSXeCCNDSVEuRFZOLklRX0NMT1NFUFJJQ0VfQURKLjIvMjMvMjAyNAEAAAAOEQQAAgAAAAk0MS41MDY5NzkAVQqyYT0l3ghVCrJhPSXeCCNDSVEuRFZOLklRX0NMT1NFUFJJQ0VfQURKLjIvMTYvMjAyNAEAAAAOEQQAAgAAAAk0MS4xMDk2OTMAVQqyYT0l3ghVCrJhPSXeCCJDSVEuRFZOLklRX0NMT1NFUFJJQ0VfQURKLjIvOS8yMDI0AQAAAA4RBAACAAAACTM5LjM0MDgyMgBVCrJhPSXeCFUKsmE9Jd4IIkNJUS5EVk4uSVFfQ0xPU0VQUklDRV9BREouMi8yLzIwMjQBAAAADhEEAAIAAAAJMzkuMDY2NTA1AFUK</t>
  </si>
  <si>
    <t>smE9Jd4IVQqyYT0l3ggjQ0lRLkRWTi5JUV9DTE9TRVBSSUNFX0FESi4xLzI2LzIwMjQBAAAADhEEAAIAAAAINDAuMzE1MTIAVQqyYT0l3ghVCrJhPSXeCCNDSVEuRFZOLklRX0NMT1NFUFJJQ0VfQURKLjEvMTkvMjAyNAEAAAAOEQQAAgAAAAkzOC43NTQzNTEAVQqyYT0l3ghVCrJhPSXeCCNDSVEuRFZOLklRX0NMT1NFUFJJQ0VfQURKLjEvMTIvMjAyNAEAAAAOEQQAAgAAAAk0MC40NTcwMDgAVQqyYT0l3ghVCrJhPSXeCCJDSVEuRFZOLklRX0NMT1NFUFJJQ0VfQURKLjEvNS8yMDI0AQAAAA4RBAACAAAACTQzLjQ1NTU3NQBVCrJhPSXeCFUKsmE9Jd4IJENJUS5EVk4uSVFfQ0xPU0VQUklDRV9BREouMTIvMjkvMjAyMwEAAAAOEQQAAgAAAAk0Mi44NTAxODYAVQqyYT0l3ghVCrJhPSXeCCRDSVEuRFZOLklRX0NMT1NFUFJJQ0VfQURKLjEyLzIyLzIwMjMBAAAADhEEAAIAAAAJNDMuMzMyNjA1AFUKsmE9Jd4IVQqyYT0l3ggkQ0lRLkRWTi5JUV9DTE9TRVBSSUNFX0FESi4xMi8xNS8yMDIzAQAAAA4RBAACAAAACDQyLjQ0MzQ0AFUKsmE9Jd4IVQqyYT0l3ggjQ0lRLkRWTi5JUV9DTE9TRVBSSUNFX0FESi4xMi84LzIwMjMBAAAADhEEAAIAAAAJNDAuOTc5NDA1AFUKsmE9Jd4IVQqyYT0l3ggjQ0lRLkRWTi5JUV9DTE9TRVBSSUNFX0FESi4xMi8xLzIwMjMBAAAADhEEAAIAAAAINDEuOTgzMjEAVQqyYT0l3ghV</t>
  </si>
  <si>
    <t>CrJhPSXeCCRDSVEuRFZOLklRX0NMT1NFUFJJQ0VfQURKLjExLzI0LzIwMjMBAAAADhEEAAIAAAAJNDIuMTUwNTExAFUKsmE9Jd4IVQqyYT0l3ggkQ0lRLkRWTi5JUV9DTE9TRVBSSUNFX0FESi4xMS8xNy8yMDIzAQAAAA4RBAACAAAACTQyLjE1OTgwNQBVCrJhPSXeCFUKsmE9Jd4IJENJUS5EVk4uSVFfQ0xPU0VQUklDRV9BREouMTEvMTAvMjAyMwEAAAAOEQQAAgAAAAk0Mi40MDE0NjIAVQqyYT0l3ghVCrJhPSXeCCNDSVEuRFZOLklRX0NMT1NFUFJJQ0VfQURKLjExLzMvMjAyMwEAAAAOEQQAAgAAAAk0NC4wMDAxMTQAVQqyYT0l3ghVCrJhPSXeCCRDSVEuRFZOLklRX0NMT1NFUFJJQ0VfQURKLjEwLzI3LzIwMjMBAAAADhEEAAIAAAAJNDMuNDcwMzI4AFUKsmE9Jd4IVQqyYT0l3ggkQ0lRLkRWTi5JUV9DTE9TRVBSSUNFX0FESi4xMC8yMC8yMDIzAQAAAA4RBAACAAAACTQ0LjkxMDk3NABVCrJhPSXeCFUKsmE9Jd4IJENJUS5EVk4uSVFfQ0xPU0VQUklDRV9BREouMTAvMTMvMjAyMwEAAAAOEQQAAgAAAAk0NC45NzYwMzYAVQqyYT0l3ghVCrJhPSXeCCNDSVEuRFZOLklRX0NMT1NFUFJJQ0VfQURKLjEwLzYvMjAyMwEAAAAOEQQAAgAAAAg0MC42MTY5MgBVCrJhPSXeCFUKsmE9Jd4II0NJUS5EVk4uSVFfQ0xPU0VQUklDRV9BREouOS8yOS8yMDIzAQAAAA4RBAACAAAACTQ0LjMzNDcxNgBVCrJhPSXeCFUK</t>
  </si>
  <si>
    <t>smE9Jd4II0NJUS5EVk4uSVFfQ0xPU0VQUklDRV9BREouOS8yMi8yMDIzAQAAAA4RBAACAAAACTQzLjMwMzAyOABVCrJhPSXeCFUKsmE9Jd4II0NJUS5EVk4uSVFfQ0xPU0VQUklDRV9BREouOS8xNS8yMDIzAQAAAA4RBAACAAAACTQ2LjE3NTAyNQBVCrJhPSXeCFUKsmE9Jd4IIkNJUS5EVk4uSVFfQ0xPU0VQUklDRV9BREouOS84LzIwMjMBAAAADhEEAAIAAAAINDguNDcxMjgAVQqyYT0l3ghVCrJhPSXeCCJDSVEuRFZOLklRX0NMT1NFUFJJQ0VfQURKLjkvMS8yMDIzAQAAAA4RBAACAAAACTQ4LjcxMDU5OQBVCrJhPSXeCFUKsmE9Jd4II0NJUS5EVk4uSVFfQ0xPU0VQUklDRV9BREouOC8yNS8yMDIzAQAAAA4RBAACAAAACDQ2LjQxODY2AFUKsmE9Jd4IVQqyYT0l3ggjQ0lRLkRWTi5JUV9DTE9TRVBSSUNFX0FESi44LzE4LzIwMjMBAAAADhEEAAIAAAAJNDYuMDEzNjU5AFUKsmE9Jd4IVQqyYT0l3ggjQ0lRLkRWTi5JUV9DTE9TRVBSSUNFX0FESi44LzExLzIwMjMBAAAADhEEAAIAAAAJNDYuNDAwMjUxAFUKsmE9Jd4IVQqyYT0l3ggiQ0lRLkRWTi5JUV9DTE9TRVBSSUNFX0FESi44LzQvMjAyMwEAAAAOEQQAAgAAAAk0Ni43NTkyMjkAVQqyYT0l3ghVCrJhPSXeCCNDSVEuRFZOLklRX0NMT1NFUFJJQ0VfQURKLjcvMjgvMjAyMwEAAAAOEQQAAgAAAAk0OC43ODQyMzUAVQqyYT0l3ghVCrJhPSXeCCNDSVEu</t>
  </si>
  <si>
    <t>RFZOLklRX0NMT1NFUFJJQ0VfQURKLjcvMjEvMjAyMwEAAAAOEQQAAgAAAAk0OC4xMDMwOTcAVQqyYT0l3ghVCrJhPSXeCCNDSVEuRFZOLklRX0NMT1NFUFJJQ0VfQURKLjcvMTQvMjAyMwEAAAAOEQQAAgAAAAg0NS4wMTAzNgBVCrJhPSXeCFUKsmE9Jd4IIkNJUS5EVk4uSVFfQ0xPU0VQUklDRV9BREouNy83LzIwMjMBAAAADhEEAAIAAAAJNDQuOTY0MzM3AFUKsmE9Jd4IVQqyYT0l3ggjQ0lRLkRWTi5JUV9DTE9TRVBSSUNFX0FESi42LzMwLzIwMjMBAAAADhEEAAIAAAAJNDQuNDk0OTA0AFUKsmE9Jd4IVQqyYT0l3ggjQ0lRLkRWTi5JUV9DTE9TRVBSSUNFX0FESi42LzIzLzIwMjMBAAAADhEEAAIAAAAINDMuMzk5NTYAVQqyYT0l3ghVCrJhPSXeCCNDSVEuRFZOLklRX0NMT1NFUFJJQ0VfQURKLjYvMTYvMjAyMwEAAAAOEQQAAgAAAAk0NS44Mzg3NzIAVQqyYT0l3ghVCrJhPSXeCCJDSVEuRFZOLklRX0NMT1NFUFJJQ0VfQURKLjYvOS8yMDIzAQAAAA4RBAACAAAACTQ1LjI0NzMxNABVCrJhPSXeCFUKsmE9Jd4IIkNJUS5EVk4uSVFfQ0xPU0VQUklDRV9BREouNi8yLzIwMjMBAAAADhEEAAIAAAAJNDQuMDMxNTI1AFUKsmE9Jd4IVQqyYT0l3ggjQ0lRLkRWTi5JUV9DTE9TRVBSSUNFX0FESi41LzI2LzIwMjMBAAAADhEEAAIAAAAJNDMuNjE0MTY0AFUKsmE9Jd4IVQqyYT0l3ggjQ0lRLkRWTi5JUV9DTE9T</t>
  </si>
  <si>
    <t>RVBSSUNFX0FESi41LzE5LzIwMjMBAAAADhEEAAIAAAAJNDQuNjM5NDE5AFUKsmE9Jd4IVQqyYT0l3ggjQ0lRLkRWTi5JUV9DTE9TRVBSSUNFX0FESi41LzEyLzIwMjMBAAAADhEEAAIAAAAJNDMuMTE1MTQ2AFUKsmE9Jd4IVQqyYT0l3ggiQ0lRLkRWTi5JUV9DTE9TRVBSSUNFX0FESi41LzUvMjAyMwEAAAAOEQQAAgAAAAk0NS42OTE4OTMAVQqyYT0l3ghVCrJhPSXeCCNDSVEuRFZOLklRX0NMT1NFUFJJQ0VfQURKLjQvMjgvMjAyMwEAAAAOEQQAAgAAAAg0OC40NzczMgBVCrJhPSXeCFUKsmE9Jd4II0NJUS5EVk4uSVFfQ0xPU0VQUklDRV9BREouNC8yMS8yMDIzAQAAAA4RBAACAAAACTQ4LjY1ODc4MQBVCrJhPSXeCFUKsmE9Jd4II0NJUS5EVk4uSVFfQ0xPU0VQUklDRV9BREouNC8xNC8yMDIzAQAAAA4RBAACAAAACTUwLjUzNjkwMwBVCrJhPSXeCFUKsmE9Jd4IIkNJUS5EVk4uSVFfQ0xPU0VQUklDRV9BREouNC82LzIwMjMBAAAADhEEAAIAAAAJNDguMDA1NTIyAFUKsmE9Jd4IVQqyYT0l3ggjQ0lRLkRWTi5JUV9DTE9TRVBSSUNFX0FESi4zLzMxLzIwMjMBAAAADhEEAAIAAAAINDUuOTE4NzIAVQqyYT0l3ghVCrJhPSXeCCNDSVEuRFZOLklRX0NMT1NFUFJJQ0VfQURKLjMvMjQvMjAyMwEAAAAOEQQAAgAAAAk0Mi4yNTMyMDYAVQqyYT0l3ghVCrJhPSXeCCNDSVEuRFZOLklRX0NMT1NFUFJJQ0VfQURK</t>
  </si>
  <si>
    <t>LjMvMTcvMjAyMwEAAAAOEQQAAgAAAAk0MS44NzIxMzgAVQqyYT0l3ghVCrJhPSXeCCNDSVEuRFZOLklRX0NMT1NFUFJJQ0VfQURKLjMvMTAvMjAyMwEAAAAOEQQAAgAAAAg0Ni4xMjU4NgBVCrJhPSXeCFUKsmE9Jd4IIkNJUS5EVk4uSVFfQ0xPU0VQUklDRV9BREouMy8zLzIwMjMBAAAADhEEAAIAAAAJNTAuNTAxNDAxAFUKsmE9Jd4IVQqyYT0l3ggjQ0lRLkRWTi5JUV9DTE9TRVBSSUNFX0FESi4yLzI0LzIwMjMBAAAADhEEAAIAAAAJNDkuMDEzMTgyAFUKsmE9Jd4IVQqyYT0l3ggjQ0lRLkRWTi5JUV9DTE9TRVBSSUNFX0FESi4yLzE3LzIwMjMBAAAADhEEAAIAAAAJNDcuNTI0OTY0AFUKsmE9Jd4IVQqyYT0l3ggjQ0lRLkRWTi5JUV9DTE9TRVBSSUNFX0FESi4yLzEwLzIwMjMBAAAADhEEAAIAAAAJNTYuNjIzNTkzAFUKsmE9Jd4IVQqyYT0l3ggiQ0lRLkRWTi5JUV9DTE9TRVBSSUNFX0FESi4yLzMvMjAyMwEAAAAOEQQAAgAAAAk1NC4yMjY0MDMAVQqyYT0l3ghVCrJhPSXeCCNDSVEuRFZOLklRX0NMT1NFUFJJQ0VfQURKLjEvMjcvMjAyMwEAAAAOEQQAAgAAAAg1OC4xNjUyOABVCrJhPSXeCFUKsmE9Jd4II0NJUS5EVk4uSVFfQ0xPU0VQUklDRV9BREouMS8yMC8yMDIzAQAAAA4RBAACAAAACTU3LjcwMTg4MwBVCrJhPSXeCFUKsmE9Jd4II0NJUS5EVk4uSVFfQ0xPU0VQUklDRV9BREouMS8xMy8yMDIz</t>
  </si>
  <si>
    <t>AQAAAA4RBAACAAAACDU2LjY2ODE1AFUKsmE9Jd4IVQqyYT0l3ggiQ0lRLkRWTi5JUV9DTE9TRVBSSUNFX0FESi4xLzYvMjAyMwEAAAAOEQQAAgAAAAk1NC41NjUwMzkAVQqyYT0l3ghVCrJhPSXeCCRDSVEuRFZOLklRX0NMT1NFUFJJQ0VfQURKLjEyLzMwLzIwMjIBAAAADhEEAAIAAAAJNTQuODE0NTYxAFUKsmE9Jd4IVQqyYT0l3ggkQ0lRLkRWTi5JUV9DTE9TRVBSSUNFX0FESi4xMi8yMy8yMDIyAQAAAA4RBAACAAAACDU1LjcwNTcxAFUKsmE9Jd4IVQqyYT0l3ggkQ0lRLkRWTi5JUV9DTE9TRVBSSUNFX0FESi4xMi8xNi8yMDIyAQAAAA4RBAACAAAACTUzLjU0MDIxOABVCrJhPSXeCFUKsmE9Jd4II0NJUS5EVk4uSVFfQ0xPU0VQUklDRV9BREouMTIvOS8yMDIyAQAAAA4RBAACAAAACDUzLjEzMDI5AFUKsmE9Jd4IVQqyYT0l3ggjQ0lRLkRWTi5JUV9DTE9TRVBSSUNFX0FESi4xMi8yLzIwMjIBAAAADhEEAAIAAAAJNTkuNzExMDIzAFUKsmE9Jd4IVQqyYT0l3ggkQ0lRLkRWTi5JUV9DTE9TRVBSSUNFX0FESi4xMS8yNS8yMDIyAQAAAA4RBAACAAAACTU5LjYxNTA4MQBuMbJhPSXeCG4xsmE9Jd4IJENJUS5EVk4uSVFfQ0xPU0VQUklDRV9BREouMTEvMTgvMjAyMgEAAAAOEQQAAgAAAAk2MC43MjI3NzkAbjGyYT0l3ghuMbJhPSXeCCRDSVEuRFZOLklRX0NMT1NFUFJJQ0VfQURKLjExLzExLzIwMjIBAAAA</t>
  </si>
  <si>
    <t>DhEEAAIAAAAJNjIuNjI0MTgyAG4xsmE9Jd4IbjGyYT0l3ggjQ0lRLkRWTi5JUV9DTE9TRVBSSUNFX0FESi4xMS80LzIwMjIBAAAADhEEAAIAAAAJNjIuMzQ1MDc3AG4xsmE9Jd4IbjGyYT0l3ggkQ0lRLkRWTi5JUV9DTE9TRVBSSUNFX0FESi4xMC8yOC8yMDIyAQAAAA4RBAACAAAACTY2LjI5NjE1NwBuMbJhPSXeCG4xsmE9Jd4IJENJUS5EVk4uSVFfQ0xPU0VQUklDRV9BREouMTAvMjEvMjAyMgEAAAAOEQQAAgAAAAk2NC43OTU5NjcAbjGyYT0l3ghuMbJhPSXeCCRDSVEuRFZOLklRX0NMT1NFUFJJQ0VfQURKLjEwLzE0LzIwMjIBAAAADhEEAAIAAAAJNTkuMzI3MjU0AG4xsmE9Jd4IbjGyYT0l3ggjQ0lRLkRWTi5JUV9DTE9TRVBSSUNFX0FESi4xMC83LzIwMjIBAAAADhEEAAIAAAAINjIuODMzNTEAbjGyYT0l3ghuMbJhPSXeCCNDSVEuRFZOLklRX0NMT1NFUFJJQ0VfQURKLjkvMzAvMjAyMgEAAAAOEQQAAgAAAAk1Mi40NDU1NzIAbjGyYT0l3ghuMbJhPSXeCCNDSVEuRFZOLklRX0NMT1NFUFJJQ0VfQURKLjkvMjMvMjAyMgEAAAAOEQQAAgAAAAk1MC4zMTczOTYAbjGyYT0l3ghuMbJhPSXeCCNDSVEuRFZOLklRX0NMT1NFUFJJQ0VfQURKLjkvMTYvMjAyMgEAAAAOEQQAAgAAAAg1OC4yODA2MQBuMbJhPSXeCG4xsmE9Jd4IIkNJUS5EVk4uSVFfQ0xPU0VQUklDRV9BREouOS85LzIwMjIBAAAADhEEAAIA</t>
  </si>
  <si>
    <t>AAAJNTkuNzU0NjM0AG4xsmE9Jd4IbjGyYT0l3ggiQ0lRLkRWTi5JUV9DTE9TRVBSSUNFX0FESi45LzIvMjAyMgEAAAAOEQQAAgAAAAk1OS45NzA3OTYAbjGyYT0l3ghuMbJhPSXeCCNDSVEuRFZOLklRX0NMT1NFUFJJQ0VfQURKLjgvMjYvMjAyMgEAAAAOEQQAAgAAAAk2Mi4wNDI1NzYAbjGyYT0l3ghuMbJhPSXeCCNDSVEuRFZOLklRX0NMT1NFUFJJQ0VfQURKLjgvMTkvMjAyMgEAAAAOEQQAAgAAAAk1OC40MTA1NjYAbjGyYT0l3ghuMbJhPSXeCCNDSVEuRFZOLklRX0NMT1NFUFJJQ0VfQURKLjgvMTIvMjAyMgEAAAAOEQQAAgAAAAk1NS44ODY5MTYAbjGyYT0l3ghuMbJhPSXeCCJDSVEuRFZOLklRX0NMT1NFUFJJQ0VfQURKLjgvNS8yMDIyAQAAAA4RBAACAAAACTQ4LjI5ODkxNABuMbJhPSXeCG4xsmE9Jd4II0NJUS5EVk4uSVFfQ0xPU0VQUklDRV9BREouNy8yOS8yMDIyAQAAAA4RBAACAAAACTUzLjU4NDkzOABuMbJhPSXeCG4xsmE9Jd4II0NJUS5EVk4uSVFfQ0xPU0VQUklDRV9BREouNy8yMi8yMDIyAQAAAA4RBAACAAAACDQ3LjA1NDE0AG4xsmE9Jd4IbjGyYT0l3ggjQ0lRLkRWTi5JUV9DTE9TRVBSSUNFX0FESi43LzE1LzIwMjIBAAAADhEEAAIAAAAJNDQuOTM5NzMxAG4xsmE9Jd4IbjGyYT0l3ggiQ0lRLkRWTi5JUV9DTE9TRVBSSUNFX0FESi43LzgvMjAyMgEAAAAOEQQAAgAAAAk0Ni40NDg4</t>
  </si>
  <si>
    <t>MDUAbjGyYT0l3ghuMbJhPSXeCCJDSVEuRFZOLklRX0NMT1NFUFJJQ0VfQURKLjcvMS8yMDIyAQAAAA4RBAACAAAACTQ2Ljk4NTkzMwBuMbJhPSXeCG4xsmE9Jd4II0NJUS5EVk4uSVFfQ0xPU0VQUklDRV9BREouNi8yNC8yMDIyAQAAAA4RBAACAAAACDQ1Ljg0MzQ3AG4xsmE9Jd4IbjGyYT0l3ggjQ0lRLkRWTi5JUV9DTE9TRVBSSUNFX0FESi42LzE3LzIwMjIBAAAADhEEAAIAAAAJNDkuNDY2OTU0AG4xsmE9Jd4IbjGyYT0l3ggjQ0lRLkRWTi5JUV9DTE9TRVBSSUNFX0FESi42LzEwLzIwMjIBAAAADhEEAAIAAAAINjMuMTQyNDEAbjGyYT0l3ghuMbJhPSXeCCJDSVEuRFZOLklRX0NMT1NFUFJJQ0VfQURKLjYvMy8yMDIyAQAAAA4RBAACAAAACTY0LjU5NDgyMgBuMbJhPSXeCG4xsmE9Jd4II0NJUS5EVk4uSVFfQ0xPU0VQUklDRV9BREouNS8yNy8yMDIyAQAAAA4RBAACAAAACTYzLjU3MTYzOABuMbJhPSXeCG4xsmE9Jd4II0NJUS5EVk4uSVFfQ0xPU0VQUklDRV9BREouNS8yMC8yMDIyAQAAAA4RBAACAAAACTU4LjY0MDIyMwBuMbJhPSXeCG4xsmE9Jd4II0NJUS5EVk4uSVFfQ0xPU0VQUklDRV9BREouNS8xMy8yMDIyAQAAAA4RBAACAAAACTU3LjYxNzAzOABuMbJhPSXeCG4xsmE9Jd4IIkNJUS5EVk4uSVFfQ0xPU0VQUklDRV9BREouNS82LzIwMjIBAAAADhEEAAIAAAAJNTguNDQ3MzI4AG4xsmE9Jd4I</t>
  </si>
  <si>
    <t>bjGyYT0l3ggjQ0lRLkRWTi5JUV9DTE9TRVBSSUNFX0FESi40LzI5LzIwMjIBAAAADhEEAAIAAAAINDguNzg1NzgAbjGyYT0l3ghuMbJhPSXeCCNDSVEuRFZOLklRX0NMT1NFUFJJQ0VfQURKLjQvMjIvMjAyMgEAAAAOEQQAAgAAAAk0OC43MDE5MTMAbjGyYT0l3ghuMbJhPSXeCCNDSVEuRFZOLklRX0NMT1NFUFJJQ0VfQURKLjQvMTQvMjAyMgEAAAAOEQQAAgAAAAk1Mi40Njc1NjgAbjGyYT0l3ghuMbJhPSXeCCJDSVEuRFZOLklRX0NMT1NFUFJJQ0VfQURKLjQvOC8yMDIyAQAAAA4RBAACAAAACDUyLjMwODIyAG4xsmE9Jd4IbjGyYT0l3ggiQ0lRLkRWTi5JUV9DTE9TRVBSSUNFX0FESi40LzEvMjAyMgEAAAAOEQQAAgAAAAk1MC42MTQwOTQAbjGyYT0l3ghuMbJhPSXeCCNDSVEuRFZOLklRX0NMT1NFUFJJQ0VfQURKLjMvMjUvMjAyMgEAAAAOEQQAAgAAAAk1Mi40MTcyNDcAbjGyYT0l3ghuMbJhPSXeCCNDSVEuRFZOLklRX0NMT1NFUFJJQ0VfQURKLjMvMTgvMjAyMgEAAAAOEQQAAgAAAAk0OC44Njk2NDgAbjGyYT0l3ghuMbJhPSXeCCNDSVEuRFZOLklRX0NMT1NFUFJJQ0VfQURKLjMvMTEvMjAyMgEAAAAOEQQAAgAAAAk0OS4xNzk5NTgAbjGyYT0l3ghuMbJhPSXeCCJDSVEuRFZOLklRX0NMT1NFUFJJQ0VfQURKLjMvNC8yMDIyAQAAAA4RBAACAAAACTQ5LjEzNTA5NwBuMbJhPSXeCG4xsmE9Jd4II0NJ</t>
  </si>
  <si>
    <t>US5EVk4uSVFfQ0xPU0VQUklDRV9BREouMi8yNS8yMDIyAQAAAA4RBAACAAAACTQ1LjUzMDU5MgBuMbJhPSXeCG4xsmE9Jd4II0NJUS5EVk4uSVFfQ0xPU0VQUklDRV9BREouMi8xOC8yMDIyAQAAAA4RBAACAAAACTQ1LjE4NDE2NABuMbJhPSXeCG4xsmE9Jd4II0NJUS5EVk4uSVFfQ0xPU0VQUklDRV9BREouMi8xMS8yMDIyAQAAAA4RBAACAAAACTQ0LjYzMTUyOABuMbJhPSXeCG4xsmE9Jd4IIkNJUS5EVk4uSVFfQ0xPU0VQUklDRV9BREouMi80LzIwMjIBAAAADhEEAAIAAAAJNDMuNjA4NzM5AG4xsmE9Jd4IbjGyYT0l3ggjQ0lRLkRWTi5JUV9DTE9TRVBSSUNFX0FESi4xLzI4LzIwMjIBAAAADhEEAAIAAAAJNDIuNTE5OTY0AG4xsmE9Jd4IbjGyYT0l3ggjQ0lRLkRWTi5JUV9DTE9TRVBSSUNFX0FESi4xLzIxLzIwMjIBAAAADhEEAAIAAAAIMzguMDQxMTQAbjGyYT0l3ghuMbJhPSXeCCNDSVEuRFZOLklRX0NMT1NFUFJJQ0VfQURKLjEvMTQvMjAyMgEAAAAOEQQAAgAAAAk0MS41NjMxNjIAbjGyYT0l3ghuMbJhPSXeCCJDSVEuRFZOLklRX0NMT1NFUFJJQ0VfQURKLjEvNy8yMDIyAQAAAA4RBAACAAAACTQwLjMyNTkxNwBuMbJhPSXeCG4xsmE9Jd4IJENJUS5EVk4uSVFfQ0xPU0VQUklDRV9BREouMTIvMzEvMjAyMQEAAAAOEQQAAgAAAAkzNi4zMzM3NDIAbjGyYT0l3ghuMbJhPSXeCCRDSVEuRFZOLklR</t>
  </si>
  <si>
    <t>X0NMT1NFUFJJQ0VfQURKLjEyLzIzLzIwMjEBAAAADhEEAAIAAAAJMzQuNjg0MDgzAG4xsmE9Jd4IbjGyYT0l3ggkQ0lRLkRWTi5JUV9DTE9TRVBSSUNFX0FESi4xMi8xNy8yMDIxAQAAAA4RBAACAAAACTMyLjMzMzMxOQBuMbJhPSXeCG4xsmE9Jd4IJENJUS5EVk4uSVFfQ0xPU0VQUklDRV9BREouMTIvMTAvMjAyMQEAAAAOEQQAAgAAAAczNS44MTQxAG4xsmE9Jd4IbjGyYT0l3ggjQ0lRLkRWTi5JUV9DTE9TRVBSSUNFX0FESi4xMi8zLzIwMjEBAAAADhEEAAIAAAAJMzMuODA4NzE3AG4xsmE9Jd4IbjGyYT0l3ggkQ0lRLkRWTi5JUV9DTE9TRVBSSUNFX0FESi4xMS8yNi8yMDIxAQAAAA4RBAACAAAACTM0LjU2MTQ2MQBuMbJhPSXeCG4xsmE9Jd4IJENJUS5EVk4uSVFfQ0xPU0VQUklDRV9BREouMTEvMTkvMjAyMQEAAAAOEQQAAgAAAAkzMi44NjE3MTcAbjGyYT0l3ghuMbJhPSXeCCRDSVEuRFZOLklRX0NMT1NFUFJJQ0VfQURKLjExLzEyLzIwMjEBAAAADhEEAAIAAAAJMzQuNDY0MzMzAG4xsmE9Jd4IbjGyYT0l3ggjQ0lRLkRWTi5JUV9DTE9TRVBSSUNFX0FESi4xMS81LzIwMjEBAAAADhEEAAIAAAAJMzUuMjczNzM0AG4xsmE9Jd4IbjGyYT0l3ggkQ0lRLkRWTi5JUV9DTE9TRVBSSUNFX0FESi4xMC8yOS8yMDIxAQAAAA4RBAACAAAACTMyLjQ0MDgyOABuMbJhPSXeCG4xsmE9Jd4IJENJUS5EVk4uSVFf</t>
  </si>
  <si>
    <t>Q0xPU0VQUklDRV9BREouMTAvMjIvMjAyMQEAAAAOEQQAAgAAAAkzMi43MzIyMTMAbjGyYT0l3ghuMbJhPSXeCCRDSVEuRFZOLklRX0NMT1NFUFJJQ0VfQURKLjEwLzE1LzIwMjEBAAAADhEEAAIAAAAJMzIuNDU3MDE2AG4xsmE9Jd4IbjGyYT0l3ggjQ0lRLkRWTi5JUV9DTE9TRVBSSUNFX0FESi4xMC84LzIwMjEBAAAADhEEAAIAAAAJMzIuMjYyNzU5AG4xsmE9Jd4IbjGyYT0l3ggjQ0lRLkRWTi5JUV9DTE9TRVBSSUNFX0FESi4xMC8xLzIwMjEBAAAADhEEAAIAAAAJMjkuNzk0MDg0AG4xsmE9Jd4IbjGyYT0l3ggjQ0lRLkRWTi5JUV9DTE9TRVBSSUNFX0FESi45LzI0LzIwMjEBAAAADhEEAAIAAAAJMjYuNzgzMTA5AG4xsmE9Jd4IbjGyYT0l3ggjQ0lRLkRWTi5JUV9DTE9TRVBSSUNFX0FESi45LzE3LzIwMjEBAAAADhEEAAIAAAAJMjQuMTEyMDgyAG4xsmE9Jd4IbjGyYT0l3ggjQ0lRLkRWTi5JUV9DTE9TRVBSSUNFX0FESi45LzEwLzIwMjEBAAAADhEEAAIAAAAJMjIuNzE5OTExAG4xsmE9Jd4IbjGyYT0l3ggiQ0lRLkRWTi5JUV9DTE9TRVBSSUNFX0FESi45LzMvMjAyMQEAAAAOEQQAAgAAAAkyMy4yMDM2MDkAbjGyYT0l3ghuMbJhPSXeCCNDSVEuRFZOLklRX0NMT1NFUFJJQ0VfQURKLjgvMjcvMjAyMQEAAAAOEQQAAgAAAAkyNC4xNTAyMDgAbjGyYT0l3ghuMbJhPSXeCCNDSVEuRFZOLklRX0NMT1NF</t>
  </si>
  <si>
    <t>UFJJQ0VfQURKLjgvMjAvMjAyMQEAAAAOEQQAAgAAAAkyMC40NDMzNTgAbjGyYT0l3ghuMbJhPSXeCCNDSVEuRFZOLklRX0NMT1NFUFJJQ0VfQURKLjgvMTMvMjAyMQEAAAAOEQQAAgAAAAkyMi4yODA4NzQAbjGyYT0l3ghuMbJhPSXeCCJDSVEuRFZOLklRX0NMT1NFUFJJQ0VfQURKLjgvNi8yMDIxAQAAAA4RBAACAAAACTIxLjQ4NTQxMgBuMbJhPSXeCG4xsmE9Jd4II0NJUS5EVk4uSVFfQ0xPU0VQUklDRV9BREouNy8zMC8yMDIxAQAAAA4RBAACAAAACTIwLjU1NDcyMwBuMbJhPSXeCG4xsmE9Jd4II0NJUS5EVk4uSVFfQ0xPU0VQUklDRV9BREouNy8yMy8yMDIxAQAAAA4RBAACAAAACTIwLjM3OTcyMQBuMbJhPSXeCG4xsmE9Jd4II0NJUS5EVk4uSVFfQ0xPU0VQUklDRV9BREouNy8xNi8yMDIxAQAAAA4RBAACAAAACTIwLjUwNjk5NQBuMbJhPSXeCG4xsmE9Jd4IIkNJUS5EVk4uSVFfQ0xPU0VQUklDRV9BREouNy85LzIwMjEBAAAADhEEAAIAAAAJMjIuNzg5OTY5AG4xsmE9Jd4IbjGyYT0l3ggiQ0lRLkRWTi5JUV9DTE9TRVBSSUNFX0FESi43LzIvMjAyMQEAAAAOEQQAAgAAAAkyMy4yNTEzMzcAbjGyYT0l3ghuMbJhPSXeCCNDSVEuRFZOLklRX0NMT1NFUFJJQ0VfQURKLjYvMjUvMjAyMQEAAAAOEQQAAgAAAAkyMy42NzI5MzEAbjGyYT0l3ghuMbJhPSXeCCNDSVEuRFZOLklRX0NMT1NFUFJJQ0VfQURK</t>
  </si>
  <si>
    <t>LjYvMTgvMjAyMQEAAAAOEQQAAgAAAAkyMS4yNzg1OTMAbjGyYT0l3ghuMbJhPSXeCCNDSVEuRFZOLklRX0NMT1NFUFJJQ0VfQURKLjYvMTEvMjAyMQEAAAAOEQQAAgAAAAkyMy4yOTkwNjQAbjGyYT0l3ghuMbJhPSXeCCJDSVEuRFZOLklRX0NMT1NFUFJJQ0VfQURKLjYvNC8yMDIxAQAAAA4RBAACAAAACTI0Ljg5Mjk2MgBuMbJhPSXeCG4xsmE9Jd4II0NJUS5EVk4uSVFfQ0xPU0VQUklDRV9BREouNS8yOC8yMDIxAQAAAA4RBAACAAAACTIwLjg4MzA0MQBuMbJhPSXeCG4xsmE9Jd4II0NJUS5EVk4uSVFfQ0xPU0VQUklDRV9BREouNS8yMS8yMDIxAQAAAA4RBAACAAAACTE5LjkzMTY2NwBuMbJhPSXeCG4xsmE9Jd4II0NJUS5EVk4uSVFfQ0xPU0VQUklDRV9BREouNS8xNC8yMDIxAQAAAA4RBAACAAAACTIwLjc0MTUxNABuMbJhPSXeCG4xsmE9Jd4IIkNJUS5EVk4uSVFfQ0xPU0VQUklDRV9BREouNS83LzIwMjEBAAAADhEEAAIAAAAJMjAuNjE1NzEzAG4xsmE9Jd4IbjGyYT0l3ggjQ0lRLkRWTi5JUV9DTE9TRVBSSUNFX0FESi40LzMwLzIwMjEBAAAADhEEAAIAAAAJMTguMzgyNzM3AG4xsmE9Jd4IbjGyYT0l3ggjQ0lRLkRWTi5JUV9DTE9TRVBSSUNFX0FESi40LzIzLzIwMjEBAAAADhEEAAIAAAAJMTYuODU3Mzk0AG4xsmE9Jd4IbjGyYT0l3ggjQ0lRLkRWTi5JUV9DTE9TRVBSSUNFX0FESi40LzE2LzIw</t>
  </si>
  <si>
    <t>MjEBAAAADhEEAAIAAAAJMTcuMjAzMzQ4AG4xsmE9Jd4IbjGyYT0l3ggiQ0lRLkRWTi5JUV9DTE9TRVBSSUNFX0FESi40LzkvMjAyMQEAAAAOEQQAAgAAAAgxNy4zMjkxNQBuMbJhPSXeCG4xsmE9Jd4IIkNJUS5EVk4uSVFfQ0xPU0VQUklDRV9BREouNC8xLzIwMjEBAAAADhEEAAIAAAAJMTguNDc3MDg4AG4xsmE9Jd4IbjGyYT0l3ggjQ0lRLkRWTi5JUV9DTE9TRVBSSUNFX0FESi4zLzI2LzIwMjEBAAAADhEEAAIAAAAJMTcuODc5NTMxAG4xsmE9Jd4IbjGyYT0l3ggjQ0lRLkRWTi5JUV9DTE9TRVBSSUNFX0FESi4zLzE5LzIwMjEBAAAADhEEAAIAAAAJMTcuODQ4MDgxAG4xsmE9Jd4IbjGyYT0l3ggjQ0lRLkRWTi5JUV9DTE9TRVBSSUNFX0FESi4zLzEyLzIwMjEBAAAADhEEAAIAAAAJMTkuMDY2NzgyAG4xsmE9Jd4IbjGyYT0l3ggiQ0lRLkRWTi5JUV9DTE9TRVBSSUNFX0FESi4zLzUvMjAyMQEAAAAOEQQAAgAAAAkxOS44OTA5MzEAbjGyYT0l3ghuMbJhPSXeCCNDSVEuRFZOLklRX0NMT1NFUFJJQ0VfQURKLjIvMjYvMjAyMQEAAAAOEQQAAgAAAAkxNi43Mjk4MTkAbjGyYT0l3ghuMbJhPSXeCCNDSVEuRFZOLklRX0NMT1NFUFJJQ0VfQURKLjIvMTkvMjAyMQEAAAAOEQQAAgAAAAkxNi4xNzgzNzEAbjGyYT0l3ghuMbJhPSXeCCNDSVEuRFZOLklRX0NMT1NFUFJJQ0VfQURKLjIvMTIvMjAyMQEAAAAOEQQA</t>
  </si>
  <si>
    <t>AgAAAAkxNS41MTgxODgAbjGyYT0l3ghuMbJhPSXeCCJDSVEuRFZOLklRX0NMT1NFUFJJQ0VfQURKLjIvNS8yMDIxAQAAAA4RBAACAAAACTEzLjkwMjY4MQBuMbJhPSXeCG4xsmE9Jd4II0NJUS5EVk4uSVFfQ0xPU0VQUklDRV9BREouMS8yOS8yMDIxAQAAAA4RBAACAAAACTEyLjc4NDI1MwBuMbJhPSXeCG4xsmE9Jd4II0NJUS5EVk4uSVFfQ0xPU0VQUklDRV9BREouMS8yMi8yMDIxAQAAAA4RBAACAAAACTEzLjgyNTAxMwBuMbJhPSXeCG4xsmE9Jd4II0NJUS5EVk4uSVFfQ0xPU0VQUklDRV9BREouMS8xNS8yMDIxAQAAAA4RBAACAAAACTE1LjE5OTc0NwBuMbJhPSXeCG4xsmE9Jd4IIkNJUS5EVk4uSVFfQ0xPU0VQUklDRV9BREouMS84LzIwMjEBAAAADhEEAAIAAAAJMTQuMDY1Nzg1AG4xsmE9Jd4IbjGyYT0l3ggkQ0lRLkRWTi5JUV9DTE9TRVBSSUNFX0FESi4xMi8zMS8yMDIwAQAAAA4RBAACAAAACTEyLjI3OTQwNwBuMbJhPSXeCG4xsmE9Jd4IJENJUS5EVk4uSVFfQ0xPU0VQUklDRV9BREouMTIvMjQvMjAyMAEAAAAOEQQAAgAAAAkxMS45MDY1OTgAbjGyYT0l3ghuMbJhPSXeCCRDSVEuRFZOLklRX0NMT1NFUFJJQ0VfQURKLjEyLzE4LzIwMjABAAAADhEEAAIAAAAJMTIuMTM5NjA0AG4xsmE9Jd4IbjGyYT0l3ggkQ0lRLkRWTi5JUV9DTE9TRVBSSUNFX0FESi4xMi8xMS8yMDIwAQAAAA4RBAACAAAA</t>
  </si>
  <si>
    <t>CTEyLjU1MTI0NwBuMbJhPSXeCG4xsmE9Jd4II0NJUS5EVk4uSVFfQ0xPU0VQUklDRV9BREouMTIvNC8yMDIwAQAAAA4RBAACAAAACTEyLjg5NTI2MwBuMbJhPSXeCG4xsmE9Jd4IJENJUS5EVk4uSVFfQ0xPU0VQUklDRV9BREouMTEvMjcvMjAyMAEAAAAOEQQAAgAAAAkxMS4zOTkwNDMAbjGyYT0l3ghuMbJhPSXeCCRDSVEuRFZOLklRX0NMT1NFUFJJQ0VfQURKLjExLzIwLzIwMjABAAAADhEEAAIAAAAJMTAuMTQ5NjIxAG4xsmE9Jd4IbjGyYT0l3ggkQ0lRLkRWTi5JUV9DTE9TRVBSSUNFX0FESi4xMS8xMy8yMDIwAQAAAA4RBAACAAAACDkuMDg1Mjk5AG4xsmE9Jd4IbjGyYT0l3ggiQ0lRLkJQLklRX0NMT1NFUFJJQ0VfQURKLjkvMjMvMjAyMgEAAADiBAYAAgAAAAkyMy43NzYzNjgAbjGyYT0l3ghuMbJhPSXeCCNDSVEuQlAuSVFfQ0xPU0VQUklDRV9BREouMTIvMTUvMjAyMwEAAADiBAYAAgAAAAkzMS4xMzk5NDUAbjGyYT0l3ghuMbJhPSXeCCJDSVEuQlAuSVFfQ0xPU0VQUklDRV9BREouNy8yNi8yMDI0AQAAAOIEBgACAAAACTMyLjI4NzEzNgBuMbJhPSXeCG4xsmE9Jd4IIUNJUS5CUC5JUV9DTE9TRVBSSUNFX0FESi4zLzcvMjAyNQEAAADiBAYAAgAAAAkzMC42OTIzNzYAbjGyYT0l3ghuMbJhPSXeCCJDSVEuQlAuSVFfQ0xPU0VQUklDRV9BREouMi8yMS8yMDI1AQAAAOIEBgACAAAACTMyLjQzNDE5</t>
  </si>
  <si>
    <t>NQBuMbJhPSXeCG4xsmE9Jd4IIkNJUS5CUC5JUV9DTE9TRVBSSUNFX0FESi4xMC8zLzIwMjUBAAAA4gQGAAIAAAAJMzMuNjk3MzU2AG4xsmE9Jd4IbjGyYT0l3ggiQ0lRLkJQLklRX0NMT1NFUFJJQ0VfQURKLjQvMjUvMjAyNQEAAADiBAYAAgAAAAkyNy45MzYwOTIAbjGyYT0l3ghuMbJhPSXeCCNDSVEuQlAuSVFfQ0xPU0VQUklDRV9BREouMTEvMTIvMjAyMQEAAADiBAYAAgAAAAkyMi40NDYzNTYAeViyYT0l3gh5WLJhPSXeCCJDSVEuQlAuSVFfQ0xPU0VQUklDRV9BREouNy8xOC8yMDI1AQAAAOIEBgACAAAACTMxLjEwNjUzMwBuMbJhPSXeCG4xsmE9Jd4II0NJUS5CUC5JUV9DTE9TRVBSSUNFX0FESi4xMi8xMS8yMDIwAQAAAOIEBgACAAAABzE3LjE5OTYAeViyYT0l3gh5WLJhPSXeCCFDSVEuQlAuSVFfQ0xPU0VQUklDRV9BREouNy8yLzIwMjEBAAAA4gQGAAIAAAAJMjEuNTk0ODMzAHlYsmE9Jd4IeViyYT0l3ggiQ0lRLkJQLklRX0NMT1NFUFJJQ0VfQURKLjIvMTEvMjAyMgEAAADiBAYAAgAAAAkyNy4yNDIyMzYAeViyYT0l3gh5WLJhPSXeCCJDSVEuQlAuSVFfQ0xPU0VQUklDRV9BREouNy8yMy8yMDIxAQAAAOIEBgACAAAACTE4Ljg0MTQ1MgB5WLJhPSXeCHlYsmE9Jd4IIkNJUS5CUC5JUV9DTE9TRVBSSUNFX0FESi44LzE2LzIwMjQBAAAA4gQGAAIAAAAJMzEuNjkyMzI1AG4xsmE9Jd4IbjGyYT0l</t>
  </si>
  <si>
    <t>3ggiQ0lRLkJQLklRX0NMT1NFUFJJQ0VfQURKLjExLzcvMjAyNQEAAADiBAYAAgAAAAkzNi4wODQ1ODEAbjGyYT0l3ghuMbJhPSXeCCNDSVEuQlAuSVFfQ0xPU0VQUklDRV9BREouMTIvMjIvMjAyMwEAAADiBAYAAgAAAAkzMS42MDUxMjEAbjGyYT0l3ghuMbJhPSXeCCJDSVEuQlAuSVFfQ0xPU0VQUklDRV9BREouMTIvNC8yMDIwAQAAAOIEBgACAAAACTE3LjM4Njk3NwB5WLJhPSXeCHlYsmE9Jd4II0NJUS5CUC5JUV9DTE9TRVBSSUNFX0FESi4xMC8xNy8yMDI1AQAAAOIEBgACAAAACTMyLjY4MTMwNgBuMbJhPSXeCG4xsmE9Jd4IIkNJUS5CUC5JUV9DTE9TRVBSSUNFX0FESi4yLzI4LzIwMjUBAAAA4gQGAAIAAAAJMzEuNjk3MjcyAG4xsmE9Jd4IbjGyYT0l3ggjQ0lRLkJQLklRX0NMT1NFUFJJQ0VfQURKLjEwLzEwLzIwMjUBAAAA4gQGAAIAAAAIMzMuMDM2NDMAbjGyYT0l3ghuMbJhPSXeCCJDSVEuQlAuSVFfQ0xPU0VQUklDRV9BREouNC8yOC8yMDIzAQAAAOIEBgACAAAACTM0LjgwMzA5NwBuMbJhPSXeCG4xsmE9Jd4IIkNJUS5CUC5JUV9DTE9TRVBSSUNFX0FESi4xMi84LzIwMjMBAAAA4gQGAAIAAAAJMzEuNTc4Mjg0AG4xsmE9Jd4IbjGyYT0l3ggiQ0lRLkJQLklRX0NMT1NFUFJJQ0VfQURKLjcvMTkvMjAyNAEAAADiBAYAAgAAAAkzMi40MDYyMDkAbjGyYT0l3ghuMbJhPSXeCCJDSVEuQlAuSVFf</t>
  </si>
  <si>
    <t>Q0xPU0VQUklDRV9BREouOS8xNS8yMDIzAQAAAOIEBgACAAAACTM0LjIzNjI1NgBuMbJhPSXeCG4xsmE9Jd4II0NJUS5CUC5JUV9DTE9TRVBSSUNFX0FESi4xMS8yMi8yMDI0AQAAAOIEBgACAAAACTI4LjA1MzQwOQBuMbJhPSXeCG4xsmE9Jd4II0NJUS5CUC5JUV9DTE9TRVBSSUNFX0FESi4xMS8yOS8yMDI0AQAAAOIEBgACAAAABzI3LjY2NjQAbjGyYT0l3ghuMbJhPSXeCCNDSVEuQlAuSVFfQ0xPU0VQUklDRV9BREouMTIvMTcvMjAyMQEAAADiBAYAAgAAAAkyMS41NjA5NjMAeViyYT0l3gh5WLJhPSXeCCNDSVEuQlAuSVFfQ0xPU0VQUklDRV9BREouMTEvMTkvMjAyMQEAAADiBAYAAgAAAAkyMS41MDM1NzYAeViyYT0l3gh5WLJhPSXeCCFDSVEuQlAuSVFfQ0xPU0VQUklDRV9BREouOC80LzIwMjMBAAAA4gQGAAIAAAAJMzIuMTM4NzM5AG4xsmE9Jd4IbjGyYT0l3ggiQ0lRLkJQLklRX0NMT1NFUFJJQ0VfQURKLjgvMTIvMjAyMgEAAADiBAYAAgAAAAkyNi44MTYxNTMAeViyYT0l3gh5WLJhPSXeCCNDSVEuQlAuSVFfQ0xPU0VQUklDRV9BREouMTAvMzEvMjAyNQEAAADiBAYAAgAAAAkzNC42NTQyMTkAbjGyYT0l3ghuMbJhPSXeCCNDSVEuQlAuSVFfQ0xPU0VQUklDRV9BREouMTEvMjcvMjAyMAEAAADiBAYAAgAAAAkxNi40NzM1MTcAeViyYT0l3gh5WLJhPSXeCCJDSVEuQlAuSVFfQ0xPU0VQUklDRV9B</t>
  </si>
  <si>
    <t>REouNi8xOC8yMDIxAQAAAOIEBgACAAAACDIwLjg5MDQ4AHlYsmE9Jd4IeViyYT0l3ggiQ0lRLkJQLklRX0NMT1NFUFJJQ0VfQURKLjYvMjUvMjAyMQEAAADiBAYAAgAAAAgyMS44NjY5NwB5WLJhPSXeCHlYsmE9Jd4IIUNJUS5CUC5JUV9DTE9TRVBSSUNFX0FESi4yLzQvMjAyMgEAAADiBAYAAgAAAAkyNi45NTUzMDMAeViyYT0l3gh5WLJhPSXeCCJDSVEuQlAuSVFfQ0xPU0VQUklDRV9BREouOS8xNi8yMDIyAQAAAOIEBgACAAAACTI2LjI1NzMwNgBuMbJhPSXeCG4xsmE9Jd4IIkNJUS5CUC5JUV9DTE9TRVBSSUNFX0FESi4xMi8xLzIwMjMBAAAA4gQGAAIAAAAIMzIuMTg2NTkAbjGyYT0l3ghuMbJhPSXeCCJDSVEuQlAuSVFfQ0xPU0VQUklDRV9BREouNy8xMi8yMDI0AQAAAOIEBgACAAAACTMyLjIzMjE3OQBuMbJhPSXeCG4xsmE9Jd4II0NJUS5CUC5JUV9DTE9TRVBSSUNFX0FESi4xMS8yMC8yMDIwAQAAAOIEBgACAAAACTE1LjIxNjUzMwB5WLJhPSXeCHlYsmE9Jd4IIkNJUS5CUC5JUV9DTE9TRVBSSUNFX0FESi42LzExLzIwMjEBAAAA4gQGAAIAAAAJMjIuMDQzMDU4AHlYsmE9Jd4IeViyYT0l3ggiQ0lRLkJQLklRX0NMT1NFUFJJQ0VfQURKLjEvMjEvMjAyMgEAAADiBAYAAgAAAAkyNS4xNzYzMTgAeViyYT0l3gh5WLJhPSXeCCJDSVEuQlAuSVFfQ0xPU0VQUklDRV9BREouMS8xMy8yMDIzAQAAAOIE</t>
  </si>
  <si>
    <t>BgACAAAACTMwLjQzMDU1OABuMbJhPSXeCG4xsmE9Jd4IIUNJUS5CUC5JUV9DTE9TRVBSSUNFX0FESi4zLzUvMjAyMQEAAADiBAYAAgAAAAkyMS4xNzg3MTcAeViyYT0l3gh5WLJhPSXeCCJDSVEuQlAuSVFfQ0xPU0VQUklDRV9BREouMy8yOC8yMDI0AQAAAOIEBgACAAAACTM0LjExODc2NwBuMbJhPSXeCG4xsmE9Jd4IIUNJUS5CUC5JUV9DTE9TRVBSSUNFX0FESi43LzUvMjAyNAEAAADiBAYAAgAAAAgzMy45MzU4NABuMbJhPSXeCG4xsmE9Jd4IIkNJUS5CUC5JUV9DTE9TRVBSSUNFX0FESi4yLzE0LzIwMjUBAAAA4gQGAAIAAAAJMzMuMDM3MzI1AG4xsmE9Jd4IbjGyYT0l3ggiQ0lRLkJQLklRX0NMT1NFUFJJQ0VfQURKLjkvMjYvMjAyNQEAAADiBAYAAgAAAAkzNS4yMDY2MzUAbjGyYT0l3ghuMbJhPSXeCCNDSVEuQlAuSVFfQ0xPU0VQUklDRV9BREouMTEvMTcvMjAyMwEAAADiBAYAAgAAAAczMS44NTU2AG4xsmE9Jd4IbjGyYT0l3ggiQ0lRLkJQLklRX0NMT1NFUFJJQ0VfQURKLjYvMjgvMjAyNAEAAADiBAYAAgAAAAkzMy4wNjU2OTEAbjGyYT0l3ghuMbJhPSXeCCJDSVEuQlAuSVFfQ0xPU0VQUklDRV9BREouMS8yOC8yMDIyAQAAAOIEBgACAAAACTI1LjQ3MTQ0OQB5WLJhPSXeCHlYsmE9Jd4IIUNJUS5CUC5JUV9DTE9TRVBSSUNFX0FESi45LzkvMjAyMgEAAADiBAYAAgAAAAkyNi44MzMwODcAbjGy</t>
  </si>
  <si>
    <t>YT0l3ghuMbJhPSXeCCJDSVEuQlAuSVFfQ0xPU0VQUklDRV9BREouNC8yMS8yMDIzAQAAAOIEBgACAAAACTM0LjI1MDExOABuMbJhPSXeCG4xsmE9Jd4II0NJUS5CUC5JUV9DTE9TRVBSSUNFX0FESi4xMC8yMi8yMDIxAQAAAOIEBgACAAAACTIzLjkxNTc5MgB5WLJhPSXeCHlYsmE9Jd4IIUNJUS5CUC5JUV9DTE9TRVBSSUNFX0FESi40LzUvMjAyNAEAAADiBAYAAgAAAAkzNS4wMDYxNDUAbjGyYT0l3ghuMbJhPSXeCCJDSVEuQlAuSVFfQ0xPU0VQUklDRV9BREouMTEvOC8yMDI0AQAAAOIEBgACAAAACTI3LjMwNzcwOQBuMbJhPSXeCG4xsmE9Jd4II0NJUS5CUC5JUV9DTE9TRVBSSUNFX0FESi4xMS8xMy8yMDIwAQAAAOIEBgACAAAACTE0LjY3NzgyNQB5WLJhPSXeCHlYsmE9Jd4IIUNJUS5CUC5JUV9DTE9TRVBSSUNFX0FESi42LzQvMjAyMQEAAADiBAYAAgAAAAkyMS45NjMwMTgAeViyYT0l3gh5WLJhPSXeCCFDSVEuQlAuSVFfQ0xPU0VQUklDRV9BREouOS8yLzIwMjIBAAAA4gQGAAIAAAAJMjYuMzU4OTE1AHlYsmE9Jd4IeViyYT0l3ggiQ0lRLkJQLklRX0NMT1NFUFJJQ0VfQURKLjQvMTQvMjAyMwEAAADiBAYAAgAAAAkzNS4wNjIzMDYAbjGyYT0l3ghuMbJhPSXeCCNDSVEuQlAuSVFfQ0xPU0VQUklDRV9BREouMTEvMjQvMjAyMwEAAADiBAYAAgAAAAkzMi4wNDM0NTkAbjGyYT0l3ghuMbJhPSXeCCJD</t>
  </si>
  <si>
    <t>SVEuQlAuSVFfQ0xPU0VQUklDRV9BREouOC8xMS8yMDIzAQAAAOIEBgACAAAACTMyLjc3ODQ1NABuMbJhPSXeCG4xsmE9Jd4IIUNJUS5CUC5JUV9DTE9TRVBSSUNFX0FESi42LzYvMjAyNQEAAADiBAYAAgAAAAkyOC40ODEwOTkAbjGyYT0l3ghuMbJhPSXeCCJDSVEuQlAuSVFfQ0xPU0VQUklDRV9BREouNy8yOC8yMDIzAQAAAOIEBgACAAAACTMyLjA2MDEzOQBuMbJhPSXeCG4xsmE9Jd4IIkNJUS5CUC5JUV9DTE9TRVBSSUNFX0FESi41LzMwLzIwMjUBAAAA4gQGAAIAAAAJMjguMjk2MzQ2AG4xsmE9Jd4IbjGyYT0l3ggjQ0lRLkJQLklRX0NMT1NFUFJJQ0VfQURKLjExLzEwLzIwMjMBAAAA4gQGAAIAAAAJMzEuMzgxNDc4AG4xsmE9Jd4IbjGyYT0l3gghQ0lRLkJQLklRX0NMT1NFUFJJQ0VfQURKLjIvNy8yMDI1AQAAAOIEBgACAAAACTMwLjQ2MDQxNABuMbJhPSXeCG4xsmE9Jd4IIkNJUS5CUC5JUV9DTE9TRVBSSUNFX0FESi45LzE5LzIwMjUBAAAA4gQGAAIAAAAJMzMuNjU3ODk4AG4xsmE9Jd4IbjGyYT0l3ggiQ0lRLkJQLklRX0NMT1NFUFJJQ0VfQURKLjQvMTkvMjAyNAEAAADiBAYAAgAAAAkzNC44NzkzNzcAbjGyYT0l3ghuMbJhPSXeCCJDSVEuQlAuSVFfQ0xPU0VQUklDRV9BREouMTIvOS8yMDIyAQAAAOIEBgACAAAACTI4Ljg0NzQxNgBuMbJhPSXeCG4xsmE9Jd4IIkNJUS5CUC5JUV9DTE9TRVBS</t>
  </si>
  <si>
    <t>SUNFX0FESi43LzIxLzIwMjMBAAAA4gQGAAIAAAAJMzIuMDUxNDA1AG4xsmE9Jd4IbjGyYT0l3gghQ0lRLkJQLklRX0NMT1NFUFJJQ0VfQURKLjMvMS8yMDI0AQAAAOIEBgACAAAACTMyLjI3MTU3MwBuMbJhPSXeCG4xsmE9Jd4II0NJUS5CUC5JUV9DTE9TRVBSSUNFX0FESi4xMC8xMS8yMDI0AQAAAOIEBgACAAAACTI5LjgzNDA4MgBuMbJhPSXeCG4xsmE9Jd4IIkNJUS5CUC5JUV9DTE9TRVBSSUNFX0FESi41LzIzLzIwMjUBAAAA4gQGAAIAAAAJMjguMjg2NjIzAG4xsmE9Jd4IbjGyYT0l3ggiQ0lRLkJQLklRX0NMT1NFUFJJQ0VfQURKLjEvMTQvMjAyMgEAAADiBAYAAgAAAAkyNi4yNjY2NjMAeViyYT0l3gh5WLJhPSXeCCJDSVEuQlAuSVFfQ0xPU0VQUklDRV9BREouOC8yNi8yMDIyAQAAAOIEBgACAAAACTI3LjM3NDk5OQB5WLJhPSXeCHlYsmE9Jd4IIUNJUS5CUC5JUV9DTE9TRVBSSUNFX0FESi40LzYvMjAyMwEAAADiBAYAAgAAAAkzNC4xMzc3OTUAbjGyYT0l3ghuMbJhPSXeCCJDSVEuQlAuSVFfQ0xPU0VQUklDRV9BREouMS8yNy8yMDIzAQAAAOIEBgACAAAACDMxLjA4MDkzAG4xsmE9Jd4IbjGyYT0l3ggiQ0lRLkJQLklRX0NMT1NFUFJJQ0VfQURKLjIvMTkvMjAyMQEAAADiBAYAAgAAAAkxOC4wOTMyODYAeViyYT0l3gh5WLJhPSXeCCJDSVEuQlAuSVFfQ0xPU0VQUklDRV9BREouNi8yMS8yMDI0</t>
  </si>
  <si>
    <t>AQAAAOIEBgACAAAACTMyLjUyNTI4MgBuMbJhPSXeCG4xsmE9Jd4IIkNJUS5CUC5JUV9DTE9TRVBSSUNFX0FESi4zLzI0LzIwMjMBAAAA4gQGAAIAAAAJMzEuMDAxMzY4AG4xsmE9Jd4IbjGyYT0l3ggiQ0lRLkJQLklRX0NMT1NFUFJJQ0VfQURKLjYvMTQvMjAyNAEAAADiBAYAAgAAAAkzMS45NTczOTUAbjGyYT0l3ghuMbJhPSXeCCFDSVEuQlAuSVFfQ0xPU0VQUklDRV9BREouMi81LzIwMjEBAAAA4gQGAAIAAAAJMTYuMjQ3MTAzAHlYsmE9Jd4IeViyYT0l3ggiQ0lRLkJQLklRX0NMT1NFUFJJQ0VfQURKLjkvMTcvMjAyMQEAAADiBAYAAgAAAAkyMC40NTUyNTYAeViyYT0l3gh5WLJhPSXeCCJDSVEuQlAuSVFfQ0xPU0VQUklDRV9BREouNC8yOS8yMDIyAQAAAOIEBgACAAAABzIzLjc4MTEAeViyYT0l3gh5WLJhPSXeCCJDSVEuQlAuSVFfQ0xPU0VQUklDRV9BREouNy8xNS8yMDIyAQAAAOIEBgACAAAACDIyLjMxMzU1AHlYsmE9Jd4IeViyYT0l3ggiQ0lRLkJQLklRX0NMT1NFUFJJQ0VfQURKLjEvMjkvMjAyMQEAAADiBAYAAgAAAAgxNy4zNDc5NAB5WLJhPSXeCHlYsmE9Jd4IIkNJUS5CUC5JUV9DTE9TRVBSSUNFX0FESi45LzEwLzIwMjEBAAAA4gQGAAIAAAAJMTkuODU1NTM3AHlYsmE9Jd4IeViyYT0l3ggiQ0lRLkJQLklRX0NMT1NFUFJJQ0VfQURKLjQvMjIvMjAyMgEAAADiBAYAAgAAAAkyNC43NDE2</t>
  </si>
  <si>
    <t>MTgAeViyYT0l3gh5WLJhPSXeCCJDSVEuQlAuSVFfQ0xPU0VQUklDRV9BREouMTIvMi8yMDIyAQAAAOIEBgACAAAACTMwLjI1OTQwNwBuMbJhPSXeCG4xsmE9Jd4II0NJUS5CUC5JUV9DTE9TRVBSSUNFX0FESi4xMS8xMS8yMDIyAQAAAOIEBgACAAAACTI4Ljk1ODY2MwBuMbJhPSXeCG4xsmE9Jd4II0NJUS5CUC5JUV9DTE9TRVBSSUNFX0FESi4xMC8yMS8yMDIyAQAAAOIEBgACAAAACTI2LjU1MzY2NABuMbJhPSXeCG4xsmE9Jd4IIkNJUS5CUC5JUV9DTE9TRVBSSUNFX0FESi42LzI0LzIwMjIBAAAA4gQGAAIAAAAJMjMuNjI3NTg5AHlYsmE9Jd4IeViyYT0l3ggiQ0lRLkJQLklRX0NMT1NFUFJJQ0VfQURKLjUvMTYvMjAyNQEAAADiBAYAAgAAAAkyOC45MzgxMTkAbjGyYT0l3ghuMbJhPSXeCCJDSVEuQlAuSVFfQ0xPU0VQUklDRV9BREouNC8xNC8yMDIyAQAAAOIEBgACAAAACTI1LjkwOTE0NAB5WLJhPSXeCHlYsmE9Jd4II0NJUS5CUC5JUV9DTE9TRVBSSUNFX0FESi4xMS8yNS8yMDIyAQAAAOIEBgACAAAACTMwLjE4MjM4OQBuMbJhPSXeCG4xsmE9Jd4IIUNJUS5CUC5JUV9DTE9TRVBSSUNFX0FESi43LzcvMjAyMwEAAADiBAYAAgAAAAkzMC43ODUwNjkAbjGyYT0l3ghuMbJhPSXeCCJDSVEuQlAuSVFfQ0xPU0VQUklDRV9BREouMi8xNi8yMDI0AQAAAOIEBgACAAAACDMyLjA5OTUzAG4xsmE9Jd4IbjGy</t>
  </si>
  <si>
    <t>YT0l3gghQ0lRLkJQLklRX0NMT1NFUFJJQ0VfQURKLjYvNy8yMDI0AQAAAOIEBgACAAAACTMyLjI5NjI5NQBuMbJhPSXeCG4xsmE9Jd4IIkNJUS5CUC5JUV9DTE9TRVBSSUNFX0FESi4xLzEwLzIwMjUBAAAA4gQGAAIAAAAJMjkuNTM1MzY5AG4xsmE9Jd4IbjGyYT0l3ggiQ0lRLkJQLklRX0NMT1NFUFJJQ0VfQURKLjgvMTUvMjAyNQEAAADiBAYAAgAAAAkzMy44NjUwNTQAbjGyYT0l3ghuMbJhPSXeCCJDSVEuQlAuSVFfQ0xPU0VQUklDRV9BREouOS8xMy8yMDI0AQAAAOIEBgACAAAACTI5LjU4MzIxOQBuMbJhPSXeCG4xsmE9Jd4IIkNJUS5CUC5JUV9DTE9TRVBSSUNFX0FESi44LzIzLzIwMjQBAAAA4gQGAAIAAAAJMzEuNjkyMzI1AG4xsmE9Jd4IbjGyYT0l3ggiQ0lRLkJQLklRX0NMT1NFUFJJQ0VfQURKLjEyLzYvMjAyNAEAAADiBAYAAgAAAAkyNy4wOTA2MDcAbjGyYT0l3ghuMbJhPSXeCCFDSVEuQlAuSVFfQ0xPU0VQUklDRV9BREouOS84LzIwMjMBAAAA4gQGAAIAAAAJMzQuMTY1NTc0AG4xsmE9Jd4IbjGyYT0l3ggiQ0lRLkJQLklRX0NMT1NFUFJJQ0VfQURKLjYvMTAvMjAyMgEAAADiBAYAAgAAAAkyNy4xNjc5NjEAeViyYT0l3gh5WLJhPSXeCCJDSVEuQlAuSVFfQ0xPU0VQUklDRV9BREouNy8xNC8yMDIzAQAAAOIEBgACAAAACDMxLjAyMDg3AG4xsmE9Jd4IbjGyYT0l3ggiQ0lRLkJQLklRX0NM</t>
  </si>
  <si>
    <t>T1NFUFJJQ0VfQURKLjIvMjMvMjAyNAEAAADiBAYAAgAAAAkzMi4wMzYxNDYAbjGyYT0l3ghuMbJhPSXeCCJDSVEuQlAuSVFfQ0xPU0VQUklDRV9BREouMTAvNC8yMDI0AQAAAOIEBgACAAAACTMwLjU0OTUwNgBuMbJhPSXeCG4xsmE9Jd4IIUNJUS5CUC5JUV9DTE9TRVBSSUNFX0FESi41LzYvMjAyMgEAAADiBAYAAgAAAAkyNi4zODExMjIAeViyYT0l3gh5WLJhPSXeCCJDSVEuQlAuSVFfQ0xPU0VQUklDRV9BREouMy8xNy8yMDIzAQAAAOIEBgACAAAACTMwLjM4NzkwOABuMbJhPSXeCG4xsmE9Jd4IIkNJUS5CUC5JUV9DTE9TRVBSSUNFX0FESi43LzIyLzIwMjIBAAAA4gQGAAIAAAAJMjMuMDU4NDUxAHlYsmE9Jd4IeViyYT0l3ggjQ0lRLkJQLklRX0NMT1NFUFJJQ0VfQURKLjEwLzEzLzIwMjMBAAAA4gQGAAIAAAAJMzUuMzQ5NDg2AG4xsmE9Jd4IbjGyYT0l3ggiQ0lRLkJQLklRX0NMT1NFUFJJQ0VfQURKLjUvMjQvMjAyNAEAAADiBAYAAgAAAAkzMy42MzM1NzgAbjGyYT0l3ghuMbJhPSXeCCJDSVEuQlAuSVFfQ0xPU0VQUklDRV9BREouOS8yNy8yMDI0AQAAAOIEBgACAAAACTI5LjE5Mjk4OQBuMbJhPSXeCG4xsmE9Jd4IIUNJUS5CUC5JUV9DTE9TRVBSSUNFX0FESi41LzkvMjAyNQEAAADiBAYAAgAAAAkyOC40OTExNzcAbjGyYT0l3ghuMbJhPSXeCCFDSVEuQlAuSVFfQ0xPU0VQUklDRV9BREouMi8y</t>
  </si>
  <si>
    <t>LzIwMjQBAAAA4gQGAAIAAAAJMzAuOTg3ODY4AG4xsmE9Jd4IbjGyYT0l3ggiQ0lRLkJQLklRX0NMT1NFUFJJQ0VfQURKLjUvMjYvMjAyMwEAAADiBAYAAgAAAAgzMS4wNDcwNwBuMbJhPSXeCG4xsmE9Jd4IIkNJUS5CUC5JUV9DTE9TRVBSSUNFX0FESi4xMC83LzIwMjIBAAAA4gQGAAIAAAAJMjYuMzE2NTc4AG4xsmE9Jd4IbjGyYT0l3ggiQ0lRLkJQLklRX0NMT1NFUFJJQ0VfQURKLjkvMzAvMjAyMgEAAADiBAYAAgAAAAkyNC4xNzQzMzQAbjGyYT0l3ghuMbJhPSXeCCJDSVEuQlAuSVFfQ0xPU0VQUklDRV9BREouMy8xNC8yMDI1AQAAAOIEBgACAAAACTMxLjk1NTY3MwBuMbJhPSXeCG4xsmE9Jd4IIkNJUS5CUC5JUV9DTE9TRVBSSUNFX0FESi4xLzIyLzIwMjEBAAAA4gQGAAIAAAAJMTguNjM2MTU0AHlYsmE9Jd4IeViyYT0l3gghQ0lRLkJQLklRX0NMT1NFUFJJQ0VfQURKLjcvMy8yMDI1AQAAAOIEBgACAAAACTMwLjA3NTgwNwBuMbJhPSXeCG4xsmE9Jd4IIkNJUS5CUC5JUV9DTE9TRVBSSUNFX0FESi4xMC84LzIwMjEBAAAA4gQGAAIAAAAJMjMuMzk3MTE3AHlYsmE9Jd4IeViyYT0l3ggiQ0lRLkJQLklRX0NMT1NFUFJJQ0VfQURKLjExLzEvMjAyNAEAAADiBAYAAgAAAAkyNy4xNTgyMTMAbjGyYT0l3ghuMbJhPSXeCCNDSVEuQlAuSVFfQ0xPU0VQUklDRV9BREouMTAvMjkvMjAyMQEAAADiBAYAAgAA</t>
  </si>
  <si>
    <t>AAkyMy4zMzIyODMAeViyYT0l3gh5WLJhPSXeCCFDSVEuQlAuSVFfQ0xPU0VQUklDRV9BREouNi8zLzIwMjIBAAAA4gQGAAIAAAAJMjcuNjAzMTg0AHlYsmE9Jd4IeViyYT0l3gghQ0lRLkJQLklRX0NMT1NFUFJJQ0VfQURKLjEvNi8yMDIzAQAAAOIEBgACAAAACDI5LjQ4OTIzAG4xsmE9Jd4IbjGyYT0l3ggiQ0lRLkJQLklRX0NMT1NFUFJJQ0VfQURKLjEwLzEvMjAyMQEAAADiBAYAAgAAAAkyMi4zNjc4NzEAeViyYT0l3gh5WLJhPSXeCCJDSVEuQlAuSVFfQ0xPU0VQUklDRV9BREouOS8yNC8yMDIxAQAAAOIEBgACAAAACTIxLjI2NTY4NgB5WLJhPSXeCHlYsmE9Jd4IIkNJUS5CUC5JUV9DTE9TRVBSSUNFX0FESi41LzE3LzIwMjQBAAAA4gQGAAIAAAAJMzQuMzM4ODU3AG4xsmE9Jd4IbjGyYT0l3gghQ0lRLkJQLklRX0NMT1NFUFJJQ0VfQURKLjcvOC8yMDIyAQAAAOIEBgACAAAACTIzLjMwMTE3MgB5WLJhPSXeCHlYsmE9Jd4IIkNJUS5CUC5JUV9DTE9TRVBSSUNFX0FESi45LzIyLzIwMjMBAAAA4gQGAAIAAAAJMzMuOTYyMzY1AG4xsmE9Jd4IbjGyYT0l3ggjQ0lRLkJQLklRX0NMT1NFUFJJQ0VfQURKLjEyLzEwLzIwMjEBAAAA4gQGAAIAAAAIMjIuNDcwOTUAeViyYT0l3gh5WLJhPSXeCCNDSVEuQlAuSVFfQ0xPU0VQUklDRV9BREouMTIvMjcvMjAyNAEAAADiBAYAAgAAAAkyNy4zMzYwMjcAbjGyYT0l</t>
  </si>
  <si>
    <t>3ghuMbJhPSXeCCJDSVEuQlAuSVFfQ0xPU0VQUklDRV9BREouMi8xNy8yMDIzAQAAAOIEBgACAAAACTM0LjU3ODQ0OQBuMbJhPSXeCG4xsmE9Jd4II0NJUS5CUC5JUV9DTE9TRVBSSUNFX0FESi4xMi8xMy8yMDI0AQAAAOIEBgACAAAACTI4LjI5ODgyOQBuMbJhPSXeCG4xsmE9Jd4II0NJUS5CUC5JUV9DTE9TRVBSSUNFX0FESi4xMC8xNC8yMDIyAQAAAOIEBgACAAAACTI1LjY4MTUyNgBuMbJhPSXeCG4xsmE9Jd4IIUNJUS5CUC5JUV9DTE9TRVBSSUNFX0FESi45LzMvMjAyMQEAAADiBAYAAgAAAAkyMC4wODI0NTgAeViyYT0l3gh5WLJhPSXeCCJDSVEuQlAuSVFfQ0xPU0VQUklDRV9BREouMS8xMi8yMDI0AQAAAOIEBgACAAAACTMxLjE4NDY3MwBuMbJhPSXeCG4xsmE9Jd4IIkNJUS5CUC5JUV9DTE9TRVBSSUNFX0FESi43LzExLzIwMjUBAAAA4gQGAAIAAAAJMzEuNzM4NTgyAG4xsmE9Jd4IbjGyYT0l3ggiQ0lRLkJQLklRX0NMT1NFUFJJQ0VfQURKLjgvMjcvMjAyMQEAAADiBAYAAgAAAAkyMC4yMTIxMjcAeViyYT0l3gh5WLJhPSXeCCFDSVEuQlAuSVFfQ0xPU0VQUklDRV9BREouNC84LzIwMjIBAAAA4gQGAAIAAAAJMjUuMjMwMTU3AHlYsmE9Jd4IeViyYT0l3ggjQ0lRLkJQLklRX0NMT1NFUFJJQ0VfQURKLjExLzE4LzIwMjIBAAAA4gQGAAIAAAAJMjkuMTI5ODE0AG4xsmE9Jd4IbjGyYT0l3ggiQ0lR</t>
  </si>
  <si>
    <t>LkJQLklRX0NMT1NFUFJJQ0VfQURKLjYvMzAvMjAyMwEAAADiBAYAAgAAAAkzMC44MjAwMDIAbjGyYT0l3ghuMbJhPSXeCCFDSVEuQlAuSVFfQ0xPU0VQUklDRV9BREouMi85LzIwMjQBAAAA4gQGAAIAAAAJMzIuNTI2NTI3AG4xsmE9Jd4IbjGyYT0l3ggiQ0lRLkJQLklRX0NMT1NFUFJJQ0VfQURKLjEvMzEvMjAyNQEAAADiBAYAAgAAAAkyOS4zMTgyNjYAbjGyYT0l3ghuMbJhPSXeCCFDSVEuQlAuSVFfQ0xPU0VQUklDRV9BREouOC81LzIwMjIBAAAA4gQGAAIAAAAJMjQuODI0NDUzAHlYsmE9Jd4IeViyYT0l3ggiQ0lRLkJQLklRX0NMT1NFUFJJQ0VfQURKLjcvMjkvMjAyMgEAAADiBAYAAgAAAAkyNC41OTAxMDIAeViyYT0l3gh5WLJhPSXeCCJDSVEuQlAuSVFfQ0xPU0VQUklDRV9BREouNi8xNy8yMDIyAQAAAOIEBgACAAAACTIzLjIzNDIxNQB5WLJhPSXeCHlYsmE9Jd4IIkNJUS5CUC5JUV9DTE9TRVBSSUNFX0FESi4zLzIyLzIwMjQBAAAA4gQGAAIAAAAJMzQuMjI3NDI2AG4xsmE9Jd4IbjGyYT0l3ggiQ0lRLkJQLklRX0NMT1NFUFJJQ0VfQURKLjYvMTMvMjAyNQEAAADiBAYAAgAAAAgzMC44NDM5OQBuMbJhPSXeCG4xsmE9Jd4IIUNJUS5CUC5JUV9DTE9TRVBSSUNFX0FESi4zLzgvMjAyNAEAAADiBAYAAgAAAAkzMi45Njg3OTgAbjGyYT0l3ghuMbJhPSXeCCJDSVEuQlAuSVFfQ0xPU0VQUklDRV9B</t>
  </si>
  <si>
    <t>REouOC8xOS8yMDIyAQAAAOIEBgACAAAACTI2LjY4MDY3NQB5WLJhPSXeCHlYsmE9Jd4IIkNJUS5CUC5JUV9DTE9TRVBSSUNFX0FESi4yLzI1LzIwMjIBAAAA4gQGAAIAAAAJMjUuNDQ1NDQ1AHlYsmE9Jd4IeViyYT0l3ggiQ0lRLkJQLklRX0NMT1NFUFJJQ0VfQURKLjIvMTgvMjAyMgEAAADiBAYAAgAAAAkyNi4zMDY1OTkAeViyYT0l3gh5WLJhPSXeCCJDSVEuQlAuSVFfQ0xPU0VQUklDRV9BREouMS8xNS8yMDIxAQAAAOIEBgACAAAACDE4Ljk0MDY0AHlYsmE9Jd4IeViyYT0l3ggiQ0lRLkJQLklRX0NMT1NFUFJJQ0VfQURKLjQvMjMvMjAyMQEAAADiBAYAAgAAAAkxOS4zOTg2NjEAeViyYT0l3gh5WLJhPSXeCCJDSVEuQlAuSVFfQ0xPU0VQUklDRV9BREouMi8yNC8yMDIzAQAAAOIEBgACAAAACDM0LjMwMTk2AG4xsmE9Jd4IbjGyYT0l3gghQ0lRLkJQLklRX0NMT1NFUFJJQ0VfQURKLjEvOC8yMDIxAQAAAOIEBgACAAAACTE5LjA0OTk0MwB5WLJhPSXeCHlYsmE9Jd4IIkNJUS5CUC5JUV9DTE9TRVBSSUNFX0FESi44LzIwLzIwMjEBAAAA4gQGAAIAAAAJMTkuMTU4NTY4AHlYsmE9Jd4IeViyYT0l3gghQ0lRLkJQLklRX0NMT1NFUFJJQ0VfQURKLjQvMS8yMDIyAQAAAOIEBgACAAAACTI0LjcwODQ5NgB5WLJhPSXeCHlYsmE9Jd4IIkNJUS5CUC5JUV9DTE9TRVBSSUNFX0FESi45LzIwLzIwMjQBAAAA4gQG</t>
  </si>
  <si>
    <t>AAIAAAAJMzAuMzI2NTE2AG4xsmE9Jd4IbjGyYT0l3gghQ0lRLkJQLklRX0NMT1NFUFJJQ0VfQURKLjUvMi8yMDI1AQAAAOIEBgACAAAACTI2LjkxMjA1NQBuMbJhPSXeCG4xsmE9Jd4IIkNJUS5CUC5JUV9DTE9TRVBSSUNFX0FESi40LzI2LzIwMjQBAAAA4gQGAAIAAAAIMzUuNzM5NTkAbjGyYT0l3ghuMbJhPSXeCCJDSVEuQlAuSVFfQ0xPU0VQUklDRV9BREouNS8xMy8yMDIyAQAAAOIEBgACAAAACTI1LjUxOTEzNgB5WLJhPSXeCHlYsmE9Jd4II0NJUS5CUC5JUV9DTE9TRVBSSUNFX0FESi4xMi8yMy8yMDIyAQAAAOIEBgACAAAACTI5Ljk1OTg5NABuMbJhPSXeCG4xsmE9Jd4IIkNJUS5CUC5JUV9DTE9TRVBSSUNFX0FESi4yLzEyLzIwMjEBAAAA4gQGAAIAAAAJMTcuMTA1OTEyAHlYsmE9Jd4IeViyYT0l3ggiQ0lRLkJQLklRX0NMT1NFUFJJQ0VfQURKLjUvMjEvMjAyMQEAAADiBAYAAgAAAAkyMS4yMjY2NDkAeViyYT0l3gh5WLJhPSXeCCJDSVEuQlAuSVFfQ0xPU0VQUklDRV9BREouMTEvMy8yMDIzAQAAAOIEBgACAAAACTMxLjk4MzI4OQBuMbJhPSXeCG4xsmE9Jd4IIkNJUS5CUC5JUV9DTE9TRVBSSUNFX0FESi41LzE0LzIwMjEBAAAA4gQGAAIAAAAJMjEuMzMwNzAxAHlYsmE9Jd4IeViyYT0l3ggiQ0lRLkJQLklRX0NMT1NFUFJJQ0VfQURKLjgvMjkvMjAyNQEAAADiBAYAAgAAAAkzNC43NTI4NjUA</t>
  </si>
  <si>
    <t>bjGyYT0l3ghuMbJhPSXeCCJDSVEuQlAuSVFfQ0xPU0VQUklDRV9BREouMy8xMC8yMDIzAQAAAOIEBgACAAAACDMzLjcwNTc4AG4xsmE9Jd4IbjGyYT0l3gghQ0lRLkJQLklRX0NMT1NFUFJJQ0VfQURKLjcvMS8yMDIyAQAAAOIEBgACAAAACTIzLjY2OTQzOAB5WLJhPSXeCHlYsmE9Jd4IIkNJUS5CUC5JUV9DTE9TRVBSSUNFX0FESi43LzI1LzIwMjUBAAAA4gQGAAIAAAAJMzEuMzEwNzM0AG4xsmE9Jd4IbjGyYT0l3ggjQ0lRLkJQLklRX0NMT1NFUFJJQ0VfQURKLjEyLzI5LzIwMjMBAAAA4gQGAAIAAAAIMzEuNjY3NzQAbjGyYT0l3ghuMbJhPSXeCCJDSVEuQlAuSVFfQ0xPU0VQUklDRV9BREouNS8xMi8yMDIzAQAAAOIEBgACAAAACTMxLjI3NDEzNwBuMbJhPSXeCG4xsmE9Jd4II0NJUS5CUC5JUV9DTE9TRVBSSUNFX0FESi4xMi8zMS8yMDIwAQAAAOIEBgACAAAACDE2LjAyMDY5AHlYsmE9Jd4IeViyYT0l3ggiQ0lRLkJQLklRX0NMT1NFUFJJQ0VfQURKLjYvMjMvMjAyMwEAAADiBAYAAgAAAAkzMC40MDA4MDIAbjGyYT0l3ghuMbJhPSXeCCJDSVEuQlAuSVFfQ0xPU0VQUklDRV9BREouMy8xOS8yMDIxAQAAAOIEBgACAAAACTIwLjEyNjUwNgB5WLJhPSXeCHlYsmE9Jd4IIkNJUS5CUC5JUV9DTE9TRVBSSUNFX0FESi4xLzIwLzIwMjMBAAAA4gQGAAIAAAAJMzAuMzc5MjEyAG4xsmE9Jd4IbjGyYT0l3ggi</t>
  </si>
  <si>
    <t>Q0lRLkJQLklRX0NMT1NFUFJJQ0VfQURKLjYvMTYvMjAyMwEAAADiBAYAAgAAAAkzMC44NzI0MDMAbjGyYT0l3ghuMbJhPSXeCCJDSVEuQlAuSVFfQ0xPU0VQUklDRV9BREouMS8yNi8yMDI0AQAAAOIEBgACAAAACTMxLjg3MzQ5MQBuMbJhPSXeCG4xsmE9Jd4IIUNJUS5CUC5JUV9DTE9TRVBSSUNFX0FESi45LzYvMjAyNAEAAADiBAYAAgAAAAkyOS42Mzg5NjcAbjGyYT0l3ghuMbJhPSXeCCJDSVEuQlAuSVFfQ0xPU0VQUklDRV9BREouNC8xNy8yMDI1AQAAAOIEBgACAAAACTI3LjEwMzQ2NABuMbJhPSXeCG4xsmE9Jd4IIkNJUS5CUC5JUV9DTE9TRVBSSUNFX0FESi4xLzE5LzIwMjQBAAAA4gQGAAIAAAAJMzAuMjgxMTU5AG4xsmE9Jd4IbjGyYT0l3gghQ0lRLkJQLklRX0NMT1NFUFJJQ0VfQURKLjUvNy8yMDIxAQAAAOIEBgACAAAACTIxLjM5NDczMwB5WLJhPSXeCHlYsmE9Jd4IIUNJUS5CUC5JUV9DTE9TRVBSSUNFX0FESi4xLzMvMjAyNQEAAADiBAYAAgAAAAkyOC43NjEzNTIAbjGyYT0l3ghuMbJhPSXeCCJDSVEuQlAuSVFfQ0xPU0VQUklDRV9BREouNC8xNi8yMDIxAQAAAOIEBgACAAAACTE5LjkyMDgxMQB5WLJhPSXeCHlYsmE9Jd4IIkNJUS5CUC5JUV9DTE9TRVBSSUNFX0FESi42LzI3LzIwMjUBAAAA4gQGAAIAAAAJMjkuNTAyMTAxAG4xsmE9Jd4IbjGyYT0l3ggiQ0lRLkJQLklRX0NMT1NFUFJJ</t>
  </si>
  <si>
    <t>Q0VfQURKLjUvMjcvMjAyMgEAAADiBAYAAgAAAAkyNy4yNTE2NTgAeViyYT0l3gh5WLJhPSXeCCJDSVEuQlAuSVFfQ0xPU0VQUklDRV9BREouNi8yMC8yMDI1AQAAAOIEBgACAAAACDMwLjM4Njk3AG4xsmE9Jd4IbjGyYT0l3ggiQ0lRLkJQLklRX0NMT1NFUFJJQ0VfQURKLjIvMjYvMjAyMQEAAADiBAYAAgAAAAkxOS4zMTE2MzYAeViyYT0l3gh5WLJhPSXeCCNDSVEuQlAuSVFfQ0xPU0VQUklDRV9BREouMTIvMTYvMjAyMgEAAADiBAYAAgAAAAkyOC44MjE3NDMAbjGyYT0l3ghuMbJhPSXeCCJDSVEuQlAuSVFfQ0xPU0VQUklDRV9BREouOC8xMy8yMDIxAQAAAOIEBgACAAAACTIwLjQzOTA0NwB5WLJhPSXeCHlYsmE9Jd4IIkNJUS5CUC5JUV9DTE9TRVBSSUNFX0FESi4zLzI1LzIwMjIBAAAA4gQGAAIAAAAJMjUuNzEwNDE2AHlYsmE9Jd4IeViyYT0l3ggiQ0lRLkJQLklRX0NMT1NFUFJJQ0VfQURKLjExLzQvMjAyMgEAAADiBAYAAgAAAAgyOC43MjEzMQBuMbJhPSXeCG4xsmE9Jd4II0NJUS5CUC5JUV9DTE9TRVBSSUNFX0FESi4xMi8yMy8yMDIxAQAAAOIEBgACAAAACTIyLjExMDIzNQB5WLJhPSXeCHlYsmE9Jd4IIkNJUS5CUC5JUV9DTE9TRVBSSUNFX0FESi4xLzE3LzIwMjUBAAAA4gQGAAIAAAAJMjkuOTEyOTM4AG4xsmE9Jd4IbjGyYT0l3ggiQ0lRLkJQLklRX0NMT1NFUFJJQ0VfQURKLjUvMzEvMjAy</t>
  </si>
  <si>
    <t>NAEAAADiBAYAAgAAAAkzNC40MTIxMzMAbjGyYT0l3ghuMbJhPSXeCCJDSVEuQlAuSVFfQ0xPU0VQUklDRV9BREouNS8xMC8yMDI0AQAAAOIEBgACAAAACTM0LjI2MzY0NQBuMbJhPSXeCG4xsmE9Jd4IIUNJUS5CUC5JUV9DTE9TRVBSSUNFX0FESi40LzkvMjAyMQEAAADiBAYAAgAAAAkxOS4yOTU4MTMAeViyYT0l3gh5WLJhPSXeCCJDSVEuQlAuSVFfQ0xPU0VQUklDRV9BREouMy8xMS8yMDIyAQAAAOIEBgACAAAACTIzLjQwODQ4NQB5WLJhPSXeCHlYsmE9Jd4IIUNJUS5CUC5JUV9DTE9TRVBSSUNFX0FESi40LzQvMjAyNQEAAADiBAYAAgAAAAkyNy4xNjA4ODcAbjGyYT0l3ghuMbJhPSXeCCFDSVEuQlAuSVFfQ0xPU0VQUklDRV9BREouOS8xLzIwMjMBAAAA4gQGAAIAAAAJMzMuNjg4NDc1AG4xsmE9Jd4IbjGyYT0l3ggiQ0lRLkJQLklRX0NMT1NFUFJJQ0VfQURKLjMvMTgvMjAyMgEAAADiBAYAAgAAAAgyMy43OTc2NgB5WLJhPSXeCHlYsmE9Jd4II0NJUS5CUC5JUV9DTE9TRVBSSUNFX0FESi4xMC8yOC8yMDIyAQAAAOIEBgACAAAACTI4LjA2OTMyMwBuMbJhPSXeCG4xsmE9Jd4IIUNJUS5CUC5JUV9DTE9TRVBSSUNFX0FESi42LzkvMjAyMwEAAADiBAYAAgAAAAkzMC45NzcyMDMAbjGyYT0l3ghuMbJhPSXeCCJDSVEuQlAuSVFfQ0xPU0VQUklDRV9BREouOC8zMC8yMDI0AQAAAOIEBgACAAAACTMxLjU1</t>
  </si>
  <si>
    <t>Mjk1NgBuMbJhPSXeCG4xsmE9Jd4IIkNJUS5CUC5JUV9DTE9TRVBSSUNFX0FESi40LzExLzIwMjUBAAAA4gQGAAIAAAAJMjUuNDQ3Nzc5AG4xsmE9Jd4IbjGyYT0l3ggiQ0lRLkJQLklRX0NMT1NFUFJJQ0VfQURKLjUvMjgvMjAyMQEAAADiBAYAAgAAAAkyMC45OTQ1MzIAeViyYT0l3gh5WLJhPSXeCCJDSVEuQlAuSVFfQ0xPU0VQUklDRV9BREouMy8zMS8yMDIzAQAAAOIEBgACAAAACTMyLjc4MTI2OQBuMbJhPSXeCG4xsmE9Jd4IIkNJUS5CUC5JUV9DTE9TRVBSSUNFX0FESi4xLzI0LzIwMjUBAAAA4gQGAAIAAAAJMjkuNjg2Mzk3AG4xsmE9Jd4IbjGyYT0l3ggiQ0lRLkJQLklRX0NMT1NFUFJJQ0VfQURKLjQvMTIvMjAyNAEAAADiBAYAAgAAAAkzNS43MTI0MjUAbjGyYT0l3ghuMbJhPSXeCCJDSVEuQlAuSVFfQ0xPU0VQUklDRV9BREouMy8xMi8yMDIxAQAAAOIEBgACAAAACTIxLjMyOTAzMwB5WLJhPSXeCHlYsmE9Jd4IIkNJUS5CUC5JUV9DTE9TRVBSSUNFX0FESi44LzI1LzIwMjMBAAAA4gQGAAIAAAAJMzEuOTM5MTEzAG4xsmE9Jd4IbjGyYT0l3ggjQ0lRLkJQLklRX0NMT1NFUFJJQ0VfQURKLjEyLzMwLzIwMjIBAAAA4gQGAAIAAAAJMjkuODkxNDM0AG4xsmE9Jd4IbjGyYT0l3gghQ0lRLkJQLklRX0NMT1NFUFJJQ0VfQURKLjkvNS8yMDI1AQAAAOIEBgACAAAACTMzLjQ3MDQ3MQBuMbJhPSXeCG4x</t>
  </si>
  <si>
    <t>smE9Jd4IIkNJUS5CUC5JUV9DTE9TRVBSSUNFX0FESi4zLzIxLzIwMjUBAAAA4gQGAAIAAAAJMzMuMDY1ODQzAG4xsmE9Jd4IbjGyYT0l3ggjQ0lRLkJQLklRX0NMT1NFUFJJQ0VfQURKLjEyLzI0LzIwMjABAAAA4gQGAAIAAAAJMTYuNDQyMjg3AHlYsmE9Jd4IeViyYT0l3gghQ0lRLkJQLklRX0NMT1NFUFJJQ0VfQURKLjgvNi8yMDIxAQAAAOIEBgACAAAACTIwLjQ1ODI2MwB5WLJhPSXeCHlYsmE9Jd4IIkNJUS5CUC5JUV9DTE9TRVBSSUNFX0FESi41LzE5LzIwMjMBAAAA4gQGAAIAAAAJMzEuNDY2MjcxAG4xsmE9Jd4IbjGyYT0l3ggjQ0lRLkJQLklRX0NMT1NFUFJJQ0VfQURKLjEyLzE4LzIwMjABAAAA4gQGAAIAAAAJMTYuOTczMTg3AHlYsmE9Jd4IeViyYT0l3ggjQ0lRLkJQLklRX0NMT1NFUFJJQ0VfQURKLjExLzE1LzIwMjQBAAAA4gQGAAIAAAAJMjcuMzU0OTA1AG4xsmE9Jd4IbjGyYT0l3ggjQ0lRLkJQLklRX0NMT1NFUFJJQ0VfQURKLjEwLzE1LzIwMjEBAAAA4gQGAAIAAAAJMjQuMjU2MTczAHlYsmE9Jd4IeViyYT0l3ggiQ0lRLkJQLklRX0NMT1NFUFJJQ0VfQURKLjUvMjAvMjAyMgEAAADiBAYAAgAAAAgyNi4xODAzNAB5WLJhPSXeCHlYsmE9Jd4IIkNJUS5CUC5JUV9DTE9TRVBSSUNFX0FESi43LzMwLzIwMjEBAAAA4gQGAAIAAAAJMTkuMzUzNzA5AHlYsmE9Jd4IeViyYT0l3gghQ0lRLkJQ</t>
  </si>
  <si>
    <t>LklRX0NMT1NFUFJJQ0VfQURKLjYvMi8yMDIzAQAAAOIEBgACAAAACTMxLjEzNDQwMwBuMbJhPSXeCG4xsmE9Jd4IIUNJUS5CUC5JUV9DTE9TRVBSSUNFX0FESi4yLzMvMjAyMwEAAADiBAYAAgAAAAkzMC4wNzk2OTkAbjGyYT0l3ghuMbJhPSXeCCJDSVEuQlAuSVFfQ0xPU0VQUklDRV9BREouMy8yOC8yMDI1AQAAAOIEBgACAAAACTMyLjQwNTQ4MwBuMbJhPSXeCG4xsmE9Jd4IIUNJUS5CUC5JUV9DTE9TRVBSSUNFX0FESi44LzkvMjAyNAEAAADiBAYAAgAAAAkzMC45MDI1NzIAbjGyYT0l3ghuMbJhPSXeCCFDSVEuQlAuSVFfQ0xPU0VQUklDRV9BREouNy85LzIwMjEBAAAA4gQGAAIAAAAJMjAuODE4NDQ0AHlYsmE9Jd4IeViyYT0l3gghQ0lRLkJQLklRX0NMT1NFUFJJQ0VfQURKLjgvMi8yMDI0AQAAAOIEBgACAAAACTMxLjIxNTQ3NwBuMbJhPSXeCG4xsmE9Jd4IIkNJUS5CUC5JUV9DTE9TRVBSSUNFX0FESi4zLzI2LzIwMjEBAAAA4gQGAAIAAAAJMTkuOTYwMzY3AHlYsmE9Jd4IeViyYT0l3ggjQ0lRLkJQLklRX0NMT1NFUFJJQ0VfQURKLjEwLzI3LzIwMjMBAAAA4gQGAAIAAAAJMzQuMTM5MDY5AG4xsmE9Jd4IbjGyYT0l3ggjQ0lRLkJQLklRX0NMT1NFUFJJQ0VfQURKLjEwLzIwLzIwMjMBAAAA4gQGAAIAAAAIMzQuOTk2MDgAbjGyYT0l3ghuMbJhPSXeCCFDSVEuQlAuSVFfQ0xPU0VQUklDRV9BREou</t>
  </si>
  <si>
    <t>OC84LzIwMjUBAAAA4gQGAAIAAAAJMzMuMTk3MTU3AG4xsmE9Jd4IbjGyYT0l3ggiQ0lRLkJQLklRX0NMT1NFUFJJQ0VfQURKLjkvMjkvMjAyMwEAAADiBAYAAgAAAAgzNC4yMDk3NQBuMbJhPSXeCG4xsmE9Jd4IIUNJUS5CUC5JUV9DTE9TRVBSSUNFX0FESi44LzEvMjAyNQEAAADiBAYAAgAAAAkzMC44NzMxNjIAbjGyYT0l3ghuMbJhPSXeCCJDSVEuQlAuSVFfQ0xPU0VQUklDRV9BREouMi8xMC8yMDIzAQAAAOIEBgACAAAACTM0Ljc4NjMzOABuMbJhPSXeCG4xsmE9Jd4IIUNJUS5CUC5JUV9DTE9TRVBSSUNFX0FESi4zLzQvMjAyMgEAAADiBAYAAgAAAAkyMy4xOTMxOTYAeViyYT0l3gh5WLJhPSXeCCFDSVEuQlAuSVFfQ0xPU0VQUklDRV9BREouMS81LzIwMjQBAAAA4gQGAAIAAAAJMzIuMjMxMzE5AG4xsmE9Jd4IbjGyYT0l3ggjQ0lRLkJQLklRX0NMT1NFUFJJQ0VfQURKLjEwLzI1LzIwMjQBAAAA4gQGAAIAAAAJMjkuMjg1OTAxAG4xsmE9Jd4IbjGyYT0l3ggiQ0lRLkJQLklRX0NMT1NFUFJJQ0VfQURKLjkvMTIvMjAyNQEAAADiBAYAAgAAAAkzMy40MzEwMTMAbjGyYT0l3ghuMbJhPSXeCCFDSVEuQlAuSVFfQ0xPU0VQUklDRV9BREouNC8xLzIwMjEBAAAA4gQGAAIAAAAJMTkuNDQ2MTI5AHlYsmE9Jd4IeViyYT0l3ggiQ0lRLkJQLklRX0NMT1NFUFJJQ0VfQURKLjMvMTUvMjAyNAEAAADiBAYAAgAA</t>
  </si>
  <si>
    <t>AAkzMy45NDY3MjUAbjGyYT0l3ghuMbJhPSXeCCNDSVEuQlAuSVFfQ0xPU0VQUklDRV9BREouMTAvMTgvMjAyNAEAAADiBAYAAgAAAAkyOS4xMDkzNjgAbjGyYT0l3ghuMbJhPSXeCCFDSVEuQlAuSVFfQ0xPU0VQUklDRV9BREouMS83LzIwMjIBAAAA4gQGAAIAAAAJMjQuMzIzNzE3AHlYsmE9Jd4IeViyYT0l3ggjQ0lRLkJQLklRX0NMT1NFUFJJQ0VfQURKLjEyLzMxLzIwMjEBAAAA4gQGAAIAAAAHMjEuODMxNQB5WLJhPSXeCHlYsmE9Jd4IIkNJUS5CUC5JUV9DTE9TRVBSSUNFX0FESi44LzIyLzIwMjUBAAAA4gQGAAIAAAAJMzQuMjY5NTAxAG4xsmE9Jd4IbjGyYT0l3ggiQ0lRLkJQLklRX0NMT1NFUFJJQ0VfQURKLjExLzUvMjAyMQEAAADiBAYAAgAAAAkyMi41NzA0NzgAeViyYT0l3gh5WLJhPSXeCCJDSVEuQlAuSVFfQ0xPU0VQUklDRV9BREouNC8zMC8yMDIxAQAAAOIEBgACAAAACTE5LjkwNDk4OAB5WLJhPSXeCHlYsmE9Jd4IIkNJUS5CUC5JUV9DTE9TRVBSSUNFX0FESi4xMi8zLzIwMjEBAAAA4gQGAAIAAAAJMjIuMDYxMDQ2AHlYsmE9Jd4IeViyYT0l3gghQ0lRLkJQLklRX0NMT1NFUFJJQ0VfQURKLjMvMy8yMDIzAQAAAOIEBgACAAAACTM0Ljc1MTI1NQBuMbJhPSXeCG4xsmE9Jd4IIkNJUS5CUC5JUV9DTE9TRVBSSUNFX0FESi4xMC82LzIwMjMBAAAA4gQGAAIAAAAJMzIuOTI4NjUxAG4xsmE9</t>
  </si>
  <si>
    <t>Jd4IbjGyYT0l3ggjQ0lRLkJQLklRX0NMT1NFUFJJQ0VfQURKLjExLzI2LzIwMjEBAAAA4gQGAAIAAAAJMjEuMjgyMjI4AHlYsmE9Jd4IeViyYT0l3ggjQ0lRLkJQLklRX0NMT1NFUFJJQ0VfQURKLjEyLzIwLzIwMjQBAAAA4gQGAAIAAAAJMjYuOTk2MjE0AG4xsmE9Jd4IbjGyYT0l3gghQ0lRLkJQLklRX0NMT1NFUFJJQ0VfQURKLjUvMy8yMDI0AQAAAOIEBgACAAAACTM1LjA0MjM2NQBuMbJhPSXeCG4xsmE9Jd4IIkNJUS5CUC5JUV9DTE9TRVBSSUNFX0FESi43LzE2LzIwMjEBAAAA4gQGAAIAAAAJMTkuMTA1NTg1AHlYsmE9Jd4IeViyYT0l3ggjQ0lRLkJQLklRX0NMT1NFUFJJQ0VfQURKLjEwLzI0LzIwMjUBAAAA4gQGAAIAAAAIMzQuMDcyMjEAbjGyYT0l3ghuMbJhPSXeCCJDSVEuQlAuSVFfQ0xPU0VQUklDRV9BREouOC8xOC8yMDIzAQAAAOIEBgACAAAACDMyLjAxODYzAG4xsmE9Jd4IbjGyYT0l3ghPQ0lRUkFOR0UuQ1ZYLklRX0NMT1NFUFJJQ0VfQURKLjExLzEyLzIwMjAuMTEvMTIvMjAyNS4uLkRFU0MuVy5JUV9DTE9TRVBSSUNFX0FESgMAAADKgAEABQEAAAAAAAADAAAAAAAAAAUiQ1ZYIgNDVlgBAAAAEyJJUV9DTE9TRVBSSUNFX0FESiIRSVFfQ0xPU0VQUklDRV9BREoCAAAACyIxMS83LzIwMjUiCTExLzcvMjAyNQAAAAADAAAAAAAAAAUiQ1ZYIgNDVlgBAAAAEyJJUV9DTE9TRVBSSUNFX0FE</t>
  </si>
  <si>
    <t>SiIRSVFfQ0xPU0VQUklDRV9BREoCAAAADCIxMC8zMS8yMDI1IgoxMC8zMS8yMDI1AAAAAAMAAAAAAAAABSJDVlgiA0NWWAEAAAATIklRX0NMT1NFUFJJQ0VfQURKIhFJUV9DTE9TRVBSSUNFX0FESgIAAAAMIjEwLzI0LzIwMjUiCjEwLzI0LzIwMjUAAAAAAwAAAAAAAAAFIkNWWCIDQ1ZYAQAAABMiSVFfQ0xPU0VQUklDRV9BREoiEUlRX0NMT1NFUFJJQ0VfQURKAgAAAAwiMTAvMTcvMjAyNSIKMTAvMTcvMjAyNQAAAAADAAAAAAAAAAUiQ1ZYIgNDVlgBAAAAEyJJUV9DTE9TRVBSSUNFX0FESiIRSVFfQ0xPU0VQUklDRV9BREoCAAAADCIxMC8xMC8yMDI1IgoxMC8xMC8yMDI1AAAAAAMAAAAAAAAABSJDVlgiA0NWWAEAAAATIklRX0NMT1NFUFJJQ0VfQURKIhFJUV9DTE9TRVBSSUNFX0FESgIAAAALIjEwLzMvMjAyNSIJMTAvMy8yMDI1AAAAAAMAAAAAAAAABSJDVlgiA0NWWAEAAAATIklRX0NMT1NFUFJJQ0VfQURKIhFJUV9DTE9TRVBSSUNFX0FESgIAAAALIjkvMjYvMjAyNSIJOS8yNi8yMDI1AAAAAAMAAAAAAAAABSJDVlgiA0NWWAEAAAATIklRX0NMT1NFUFJJQ0VfQURKIhFJUV9DTE9TRVBSSUNFX0FESgIAAAALIjkvMTkvMjAyNSIJOS8xOS8yMDI1AAAAAAMAAAAAAAAABSJDVlgiA0NWWAEAAAATIklRX0NMT1NFUFJJQ0VfQURKIhFJUV9DTE9TRVBSSUNFX0FESgIAAAALIjkvMTIvMjAyNSIJOS8xMi8y</t>
  </si>
  <si>
    <t>MDI1AAAAAAMAAAAAAAAABSJDVlgiA0NWWAEAAAATIklRX0NMT1NFUFJJQ0VfQURKIhFJUV9DTE9TRVBSSUNFX0FESgIAAAAKIjkvNS8yMDI1Igg5LzUvMjAyNQAAAAADAAAAAAAAAAUiQ1ZYIgNDVlgBAAAAEyJJUV9DTE9TRVBSSUNFX0FESiIRSVFfQ0xPU0VQUklDRV9BREoCAAAACyI4LzI5LzIwMjUiCTgvMjkvMjAyNQAAAAADAAAAAAAAAAUiQ1ZYIgNDVlgBAAAAEyJJUV9DTE9TRVBSSUNFX0FESiIRSVFfQ0xPU0VQUklDRV9BREoCAAAACyI4LzIyLzIwMjUiCTgvMjIvMjAyNQAAAAADAAAAAAAAAAUiQ1ZYIgNDVlgBAAAAEyJJUV9DTE9TRVBSSUNFX0FESiIRSVFfQ0xPU0VQUklDRV9BREoCAAAACyI4LzE1LzIwMjUiCTgvMTUvMjAyNQAAAAADAAAAAAAAAAUiQ1ZYIgNDVlgBAAAAEyJJUV9DTE9TRVBSSUNFX0FESiIRSVFfQ0xPU0VQUklDRV9BREoCAAAACiI4LzgvMjAyNSIIOC84LzIwMjUAAAAAAwAAAAAAAAAFIkNWWCIDQ1ZYAQAAABMiSVFfQ0xPU0VQUklDRV9BREoiEUlRX0NMT1NFUFJJQ0VfQURKAgAAAAoiOC8xLzIwMjUiCDgvMS8yMDI1AAAAAAMAAAAAAAAABSJDVlgiA0NWWAEAAAATIklRX0NMT1NFUFJJQ0VfQURKIhFJUV9DTE9TRVBSSUNFX0FESgIAAAALIjcvMjUvMjAyNSIJNy8yNS8yMDI1AAAAAAMAAAAAAAAABSJDVlgiA0NWWAEAAAATIklRX0NMT1NFUFJJQ0VfQURKIhFJUV9DTE9T</t>
  </si>
  <si>
    <t>RVBSSUNFX0FESgIAAAALIjcvMTgvMjAyNSIJNy8xOC8yMDI1AAAAAAMAAAAAAAAABSJDVlgiA0NWWAEAAAATIklRX0NMT1NFUFJJQ0VfQURKIhFJUV9DTE9TRVBSSUNFX0FESgIAAAALIjcvMTEvMjAyNSIJNy8xMS8yMDI1AAAAAAMAAAAAAAAABSJDVlgiA0NWWAEAAAATIklRX0NMT1NFUFJJQ0VfQURKIhFJUV9DTE9TRVBSSUNFX0FESgIAAAAKIjcvMy8yMDI1Igg3LzMvMjAyNQAAAAADAAAAAAAAAAUiQ1ZYIgNDVlgBAAAAEyJJUV9DTE9TRVBSSUNFX0FESiIRSVFfQ0xPU0VQUklDRV9BREoCAAAACyI2LzI3LzIwMjUiCTYvMjcvMjAyNQAAAAADAAAAAAAAAAUiQ1ZYIgNDVlgBAAAAEyJJUV9DTE9TRVBSSUNFX0FESiIRSVFfQ0xPU0VQUklDRV9BREoCAAAACyI2LzIwLzIwMjUiCTYvMjAvMjAyNQAAAAADAAAAAAAAAAUiQ1ZYIgNDVlgBAAAAEyJJUV9DTE9TRVBSSUNFX0FESiIRSVFfQ0xPU0VQUklDRV9BREoCAAAACyI2LzEzLzIwMjUiCTYvMTMvMjAyNQAAAAADAAAAAAAAAAUiQ1ZYIgNDVlgBAAAAEyJJUV9DTE9TRVBSSUNFX0FESiIRSVFfQ0xPU0VQUklDRV9BREoCAAAACiI2LzYvMjAyNSIINi82LzIwMjUAAAAAAwAAAAAAAAAFIkNWWCIDQ1ZYAQAAABMiSVFfQ0xPU0VQUklDRV9BREoiEUlRX0NMT1NFUFJJQ0VfQURKAgAAAAsiNS8zMC8yMDI1Igk1LzMwLzIwMjUAAAAAAwAAAAAAAAAFIkNWWCID</t>
  </si>
  <si>
    <t>Q1ZYAQAAABMiSVFfQ0xPU0VQUklDRV9BREoiEUlRX0NMT1NFUFJJQ0VfQURKAgAAAAsiNS8yMy8yMDI1Igk1LzIzLzIwMjUAAAAAAwAAAAAAAAAFIkNWWCIDQ1ZYAQAAABMiSVFfQ0xPU0VQUklDRV9BREoiEUlRX0NMT1NFUFJJQ0VfQURKAgAAAAsiNS8xNi8yMDI1Igk1LzE2LzIwMjUAAAAAAwAAAAAAAAAFIkNWWCIDQ1ZYAQAAABMiSVFfQ0xPU0VQUklDRV9BREoiEUlRX0NMT1NFUFJJQ0VfQURKAgAAAAoiNS85LzIwMjUiCDUvOS8yMDI1AAAAAAMAAAAAAAAABSJDVlgiA0NWWAEAAAATIklRX0NMT1NFUFJJQ0VfQURKIhFJUV9DTE9TRVBSSUNFX0FESgIAAAAKIjUvMi8yMDI1Igg1LzIvMjAyNQAAAAADAAAAAAAAAAUiQ1ZYIgNDVlgBAAAAEyJJUV9DTE9TRVBSSUNFX0FESiIRSVFfQ0xPU0VQUklDRV9BREoCAAAACyI0LzI1LzIwMjUiCTQvMjUvMjAyNQAAAAADAAAAAAAAAAUiQ1ZYIgNDVlgBAAAAEyJJUV9DTE9TRVBSSUNFX0FESiIRSVFfQ0xPU0VQUklDRV9BREoCAAAACyI0LzE3LzIwMjUiCTQvMTcvMjAyNQAAAAADAAAAAAAAAAUiQ1ZYIgNDVlgBAAAAEyJJUV9DTE9TRVBSSUNFX0FESiIRSVFfQ0xPU0VQUklDRV9BREoCAAAACyI0LzExLzIwMjUiCTQvMTEvMjAyNQAAAAADAAAAAAAAAAUiQ1ZYIgNDVlgBAAAAEyJJUV9DTE9TRVBSSUNFX0FESiIRSVFfQ0xPU0VQUklDRV9BREoCAAAACiI0LzQv</t>
  </si>
  <si>
    <t>MjAyNSIINC80LzIwMjUAAAAAAwAAAAAAAAAFIkNWWCIDQ1ZYAQAAABMiSVFfQ0xPU0VQUklDRV9BREoiEUlRX0NMT1NFUFJJQ0VfQURKAgAAAAsiMy8yOC8yMDI1IgkzLzI4LzIwMjUAAAAAAwAAAAAAAAAFIkNWWCIDQ1ZYAQAAABMiSVFfQ0xPU0VQUklDRV9BREoiEUlRX0NMT1NFUFJJQ0VfQURKAgAAAAsiMy8yMS8yMDI1IgkzLzIxLzIwMjUAAAAAAwAAAAAAAAAFIkNWWCIDQ1ZYAQAAABMiSVFfQ0xPU0VQUklDRV9BREoiEUlRX0NMT1NFUFJJQ0VfQURKAgAAAAsiMy8xNC8yMDI1IgkzLzE0LzIwMjUAAAAAAwAAAAAAAAAFIkNWWCIDQ1ZYAQAAABMiSVFfQ0xPU0VQUklDRV9BREoiEUlRX0NMT1NFUFJJQ0VfQURKAgAAAAoiMy83LzIwMjUiCDMvNy8yMDI1AAAAAAMAAAAAAAAABSJDVlgiA0NWWAEAAAATIklRX0NMT1NFUFJJQ0VfQURKIhFJUV9DTE9TRVBSSUNFX0FESgIAAAALIjIvMjgvMjAyNSIJMi8yOC8yMDI1AAAAAAMAAAAAAAAABSJDVlgiA0NWWAEAAAATIklRX0NMT1NFUFJJQ0VfQURKIhFJUV9DTE9TRVBSSUNFX0FESgIAAAALIjIvMjEvMjAyNSIJMi8yMS8yMDI1AAAAAAMAAAAAAAAABSJDVlgiA0NWWAEAAAATIklRX0NMT1NFUFJJQ0VfQURKIhFJUV9DTE9TRVBSSUNFX0FESgIAAAALIjIvMTQvMjAyNSIJMi8xNC8yMDI1AAAAAAMAAAAAAAAABSJDVlgiA0NWWAEAAAATIklRX0NMT1NFUFJJ</t>
  </si>
  <si>
    <t>Q0VfQURKIhFJUV9DTE9TRVBSSUNFX0FESgIAAAAKIjIvNy8yMDI1IggyLzcvMjAyNQAAAAADAAAAAAAAAAUiQ1ZYIgNDVlgBAAAAEyJJUV9DTE9TRVBSSUNFX0FESiIRSVFfQ0xPU0VQUklDRV9BREoCAAAACyIxLzMxLzIwMjUiCTEvMzEvMjAyNQAAAAADAAAAAAAAAAUiQ1ZYIgNDVlgBAAAAEyJJUV9DTE9TRVBSSUNFX0FESiIRSVFfQ0xPU0VQUklDRV9BREoCAAAACyIxLzI0LzIwMjUiCTEvMjQvMjAyNQAAAAADAAAAAAAAAAUiQ1ZYIgNDVlgBAAAAEyJJUV9DTE9TRVBSSUNFX0FESiIRSVFfQ0xPU0VQUklDRV9BREoCAAAACyIxLzE3LzIwMjUiCTEvMTcvMjAyNQAAAAADAAAAAAAAAAUiQ1ZYIgNDVlgBAAAAEyJJUV9DTE9TRVBSSUNFX0FESiIRSVFfQ0xPU0VQUklDRV9BREoCAAAACyIxLzEwLzIwMjUiCTEvMTAvMjAyNQAAAAADAAAAAAAAAAUiQ1ZYIgNDVlgBAAAAEyJJUV9DTE9TRVBSSUNFX0FESiIRSVFfQ0xPU0VQUklDRV9BREoCAAAACiIxLzMvMjAyNSIIMS8zLzIwMjUAAAAAAwAAAAAAAAAFIkNWWCIDQ1ZYAQAAABMiSVFfQ0xPU0VQUklDRV9BREoiEUlRX0NMT1NFUFJJQ0VfQURKAgAAAAwiMTIvMjcvMjAyNCIKMTIvMjcvMjAyNAAAAAADAAAAAAAAAAUiQ1ZYIgNDVlgBAAAAEyJJUV9DTE9TRVBSSUNFX0FESiIRSVFfQ0xPU0VQUklDRV9BREoCAAAADCIxMi8yMC8yMDI0IgoxMi8yMC8yMDI0</t>
  </si>
  <si>
    <t>AAAAAAMAAAAAAAAABSJDVlgiA0NWWAEAAAATIklRX0NMT1NFUFJJQ0VfQURKIhFJUV9DTE9TRVBSSUNFX0FESgIAAAAMIjEyLzEzLzIwMjQiCjEyLzEzLzIwMjQAAAAAAwAAAAAAAAAFIkNWWCIDQ1ZYAQAAABMiSVFfQ0xPU0VQUklDRV9BREoiEUlRX0NMT1NFUFJJQ0VfQURKAgAAAAsiMTIvNi8yMDI0IgkxMi82LzIwMjQAAAAAAwAAAAAAAAAFIkNWWCIDQ1ZYAQAAABMiSVFfQ0xPU0VQUklDRV9BREoiEUlRX0NMT1NFUFJJQ0VfQURKAgAAAAwiMTEvMjkvMjAyNCIKMTEvMjkvMjAyNAAAAAADAAAAAAAAAAUiQ1ZYIgNDVlgBAAAAEyJJUV9DTE9TRVBSSUNFX0FESiIRSVFfQ0xPU0VQUklDRV9BREoCAAAADCIxMS8yMi8yMDI0IgoxMS8yMi8yMDI0AAAAAAMAAAAAAAAABSJDVlgiA0NWWAEAAAATIklRX0NMT1NFUFJJQ0VfQURKIhFJUV9DTE9TRVBSSUNFX0FESgIAAAAMIjExLzE1LzIwMjQiCjExLzE1LzIwMjQAAAAAAwAAAAAAAAAFIkNWWCIDQ1ZYAQAAABMiSVFfQ0xPU0VQUklDRV9BREoiEUlRX0NMT1NFUFJJQ0VfQURKAgAAAAsiMTEvOC8yMDI0IgkxMS84LzIwMjQAAAAAAwAAAAAAAAAFIkNWWCIDQ1ZYAQAAABMiSVFfQ0xPU0VQUklDRV9BREoiEUlRX0NMT1NFUFJJQ0VfQURKAgAAAAsiMTEvMS8yMDI0IgkxMS8xLzIwMjQAAAAAAwAAAAAAAAAFIkNWWCIDQ1ZYAQAAABMiSVFfQ0xPU0VQUklDRV9B</t>
  </si>
  <si>
    <t>REoiEUlRX0NMT1NFUFJJQ0VfQURKAgAAAAwiMTAvMjUvMjAyNCIKMTAvMjUvMjAyNAAAAAADAAAAAAAAAAUiQ1ZYIgNDVlgBAAAAEyJJUV9DTE9TRVBSSUNFX0FESiIRSVFfQ0xPU0VQUklDRV9BREoCAAAADCIxMC8xOC8yMDI0IgoxMC8xOC8yMDI0AAAAAAMAAAAAAAAABSJDVlgiA0NWWAEAAAATIklRX0NMT1NFUFJJQ0VfQURKIhFJUV9DTE9TRVBSSUNFX0FESgIAAAAMIjEwLzExLzIwMjQiCjEwLzExLzIwMjQAAAAAAwAAAAAAAAAFIkNWWCIDQ1ZYAQAAABMiSVFfQ0xPU0VQUklDRV9BREoiEUlRX0NMT1NFUFJJQ0VfQURKAgAAAAsiMTAvNC8yMDI0IgkxMC80LzIwMjQAAAAAAwAAAAAAAAAFIkNWWCIDQ1ZYAQAAABMiSVFfQ0xPU0VQUklDRV9BREoiEUlRX0NMT1NFUFJJQ0VfQURKAgAAAAsiOS8yNy8yMDI0Igk5LzI3LzIwMjQAAAAAAwAAAAAAAAAFIkNWWCIDQ1ZYAQAAABMiSVFfQ0xPU0VQUklDRV9BREoiEUlRX0NMT1NFUFJJQ0VfQURKAgAAAAsiOS8yMC8yMDI0Igk5LzIwLzIwMjQAAAAAAwAAAAAAAAAFIkNWWCIDQ1ZYAQAAABMiSVFfQ0xPU0VQUklDRV9BREoiEUlRX0NMT1NFUFJJQ0VfQURKAgAAAAsiOS8xMy8yMDI0Igk5LzEzLzIwMjQAAAAAAwAAAAAAAAAFIkNWWCIDQ1ZYAQAAABMiSVFfQ0xPU0VQUklDRV9BREoiEUlRX0NMT1NFUFJJQ0VfQURKAgAAAAoiOS82LzIwMjQiCDkvNi8yMDI0</t>
  </si>
  <si>
    <t>AAAAAAMAAAAAAAAABSJDVlgiA0NWWAEAAAATIklRX0NMT1NFUFJJQ0VfQURKIhFJUV9DTE9TRVBSSUNFX0FESgIAAAALIjgvMzAvMjAyNCIJOC8zMC8yMDI0AAAAAAMAAAAAAAAABSJDVlgiA0NWWAEAAAATIklRX0NMT1NFUFJJQ0VfQURKIhFJUV9DTE9TRVBSSUNFX0FESgIAAAALIjgvMjMvMjAyNCIJOC8yMy8yMDI0AAAAAAMAAAAAAAAABSJDVlgiA0NWWAEAAAATIklRX0NMT1NFUFJJQ0VfQURKIhFJUV9DTE9TRVBSSUNFX0FESgIAAAALIjgvMTYvMjAyNCIJOC8xNi8yMDI0AAAAAAMAAAAAAAAABSJDVlgiA0NWWAEAAAATIklRX0NMT1NFUFJJQ0VfQURKIhFJUV9DTE9TRVBSSUNFX0FESgIAAAAKIjgvOS8yMDI0Igg4LzkvMjAyNAAAAAADAAAAAAAAAAUiQ1ZYIgNDVlgBAAAAEyJJUV9DTE9TRVBSSUNFX0FESiIRSVFfQ0xPU0VQUklDRV9BREoCAAAACiI4LzIvMjAyNCIIOC8yLzIwMjQAAAAAAwAAAAAAAAAFIkNWWCIDQ1ZYAQAAABMiSVFfQ0xPU0VQUklDRV9BREoiEUlRX0NMT1NFUFJJQ0VfQURKAgAAAAsiNy8yNi8yMDI0Igk3LzI2LzIwMjQAAAAAAwAAAAAAAAAFIkNWWCIDQ1ZYAQAAABMiSVFfQ0xPU0VQUklDRV9BREoiEUlRX0NMT1NFUFJJQ0VfQURKAgAAAAsiNy8xOS8yMDI0Igk3LzE5LzIwMjQAAAAAAwAAAAAAAAAFIkNWWCIDQ1ZYAQAAABMiSVFfQ0xPU0VQUklDRV9BREoiEUlRX0NMT1NF</t>
  </si>
  <si>
    <t>UFJJQ0VfQURKAgAAAAsiNy8xMi8yMDI0Igk3LzEyLzIwMjQAAAAAAwAAAAAAAAAFIkNWWCIDQ1ZYAQAAABMiSVFfQ0xPU0VQUklDRV9BREoiEUlRX0NMT1NFUFJJQ0VfQURKAgAAAAoiNy81LzIwMjQiCDcvNS8yMDI0AAAAAAMAAAAAAAAABSJDVlgiA0NWWAEAAAATIklRX0NMT1NFUFJJQ0VfQURKIhFJUV9DTE9TRVBSSUNFX0FESgIAAAALIjYvMjgvMjAyNCIJNi8yOC8yMDI0AAAAAAMAAAAAAAAABSJDVlgiA0NWWAEAAAATIklRX0NMT1NFUFJJQ0VfQURKIhFJUV9DTE9TRVBSSUNFX0FESgIAAAALIjYvMjEvMjAyNCIJNi8yMS8yMDI0AAAAAAMAAAAAAAAABSJDVlgiA0NWWAEAAAATIklRX0NMT1NFUFJJQ0VfQURKIhFJUV9DTE9TRVBSSUNFX0FESgIAAAALIjYvMTQvMjAyNCIJNi8xNC8yMDI0AAAAAAMAAAAAAAAABSJDVlgiA0NWWAEAAAATIklRX0NMT1NFUFJJQ0VfQURKIhFJUV9DTE9TRVBSSUNFX0FESgIAAAAKIjYvNy8yMDI0Igg2LzcvMjAyNAAAAAADAAAAAAAAAAUiQ1ZYIgNDVlgBAAAAEyJJUV9DTE9TRVBSSUNFX0FESiIRSVFfQ0xPU0VQUklDRV9BREoCAAAACyI1LzMxLzIwMjQiCTUvMzEvMjAyNAAAAAADAAAAAAAAAAUiQ1ZYIgNDVlgBAAAAEyJJUV9DTE9TRVBSSUNFX0FESiIRSVFfQ0xPU0VQUklDRV9BREoCAAAACyI1LzI0LzIwMjQiCTUvMjQvMjAyNAAAAAADAAAAAAAAAAUiQ1ZYIgND</t>
  </si>
  <si>
    <t>VlgBAAAAEyJJUV9DTE9TRVBSSUNFX0FESiIRSVFfQ0xPU0VQUklDRV9BREoCAAAACyI1LzE3LzIwMjQiCTUvMTcvMjAyNAAAAAADAAAAAAAAAAUiQ1ZYIgNDVlgBAAAAEyJJUV9DTE9TRVBSSUNFX0FESiIRSVFfQ0xPU0VQUklDRV9BREoCAAAACyI1LzEwLzIwMjQiCTUvMTAvMjAyNAAAAAADAAAAAAAAAAUiQ1ZYIgNDVlgBAAAAEyJJUV9DTE9TRVBSSUNFX0FESiIRSVFfQ0xPU0VQUklDRV9BREoCAAAACiI1LzMvMjAyNCIINS8zLzIwMjQAAAAAAwAAAAAAAAAFIkNWWCIDQ1ZYAQAAABMiSVFfQ0xPU0VQUklDRV9BREoiEUlRX0NMT1NFUFJJQ0VfQURKAgAAAAsiNC8yNi8yMDI0Igk0LzI2LzIwMjQAAAAAAwAAAAAAAAAFIkNWWCIDQ1ZYAQAAABMiSVFfQ0xPU0VQUklDRV9BREoiEUlRX0NMT1NFUFJJQ0VfQURKAgAAAAsiNC8xOS8yMDI0Igk0LzE5LzIwMjQAAAAAAwAAAAAAAAAFIkNWWCIDQ1ZYAQAAABMiSVFfQ0xPU0VQUklDRV9BREoiEUlRX0NMT1NFUFJJQ0VfQURKAgAAAAsiNC8xMi8yMDI0Igk0LzEyLzIwMjQAAAAAAwAAAAAAAAAFIkNWWCIDQ1ZYAQAAABMiSVFfQ0xPU0VQUklDRV9BREoiEUlRX0NMT1NFUFJJQ0VfQURKAgAAAAoiNC81LzIwMjQiCDQvNS8yMDI0AAAAAAMAAAAAAAAABSJDVlgiA0NWWAEAAAATIklRX0NMT1NFUFJJQ0VfQURKIhFJUV9DTE9TRVBSSUNFX0FESgIAAAALIjMvMjgv</t>
  </si>
  <si>
    <t>MjAyNCIJMy8yOC8yMDI0AAAAAAMAAAAAAAAABSJDVlgiA0NWWAEAAAATIklRX0NMT1NFUFJJQ0VfQURKIhFJUV9DTE9TRVBSSUNFX0FESgIAAAALIjMvMjIvMjAyNCIJMy8yMi8yMDI0AAAAAAMAAAAAAAAABSJDVlgiA0NWWAEAAAATIklRX0NMT1NFUFJJQ0VfQURKIhFJUV9DTE9TRVBSSUNFX0FESgIAAAALIjMvMTUvMjAyNCIJMy8xNS8yMDI0AAAAAAMAAAAAAAAABSJDVlgiA0NWWAEAAAATIklRX0NMT1NFUFJJQ0VfQURKIhFJUV9DTE9TRVBSSUNFX0FESgIAAAAKIjMvOC8yMDI0IggzLzgvMjAyNAAAAAADAAAAAAAAAAUiQ1ZYIgNDVlgBAAAAEyJJUV9DTE9TRVBSSUNFX0FESiIRSVFfQ0xPU0VQUklDRV9BREoCAAAACiIzLzEvMjAyNCIIMy8xLzIwMjQAAAAAAwAAAAAAAAAFIkNWWCIDQ1ZYAQAAABMiSVFfQ0xPU0VQUklDRV9BREoiEUlRX0NMT1NFUFJJQ0VfQURKAgAAAAsiMi8yMy8yMDI0IgkyLzIzLzIwMjQAAAAAAwAAAAAAAAAFIkNWWCIDQ1ZYAQAAABMiSVFfQ0xPU0VQUklDRV9BREoiEUlRX0NMT1NFUFJJQ0VfQURKAgAAAAsiMi8xNi8yMDI0IgkyLzE2LzIwMjQAAAAAAwAAAAAAAAAFIkNWWCIDQ1ZYAQAAABMiSVFfQ0xPU0VQUklDRV9BREoiEUlRX0NMT1NFUFJJQ0VfQURKAgAAAAoiMi85LzIwMjQiCDIvOS8yMDI0AAAAAAMAAAAAAAAABSJDVlgiA0NWWAEAAAATIklRX0NMT1NFUFJJQ0Vf</t>
  </si>
  <si>
    <t>QURKIhFJUV9DTE9TRVBSSUNFX0FESgIAAAAKIjIvMi8yMDI0IggyLzIvMjAyNAAAAAADAAAAAAAAAAUiQ1ZYIgNDVlgBAAAAEyJJUV9DTE9TRVBSSUNFX0FESiIRSVFfQ0xPU0VQUklDRV9BREoCAAAACyIxLzI2LzIwMjQiCTEvMjYvMjAyNAAAAAADAAAAAAAAAAUiQ1ZYIgNDVlgBAAAAEyJJUV9DTE9TRVBSSUNFX0FESiIRSVFfQ0xPU0VQUklDRV9BREoCAAAACyIxLzE5LzIwMjQiCTEvMTkvMjAyNAAAAAADAAAAAAAAAAUiQ1ZYIgNDVlgBAAAAEyJJUV9DTE9TRVBSSUNFX0FESiIRSVFfQ0xPU0VQUklDRV9BREoCAAAACyIxLzEyLzIwMjQiCTEvMTIvMjAyNAAAAAADAAAAAAAAAAUiQ1ZYIgNDVlgBAAAAEyJJUV9DTE9TRVBSSUNFX0FESiIRSVFfQ0xPU0VQUklDRV9BREoCAAAACiIxLzUvMjAyNCIIMS81LzIwMjQAAAAAAwAAAAAAAAAFIkNWWCIDQ1ZYAQAAABMiSVFfQ0xPU0VQUklDRV9BREoiEUlRX0NMT1NFUFJJQ0VfQURKAgAAAAwiMTIvMjkvMjAyMyIKMTIvMjkvMjAyMwAAAAADAAAAAAAAAAUiQ1ZYIgNDVlgBAAAAEyJJUV9DTE9TRVBSSUNFX0FESiIRSVFfQ0xPU0VQUklDRV9BREoCAAAADCIxMi8yMi8yMDIzIgoxMi8yMi8yMDIzAAAAAAMAAAAAAAAABSJDVlgiA0NWWAEAAAATIklRX0NMT1NFUFJJQ0VfQURKIhFJUV9DTE9TRVBSSUNFX0FESgIAAAAMIjEyLzE1LzIwMjMiCjEyLzE1LzIwMjMA</t>
  </si>
  <si>
    <t>AAAAAwAAAAAAAAAFIkNWWCIDQ1ZYAQAAABMiSVFfQ0xPU0VQUklDRV9BREoiEUlRX0NMT1NFUFJJQ0VfQURKAgAAAAsiMTIvOC8yMDIzIgkxMi84LzIwMjMAAAAAAwAAAAAAAAAFIkNWWCIDQ1ZYAQAAABMiSVFfQ0xPU0VQUklDRV9BREoiEUlRX0NMT1NFUFJJQ0VfQURKAgAAAAsiMTIvMS8yMDIzIgkxMi8xLzIwMjMAAAAAAwAAAAAAAAAFIkNWWCIDQ1ZYAQAAABMiSVFfQ0xPU0VQUklDRV9BREoiEUlRX0NMT1NFUFJJQ0VfQURKAgAAAAwiMTEvMjQvMjAyMyIKMTEvMjQvMjAyMwAAAAADAAAAAAAAAAUiQ1ZYIgNDVlgBAAAAEyJJUV9DTE9TRVBSSUNFX0FESiIRSVFfQ0xPU0VQUklDRV9BREoCAAAADCIxMS8xNy8yMDIzIgoxMS8xNy8yMDIzAAAAAAMAAAAAAAAABSJDVlgiA0NWWAEAAAATIklRX0NMT1NFUFJJQ0VfQURKIhFJUV9DTE9TRVBSSUNFX0FESgIAAAAMIjExLzEwLzIwMjMiCjExLzEwLzIwMjMAAAAAAwAAAAAAAAAFIkNWWCIDQ1ZYAQAAABMiSVFfQ0xPU0VQUklDRV9BREoiEUlRX0NMT1NFUFJJQ0VfQURKAgAAAAsiMTEvMy8yMDIzIgkxMS8zLzIwMjMAAAAAAwAAAAAAAAAFIkNWWCIDQ1ZYAQAAABMiSVFfQ0xPU0VQUklDRV9BREoiEUlRX0NMT1NFUFJJQ0VfQURKAgAAAAwiMTAvMjcvMjAyMyIKMTAvMjcvMjAyMwAAAAADAAAAAAAAAAUiQ1ZYIgNDVlgBAAAAEyJJUV9DTE9TRVBSSUNFX0FE</t>
  </si>
  <si>
    <t>SiIRSVFfQ0xPU0VQUklDRV9BREoCAAAADCIxMC8yMC8yMDIzIgoxMC8yMC8yMDIzAAAAAAMAAAAAAAAABSJDVlgiA0NWWAEAAAATIklRX0NMT1NFUFJJQ0VfQURKIhFJUV9DTE9TRVBSSUNFX0FESgIAAAAMIjEwLzEzLzIwMjMiCjEwLzEzLzIwMjMAAAAAAwAAAAAAAAAFIkNWWCIDQ1ZYAQAAABMiSVFfQ0xPU0VQUklDRV9BREoiEUlRX0NMT1NFUFJJQ0VfQURKAgAAAAsiMTAvNi8yMDIzIgkxMC82LzIwMjMAAAAAAwAAAAAAAAAFIkNWWCIDQ1ZYAQAAABMiSVFfQ0xPU0VQUklDRV9BREoiEUlRX0NMT1NFUFJJQ0VfQURKAgAAAAsiOS8yOS8yMDIzIgk5LzI5LzIwMjMAAAAAAwAAAAAAAAAFIkNWWCIDQ1ZYAQAAABMiSVFfQ0xPU0VQUklDRV9BREoiEUlRX0NMT1NFUFJJQ0VfQURKAgAAAAsiOS8yMi8yMDIzIgk5LzIyLzIwMjMAAAAAAwAAAAAAAAAFIkNWWCIDQ1ZYAQAAABMiSVFfQ0xPU0VQUklDRV9BREoiEUlRX0NMT1NFUFJJQ0VfQURKAgAAAAsiOS8xNS8yMDIzIgk5LzE1LzIwMjMAAAAAAwAAAAAAAAAFIkNWWCIDQ1ZYAQAAABMiSVFfQ0xPU0VQUklDRV9BREoiEUlRX0NMT1NFUFJJQ0VfQURKAgAAAAoiOS84LzIwMjMiCDkvOC8yMDIzAAAAAAMAAAAAAAAABSJDVlgiA0NWWAEAAAATIklRX0NMT1NFUFJJQ0VfQURKIhFJUV9DTE9TRVBSSUNFX0FESgIAAAAKIjkvMS8yMDIzIgg5LzEvMjAyMwAAAAAD</t>
  </si>
  <si>
    <t>AAAAAAAAAAUiQ1ZYIgNDVlgBAAAAEyJJUV9DTE9TRVBSSUNFX0FESiIRSVFfQ0xPU0VQUklDRV9BREoCAAAACyI4LzI1LzIwMjMiCTgvMjUvMjAyMwAAAAADAAAAAAAAAAUiQ1ZYIgNDVlgBAAAAEyJJUV9DTE9TRVBSSUNFX0FESiIRSVFfQ0xPU0VQUklDRV9BREoCAAAACyI4LzE4LzIwMjMiCTgvMTgvMjAyMwAAAAADAAAAAAAAAAUiQ1ZYIgNDVlgBAAAAEyJJUV9DTE9TRVBSSUNFX0FESiIRSVFfQ0xPU0VQUklDRV9BREoCAAAACyI4LzExLzIwMjMiCTgvMTEvMjAyMwAAAAADAAAAAAAAAAUiQ1ZYIgNDVlgBAAAAEyJJUV9DTE9TRVBSSUNFX0FESiIRSVFfQ0xPU0VQUklDRV9BREoCAAAACiI4LzQvMjAyMyIIOC80LzIwMjMAAAAAAwAAAAAAAAAFIkNWWCIDQ1ZYAQAAABMiSVFfQ0xPU0VQUklDRV9BREoiEUlRX0NMT1NFUFJJQ0VfQURKAgAAAAsiNy8yOC8yMDIzIgk3LzI4LzIwMjMAAAAAAwAAAAAAAAAFIkNWWCIDQ1ZYAQAAABMiSVFfQ0xPU0VQUklDRV9BREoiEUlRX0NMT1NFUFJJQ0VfQURKAgAAAAsiNy8yMS8yMDIzIgk3LzIxLzIwMjMAAAAAAwAAAAAAAAAFIkNWWCIDQ1ZYAQAAABMiSVFfQ0xPU0VQUklDRV9BREoiEUlRX0NMT1NFUFJJQ0VfQURKAgAAAAsiNy8xNC8yMDIzIgk3LzE0LzIwMjMAAAAAAwAAAAAAAAAFIkNWWCIDQ1ZYAQAAABMiSVFfQ0xPU0VQUklDRV9BREoiEUlRX0NMT1NFUFJJ</t>
  </si>
  <si>
    <t>Q0VfQURKAgAAAAoiNy83LzIwMjMiCDcvNy8yMDIzAAAAAAMAAAAAAAAABSJDVlgiA0NWWAEAAAATIklRX0NMT1NFUFJJQ0VfQURKIhFJUV9DTE9TRVBSSUNFX0FESgIAAAALIjYvMzAvMjAyMyIJNi8zMC8yMDIzAAAAAAMAAAAAAAAABSJDVlgiA0NWWAEAAAATIklRX0NMT1NFUFJJQ0VfQURKIhFJUV9DTE9TRVBSSUNFX0FESgIAAAALIjYvMjMvMjAyMyIJNi8yMy8yMDIzAAAAAAMAAAAAAAAABSJDVlgiA0NWWAEAAAATIklRX0NMT1NFUFJJQ0VfQURKIhFJUV9DTE9TRVBSSUNFX0FESgIAAAALIjYvMTYvMjAyMyIJNi8xNi8yMDIzAAAAAAMAAAAAAAAABSJDVlgiA0NWWAEAAAATIklRX0NMT1NFUFJJQ0VfQURKIhFJUV9DTE9TRVBSSUNFX0FESgIAAAAKIjYvOS8yMDIzIgg2LzkvMjAyMwAAAAADAAAAAAAAAAUiQ1ZYIgNDVlgBAAAAEyJJUV9DTE9TRVBSSUNFX0FESiIRSVFfQ0xPU0VQUklDRV9BREoCAAAACiI2LzIvMjAyMyIINi8yLzIwMjMAAAAAAwAAAAAAAAAFIkNWWCIDQ1ZYAQAAABMiSVFfQ0xPU0VQUklDRV9BREoiEUlRX0NMT1NFUFJJQ0VfQURKAgAAAAsiNS8yNi8yMDIzIgk1LzI2LzIwMjMAAAAAAwAAAAAAAAAFIkNWWCIDQ1ZYAQAAABMiSVFfQ0xPU0VQUklDRV9BREoiEUlRX0NMT1NFUFJJQ0VfQURKAgAAAAsiNS8xOS8yMDIzIgk1LzE5LzIwMjMAAAAAAwAAAAAAAAAFIkNWWCIDQ1ZYAQAA</t>
  </si>
  <si>
    <t>ABMiSVFfQ0xPU0VQUklDRV9BREoiEUlRX0NMT1NFUFJJQ0VfQURKAgAAAAsiNS8xMi8yMDIzIgk1LzEyLzIwMjMAAAAAAwAAAAAAAAAFIkNWWCIDQ1ZYAQAAABMiSVFfQ0xPU0VQUklDRV9BREoiEUlRX0NMT1NFUFJJQ0VfQURKAgAAAAoiNS81LzIwMjMiCDUvNS8yMDIzAAAAAAMAAAAAAAAABSJDVlgiA0NWWAEAAAATIklRX0NMT1NFUFJJQ0VfQURKIhFJUV9DTE9TRVBSSUNFX0FESgIAAAALIjQvMjgvMjAyMyIJNC8yOC8yMDIzAAAAAAMAAAAAAAAABSJDVlgiA0NWWAEAAAATIklRX0NMT1NFUFJJQ0VfQURKIhFJUV9DTE9TRVBSSUNFX0FESgIAAAALIjQvMjEvMjAyMyIJNC8yMS8yMDIzAAAAAAMAAAAAAAAABSJDVlgiA0NWWAEAAAATIklRX0NMT1NFUFJJQ0VfQURKIhFJUV9DTE9TRVBSSUNFX0FESgIAAAALIjQvMTQvMjAyMyIJNC8xNC8yMDIzAAAAAAMAAAAAAAAABSJDVlgiA0NWWAEAAAATIklRX0NMT1NFUFJJQ0VfQURKIhFJUV9DTE9TRVBSSUNFX0FESgIAAAAKIjQvNi8yMDIzIgg0LzYvMjAyMwAAAAADAAAAAAAAAAUiQ1ZYIgNDVlgBAAAAEyJJUV9DTE9TRVBSSUNFX0FESiIRSVFfQ0xPU0VQUklDRV9BREoCAAAACyIzLzMxLzIwMjMiCTMvMzEvMjAyMwAAAAADAAAAAAAAAAUiQ1ZYIgNDVlgBAAAAEyJJUV9DTE9TRVBSSUNFX0FESiIRSVFfQ0xPU0VQUklDRV9BREoCAAAACyIzLzI0LzIwMjMi</t>
  </si>
  <si>
    <t>CTMvMjQvMjAyMwAAAAADAAAAAAAAAAUiQ1ZYIgNDVlgBAAAAEyJJUV9DTE9TRVBSSUNFX0FESiIRSVFfQ0xPU0VQUklDRV9BREoCAAAACyIzLzE3LzIwMjMiCTMvMTcvMjAyMwAAAAADAAAAAAAAAAUiQ1ZYIgNDVlgBAAAAEyJJUV9DTE9TRVBSSUNFX0FESiIRSVFfQ0xPU0VQUklDRV9BREoCAAAACyIzLzEwLzIwMjMiCTMvMTAvMjAyMwAAAAADAAAAAAAAAAUiQ1ZYIgNDVlgBAAAAEyJJUV9DTE9TRVBSSUNFX0FESiIRSVFfQ0xPU0VQUklDRV9BREoCAAAACiIzLzMvMjAyMyIIMy8zLzIwMjMAAAAAAwAAAAAAAAAFIkNWWCIDQ1ZYAQAAABMiSVFfQ0xPU0VQUklDRV9BREoiEUlRX0NMT1NFUFJJQ0VfQURKAgAAAAsiMi8yNC8yMDIzIgkyLzI0LzIwMjMAAAAAAwAAAAAAAAAFIkNWWCIDQ1ZYAQAAABMiSVFfQ0xPU0VQUklDRV9BREoiEUlRX0NMT1NFUFJJQ0VfQURKAgAAAAsiMi8xNy8yMDIzIgkyLzE3LzIwMjMAAAAAAwAAAAAAAAAFIkNWWCIDQ1ZYAQAAABMiSVFfQ0xPU0VQUklDRV9BREoiEUlRX0NMT1NFUFJJQ0VfQURKAgAAAAsiMi8xMC8yMDIzIgkyLzEwLzIwMjMAAAAAAwAAAAAAAAAFIkNWWCIDQ1ZYAQAAABMiSVFfQ0xPU0VQUklDRV9BREoiEUlRX0NMT1NFUFJJQ0VfQURKAgAAAAoiMi8zLzIwMjMiCDIvMy8yMDIzAAAAAAMAAAAAAAAABSJDVlgiA0NWWAEAAAATIklRX0NMT1NFUFJJQ0VfQURK</t>
  </si>
  <si>
    <t>IhFJUV9DTE9TRVBSSUNFX0FESgIAAAALIjEvMjcvMjAyMyIJMS8yNy8yMDIzAAAAAAMAAAAAAAAABSJDVlgiA0NWWAEAAAATIklRX0NMT1NFUFJJQ0VfQURKIhFJUV9DTE9TRVBSSUNFX0FESgIAAAALIjEvMjAvMjAyMyIJMS8yMC8yMDIzAAAAAAMAAAAAAAAABSJDVlgiA0NWWAEAAAATIklRX0NMT1NFUFJJQ0VfQURKIhFJUV9DTE9TRVBSSUNFX0FESgIAAAALIjEvMTMvMjAyMyIJMS8xMy8yMDIzAAAAAAMAAAAAAAAABSJDVlgiA0NWWAEAAAATIklRX0NMT1NFUFJJQ0VfQURKIhFJUV9DTE9TRVBSSUNFX0FESgIAAAAKIjEvNi8yMDIzIggxLzYvMjAyMwAAAAADAAAAAAAAAAUiQ1ZYIgNDVlgBAAAAEyJJUV9DTE9TRVBSSUNFX0FESiIRSVFfQ0xPU0VQUklDRV9BREoCAAAADCIxMi8zMC8yMDIyIgoxMi8zMC8yMDIyAAAAAAMAAAAAAAAABSJDVlgiA0NWWAEAAAATIklRX0NMT1NFUFJJQ0VfQURKIhFJUV9DTE9TRVBSSUNFX0FESgIAAAAMIjEyLzIzLzIwMjIiCjEyLzIzLzIwMjIAAAAAAwAAAAAAAAAFIkNWWCIDQ1ZYAQAAABMiSVFfQ0xPU0VQUklDRV9BREoiEUlRX0NMT1NFUFJJQ0VfQURKAgAAAAwiMTIvMTYvMjAyMiIKMTIvMTYvMjAyMgAAAAADAAAAAAAAAAUiQ1ZYIgNDVlgBAAAAEyJJUV9DTE9TRVBSSUNFX0FESiIRSVFfQ0xPU0VQUklDRV9BREoCAAAACyIxMi85LzIwMjIiCTEyLzkvMjAyMgAA</t>
  </si>
  <si>
    <t>AAADAAAAAAAAAAUiQ1ZYIgNDVlgBAAAAEyJJUV9DTE9TRVBSSUNFX0FESiIRSVFfQ0xPU0VQUklDRV9BREoCAAAACyIxMi8yLzIwMjIiCTEyLzIvMjAyMgAAAAADAAAAAAAAAAUiQ1ZYIgNDVlgBAAAAEyJJUV9DTE9TRVBSSUNFX0FESiIRSVFfQ0xPU0VQUklDRV9BREoCAAAADCIxMS8yNS8yMDIyIgoxMS8yNS8yMDIyAAAAAAMAAAAAAAAABSJDVlgiA0NWWAEAAAATIklRX0NMT1NFUFJJQ0VfQURKIhFJUV9DTE9TRVBSSUNFX0FESgIAAAAMIjExLzE4LzIwMjIiCjExLzE4LzIwMjIAAAAAAwAAAAAAAAAFIkNWWCIDQ1ZYAQAAABMiSVFfQ0xPU0VQUklDRV9BREoiEUlRX0NMT1NFUFJJQ0VfQURKAgAAAAwiMTEvMTEvMjAyMiIKMTEvMTEvMjAyMgAAAAADAAAAAAAAAAUiQ1ZYIgNDVlgBAAAAEyJJUV9DTE9TRVBSSUNFX0FESiIRSVFfQ0xPU0VQUklDRV9BREoCAAAACyIxMS80LzIwMjIiCTExLzQvMjAyMgAAAAADAAAAAAAAAAUiQ1ZYIgNDVlgBAAAAEyJJUV9DTE9TRVBSSUNFX0FESiIRSVFfQ0xPU0VQUklDRV9BREoCAAAADCIxMC8yOC8yMDIyIgoxMC8yOC8yMDIyAAAAAAMAAAAAAAAABSJDVlgiA0NWWAEAAAATIklRX0NMT1NFUFJJQ0VfQURKIhFJUV9DTE9TRVBSSUNFX0FESgIAAAAMIjEwLzIxLzIwMjIiCjEwLzIxLzIwMjIAAAAAAwAAAAAAAAAFIkNWWCIDQ1ZYAQAAABMiSVFfQ0xPU0VQUklDRV9B</t>
  </si>
  <si>
    <t>REoiEUlRX0NMT1NFUFJJQ0VfQURKAgAAAAwiMTAvMTQvMjAyMiIKMTAvMTQvMjAyMgAAAAADAAAAAAAAAAUiQ1ZYIgNDVlgBAAAAEyJJUV9DTE9TRVBSSUNFX0FESiIRSVFfQ0xPU0VQUklDRV9BREoCAAAACyIxMC83LzIwMjIiCTEwLzcvMjAyMgAAAAADAAAAAAAAAAUiQ1ZYIgNDVlgBAAAAEyJJUV9DTE9TRVBSSUNFX0FESiIRSVFfQ0xPU0VQUklDRV9BREoCAAAACyI5LzMwLzIwMjIiCTkvMzAvMjAyMgAAAAADAAAAAAAAAAUiQ1ZYIgNDVlgBAAAAEyJJUV9DTE9TRVBSSUNFX0FESiIRSVFfQ0xPU0VQUklDRV9BREoCAAAACyI5LzIzLzIwMjIiCTkvMjMvMjAyMgAAAAADAAAAAAAAAAUiQ1ZYIgNDVlgBAAAAEyJJUV9DTE9TRVBSSUNFX0FESiIRSVFfQ0xPU0VQUklDRV9BREoCAAAACyI5LzE2LzIwMjIiCTkvMTYvMjAyMgAAAAADAAAAAAAAAAUiQ1ZYIgNDVlgBAAAAEyJJUV9DTE9TRVBSSUNFX0FESiIRSVFfQ0xPU0VQUklDRV9BREoCAAAACiI5LzkvMjAyMiIIOS85LzIwMjIAAAAAAwAAAAAAAAAFIkNWWCIDQ1ZYAQAAABMiSVFfQ0xPU0VQUklDRV9BREoiEUlRX0NMT1NFUFJJQ0VfQURKAgAAAAoiOS8yLzIwMjIiCDkvMi8yMDIyAAAAAAMAAAAAAAAABSJDVlgiA0NWWAEAAAATIklRX0NMT1NFUFJJQ0VfQURKIhFJUV9DTE9TRVBSSUNFX0FESgIAAAALIjgvMjYvMjAyMiIJOC8yNi8yMDIyAAAAAAMA</t>
  </si>
  <si>
    <t>AAAAAAAABSJDVlgiA0NWWAEAAAATIklRX0NMT1NFUFJJQ0VfQURKIhFJUV9DTE9TRVBSSUNFX0FESgIAAAALIjgvMTkvMjAyMiIJOC8xOS8yMDIyAAAAAAMAAAAAAAAABSJDVlgiA0NWWAEAAAATIklRX0NMT1NFUFJJQ0VfQURKIhFJUV9DTE9TRVBSSUNFX0FESgIAAAALIjgvMTIvMjAyMiIJOC8xMi8yMDIyAAAAAAMAAAAAAAAABSJDVlgiA0NWWAEAAAATIklRX0NMT1NFUFJJQ0VfQURKIhFJUV9DTE9TRVBSSUNFX0FESgIAAAAKIjgvNS8yMDIyIgg4LzUvMjAyMgAAAAADAAAAAAAAAAUiQ1ZYIgNDVlgBAAAAEyJJUV9DTE9TRVBSSUNFX0FESiIRSVFfQ0xPU0VQUklDRV9BREoCAAAACyI3LzI5LzIwMjIiCTcvMjkvMjAyMgAAAAADAAAAAAAAAAUiQ1ZYIgNDVlgBAAAAEyJJUV9DTE9TRVBSSUNFX0FESiIRSVFfQ0xPU0VQUklDRV9BREoCAAAACyI3LzIyLzIwMjIiCTcvMjIvMjAyMgAAAAADAAAAAAAAAAUiQ1ZYIgNDVlgBAAAAEyJJUV9DTE9TRVBSSUNFX0FESiIRSVFfQ0xPU0VQUklDRV9BREoCAAAACyI3LzE1LzIwMjIiCTcvMTUvMjAyMgAAAAADAAAAAAAAAAUiQ1ZYIgNDVlgBAAAAEyJJUV9DTE9TRVBSSUNFX0FESiIRSVFfQ0xPU0VQUklDRV9BREoCAAAACiI3LzgvMjAyMiIINy84LzIwMjIAAAAAAwAAAAAAAAAFIkNWWCIDQ1ZYAQAAABMiSVFfQ0xPU0VQUklDRV9BREoiEUlRX0NMT1NFUFJJQ0Vf</t>
  </si>
  <si>
    <t>QURKAgAAAAoiNy8xLzIwMjIiCDcvMS8yMDIyAAAAAAMAAAAAAAAABSJDVlgiA0NWWAEAAAATIklRX0NMT1NFUFJJQ0VfQURKIhFJUV9DTE9TRVBSSUNFX0FESgIAAAALIjYvMjQvMjAyMiIJNi8yNC8yMDIyAAAAAAMAAAAAAAAABSJDVlgiA0NWWAEAAAATIklRX0NMT1NFUFJJQ0VfQURKIhFJUV9DTE9TRVBSSUNFX0FESgIAAAALIjYvMTcvMjAyMiIJNi8xNy8yMDIyAAAAAAMAAAAAAAAABSJDVlgiA0NWWAEAAAATIklRX0NMT1NFUFJJQ0VfQURKIhFJUV9DTE9TRVBSSUNFX0FESgIAAAALIjYvMTAvMjAyMiIJNi8xMC8yMDIyAAAAAAMAAAAAAAAABSJDVlgiA0NWWAEAAAATIklRX0NMT1NFUFJJQ0VfQURKIhFJUV9DTE9TRVBSSUNFX0FESgIAAAAKIjYvMy8yMDIyIgg2LzMvMjAyMgAAAAADAAAAAAAAAAUiQ1ZYIgNDVlgBAAAAEyJJUV9DTE9TRVBSSUNFX0FESiIRSVFfQ0xPU0VQUklDRV9BREoCAAAACyI1LzI3LzIwMjIiCTUvMjcvMjAyMgAAAAADAAAAAAAAAAUiQ1ZYIgNDVlgBAAAAEyJJUV9DTE9TRVBSSUNFX0FESiIRSVFfQ0xPU0VQUklDRV9BREoCAAAACyI1LzIwLzIwMjIiCTUvMjAvMjAyMgAAAAADAAAAAAAAAAUiQ1ZYIgNDVlgBAAAAEyJJUV9DTE9TRVBSSUNFX0FESiIRSVFfQ0xPU0VQUklDRV9BREoCAAAACyI1LzEzLzIwMjIiCTUvMTMvMjAyMgAAAAADAAAAAAAAAAUiQ1ZYIgNDVlgBAAAA</t>
  </si>
  <si>
    <t>EyJJUV9DTE9TRVBSSUNFX0FESiIRSVFfQ0xPU0VQUklDRV9BREoCAAAACiI1LzYvMjAyMiIINS82LzIwMjIAAAAAAwAAAAAAAAAFIkNWWCIDQ1ZYAQAAABMiSVFfQ0xPU0VQUklDRV9BREoiEUlRX0NMT1NFUFJJQ0VfQURKAgAAAAsiNC8yOS8yMDIyIgk0LzI5LzIwMjIAAAAAAwAAAAAAAAAFIkNWWCIDQ1ZYAQAAABMiSVFfQ0xPU0VQUklDRV9BREoiEUlRX0NMT1NFUFJJQ0VfQURKAgAAAAsiNC8yMi8yMDIyIgk0LzIyLzIwMjIAAAAAAwAAAAAAAAAFIkNWWCIDQ1ZYAQAAABMiSVFfQ0xPU0VQUklDRV9BREoiEUlRX0NMT1NFUFJJQ0VfQURKAgAAAAsiNC8xNC8yMDIyIgk0LzE0LzIwMjIAAAAAAwAAAAAAAAAFIkNWWCIDQ1ZYAQAAABMiSVFfQ0xPU0VQUklDRV9BREoiEUlRX0NMT1NFUFJJQ0VfQURKAgAAAAoiNC84LzIwMjIiCDQvOC8yMDIyAAAAAAMAAAAAAAAABSJDVlgiA0NWWAEAAAATIklRX0NMT1NFUFJJQ0VfQURKIhFJUV9DTE9TRVBSSUNFX0FESgIAAAAKIjQvMS8yMDIyIgg0LzEvMjAyMgAAAAADAAAAAAAAAAUiQ1ZYIgNDVlgBAAAAEyJJUV9DTE9TRVBSSUNFX0FESiIRSVFfQ0xPU0VQUklDRV9BREoCAAAACyIzLzI1LzIwMjIiCTMvMjUvMjAyMgAAAAADAAAAAAAAAAUiQ1ZYIgNDVlgBAAAAEyJJUV9DTE9TRVBSSUNFX0FESiIRSVFfQ0xPU0VQUklDRV9BREoCAAAACyIzLzE4LzIwMjIiCTMv</t>
  </si>
  <si>
    <t>MTgvMjAyMgAAAAADAAAAAAAAAAUiQ1ZYIgNDVlgBAAAAEyJJUV9DTE9TRVBSSUNFX0FESiIRSVFfQ0xPU0VQUklDRV9BREoCAAAACyIzLzExLzIwMjIiCTMvMTEvMjAyMgAAAAADAAAAAAAAAAUiQ1ZYIgNDVlgBAAAAEyJJUV9DTE9TRVBSSUNFX0FESiIRSVFfQ0xPU0VQUklDRV9BREoCAAAACiIzLzQvMjAyMiIIMy80LzIwMjIAAAAAAwAAAAAAAAAFIkNWWCIDQ1ZYAQAAABMiSVFfQ0xPU0VQUklDRV9BREoiEUlRX0NMT1NFUFJJQ0VfQURKAgAAAAsiMi8yNS8yMDIyIgkyLzI1LzIwMjIAAAAAAwAAAAAAAAAFIkNWWCIDQ1ZYAQAAABMiSVFfQ0xPU0VQUklDRV9BREoiEUlRX0NMT1NFUFJJQ0VfQURKAgAAAAsiMi8xOC8yMDIyIgkyLzE4LzIwMjIAAAAAAwAAAAAAAAAFIkNWWCIDQ1ZYAQAAABMiSVFfQ0xPU0VQUklDRV9BREoiEUlRX0NMT1NFUFJJQ0VfQURKAgAAAAsiMi8xMS8yMDIyIgkyLzExLzIwMjIAAAAAAwAAAAAAAAAFIkNWWCIDQ1ZYAQAAABMiSVFfQ0xPU0VQUklDRV9BREoiEUlRX0NMT1NFUFJJQ0VfQURKAgAAAAoiMi80LzIwMjIiCDIvNC8yMDIyAAAAAAMAAAAAAAAABSJDVlgiA0NWWAEAAAATIklRX0NMT1NFUFJJQ0VfQURKIhFJUV9DTE9TRVBSSUNFX0FESgIAAAALIjEvMjgvMjAyMiIJMS8yOC8yMDIyAAAAAAMAAAAAAAAABSJDVlgiA0NWWAEAAAATIklRX0NMT1NFUFJJQ0VfQURKIhFJ</t>
  </si>
  <si>
    <t>UV9DTE9TRVBSSUNFX0FESgIAAAALIjEvMjEvMjAyMiIJMS8yMS8yMDIyAAAAAAMAAAAAAAAABSJDVlgiA0NWWAEAAAATIklRX0NMT1NFUFJJQ0VfQURKIhFJUV9DTE9TRVBSSUNFX0FESgIAAAALIjEvMTQvMjAyMiIJMS8xNC8yMDIyAAAAAAMAAAAAAAAABSJDVlgiA0NWWAEAAAATIklRX0NMT1NFUFJJQ0VfQURKIhFJUV9DTE9TRVBSSUNFX0FESgIAAAAKIjEvNy8yMDIyIggxLzcvMjAyMgAAAAADAAAAAAAAAAUiQ1ZYIgNDVlgBAAAAEyJJUV9DTE9TRVBSSUNFX0FESiIRSVFfQ0xPU0VQUklDRV9BREoCAAAADCIxMi8zMS8yMDIxIgoxMi8zMS8yMDIxAAAAAAMAAAAAAAAABSJDVlgiA0NWWAEAAAATIklRX0NMT1NFUFJJQ0VfQURKIhFJUV9DTE9TRVBSSUNFX0FESgIAAAAMIjEyLzIzLzIwMjEiCjEyLzIzLzIwMjEAAAAAAwAAAAAAAAAFIkNWWCIDQ1ZYAQAAABMiSVFfQ0xPU0VQUklDRV9BREoiEUlRX0NMT1NFUFJJQ0VfQURKAgAAAAwiMTIvMTcvMjAyMSIKMTIvMTcvMjAyMQAAAAADAAAAAAAAAAUiQ1ZYIgNDVlgBAAAAEyJJUV9DTE9TRVBSSUNFX0FESiIRSVFfQ0xPU0VQUklDRV9BREoCAAAADCIxMi8xMC8yMDIxIgoxMi8xMC8yMDIxAAAAAAMAAAAAAAAABSJDVlgiA0NWWAEAAAATIklRX0NMT1NFUFJJQ0VfQURKIhFJUV9DTE9TRVBSSUNFX0FESgIAAAALIjEyLzMvMjAyMSIJMTIvMy8yMDIxAAAA</t>
  </si>
  <si>
    <t>AAMAAAAAAAAABSJDVlgiA0NWWAEAAAATIklRX0NMT1NFUFJJQ0VfQURKIhFJUV9DTE9TRVBSSUNFX0FESgIAAAAMIjExLzI2LzIwMjEiCjExLzI2LzIwMjEAAAAAAwAAAAAAAAAFIkNWWCIDQ1ZYAQAAABMiSVFfQ0xPU0VQUklDRV9BREoiEUlRX0NMT1NFUFJJQ0VfQURKAgAAAAwiMTEvMTkvMjAyMSIKMTEvMTkvMjAyMQAAAAADAAAAAAAAAAUiQ1ZYIgNDVlgBAAAAEyJJUV9DTE9TRVBSSUNFX0FESiIRSVFfQ0xPU0VQUklDRV9BREoCAAAADCIxMS8xMi8yMDIxIgoxMS8xMi8yMDIxAAAAAAMAAAAAAAAABSJDVlgiA0NWWAEAAAATIklRX0NMT1NFUFJJQ0VfQURKIhFJUV9DTE9TRVBSSUNFX0FESgIAAAALIjExLzUvMjAyMSIJMTEvNS8yMDIxAAAAAAMAAAAAAAAABSJDVlgiA0NWWAEAAAATIklRX0NMT1NFUFJJQ0VfQURKIhFJUV9DTE9TRVBSSUNFX0FESgIAAAAMIjEwLzI5LzIwMjEiCjEwLzI5LzIwMjEAAAAAAwAAAAAAAAAFIkNWWCIDQ1ZYAQAAABMiSVFfQ0xPU0VQUklDRV9BREoiEUlRX0NMT1NFUFJJQ0VfQURKAgAAAAwiMTAvMjIvMjAyMSIKMTAvMjIvMjAyMQAAAAADAAAAAAAAAAUiQ1ZYIgNDVlgBAAAAEyJJUV9DTE9TRVBSSUNFX0FESiIRSVFfQ0xPU0VQUklDRV9BREoCAAAADCIxMC8xNS8yMDIxIgoxMC8xNS8yMDIxAAAAAAMAAAAAAAAABSJDVlgiA0NWWAEAAAATIklRX0NMT1NFUFJJQ0Vf</t>
  </si>
  <si>
    <t>QURKIhFJUV9DTE9TRVBSSUNFX0FESgIAAAALIjEwLzgvMjAyMSIJMTAvOC8yMDIxAAAAAAMAAAAAAAAABSJDVlgiA0NWWAEAAAATIklRX0NMT1NFUFJJQ0VfQURKIhFJUV9DTE9TRVBSSUNFX0FESgIAAAALIjEwLzEvMjAyMSIJMTAvMS8yMDIxAAAAAAMAAAAAAAAABSJDVlgiA0NWWAEAAAATIklRX0NMT1NFUFJJQ0VfQURKIhFJUV9DTE9TRVBSSUNFX0FESgIAAAALIjkvMjQvMjAyMSIJOS8yNC8yMDIxAAAAAAMAAAAAAAAABSJDVlgiA0NWWAEAAAATIklRX0NMT1NFUFJJQ0VfQURKIhFJUV9DTE9TRVBSSUNFX0FESgIAAAALIjkvMTcvMjAyMSIJOS8xNy8yMDIxAAAAAAMAAAAAAAAABSJDVlgiA0NWWAEAAAATIklRX0NMT1NFUFJJQ0VfQURKIhFJUV9DTE9TRVBSSUNFX0FESgIAAAALIjkvMTAvMjAyMSIJOS8xMC8yMDIxAAAAAAMAAAAAAAAABSJDVlgiA0NWWAEAAAATIklRX0NMT1NFUFJJQ0VfQURKIhFJUV9DTE9TRVBSSUNFX0FESgIAAAAKIjkvMy8yMDIxIgg5LzMvMjAyMQAAAAADAAAAAAAAAAUiQ1ZYIgNDVlgBAAAAEyJJUV9DTE9TRVBSSUNFX0FESiIRSVFfQ0xPU0VQUklDRV9BREoCAAAACyI4LzI3LzIwMjEiCTgvMjcvMjAyMQAAAAADAAAAAAAAAAUiQ1ZYIgNDVlgBAAAAEyJJUV9DTE9TRVBSSUNFX0FESiIRSVFfQ0xPU0VQUklDRV9BREoCAAAACyI4LzIwLzIwMjEiCTgvMjAvMjAyMQAAAAAD</t>
  </si>
  <si>
    <t>AAAAAAAAAAUiQ1ZYIgNDVlgBAAAAEyJJUV9DTE9TRVBSSUNFX0FESiIRSVFfQ0xPU0VQUklDRV9BREoCAAAACyI4LzEzLzIwMjEiCTgvMTMvMjAyMQAAAAADAAAAAAAAAAUiQ1ZYIgNDVlgBAAAAEyJJUV9DTE9TRVBSSUNFX0FESiIRSVFfQ0xPU0VQUklDRV9BREoCAAAACiI4LzYvMjAyMSIIOC82LzIwMjEAAAAAAwAAAAAAAAAFIkNWWCIDQ1ZYAQAAABMiSVFfQ0xPU0VQUklDRV9BREoiEUlRX0NMT1NFUFJJQ0VfQURKAgAAAAsiNy8zMC8yMDIxIgk3LzMwLzIwMjEAAAAAAwAAAAAAAAAFIkNWWCIDQ1ZYAQAAABMiSVFfQ0xPU0VQUklDRV9BREoiEUlRX0NMT1NFUFJJQ0VfQURKAgAAAAsiNy8yMy8yMDIxIgk3LzIzLzIwMjEAAAAAAwAAAAAAAAAFIkNWWCIDQ1ZYAQAAABMiSVFfQ0xPU0VQUklDRV9BREoiEUlRX0NMT1NFUFJJQ0VfQURKAgAAAAsiNy8xNi8yMDIxIgk3LzE2LzIwMjEAAAAAAwAAAAAAAAAFIkNWWCIDQ1ZYAQAAABMiSVFfQ0xPU0VQUklDRV9BREoiEUlRX0NMT1NFUFJJQ0VfQURKAgAAAAoiNy85LzIwMjEiCDcvOS8yMDIxAAAAAAMAAAAAAAAABSJDVlgiA0NWWAEAAAATIklRX0NMT1NFUFJJQ0VfQURKIhFJUV9DTE9TRVBSSUNFX0FESgIAAAAKIjcvMi8yMDIxIgg3LzIvMjAyMQAAAAADAAAAAAAAAAUiQ1ZYIgNDVlgBAAAAEyJJUV9DTE9TRVBSSUNFX0FESiIRSVFfQ0xPU0VQUklDRV9B</t>
  </si>
  <si>
    <t>REoCAAAACyI2LzI1LzIwMjEiCTYvMjUvMjAyMQAAAAADAAAAAAAAAAUiQ1ZYIgNDVlgBAAAAEyJJUV9DTE9TRVBSSUNFX0FESiIRSVFfQ0xPU0VQUklDRV9BREoCAAAACyI2LzE4LzIwMjEiCTYvMTgvMjAyMQAAAAADAAAAAAAAAAUiQ1ZYIgNDVlgBAAAAEyJJUV9DTE9TRVBSSUNFX0FESiIRSVFfQ0xPU0VQUklDRV9BREoCAAAACyI2LzExLzIwMjEiCTYvMTEvMjAyMQAAAAADAAAAAAAAAAUiQ1ZYIgNDVlgBAAAAEyJJUV9DTE9TRVBSSUNFX0FESiIRSVFfQ0xPU0VQUklDRV9BREoCAAAACiI2LzQvMjAyMSIINi80LzIwMjEAAAAAAwAAAAAAAAAFIkNWWCIDQ1ZYAQAAABMiSVFfQ0xPU0VQUklDRV9BREoiEUlRX0NMT1NFUFJJQ0VfQURKAgAAAAsiNS8yOC8yMDIxIgk1LzI4LzIwMjEAAAAAAwAAAAAAAAAFIkNWWCIDQ1ZYAQAAABMiSVFfQ0xPU0VQUklDRV9BREoiEUlRX0NMT1NFUFJJQ0VfQURKAgAAAAsiNS8yMS8yMDIxIgk1LzIxLzIwMjEAAAAAAwAAAAAAAAAFIkNWWCIDQ1ZYAQAAABMiSVFfQ0xPU0VQUklDRV9BREoiEUlRX0NMT1NFUFJJQ0VfQURKAgAAAAsiNS8xNC8yMDIxIgk1LzE0LzIwMjEAAAAAAwAAAAAAAAAFIkNWWCIDQ1ZYAQAAABMiSVFfQ0xPU0VQUklDRV9BREoiEUlRX0NMT1NFUFJJQ0VfQURKAgAAAAoiNS83LzIwMjEiCDUvNy8yMDIxAAAAAAMAAAAAAAAABSJDVlgiA0NWWAEAAAAT</t>
  </si>
  <si>
    <t>IklRX0NMT1NFUFJJQ0VfQURKIhFJUV9DTE9TRVBSSUNFX0FESgIAAAALIjQvMzAvMjAyMSIJNC8zMC8yMDIxAAAAAAMAAAAAAAAABSJDVlgiA0NWWAEAAAATIklRX0NMT1NFUFJJQ0VfQURKIhFJUV9DTE9TRVBSSUNFX0FESgIAAAALIjQvMjMvMjAyMSIJNC8yMy8yMDIxAAAAAAMAAAAAAAAABSJDVlgiA0NWWAEAAAATIklRX0NMT1NFUFJJQ0VfQURKIhFJUV9DTE9TRVBSSUNFX0FESgIAAAALIjQvMTYvMjAyMSIJNC8xNi8yMDIxAAAAAAMAAAAAAAAABSJDVlgiA0NWWAEAAAATIklRX0NMT1NFUFJJQ0VfQURKIhFJUV9DTE9TRVBSSUNFX0FESgIAAAAKIjQvOS8yMDIxIgg0LzkvMjAyMQAAAAADAAAAAAAAAAUiQ1ZYIgNDVlgBAAAAEyJJUV9DTE9TRVBSSUNFX0FESiIRSVFfQ0xPU0VQUklDRV9BREoCAAAACiI0LzEvMjAyMSIINC8xLzIwMjEAAAAAAwAAAAAAAAAFIkNWWCIDQ1ZYAQAAABMiSVFfQ0xPU0VQUklDRV9BREoiEUlRX0NMT1NFUFJJQ0VfQURKAgAAAAsiMy8yNi8yMDIxIgkzLzI2LzIwMjEAAAAAAwAAAAAAAAAFIkNWWCIDQ1ZYAQAAABMiSVFfQ0xPU0VQUklDRV9BREoiEUlRX0NMT1NFUFJJQ0VfQURKAgAAAAsiMy8xOS8yMDIxIgkzLzE5LzIwMjEAAAAAAwAAAAAAAAAFIkNWWCIDQ1ZYAQAAABMiSVFfQ0xPU0VQUklDRV9BREoiEUlRX0NMT1NFUFJJQ0VfQURKAgAAAAsiMy8xMi8yMDIxIgkz</t>
  </si>
  <si>
    <t>LzEyLzIwMjEAAAAAAwAAAAAAAAAFIkNWWCIDQ1ZYAQAAABMiSVFfQ0xPU0VQUklDRV9BREoiEUlRX0NMT1NFUFJJQ0VfQURKAgAAAAoiMy81LzIwMjEiCDMvNS8yMDIxAAAAAAMAAAAAAAAABSJDVlgiA0NWWAEAAAATIklRX0NMT1NFUFJJQ0VfQURKIhFJUV9DTE9TRVBSSUNFX0FESgIAAAALIjIvMjYvMjAyMSIJMi8yNi8yMDIxAAAAAAMAAAAAAAAABSJDVlgiA0NWWAEAAAATIklRX0NMT1NFUFJJQ0VfQURKIhFJUV9DTE9TRVBSSUNFX0FESgIAAAALIjIvMTkvMjAyMSIJMi8xOS8yMDIxAAAAAAMAAAAAAAAABSJDVlgiA0NWWAEAAAATIklRX0NMT1NFUFJJQ0VfQURKIhFJUV9DTE9TRVBSSUNFX0FESgIAAAALIjIvMTIvMjAyMSIJMi8xMi8yMDIxAAAAAAMAAAAAAAAABSJDVlgiA0NWWAEAAAATIklRX0NMT1NFUFJJQ0VfQURKIhFJUV9DTE9TRVBSSUNFX0FESgIAAAAKIjIvNS8yMDIxIggyLzUvMjAyMQAAAAADAAAAAAAAAAUiQ1ZYIgNDVlgBAAAAEyJJUV9DTE9TRVBSSUNFX0FESiIRSVFfQ0xPU0VQUklDRV9BREoCAAAACyIxLzI5LzIwMjEiCTEvMjkvMjAyMQAAAAADAAAAAAAAAAUiQ1ZYIgNDVlgBAAAAEyJJUV9DTE9TRVBSSUNFX0FESiIRSVFfQ0xPU0VQUklDRV9BREoCAAAACyIxLzIyLzIwMjEiCTEvMjIvMjAyMQAAAAADAAAAAAAAAAUiQ1ZYIgNDVlgBAAAAEyJJUV9DTE9TRVBSSUNFX0FESiIR</t>
  </si>
  <si>
    <t>SVFfQ0xPU0VQUklDRV9BREoCAAAACyIxLzE1LzIwMjEiCTEvMTUvMjAyMQAAAAADAAAAAAAAAAUiQ1ZYIgNDVlgBAAAAEyJJUV9DTE9TRVBSSUNFX0FESiIRSVFfQ0xPU0VQUklDRV9BREoCAAAACiIxLzgvMjAyMSIIMS84LzIwMjEAAAAAAwAAAAAAAAAFIkNWWCIDQ1ZYAQAAABMiSVFfQ0xPU0VQUklDRV9BREoiEUlRX0NMT1NFUFJJQ0VfQURKAgAAAAwiMTIvMzEvMjAyMCIKMTIvMzEvMjAyMAAAAAADAAAAAAAAAAUiQ1ZYIgNDVlgBAAAAEyJJUV9DTE9TRVBSSUNFX0FESiIRSVFfQ0xPU0VQUklDRV9BREoCAAAADCIxMi8yNC8yMDIwIgoxMi8yNC8yMDIwAAAAAAMAAAAAAAAABSJDVlgiA0NWWAEAAAATIklRX0NMT1NFUFJJQ0VfQURKIhFJUV9DTE9TRVBSSUNFX0FESgIAAAAMIjEyLzE4LzIwMjAiCjEyLzE4LzIwMjAAAAAAAwAAAAAAAAAFIkNWWCIDQ1ZYAQAAABMiSVFfQ0xPU0VQUklDRV9BREoiEUlRX0NMT1NFUFJJQ0VfQURKAgAAAAwiMTIvMTEvMjAyMCIKMTIvMTEvMjAyMAAAAAADAAAAAAAAAAUiQ1ZYIgNDVlgBAAAAEyJJUV9DTE9TRVBSSUNFX0FESiIRSVFfQ0xPU0VQUklDRV9BREoCAAAACyIxMi80LzIwMjAiCTEyLzQvMjAyMAAAAAADAAAAAAAAAAUiQ1ZYIgNDVlgBAAAAEyJJUV9DTE9TRVBSSUNFX0FESiIRSVFfQ0xPU0VQUklDRV9BREoCAAAADCIxMS8yNy8yMDIwIgoxMS8yNy8yMDIw</t>
  </si>
  <si>
    <t>AAAAAAMAAAAAAAAABSJDVlgiA0NWWAEAAAATIklRX0NMT1NFUFJJQ0VfQURKIhFJUV9DTE9TRVBSSUNFX0FESgIAAAAMIjExLzIwLzIwMjAiCjExLzIwLzIwMjAAAAAAAwAAAAAAAAAFIkNWWCIDQ1ZYAQAAABMiSVFfQ0xPU0VQUklDRV9BREoiEUlRX0NMT1NFUFJJQ0VfQURKAgAAAAwiMTEvMTMvMjAyMCIKMTEvMTMvMjAyMFO8sWE9Jd4IU7yxYT0l3ghPQ0lRUkFOR0UuRU9HLklRX0NMT1NFUFJJQ0VfQURKLjExLzEyLzIwMjAuMTEvMTIvMjAyNS4uLkRFU0MuVy5JUV9DTE9TRVBSSUNFX0FESgMAAABcHQQABQEAAAAAAAADAAAAAAAAAAUiRU9HIgNFT0cBAAAAEyJJUV9DTE9TRVBSSUNFX0FESiIRSVFfQ0xPU0VQUklDRV9BREoCAAAACyIxMS83LzIwMjUiCTExLzcvMjAyNQAAAAADAAAAAAAAAAUiRU9HIgNFT0cBAAAAEyJJUV9DTE9TRVBSSUNFX0FESiIRSVFfQ0xPU0VQUklDRV9BREoCAAAADCIxMC8zMS8yMDI1IgoxMC8zMS8yMDI1AAAAAAMAAAAAAAAABSJFT0ciA0VPRwEAAAATIklRX0NMT1NFUFJJQ0VfQURKIhFJUV9DTE9TRVBSSUNFX0FESgIAAAAMIjEwLzI0LzIwMjUiCjEwLzI0LzIwMjUAAAAAAwAAAAAAAAAFIkVPRyIDRU9HAQAAABMiSVFfQ0xPU0VQUklDRV9BREoiEUlRX0NMT1NFUFJJQ0VfQURKAgAAAAwiMTAvMTcvMjAyNSIKMTAvMTcvMjAyNQAAAAADAAAAAAAAAAUiRU9HIgNFT0cB</t>
  </si>
  <si>
    <t>AAAAEyJJUV9DTE9TRVBSSUNFX0FESiIRSVFfQ0xPU0VQUklDRV9BREoCAAAADCIxMC8xMC8yMDI1IgoxMC8xMC8yMDI1AAAAAAMAAAAAAAAABSJFT0ciA0VPRwEAAAATIklRX0NMT1NFUFJJQ0VfQURKIhFJUV9DTE9TRVBSSUNFX0FESgIAAAALIjEwLzMvMjAyNSIJMTAvMy8yMDI1AAAAAAMAAAAAAAAABSJFT0ciA0VPRwEAAAATIklRX0NMT1NFUFJJQ0VfQURKIhFJUV9DTE9TRVBSSUNFX0FESgIAAAALIjkvMjYvMjAyNSIJOS8yNi8yMDI1AAAAAAMAAAAAAAAABSJFT0ciA0VPRwEAAAATIklRX0NMT1NFUFJJQ0VfQURKIhFJUV9DTE9TRVBSSUNFX0FESgIAAAALIjkvMTkvMjAyNSIJOS8xOS8yMDI1AAAAAAMAAAAAAAAABSJFT0ciA0VPRwEAAAATIklRX0NMT1NFUFJJQ0VfQURKIhFJUV9DTE9TRVBSSUNFX0FESgIAAAALIjkvMTIvMjAyNSIJOS8xMi8yMDI1AAAAAAMAAAAAAAAABSJFT0ciA0VPRwEAAAATIklRX0NMT1NFUFJJQ0VfQURKIhFJUV9DTE9TRVBSSUNFX0FESgIAAAAKIjkvNS8yMDI1Igg5LzUvMjAyNQAAAAADAAAAAAAAAAUiRU9HIgNFT0cBAAAAEyJJUV9DTE9TRVBSSUNFX0FESiIRSVFfQ0xPU0VQUklDRV9BREoCAAAACyI4LzI5LzIwMjUiCTgvMjkvMjAyNQAAAAADAAAAAAAAAAUiRU9HIgNFT0cBAAAAEyJJUV9DTE9TRVBSSUNFX0FESiIRSVFfQ0xPU0VQUklDRV9BREoCAAAACyI4LzIy</t>
  </si>
  <si>
    <t>LzIwMjUiCTgvMjIvMjAyNQAAAAADAAAAAAAAAAUiRU9HIgNFT0cBAAAAEyJJUV9DTE9TRVBSSUNFX0FESiIRSVFfQ0xPU0VQUklDRV9BREoCAAAACyI4LzE1LzIwMjUiCTgvMTUvMjAyNQAAAAADAAAAAAAAAAUiRU9HIgNFT0cBAAAAEyJJUV9DTE9TRVBSSUNFX0FESiIRSVFfQ0xPU0VQUklDRV9BREoCAAAACiI4LzgvMjAyNSIIOC84LzIwMjUAAAAAAwAAAAAAAAAFIkVPRyIDRU9HAQAAABMiSVFfQ0xPU0VQUklDRV9BREoiEUlRX0NMT1NFUFJJQ0VfQURKAgAAAAoiOC8xLzIwMjUiCDgvMS8yMDI1AAAAAAMAAAAAAAAABSJFT0ciA0VPRwEAAAATIklRX0NMT1NFUFJJQ0VfQURKIhFJUV9DTE9TRVBSSUNFX0FESgIAAAALIjcvMjUvMjAyNSIJNy8yNS8yMDI1AAAAAAMAAAAAAAAABSJFT0ciA0VPRwEAAAATIklRX0NMT1NFUFJJQ0VfQURKIhFJUV9DTE9TRVBSSUNFX0FESgIAAAALIjcvMTgvMjAyNSIJNy8xOC8yMDI1AAAAAAMAAAAAAAAABSJFT0ciA0VPRwEAAAATIklRX0NMT1NFUFJJQ0VfQURKIhFJUV9DTE9TRVBSSUNFX0FESgIAAAALIjcvMTEvMjAyNSIJNy8xMS8yMDI1AAAAAAMAAAAAAAAABSJFT0ciA0VPRwEAAAATIklRX0NMT1NFUFJJQ0VfQURKIhFJUV9DTE9TRVBSSUNFX0FESgIAAAAKIjcvMy8yMDI1Igg3LzMvMjAyNQAAAAADAAAAAAAAAAUiRU9HIgNFT0cBAAAAEyJJUV9DTE9TRVBSSUNF</t>
  </si>
  <si>
    <t>X0FESiIRSVFfQ0xPU0VQUklDRV9BREoCAAAACyI2LzI3LzIwMjUiCTYvMjcvMjAyNQAAAAADAAAAAAAAAAUiRU9HIgNFT0cBAAAAEyJJUV9DTE9TRVBSSUNFX0FESiIRSVFfQ0xPU0VQUklDRV9BREoCAAAACyI2LzIwLzIwMjUiCTYvMjAvMjAyNQAAAAADAAAAAAAAAAUiRU9HIgNFT0cBAAAAEyJJUV9DTE9TRVBSSUNFX0FESiIRSVFfQ0xPU0VQUklDRV9BREoCAAAACyI2LzEzLzIwMjUiCTYvMTMvMjAyNQAAAAADAAAAAAAAAAUiRU9HIgNFT0cBAAAAEyJJUV9DTE9TRVBSSUNFX0FESiIRSVFfQ0xPU0VQUklDRV9BREoCAAAACiI2LzYvMjAyNSIINi82LzIwMjUAAAAAAwAAAAAAAAAFIkVPRyIDRU9HAQAAABMiSVFfQ0xPU0VQUklDRV9BREoiEUlRX0NMT1NFUFJJQ0VfQURKAgAAAAsiNS8zMC8yMDI1Igk1LzMwLzIwMjUAAAAAAwAAAAAAAAAFIkVPRyIDRU9HAQAAABMiSVFfQ0xPU0VQUklDRV9BREoiEUlRX0NMT1NFUFJJQ0VfQURKAgAAAAsiNS8yMy8yMDI1Igk1LzIzLzIwMjUAAAAAAwAAAAAAAAAFIkVPRyIDRU9HAQAAABMiSVFfQ0xPU0VQUklDRV9BREoiEUlRX0NMT1NFUFJJQ0VfQURKAgAAAAsiNS8xNi8yMDI1Igk1LzE2LzIwMjUAAAAAAwAAAAAAAAAFIkVPRyIDRU9HAQAAABMiSVFfQ0xPU0VQUklDRV9BREoiEUlRX0NMT1NFUFJJQ0VfQURKAgAAAAoiNS85LzIwMjUiCDUvOS8yMDI1AAAAAAMA</t>
  </si>
  <si>
    <t>AAAAAAAABSJFT0ciA0VPRwEAAAATIklRX0NMT1NFUFJJQ0VfQURKIhFJUV9DTE9TRVBSSUNFX0FESgIAAAAKIjUvMi8yMDI1Igg1LzIvMjAyNQAAAAADAAAAAAAAAAUiRU9HIgNFT0cBAAAAEyJJUV9DTE9TRVBSSUNFX0FESiIRSVFfQ0xPU0VQUklDRV9BREoCAAAACyI0LzI1LzIwMjUiCTQvMjUvMjAyNQAAAAADAAAAAAAAAAUiRU9HIgNFT0cBAAAAEyJJUV9DTE9TRVBSSUNFX0FESiIRSVFfQ0xPU0VQUklDRV9BREoCAAAACyI0LzE3LzIwMjUiCTQvMTcvMjAyNQAAAAADAAAAAAAAAAUiRU9HIgNFT0cBAAAAEyJJUV9DTE9TRVBSSUNFX0FESiIRSVFfQ0xPU0VQUklDRV9BREoCAAAACyI0LzExLzIwMjUiCTQvMTEvMjAyNQAAAAADAAAAAAAAAAUiRU9HIgNFT0cBAAAAEyJJUV9DTE9TRVBSSUNFX0FESiIRSVFfQ0xPU0VQUklDRV9BREoCAAAACiI0LzQvMjAyNSIINC80LzIwMjUAAAAAAwAAAAAAAAAFIkVPRyIDRU9HAQAAABMiSVFfQ0xPU0VQUklDRV9BREoiEUlRX0NMT1NFUFJJQ0VfQURKAgAAAAsiMy8yOC8yMDI1IgkzLzI4LzIwMjUAAAAAAwAAAAAAAAAFIkVPRyIDRU9HAQAAABMiSVFfQ0xPU0VQUklDRV9BREoiEUlRX0NMT1NFUFJJQ0VfQURKAgAAAAsiMy8yMS8yMDI1IgkzLzIxLzIwMjUAAAAAAwAAAAAAAAAFIkVPRyIDRU9HAQAAABMiSVFfQ0xPU0VQUklDRV9BREoiEUlRX0NMT1NFUFJJQ0Vf</t>
  </si>
  <si>
    <t>QURKAgAAAAsiMy8xNC8yMDI1IgkzLzE0LzIwMjUAAAAAAwAAAAAAAAAFIkVPRyIDRU9HAQAAABMiSVFfQ0xPU0VQUklDRV9BREoiEUlRX0NMT1NFUFJJQ0VfQURKAgAAAAoiMy83LzIwMjUiCDMvNy8yMDI1AAAAAAMAAAAAAAAABSJFT0ciA0VPRwEAAAATIklRX0NMT1NFUFJJQ0VfQURKIhFJUV9DTE9TRVBSSUNFX0FESgIAAAALIjIvMjgvMjAyNSIJMi8yOC8yMDI1AAAAAAMAAAAAAAAABSJFT0ciA0VPRwEAAAATIklRX0NMT1NFUFJJQ0VfQURKIhFJUV9DTE9TRVBSSUNFX0FESgIAAAALIjIvMjEvMjAyNSIJMi8yMS8yMDI1AAAAAAMAAAAAAAAABSJFT0ciA0VPRwEAAAATIklRX0NMT1NFUFJJQ0VfQURKIhFJUV9DTE9TRVBSSUNFX0FESgIAAAALIjIvMTQvMjAyNSIJMi8xNC8yMDI1AAAAAAMAAAAAAAAABSJFT0ciA0VPRwEAAAATIklRX0NMT1NFUFJJQ0VfQURKIhFJUV9DTE9TRVBSSUNFX0FESgIAAAAKIjIvNy8yMDI1IggyLzcvMjAyNQAAAAADAAAAAAAAAAUiRU9HIgNFT0cBAAAAEyJJUV9DTE9TRVBSSUNFX0FESiIRSVFfQ0xPU0VQUklDRV9BREoCAAAACyIxLzMxLzIwMjUiCTEvMzEvMjAyNQAAAAADAAAAAAAAAAUiRU9HIgNFT0cBAAAAEyJJUV9DTE9TRVBSSUNFX0FESiIRSVFfQ0xPU0VQUklDRV9BREoCAAAACyIxLzI0LzIwMjUiCTEvMjQvMjAyNQAAAAADAAAAAAAAAAUiRU9HIgNFT0cBAAAA</t>
  </si>
  <si>
    <t>EyJJUV9DTE9TRVBSSUNFX0FESiIRSVFfQ0xPU0VQUklDRV9BREoCAAAACyIxLzE3LzIwMjUiCTEvMTcvMjAyNQAAAAADAAAAAAAAAAUiRU9HIgNFT0cBAAAAEyJJUV9DTE9TRVBSSUNFX0FESiIRSVFfQ0xPU0VQUklDRV9BREoCAAAACyIxLzEwLzIwMjUiCTEvMTAvMjAyNQAAAAADAAAAAAAAAAUiRU9HIgNFT0cBAAAAEyJJUV9DTE9TRVBSSUNFX0FESiIRSVFfQ0xPU0VQUklDRV9BREoCAAAACiIxLzMvMjAyNSIIMS8zLzIwMjUAAAAAAwAAAAAAAAAFIkVPRyIDRU9HAQAAABMiSVFfQ0xPU0VQUklDRV9BREoiEUlRX0NMT1NFUFJJQ0VfQURKAgAAAAwiMTIvMjcvMjAyNCIKMTIvMjcvMjAyNAAAAAADAAAAAAAAAAUiRU9HIgNFT0cBAAAAEyJJUV9DTE9TRVBSSUNFX0FESiIRSVFfQ0xPU0VQUklDRV9BREoCAAAADCIxMi8yMC8yMDI0IgoxMi8yMC8yMDI0AAAAAAMAAAAAAAAABSJFT0ciA0VPRwEAAAATIklRX0NMT1NFUFJJQ0VfQURKIhFJUV9DTE9TRVBSSUNFX0FESgIAAAAMIjEyLzEzLzIwMjQiCjEyLzEzLzIwMjQAAAAAAwAAAAAAAAAFIkVPRyIDRU9HAQAAABMiSVFfQ0xPU0VQUklDRV9BREoiEUlRX0NMT1NFUFJJQ0VfQURKAgAAAAsiMTIvNi8yMDI0IgkxMi82LzIwMjQAAAAAAwAAAAAAAAAFIkVPRyIDRU9HAQAAABMiSVFfQ0xPU0VQUklDRV9BREoiEUlRX0NMT1NFUFJJQ0VfQURKAgAAAAwiMTEv</t>
  </si>
  <si>
    <t>MjkvMjAyNCIKMTEvMjkvMjAyNAAAAAADAAAAAAAAAAUiRU9HIgNFT0cBAAAAEyJJUV9DTE9TRVBSSUNFX0FESiIRSVFfQ0xPU0VQUklDRV9BREoCAAAADCIxMS8yMi8yMDI0IgoxMS8yMi8yMDI0AAAAAAMAAAAAAAAABSJFT0ciA0VPRwEAAAATIklRX0NMT1NFUFJJQ0VfQURKIhFJUV9DTE9TRVBSSUNFX0FESgIAAAAMIjExLzE1LzIwMjQiCjExLzE1LzIwMjQAAAAAAwAAAAAAAAAFIkVPRyIDRU9HAQAAABMiSVFfQ0xPU0VQUklDRV9BREoiEUlRX0NMT1NFUFJJQ0VfQURKAgAAAAsiMTEvOC8yMDI0IgkxMS84LzIwMjQAAAAAAwAAAAAAAAAFIkVPRyIDRU9HAQAAABMiSVFfQ0xPU0VQUklDRV9BREoiEUlRX0NMT1NFUFJJQ0VfQURKAgAAAAsiMTEvMS8yMDI0IgkxMS8xLzIwMjQAAAAAAwAAAAAAAAAFIkVPRyIDRU9HAQAAABMiSVFfQ0xPU0VQUklDRV9BREoiEUlRX0NMT1NFUFJJQ0VfQURKAgAAAAwiMTAvMjUvMjAyNCIKMTAvMjUvMjAyNAAAAAADAAAAAAAAAAUiRU9HIgNFT0cBAAAAEyJJUV9DTE9TRVBSSUNFX0FESiIRSVFfQ0xPU0VQUklDRV9BREoCAAAADCIxMC8xOC8yMDI0IgoxMC8xOC8yMDI0AAAAAAMAAAAAAAAABSJFT0ciA0VPRwEAAAATIklRX0NMT1NFUFJJQ0VfQURKIhFJUV9DTE9TRVBSSUNFX0FESgIAAAAMIjEwLzExLzIwMjQiCjEwLzExLzIwMjQAAAAAAwAAAAAAAAAFIkVPRyIDRU9H</t>
  </si>
  <si>
    <t>AQAAABMiSVFfQ0xPU0VQUklDRV9BREoiEUlRX0NMT1NFUFJJQ0VfQURKAgAAAAsiMTAvNC8yMDI0IgkxMC80LzIwMjQAAAAAAwAAAAAAAAAFIkVPRyIDRU9HAQAAABMiSVFfQ0xPU0VQUklDRV9BREoiEUlRX0NMT1NFUFJJQ0VfQURKAgAAAAsiOS8yNy8yMDI0Igk5LzI3LzIwMjQAAAAAAwAAAAAAAAAFIkVPRyIDRU9HAQAAABMiSVFfQ0xPU0VQUklDRV9BREoiEUlRX0NMT1NFUFJJQ0VfQURKAgAAAAsiOS8yMC8yMDI0Igk5LzIwLzIwMjQAAAAAAwAAAAAAAAAFIkVPRyIDRU9HAQAAABMiSVFfQ0xPU0VQUklDRV9BREoiEUlRX0NMT1NFUFJJQ0VfQURKAgAAAAsiOS8xMy8yMDI0Igk5LzEzLzIwMjQAAAAAAwAAAAAAAAAFIkVPRyIDRU9HAQAAABMiSVFfQ0xPU0VQUklDRV9BREoiEUlRX0NMT1NFUFJJQ0VfQURKAgAAAAoiOS82LzIwMjQiCDkvNi8yMDI0AAAAAAMAAAAAAAAABSJFT0ciA0VPRwEAAAATIklRX0NMT1NFUFJJQ0VfQURKIhFJUV9DTE9TRVBSSUNFX0FESgIAAAALIjgvMzAvMjAyNCIJOC8zMC8yMDI0AAAAAAMAAAAAAAAABSJFT0ciA0VPRwEAAAATIklRX0NMT1NFUFJJQ0VfQURKIhFJUV9DTE9TRVBSSUNFX0FESgIAAAALIjgvMjMvMjAyNCIJOC8yMy8yMDI0AAAAAAMAAAAAAAAABSJFT0ciA0VPRwEAAAATIklRX0NMT1NFUFJJQ0VfQURKIhFJUV9DTE9TRVBSSUNFX0FESgIAAAALIjgvMTYv</t>
  </si>
  <si>
    <t>MjAyNCIJOC8xNi8yMDI0AAAAAAMAAAAAAAAABSJFT0ciA0VPRwEAAAATIklRX0NMT1NFUFJJQ0VfQURKIhFJUV9DTE9TRVBSSUNFX0FESgIAAAAKIjgvOS8yMDI0Igg4LzkvMjAyNAAAAAADAAAAAAAAAAUiRU9HIgNFT0cBAAAAEyJJUV9DTE9TRVBSSUNFX0FESiIRSVFfQ0xPU0VQUklDRV9BREoCAAAACiI4LzIvMjAyNCIIOC8yLzIwMjQAAAAAAwAAAAAAAAAFIkVPRyIDRU9HAQAAABMiSVFfQ0xPU0VQUklDRV9BREoiEUlRX0NMT1NFUFJJQ0VfQURKAgAAAAsiNy8yNi8yMDI0Igk3LzI2LzIwMjQAAAAAAwAAAAAAAAAFIkVPRyIDRU9HAQAAABMiSVFfQ0xPU0VQUklDRV9BREoiEUlRX0NMT1NFUFJJQ0VfQURKAgAAAAsiNy8xOS8yMDI0Igk3LzE5LzIwMjQAAAAAAwAAAAAAAAAFIkVPRyIDRU9HAQAAABMiSVFfQ0xPU0VQUklDRV9BREoiEUlRX0NMT1NFUFJJQ0VfQURKAgAAAAsiNy8xMi8yMDI0Igk3LzEyLzIwMjQAAAAAAwAAAAAAAAAFIkVPRyIDRU9HAQAAABMiSVFfQ0xPU0VQUklDRV9BREoiEUlRX0NMT1NFUFJJQ0VfQURKAgAAAAoiNy81LzIwMjQiCDcvNS8yMDI0AAAAAAMAAAAAAAAABSJFT0ciA0VPRwEAAAATIklRX0NMT1NFUFJJQ0VfQURKIhFJUV9DTE9TRVBSSUNFX0FESgIAAAALIjYvMjgvMjAyNCIJNi8yOC8yMDI0AAAAAAMAAAAAAAAABSJFT0ciA0VPRwEAAAATIklRX0NMT1NFUFJJQ0Vf</t>
  </si>
  <si>
    <t>QURKIhFJUV9DTE9TRVBSSUNFX0FESgIAAAALIjYvMjEvMjAyNCIJNi8yMS8yMDI0AAAAAAMAAAAAAAAABSJFT0ciA0VPRwEAAAATIklRX0NMT1NFUFJJQ0VfQURKIhFJUV9DTE9TRVBSSUNFX0FESgIAAAALIjYvMTQvMjAyNCIJNi8xNC8yMDI0AAAAAAMAAAAAAAAABSJFT0ciA0VPRwEAAAATIklRX0NMT1NFUFJJQ0VfQURKIhFJUV9DTE9TRVBSSUNFX0FESgIAAAAKIjYvNy8yMDI0Igg2LzcvMjAyNAAAAAADAAAAAAAAAAUiRU9HIgNFT0cBAAAAEyJJUV9DTE9TRVBSSUNFX0FESiIRSVFfQ0xPU0VQUklDRV9BREoCAAAACyI1LzMxLzIwMjQiCTUvMzEvMjAyNAAAAAADAAAAAAAAAAUiRU9HIgNFT0cBAAAAEyJJUV9DTE9TRVBSSUNFX0FESiIRSVFfQ0xPU0VQUklDRV9BREoCAAAACyI1LzI0LzIwMjQiCTUvMjQvMjAyNAAAAAADAAAAAAAAAAUiRU9HIgNFT0cBAAAAEyJJUV9DTE9TRVBSSUNFX0FESiIRSVFfQ0xPU0VQUklDRV9BREoCAAAACyI1LzE3LzIwMjQiCTUvMTcvMjAyNAAAAAADAAAAAAAAAAUiRU9HIgNFT0cBAAAAEyJJUV9DTE9TRVBSSUNFX0FESiIRSVFfQ0xPU0VQUklDRV9BREoCAAAACyI1LzEwLzIwMjQiCTUvMTAvMjAyNAAAAAADAAAAAAAAAAUiRU9HIgNFT0cBAAAAEyJJUV9DTE9TRVBSSUNFX0FESiIRSVFfQ0xPU0VQUklDRV9BREoCAAAACiI1LzMvMjAyNCIINS8zLzIwMjQAAAAAAwAA</t>
  </si>
  <si>
    <t>AAAAAAAFIkVPRyIDRU9HAQAAABMiSVFfQ0xPU0VQUklDRV9BREoiEUlRX0NMT1NFUFJJQ0VfQURKAgAAAAsiNC8yNi8yMDI0Igk0LzI2LzIwMjQAAAAAAwAAAAAAAAAFIkVPRyIDRU9HAQAAABMiSVFfQ0xPU0VQUklDRV9BREoiEUlRX0NMT1NFUFJJQ0VfQURKAgAAAAsiNC8xOS8yMDI0Igk0LzE5LzIwMjQAAAAAAwAAAAAAAAAFIkVPRyIDRU9HAQAAABMiSVFfQ0xPU0VQUklDRV9BREoiEUlRX0NMT1NFUFJJQ0VfQURKAgAAAAsiNC8xMi8yMDI0Igk0LzEyLzIwMjQAAAAAAwAAAAAAAAAFIkVPRyIDRU9HAQAAABMiSVFfQ0xPU0VQUklDRV9BREoiEUlRX0NMT1NFUFJJQ0VfQURKAgAAAAoiNC81LzIwMjQiCDQvNS8yMDI0AAAAAAMAAAAAAAAABSJFT0ciA0VPRwEAAAATIklRX0NMT1NFUFJJQ0VfQURKIhFJUV9DTE9TRVBSSUNFX0FESgIAAAALIjMvMjgvMjAyNCIJMy8yOC8yMDI0AAAAAAMAAAAAAAAABSJFT0ciA0VPRwEAAAATIklRX0NMT1NFUFJJQ0VfQURKIhFJUV9DTE9TRVBSSUNFX0FESgIAAAALIjMvMjIvMjAyNCIJMy8yMi8yMDI0AAAAAAMAAAAAAAAABSJFT0ciA0VPRwEAAAATIklRX0NMT1NFUFJJQ0VfQURKIhFJUV9DTE9TRVBSSUNFX0FESgIAAAALIjMvMTUvMjAyNCIJMy8xNS8yMDI0AAAAAAMAAAAAAAAABSJFT0ciA0VPRwEAAAATIklRX0NMT1NFUFJJQ0VfQURKIhFJUV9DTE9TRVBSSUNF</t>
  </si>
  <si>
    <t>X0FESgIAAAAKIjMvOC8yMDI0IggzLzgvMjAyNAAAAAADAAAAAAAAAAUiRU9HIgNFT0cBAAAAEyJJUV9DTE9TRVBSSUNFX0FESiIRSVFfQ0xPU0VQUklDRV9BREoCAAAACiIzLzEvMjAyNCIIMy8xLzIwMjQAAAAAAwAAAAAAAAAFIkVPRyIDRU9HAQAAABMiSVFfQ0xPU0VQUklDRV9BREoiEUlRX0NMT1NFUFJJQ0VfQURKAgAAAAsiMi8yMy8yMDI0IgkyLzIzLzIwMjQAAAAAAwAAAAAAAAAFIkVPRyIDRU9HAQAAABMiSVFfQ0xPU0VQUklDRV9BREoiEUlRX0NMT1NFUFJJQ0VfQURKAgAAAAsiMi8xNi8yMDI0IgkyLzE2LzIwMjQAAAAAAwAAAAAAAAAFIkVPRyIDRU9HAQAAABMiSVFfQ0xPU0VQUklDRV9BREoiEUlRX0NMT1NFUFJJQ0VfQURKAgAAAAoiMi85LzIwMjQiCDIvOS8yMDI0AAAAAAMAAAAAAAAABSJFT0ciA0VPRwEAAAATIklRX0NMT1NFUFJJQ0VfQURKIhFJUV9DTE9TRVBSSUNFX0FESgIAAAAKIjIvMi8yMDI0IggyLzIvMjAyNAAAAAADAAAAAAAAAAUiRU9HIgNFT0cBAAAAEyJJUV9DTE9TRVBSSUNFX0FESiIRSVFfQ0xPU0VQUklDRV9BREoCAAAACyIxLzI2LzIwMjQiCTEvMjYvMjAyNAAAAAADAAAAAAAAAAUiRU9HIgNFT0cBAAAAEyJJUV9DTE9TRVBSSUNFX0FESiIRSVFfQ0xPU0VQUklDRV9BREoCAAAACyIxLzE5LzIwMjQiCTEvMTkvMjAyNAAAAAADAAAAAAAAAAUiRU9HIgNFT0cBAAAAEyJJ</t>
  </si>
  <si>
    <t>UV9DTE9TRVBSSUNFX0FESiIRSVFfQ0xPU0VQUklDRV9BREoCAAAACyIxLzEyLzIwMjQiCTEvMTIvMjAyNAAAAAADAAAAAAAAAAUiRU9HIgNFT0cBAAAAEyJJUV9DTE9TRVBSSUNFX0FESiIRSVFfQ0xPU0VQUklDRV9BREoCAAAACiIxLzUvMjAyNCIIMS81LzIwMjQAAAAAAwAAAAAAAAAFIkVPRyIDRU9HAQAAABMiSVFfQ0xPU0VQUklDRV9BREoiEUlRX0NMT1NFUFJJQ0VfQURKAgAAAAwiMTIvMjkvMjAyMyIKMTIvMjkvMjAyMwAAAAADAAAAAAAAAAUiRU9HIgNFT0cBAAAAEyJJUV9DTE9TRVBSSUNFX0FESiIRSVFfQ0xPU0VQUklDRV9BREoCAAAADCIxMi8yMi8yMDIzIgoxMi8yMi8yMDIzAAAAAAMAAAAAAAAABSJFT0ciA0VPRwEAAAATIklRX0NMT1NFUFJJQ0VfQURKIhFJUV9DTE9TRVBSSUNFX0FESgIAAAAMIjEyLzE1LzIwMjMiCjEyLzE1LzIwMjMAAAAAAwAAAAAAAAAFIkVPRyIDRU9HAQAAABMiSVFfQ0xPU0VQUklDRV9BREoiEUlRX0NMT1NFUFJJQ0VfQURKAgAAAAsiMTIvOC8yMDIzIgkxMi84LzIwMjMAAAAAAwAAAAAAAAAFIkVPRyIDRU9HAQAAABMiSVFfQ0xPU0VQUklDRV9BREoiEUlRX0NMT1NFUFJJQ0VfQURKAgAAAAsiMTIvMS8yMDIzIgkxMi8xLzIwMjMAAAAAAwAAAAAAAAAFIkVPRyIDRU9HAQAAABMiSVFfQ0xPU0VQUklDRV9BREoiEUlRX0NMT1NFUFJJQ0VfQURKAgAAAAwiMTEvMjQv</t>
  </si>
  <si>
    <t>MjAyMyIKMTEvMjQvMjAyMwAAAAADAAAAAAAAAAUiRU9HIgNFT0cBAAAAEyJJUV9DTE9TRVBSSUNFX0FESiIRSVFfQ0xPU0VQUklDRV9BREoCAAAADCIxMS8xNy8yMDIzIgoxMS8xNy8yMDIzAAAAAAMAAAAAAAAABSJFT0ciA0VPRwEAAAATIklRX0NMT1NFUFJJQ0VfQURKIhFJUV9DTE9TRVBSSUNFX0FESgIAAAAMIjExLzEwLzIwMjMiCjExLzEwLzIwMjMAAAAAAwAAAAAAAAAFIkVPRyIDRU9HAQAAABMiSVFfQ0xPU0VQUklDRV9BREoiEUlRX0NMT1NFUFJJQ0VfQURKAgAAAAsiMTEvMy8yMDIzIgkxMS8zLzIwMjMAAAAAAwAAAAAAAAAFIkVPRyIDRU9HAQAAABMiSVFfQ0xPU0VQUklDRV9BREoiEUlRX0NMT1NFUFJJQ0VfQURKAgAAAAwiMTAvMjcvMjAyMyIKMTAvMjcvMjAyMwAAAAADAAAAAAAAAAUiRU9HIgNFT0cBAAAAEyJJUV9DTE9TRVBSSUNFX0FESiIRSVFfQ0xPU0VQUklDRV9BREoCAAAADCIxMC8yMC8yMDIzIgoxMC8yMC8yMDIzAAAAAAMAAAAAAAAABSJFT0ciA0VPRwEAAAATIklRX0NMT1NFUFJJQ0VfQURKIhFJUV9DTE9TRVBSSUNFX0FESgIAAAAMIjEwLzEzLzIwMjMiCjEwLzEzLzIwMjMAAAAAAwAAAAAAAAAFIkVPRyIDRU9HAQAAABMiSVFfQ0xPU0VQUklDRV9BREoiEUlRX0NMT1NFUFJJQ0VfQURKAgAAAAsiMTAvNi8yMDIzIgkxMC82LzIwMjMAAAAAAwAAAAAAAAAFIkVPRyIDRU9HAQAA</t>
  </si>
  <si>
    <t>ABMiSVFfQ0xPU0VQUklDRV9BREoiEUlRX0NMT1NFUFJJQ0VfQURKAgAAAAsiOS8yOS8yMDIzIgk5LzI5LzIwMjMAAAAAAwAAAAAAAAAFIkVPRyIDRU9HAQAAABMiSVFfQ0xPU0VQUklDRV9BREoiEUlRX0NMT1NFUFJJQ0VfQURKAgAAAAsiOS8yMi8yMDIzIgk5LzIyLzIwMjMAAAAAAwAAAAAAAAAFIkVPRyIDRU9HAQAAABMiSVFfQ0xPU0VQUklDRV9BREoiEUlRX0NMT1NFUFJJQ0VfQURKAgAAAAsiOS8xNS8yMDIzIgk5LzE1LzIwMjMAAAAAAwAAAAAAAAAFIkVPRyIDRU9HAQAAABMiSVFfQ0xPU0VQUklDRV9BREoiEUlRX0NMT1NFUFJJQ0VfQURKAgAAAAoiOS84LzIwMjMiCDkvOC8yMDIzAAAAAAMAAAAAAAAABSJFT0ciA0VPRwEAAAATIklRX0NMT1NFUFJJQ0VfQURKIhFJUV9DTE9TRVBSSUNFX0FESgIAAAAKIjkvMS8yMDIzIgg5LzEvMjAyMwAAAAADAAAAAAAAAAUiRU9HIgNFT0cBAAAAEyJJUV9DTE9TRVBSSUNFX0FESiIRSVFfQ0xPU0VQUklDRV9BREoCAAAACyI4LzI1LzIwMjMiCTgvMjUvMjAyMwAAAAADAAAAAAAAAAUiRU9HIgNFT0cBAAAAEyJJUV9DTE9TRVBSSUNFX0FESiIRSVFfQ0xPU0VQUklDRV9BREoCAAAACyI4LzE4LzIwMjMiCTgvMTgvMjAyMwAAAAADAAAAAAAAAAUiRU9HIgNFT0cBAAAAEyJJUV9DTE9TRVBSSUNFX0FESiIRSVFfQ0xPU0VQUklDRV9BREoCAAAACyI4LzExLzIwMjMi</t>
  </si>
  <si>
    <t>CTgvMTEvMjAyMwAAAAADAAAAAAAAAAUiRU9HIgNFT0cBAAAAEyJJUV9DTE9TRVBSSUNFX0FESiIRSVFfQ0xPU0VQUklDRV9BREoCAAAACiI4LzQvMjAyMyIIOC80LzIwMjMAAAAAAwAAAAAAAAAFIkVPRyIDRU9HAQAAABMiSVFfQ0xPU0VQUklDRV9BREoiEUlRX0NMT1NFUFJJQ0VfQURKAgAAAAsiNy8yOC8yMDIzIgk3LzI4LzIwMjMAAAAAAwAAAAAAAAAFIkVPRyIDRU9HAQAAABMiSVFfQ0xPU0VQUklDRV9BREoiEUlRX0NMT1NFUFJJQ0VfQURKAgAAAAsiNy8yMS8yMDIzIgk3LzIxLzIwMjMAAAAAAwAAAAAAAAAFIkVPRyIDRU9HAQAAABMiSVFfQ0xPU0VQUklDRV9BREoiEUlRX0NMT1NFUFJJQ0VfQURKAgAAAAsiNy8xNC8yMDIzIgk3LzE0LzIwMjMAAAAAAwAAAAAAAAAFIkVPRyIDRU9HAQAAABMiSVFfQ0xPU0VQUklDRV9BREoiEUlRX0NMT1NFUFJJQ0VfQURKAgAAAAoiNy83LzIwMjMiCDcvNy8yMDIzAAAAAAMAAAAAAAAABSJFT0ciA0VPRwEAAAATIklRX0NMT1NFUFJJQ0VfQURKIhFJUV9DTE9TRVBSSUNFX0FESgIAAAALIjYvMzAvMjAyMyIJNi8zMC8yMDIzAAAAAAMAAAAAAAAABSJFT0ciA0VPRwEAAAATIklRX0NMT1NFUFJJQ0VfQURKIhFJUV9DTE9TRVBSSUNFX0FESgIAAAALIjYvMjMvMjAyMyIJNi8yMy8yMDIzAAAAAAMAAAAAAAAABSJFT0ciA0VPRwEAAAATIklRX0NMT1NFUFJJQ0VfQURK</t>
  </si>
  <si>
    <t>IhFJUV9DTE9TRVBSSUNFX0FESgIAAAALIjYvMTYvMjAyMyIJNi8xNi8yMDIzAAAAAAMAAAAAAAAABSJFT0ciA0VPRwEAAAATIklRX0NMT1NFUFJJQ0VfQURKIhFJUV9DTE9TRVBSSUNFX0FESgIAAAAKIjYvOS8yMDIzIgg2LzkvMjAyMwAAAAADAAAAAAAAAAUiRU9HIgNFT0cBAAAAEyJJUV9DTE9TRVBSSUNFX0FESiIRSVFfQ0xPU0VQUklDRV9BREoCAAAACiI2LzIvMjAyMyIINi8yLzIwMjMAAAAAAwAAAAAAAAAFIkVPRyIDRU9HAQAAABMiSVFfQ0xPU0VQUklDRV9BREoiEUlRX0NMT1NFUFJJQ0VfQURKAgAAAAsiNS8yNi8yMDIzIgk1LzI2LzIwMjMAAAAAAwAAAAAAAAAFIkVPRyIDRU9HAQAAABMiSVFfQ0xPU0VQUklDRV9BREoiEUlRX0NMT1NFUFJJQ0VfQURKAgAAAAsiNS8xOS8yMDIzIgk1LzE5LzIwMjMAAAAAAwAAAAAAAAAFIkVPRyIDRU9HAQAAABMiSVFfQ0xPU0VQUklDRV9BREoiEUlRX0NMT1NFUFJJQ0VfQURKAgAAAAsiNS8xMi8yMDIzIgk1LzEyLzIwMjMAAAAAAwAAAAAAAAAFIkVPRyIDRU9HAQAAABMiSVFfQ0xPU0VQUklDRV9BREoiEUlRX0NMT1NFUFJJQ0VfQURKAgAAAAoiNS81LzIwMjMiCDUvNS8yMDIzAAAAAAMAAAAAAAAABSJFT0ciA0VPRwEAAAATIklRX0NMT1NFUFJJQ0VfQURKIhFJUV9DTE9TRVBSSUNFX0FESgIAAAALIjQvMjgvMjAyMyIJNC8yOC8yMDIzAAAAAAMAAAAAAAAA</t>
  </si>
  <si>
    <t>BSJFT0ciA0VPRwEAAAATIklRX0NMT1NFUFJJQ0VfQURKIhFJUV9DTE9TRVBSSUNFX0FESgIAAAALIjQvMjEvMjAyMyIJNC8yMS8yMDIzAAAAAAMAAAAAAAAABSJFT0ciA0VPRwEAAAATIklRX0NMT1NFUFJJQ0VfQURKIhFJUV9DTE9TRVBSSUNFX0FESgIAAAALIjQvMTQvMjAyMyIJNC8xNC8yMDIzAAAAAAMAAAAAAAAABSJFT0ciA0VPRwEAAAATIklRX0NMT1NFUFJJQ0VfQURKIhFJUV9DTE9TRVBSSUNFX0FESgIAAAAKIjQvNi8yMDIzIgg0LzYvMjAyMwAAAAADAAAAAAAAAAUiRU9HIgNFT0cBAAAAEyJJUV9DTE9TRVBSSUNFX0FESiIRSVFfQ0xPU0VQUklDRV9BREoCAAAACyIzLzMxLzIwMjMiCTMvMzEvMjAyMwAAAAADAAAAAAAAAAUiRU9HIgNFT0cBAAAAEyJJUV9DTE9TRVBSSUNFX0FESiIRSVFfQ0xPU0VQUklDRV9BREoCAAAACyIzLzI0LzIwMjMiCTMvMjQvMjAyMwAAAAADAAAAAAAAAAUiRU9HIgNFT0cBAAAAEyJJUV9DTE9TRVBSSUNFX0FESiIRSVFfQ0xPU0VQUklDRV9BREoCAAAACyIzLzE3LzIwMjMiCTMvMTcvMjAyMwAAAAADAAAAAAAAAAUiRU9HIgNFT0cBAAAAEyJJUV9DTE9TRVBSSUNFX0FESiIRSVFfQ0xPU0VQUklDRV9BREoCAAAACyIzLzEwLzIwMjMiCTMvMTAvMjAyMwAAAAADAAAAAAAAAAUiRU9HIgNFT0cBAAAAEyJJUV9DTE9TRVBSSUNFX0FESiIRSVFfQ0xPU0VQUklDRV9BREoC</t>
  </si>
  <si>
    <t>AAAACiIzLzMvMjAyMyIIMy8zLzIwMjMAAAAAAwAAAAAAAAAFIkVPRyIDRU9HAQAAABMiSVFfQ0xPU0VQUklDRV9BREoiEUlRX0NMT1NFUFJJQ0VfQURKAgAAAAsiMi8yNC8yMDIzIgkyLzI0LzIwMjMAAAAAAwAAAAAAAAAFIkVPRyIDRU9HAQAAABMiSVFfQ0xPU0VQUklDRV9BREoiEUlRX0NMT1NFUFJJQ0VfQURKAgAAAAsiMi8xNy8yMDIzIgkyLzE3LzIwMjMAAAAAAwAAAAAAAAAFIkVPRyIDRU9HAQAAABMiSVFfQ0xPU0VQUklDRV9BREoiEUlRX0NMT1NFUFJJQ0VfQURKAgAAAAsiMi8xMC8yMDIzIgkyLzEwLzIwMjMAAAAAAwAAAAAAAAAFIkVPRyIDRU9HAQAAABMiSVFfQ0xPU0VQUklDRV9BREoiEUlRX0NMT1NFUFJJQ0VfQURKAgAAAAoiMi8zLzIwMjMiCDIvMy8yMDIzAAAAAAMAAAAAAAAABSJFT0ciA0VPRwEAAAATIklRX0NMT1NFUFJJQ0VfQURKIhFJUV9DTE9TRVBSSUNFX0FESgIAAAALIjEvMjcvMjAyMyIJMS8yNy8yMDIzAAAAAAMAAAAAAAAABSJFT0ciA0VPRwEAAAATIklRX0NMT1NFUFJJQ0VfQURKIhFJUV9DTE9TRVBSSUNFX0FESgIAAAALIjEvMjAvMjAyMyIJMS8yMC8yMDIzAAAAAAMAAAAAAAAABSJFT0ciA0VPRwEAAAATIklRX0NMT1NFUFJJQ0VfQURKIhFJUV9DTE9TRVBSSUNFX0FESgIAAAALIjEvMTMvMjAyMyIJMS8xMy8yMDIzAAAAAAMAAAAAAAAABSJFT0ciA0VPRwEAAAATIklR</t>
  </si>
  <si>
    <t>X0NMT1NFUFJJQ0VfQURKIhFJUV9DTE9TRVBSSUNFX0FESgIAAAAKIjEvNi8yMDIzIggxLzYvMjAyMwAAAAADAAAAAAAAAAUiRU9HIgNFT0cBAAAAEyJJUV9DTE9TRVBSSUNFX0FESiIRSVFfQ0xPU0VQUklDRV9BREoCAAAADCIxMi8zMC8yMDIyIgoxMi8zMC8yMDIyAAAAAAMAAAAAAAAABSJFT0ciA0VPRwEAAAATIklRX0NMT1NFUFJJQ0VfQURKIhFJUV9DTE9TRVBSSUNFX0FESgIAAAAMIjEyLzIzLzIwMjIiCjEyLzIzLzIwMjIAAAAAAwAAAAAAAAAFIkVPRyIDRU9HAQAAABMiSVFfQ0xPU0VQUklDRV9BREoiEUlRX0NMT1NFUFJJQ0VfQURKAgAAAAwiMTIvMTYvMjAyMiIKMTIvMTYvMjAyMgAAAAADAAAAAAAAAAUiRU9HIgNFT0cBAAAAEyJJUV9DTE9TRVBSSUNFX0FESiIRSVFfQ0xPU0VQUklDRV9BREoCAAAACyIxMi85LzIwMjIiCTEyLzkvMjAyMgAAAAADAAAAAAAAAAUiRU9HIgNFT0cBAAAAEyJJUV9DTE9TRVBSSUNFX0FESiIRSVFfQ0xPU0VQUklDRV9BREoCAAAACyIxMi8yLzIwMjIiCTEyLzIvMjAyMgAAAAADAAAAAAAAAAUiRU9HIgNFT0cBAAAAEyJJUV9DTE9TRVBSSUNFX0FESiIRSVFfQ0xPU0VQUklDRV9BREoCAAAADCIxMS8yNS8yMDIyIgoxMS8yNS8yMDIyAAAAAAMAAAAAAAAABSJFT0ciA0VPRwEAAAATIklRX0NMT1NFUFJJQ0VfQURKIhFJUV9DTE9TRVBSSUNFX0FESgIAAAAMIjExLzE4</t>
  </si>
  <si>
    <t>LzIwMjIiCjExLzE4LzIwMjIAAAAAAwAAAAAAAAAFIkVPRyIDRU9HAQAAABMiSVFfQ0xPU0VQUklDRV9BREoiEUlRX0NMT1NFUFJJQ0VfQURKAgAAAAwiMTEvMTEvMjAyMiIKMTEvMTEvMjAyMgAAAAADAAAAAAAAAAUiRU9HIgNFT0cBAAAAEyJJUV9DTE9TRVBSSUNFX0FESiIRSVFfQ0xPU0VQUklDRV9BREoCAAAACyIxMS80LzIwMjIiCTExLzQvMjAyMgAAAAADAAAAAAAAAAUiRU9HIgNFT0cBAAAAEyJJUV9DTE9TRVBSSUNFX0FESiIRSVFfQ0xPU0VQUklDRV9BREoCAAAADCIxMC8yOC8yMDIyIgoxMC8yOC8yMDIyAAAAAAMAAAAAAAAABSJFT0ciA0VPRwEAAAATIklRX0NMT1NFUFJJQ0VfQURKIhFJUV9DTE9TRVBSSUNFX0FESgIAAAAMIjEwLzIxLzIwMjIiCjEwLzIxLzIwMjIAAAAAAwAAAAAAAAAFIkVPRyIDRU9HAQAAABMiSVFfQ0xPU0VQUklDRV9BREoiEUlRX0NMT1NFUFJJQ0VfQURKAgAAAAwiMTAvMTQvMjAyMiIKMTAvMTQvMjAyMgAAAAADAAAAAAAAAAUiRU9HIgNFT0cBAAAAEyJJUV9DTE9TRVBSSUNFX0FESiIRSVFfQ0xPU0VQUklDRV9BREoCAAAACyIxMC83LzIwMjIiCTEwLzcvMjAyMgAAAAADAAAAAAAAAAUiRU9HIgNFT0cBAAAAEyJJUV9DTE9TRVBSSUNFX0FESiIRSVFfQ0xPU0VQUklDRV9BREoCAAAACyI5LzMwLzIwMjIiCTkvMzAvMjAyMgAAAAADAAAAAAAAAAUiRU9HIgNFT0cBAAAA</t>
  </si>
  <si>
    <t>EyJJUV9DTE9TRVBSSUNFX0FESiIRSVFfQ0xPU0VQUklDRV9BREoCAAAACyI5LzIzLzIwMjIiCTkvMjMvMjAyMgAAAAADAAAAAAAAAAUiRU9HIgNFT0cBAAAAEyJJUV9DTE9TRVBSSUNFX0FESiIRSVFfQ0xPU0VQUklDRV9BREoCAAAACyI5LzE2LzIwMjIiCTkvMTYvMjAyMgAAAAADAAAAAAAAAAUiRU9HIgNFT0cBAAAAEyJJUV9DTE9TRVBSSUNFX0FESiIRSVFfQ0xPU0VQUklDRV9BREoCAAAACiI5LzkvMjAyMiIIOS85LzIwMjIAAAAAAwAAAAAAAAAFIkVPRyIDRU9HAQAAABMiSVFfQ0xPU0VQUklDRV9BREoiEUlRX0NMT1NFUFJJQ0VfQURKAgAAAAoiOS8yLzIwMjIiCDkvMi8yMDIyAAAAAAMAAAAAAAAABSJFT0ciA0VPRwEAAAATIklRX0NMT1NFUFJJQ0VfQURKIhFJUV9DTE9TRVBSSUNFX0FESgIAAAALIjgvMjYvMjAyMiIJOC8yNi8yMDIyAAAAAAMAAAAAAAAABSJFT0ciA0VPRwEAAAATIklRX0NMT1NFUFJJQ0VfQURKIhFJUV9DTE9TRVBSSUNFX0FESgIAAAALIjgvMTkvMjAyMiIJOC8xOS8yMDIyAAAAAAMAAAAAAAAABSJFT0ciA0VPRwEAAAATIklRX0NMT1NFUFJJQ0VfQURKIhFJUV9DTE9TRVBSSUNFX0FESgIAAAALIjgvMTIvMjAyMiIJOC8xMi8yMDIyAAAAAAMAAAAAAAAABSJFT0ciA0VPRwEAAAATIklRX0NMT1NFUFJJQ0VfQURKIhFJUV9DTE9TRVBSSUNFX0FESgIAAAAKIjgvNS8yMDIyIgg4</t>
  </si>
  <si>
    <t>LzUvMjAyMgAAAAADAAAAAAAAAAUiRU9HIgNFT0cBAAAAEyJJUV9DTE9TRVBSSUNFX0FESiIRSVFfQ0xPU0VQUklDRV9BREoCAAAACyI3LzI5LzIwMjIiCTcvMjkvMjAyMgAAAAADAAAAAAAAAAUiRU9HIgNFT0cBAAAAEyJJUV9DTE9TRVBSSUNFX0FESiIRSVFfQ0xPU0VQUklDRV9BREoCAAAACyI3LzIyLzIwMjIiCTcvMjIvMjAyMgAAAAADAAAAAAAAAAUiRU9HIgNFT0cBAAAAEyJJUV9DTE9TRVBSSUNFX0FESiIRSVFfQ0xPU0VQUklDRV9BREoCAAAACyI3LzE1LzIwMjIiCTcvMTUvMjAyMgAAAAADAAAAAAAAAAUiRU9HIgNFT0cBAAAAEyJJUV9DTE9TRVBSSUNFX0FESiIRSVFfQ0xPU0VQUklDRV9BREoCAAAACiI3LzgvMjAyMiIINy84LzIwMjIAAAAAAwAAAAAAAAAFIkVPRyIDRU9HAQAAABMiSVFfQ0xPU0VQUklDRV9BREoiEUlRX0NMT1NFUFJJQ0VfQURKAgAAAAoiNy8xLzIwMjIiCDcvMS8yMDIyAAAAAAMAAAAAAAAABSJFT0ciA0VPRwEAAAATIklRX0NMT1NFUFJJQ0VfQURKIhFJUV9DTE9TRVBSSUNFX0FESgIAAAALIjYvMjQvMjAyMiIJNi8yNC8yMDIyAAAAAAMAAAAAAAAABSJFT0ciA0VPRwEAAAATIklRX0NMT1NFUFJJQ0VfQURKIhFJUV9DTE9TRVBSSUNFX0FESgIAAAALIjYvMTcvMjAyMiIJNi8xNy8yMDIyAAAAAAMAAAAAAAAABSJFT0ciA0VPRwEAAAATIklRX0NMT1NFUFJJQ0VfQURKIhFJ</t>
  </si>
  <si>
    <t>UV9DTE9TRVBSSUNFX0FESgIAAAALIjYvMTAvMjAyMiIJNi8xMC8yMDIyAAAAAAMAAAAAAAAABSJFT0ciA0VPRwEAAAATIklRX0NMT1NFUFJJQ0VfQURKIhFJUV9DTE9TRVBSSUNFX0FESgIAAAAKIjYvMy8yMDIyIgg2LzMvMjAyMgAAAAADAAAAAAAAAAUiRU9HIgNFT0cBAAAAEyJJUV9DTE9TRVBSSUNFX0FESiIRSVFfQ0xPU0VQUklDRV9BREoCAAAACyI1LzI3LzIwMjIiCTUvMjcvMjAyMgAAAAADAAAAAAAAAAUiRU9HIgNFT0cBAAAAEyJJUV9DTE9TRVBSSUNFX0FESiIRSVFfQ0xPU0VQUklDRV9BREoCAAAACyI1LzIwLzIwMjIiCTUvMjAvMjAyMgAAAAADAAAAAAAAAAUiRU9HIgNFT0cBAAAAEyJJUV9DTE9TRVBSSUNFX0FESiIRSVFfQ0xPU0VQUklDRV9BREoCAAAACyI1LzEzLzIwMjIiCTUvMTMvMjAyMgAAAAADAAAAAAAAAAUiRU9HIgNFT0cBAAAAEyJJUV9DTE9TRVBSSUNFX0FESiIRSVFfQ0xPU0VQUklDRV9BREoCAAAACiI1LzYvMjAyMiIINS82LzIwMjIAAAAAAwAAAAAAAAAFIkVPRyIDRU9HAQAAABMiSVFfQ0xPU0VQUklDRV9BREoiEUlRX0NMT1NFUFJJQ0VfQURKAgAAAAsiNC8yOS8yMDIyIgk0LzI5LzIwMjIAAAAAAwAAAAAAAAAFIkVPRyIDRU9HAQAAABMiSVFfQ0xPU0VQUklDRV9BREoiEUlRX0NMT1NFUFJJQ0VfQURKAgAAAAsiNC8yMi8yMDIyIgk0LzIyLzIwMjIAAAAAAwAAAAAAAAAF</t>
  </si>
  <si>
    <t>IkVPRyIDRU9HAQAAABMiSVFfQ0xPU0VQUklDRV9BREoiEUlRX0NMT1NFUFJJQ0VfQURKAgAAAAsiNC8xNC8yMDIyIgk0LzE0LzIwMjIAAAAAAwAAAAAAAAAFIkVPRyIDRU9HAQAAABMiSVFfQ0xPU0VQUklDRV9BREoiEUlRX0NMT1NFUFJJQ0VfQURKAgAAAAoiNC84LzIwMjIiCDQvOC8yMDIyAAAAAAMAAAAAAAAABSJFT0ciA0VPRwEAAAATIklRX0NMT1NFUFJJQ0VfQURKIhFJUV9DTE9TRVBSSUNFX0FESgIAAAAKIjQvMS8yMDIyIgg0LzEvMjAyMgAAAAADAAAAAAAAAAUiRU9HIgNFT0cBAAAAEyJJUV9DTE9TRVBSSUNFX0FESiIRSVFfQ0xPU0VQUklDRV9BREoCAAAACyIzLzI1LzIwMjIiCTMvMjUvMjAyMgAAAAADAAAAAAAAAAUiRU9HIgNFT0cBAAAAEyJJUV9DTE9TRVBSSUNFX0FESiIRSVFfQ0xPU0VQUklDRV9BREoCAAAACyIzLzE4LzIwMjIiCTMvMTgvMjAyMgAAAAADAAAAAAAAAAUiRU9HIgNFT0cBAAAAEyJJUV9DTE9TRVBSSUNFX0FESiIRSVFfQ0xPU0VQUklDRV9BREoCAAAACyIzLzExLzIwMjIiCTMvMTEvMjAyMgAAAAADAAAAAAAAAAUiRU9HIgNFT0cBAAAAEyJJUV9DTE9TRVBSSUNFX0FESiIRSVFfQ0xPU0VQUklDRV9BREoCAAAACiIzLzQvMjAyMiIIMy80LzIwMjIAAAAAAwAAAAAAAAAFIkVPRyIDRU9HAQAAABMiSVFfQ0xPU0VQUklDRV9BREoiEUlRX0NMT1NFUFJJQ0VfQURKAgAAAAsi</t>
  </si>
  <si>
    <t>Mi8yNS8yMDIyIgkyLzI1LzIwMjIAAAAAAwAAAAAAAAAFIkVPRyIDRU9HAQAAABMiSVFfQ0xPU0VQUklDRV9BREoiEUlRX0NMT1NFUFJJQ0VfQURKAgAAAAsiMi8xOC8yMDIyIgkyLzE4LzIwMjIAAAAAAwAAAAAAAAAFIkVPRyIDRU9HAQAAABMiSVFfQ0xPU0VQUklDRV9BREoiEUlRX0NMT1NFUFJJQ0VfQURKAgAAAAsiMi8xMS8yMDIyIgkyLzExLzIwMjIAAAAAAwAAAAAAAAAFIkVPRyIDRU9HAQAAABMiSVFfQ0xPU0VQUklDRV9BREoiEUlRX0NMT1NFUFJJQ0VfQURKAgAAAAoiMi80LzIwMjIiCDIvNC8yMDIyAAAAAAMAAAAAAAAABSJFT0ciA0VPRwEAAAATIklRX0NMT1NFUFJJQ0VfQURKIhFJUV9DTE9TRVBSSUNFX0FESgIAAAALIjEvMjgvMjAyMiIJMS8yOC8yMDIyAAAAAAMAAAAAAAAABSJFT0ciA0VPRwEAAAATIklRX0NMT1NFUFJJQ0VfQURKIhFJUV9DTE9TRVBSSUNFX0FESgIAAAALIjEvMjEvMjAyMiIJMS8yMS8yMDIyAAAAAAMAAAAAAAAABSJFT0ciA0VPRwEAAAATIklRX0NMT1NFUFJJQ0VfQURKIhFJUV9DTE9TRVBSSUNFX0FESgIAAAALIjEvMTQvMjAyMiIJMS8xNC8yMDIyAAAAAAMAAAAAAAAABSJFT0ciA0VPRwEAAAATIklRX0NMT1NFUFJJQ0VfQURKIhFJUV9DTE9TRVBSSUNFX0FESgIAAAAKIjEvNy8yMDIyIggxLzcvMjAyMgAAAAADAAAAAAAAAAUiRU9HIgNFT0cBAAAAEyJJUV9DTE9T</t>
  </si>
  <si>
    <t>RVBSSUNFX0FESiIRSVFfQ0xPU0VQUklDRV9BREoCAAAADCIxMi8zMS8yMDIxIgoxMi8zMS8yMDIxAAAAAAMAAAAAAAAABSJFT0ciA0VPRwEAAAATIklRX0NMT1NFUFJJQ0VfQURKIhFJUV9DTE9TRVBSSUNFX0FESgIAAAAMIjEyLzIzLzIwMjEiCjEyLzIzLzIwMjEAAAAAAwAAAAAAAAAFIkVPRyIDRU9HAQAAABMiSVFfQ0xPU0VQUklDRV9BREoiEUlRX0NMT1NFUFJJQ0VfQURKAgAAAAwiMTIvMTcvMjAyMSIKMTIvMTcvMjAyMQAAAAADAAAAAAAAAAUiRU9HIgNFT0cBAAAAEyJJUV9DTE9TRVBSSUNFX0FESiIRSVFfQ0xPU0VQUklDRV9BREoCAAAADCIxMi8xMC8yMDIxIgoxMi8xMC8yMDIxAAAAAAMAAAAAAAAABSJFT0ciA0VPRwEAAAATIklRX0NMT1NFUFJJQ0VfQURKIhFJUV9DTE9TRVBSSUNFX0FESgIAAAALIjEyLzMvMjAyMSIJMTIvMy8yMDIxAAAAAAMAAAAAAAAABSJFT0ciA0VPRwEAAAATIklRX0NMT1NFUFJJQ0VfQURKIhFJUV9DTE9TRVBSSUNFX0FESgIAAAAMIjExLzI2LzIwMjEiCjExLzI2LzIwMjEAAAAAAwAAAAAAAAAFIkVPRyIDRU9HAQAAABMiSVFfQ0xPU0VQUklDRV9BREoiEUlRX0NMT1NFUFJJQ0VfQURKAgAAAAwiMTEvMTkvMjAyMSIKMTEvMTkvMjAyMQAAAAADAAAAAAAAAAUiRU9HIgNFT0cBAAAAEyJJUV9DTE9TRVBSSUNFX0FESiIRSVFfQ0xPU0VQUklDRV9BREoCAAAADCIxMS8x</t>
  </si>
  <si>
    <t>Mi8yMDIxIgoxMS8xMi8yMDIxAAAAAAMAAAAAAAAABSJFT0ciA0VPRwEAAAATIklRX0NMT1NFUFJJQ0VfQURKIhFJUV9DTE9TRVBSSUNFX0FESgIAAAALIjExLzUvMjAyMSIJMTEvNS8yMDIxAAAAAAMAAAAAAAAABSJFT0ciA0VPRwEAAAATIklRX0NMT1NFUFJJQ0VfQURKIhFJUV9DTE9TRVBSSUNFX0FESgIAAAAMIjEwLzI5LzIwMjEiCjEwLzI5LzIwMjEAAAAAAwAAAAAAAAAFIkVPRyIDRU9HAQAAABMiSVFfQ0xPU0VQUklDRV9BREoiEUlRX0NMT1NFUFJJQ0VfQURKAgAAAAwiMTAvMjIvMjAyMSIKMTAvMjIvMjAyMQAAAAADAAAAAAAAAAUiRU9HIgNFT0cBAAAAEyJJUV9DTE9TRVBSSUNFX0FESiIRSVFfQ0xPU0VQUklDRV9BREoCAAAADCIxMC8xNS8yMDIxIgoxMC8xNS8yMDIxAAAAAAMAAAAAAAAABSJFT0ciA0VPRwEAAAATIklRX0NMT1NFUFJJQ0VfQURKIhFJUV9DTE9TRVBSSUNFX0FESgIAAAALIjEwLzgvMjAyMSIJMTAvOC8yMDIxAAAAAAMAAAAAAAAABSJFT0ciA0VPRwEAAAATIklRX0NMT1NFUFJJQ0VfQURKIhFJUV9DTE9TRVBSSUNFX0FESgIAAAALIjEwLzEvMjAyMSIJMTAvMS8yMDIxAAAAAAMAAAAAAAAABSJFT0ciA0VPRwEAAAATIklRX0NMT1NFUFJJQ0VfQURKIhFJUV9DTE9TRVBSSUNFX0FESgIAAAALIjkvMjQvMjAyMSIJOS8yNC8yMDIxAAAAAAMAAAAAAAAABSJFT0ciA0VPRwEAAAAT</t>
  </si>
  <si>
    <t>IklRX0NMT1NFUFJJQ0VfQURKIhFJUV9DTE9TRVBSSUNFX0FESgIAAAALIjkvMTcvMjAyMSIJOS8xNy8yMDIxAAAAAAMAAAAAAAAABSJFT0ciA0VPRwEAAAATIklRX0NMT1NFUFJJQ0VfQURKIhFJUV9DTE9TRVBSSUNFX0FESgIAAAALIjkvMTAvMjAyMSIJOS8xMC8yMDIxAAAAAAMAAAAAAAAABSJFT0ciA0VPRwEAAAATIklRX0NMT1NFUFJJQ0VfQURKIhFJUV9DTE9TRVBSSUNFX0FESgIAAAAKIjkvMy8yMDIxIgg5LzMvMjAyMQAAAAADAAAAAAAAAAUiRU9HIgNFT0cBAAAAEyJJUV9DTE9TRVBSSUNFX0FESiIRSVFfQ0xPU0VQUklDRV9BREoCAAAACyI4LzI3LzIwMjEiCTgvMjcvMjAyMQAAAAADAAAAAAAAAAUiRU9HIgNFT0cBAAAAEyJJUV9DTE9TRVBSSUNFX0FESiIRSVFfQ0xPU0VQUklDRV9BREoCAAAACyI4LzIwLzIwMjEiCTgvMjAvMjAyMQAAAAADAAAAAAAAAAUiRU9HIgNFT0cBAAAAEyJJUV9DTE9TRVBSSUNFX0FESiIRSVFfQ0xPU0VQUklDRV9BREoCAAAACyI4LzEzLzIwMjEiCTgvMTMvMjAyMQAAAAADAAAAAAAAAAUiRU9HIgNFT0cBAAAAEyJJUV9DTE9TRVBSSUNFX0FESiIRSVFfQ0xPU0VQUklDRV9BREoCAAAACiI4LzYvMjAyMSIIOC82LzIwMjEAAAAAAwAAAAAAAAAFIkVPRyIDRU9HAQAAABMiSVFfQ0xPU0VQUklDRV9BREoiEUlRX0NMT1NFUFJJQ0VfQURKAgAAAAsiNy8zMC8yMDIxIgk3</t>
  </si>
  <si>
    <t>LzMwLzIwMjEAAAAAAwAAAAAAAAAFIkVPRyIDRU9HAQAAABMiSVFfQ0xPU0VQUklDRV9BREoiEUlRX0NMT1NFUFJJQ0VfQURKAgAAAAsiNy8yMy8yMDIxIgk3LzIzLzIwMjEAAAAAAwAAAAAAAAAFIkVPRyIDRU9HAQAAABMiSVFfQ0xPU0VQUklDRV9BREoiEUlRX0NMT1NFUFJJQ0VfQURKAgAAAAsiNy8xNi8yMDIxIgk3LzE2LzIwMjEAAAAAAwAAAAAAAAAFIkVPRyIDRU9HAQAAABMiSVFfQ0xPU0VQUklDRV9BREoiEUlRX0NMT1NFUFJJQ0VfQURKAgAAAAoiNy85LzIwMjEiCDcvOS8yMDIxAAAAAAMAAAAAAAAABSJFT0ciA0VPRwEAAAATIklRX0NMT1NFUFJJQ0VfQURKIhFJUV9DTE9TRVBSSUNFX0FESgIAAAAKIjcvMi8yMDIxIgg3LzIvMjAyMQAAAAADAAAAAAAAAAUiRU9HIgNFT0cBAAAAEyJJUV9DTE9TRVBSSUNFX0FESiIRSVFfQ0xPU0VQUklDRV9BREoCAAAACyI2LzI1LzIwMjEiCTYvMjUvMjAyMQAAAAADAAAAAAAAAAUiRU9HIgNFT0cBAAAAEyJJUV9DTE9TRVBSSUNFX0FESiIRSVFfQ0xPU0VQUklDRV9BREoCAAAACyI2LzE4LzIwMjEiCTYvMTgvMjAyMQAAAAADAAAAAAAAAAUiRU9HIgNFT0cBAAAAEyJJUV9DTE9TRVBSSUNFX0FESiIRSVFfQ0xPU0VQUklDRV9BREoCAAAACyI2LzExLzIwMjEiCTYvMTEvMjAyMQAAAAADAAAAAAAAAAUiRU9HIgNFT0cBAAAAEyJJUV9DTE9TRVBSSUNFX0FESiIR</t>
  </si>
  <si>
    <t>SVFfQ0xPU0VQUklDRV9BREoCAAAACiI2LzQvMjAyMSIINi80LzIwMjEAAAAAAwAAAAAAAAAFIkVPRyIDRU9HAQAAABMiSVFfQ0xPU0VQUklDRV9BREoiEUlRX0NMT1NFUFJJQ0VfQURKAgAAAAsiNS8yOC8yMDIxIgk1LzI4LzIwMjEAAAAAAwAAAAAAAAAFIkVPRyIDRU9HAQAAABMiSVFfQ0xPU0VQUklDRV9BREoiEUlRX0NMT1NFUFJJQ0VfQURKAgAAAAsiNS8yMS8yMDIxIgk1LzIxLzIwMjEAAAAAAwAAAAAAAAAFIkVPRyIDRU9HAQAAABMiSVFfQ0xPU0VQUklDRV9BREoiEUlRX0NMT1NFUFJJQ0VfQURKAgAAAAsiNS8xNC8yMDIxIgk1LzE0LzIwMjEAAAAAAwAAAAAAAAAFIkVPRyIDRU9HAQAAABMiSVFfQ0xPU0VQUklDRV9BREoiEUlRX0NMT1NFUFJJQ0VfQURKAgAAAAoiNS83LzIwMjEiCDUvNy8yMDIxAAAAAAMAAAAAAAAABSJFT0ciA0VPRwEAAAATIklRX0NMT1NFUFJJQ0VfQURKIhFJUV9DTE9TRVBSSUNFX0FESgIAAAALIjQvMzAvMjAyMSIJNC8zMC8yMDIxAAAAAAMAAAAAAAAABSJFT0ciA0VPRwEAAAATIklRX0NMT1NFUFJJQ0VfQURKIhFJUV9DTE9TRVBSSUNFX0FESgIAAAALIjQvMjMvMjAyMSIJNC8yMy8yMDIxAAAAAAMAAAAAAAAABSJFT0ciA0VPRwEAAAATIklRX0NMT1NFUFJJQ0VfQURKIhFJUV9DTE9TRVBSSUNFX0FESgIAAAALIjQvMTYvMjAyMSIJNC8xNi8yMDIxAAAAAAMAAAAAAAAA</t>
  </si>
  <si>
    <t>BSJFT0ciA0VPRwEAAAATIklRX0NMT1NFUFJJQ0VfQURKIhFJUV9DTE9TRVBSSUNFX0FESgIAAAAKIjQvOS8yMDIxIgg0LzkvMjAyMQAAAAADAAAAAAAAAAUiRU9HIgNFT0cBAAAAEyJJUV9DTE9TRVBSSUNFX0FESiIRSVFfQ0xPU0VQUklDRV9BREoCAAAACiI0LzEvMjAyMSIINC8xLzIwMjEAAAAAAwAAAAAAAAAFIkVPRyIDRU9HAQAAABMiSVFfQ0xPU0VQUklDRV9BREoiEUlRX0NMT1NFUFJJQ0VfQURKAgAAAAsiMy8yNi8yMDIxIgkzLzI2LzIwMjEAAAAAAwAAAAAAAAAFIkVPRyIDRU9HAQAAABMiSVFfQ0xPU0VQUklDRV9BREoiEUlRX0NMT1NFUFJJQ0VfQURKAgAAAAsiMy8xOS8yMDIxIgkzLzE5LzIwMjEAAAAAAwAAAAAAAAAFIkVPRyIDRU9HAQAAABMiSVFfQ0xPU0VQUklDRV9BREoiEUlRX0NMT1NFUFJJQ0VfQURKAgAAAAsiMy8xMi8yMDIxIgkzLzEyLzIwMjEAAAAAAwAAAAAAAAAFIkVPRyIDRU9HAQAAABMiSVFfQ0xPU0VQUklDRV9BREoiEUlRX0NMT1NFUFJJQ0VfQURKAgAAAAoiMy81LzIwMjEiCDMvNS8yMDIxAAAAAAMAAAAAAAAABSJFT0ciA0VPRwEAAAATIklRX0NMT1NFUFJJQ0VfQURKIhFJUV9DTE9TRVBSSUNFX0FESgIAAAALIjIvMjYvMjAyMSIJMi8yNi8yMDIxAAAAAAMAAAAAAAAABSJFT0ciA0VPRwEAAAATIklRX0NMT1NFUFJJQ0VfQURKIhFJUV9DTE9TRVBSSUNFX0FESgIAAAAL</t>
  </si>
  <si>
    <t>IjIvMTkvMjAyMSIJMi8xOS8yMDIxAAAAAAMAAAAAAAAABSJFT0ciA0VPRwEAAAATIklRX0NMT1NFUFJJQ0VfQURKIhFJUV9DTE9TRVBSSUNFX0FESgIAAAALIjIvMTIvMjAyMSIJMi8xMi8yMDIxAAAAAAMAAAAAAAAABSJFT0ciA0VPRwEAAAATIklRX0NMT1NFUFJJQ0VfQURKIhFJUV9DTE9TRVBSSUNFX0FESgIAAAAKIjIvNS8yMDIxIggyLzUvMjAyMQAAAAADAAAAAAAAAAUiRU9HIgNFT0cBAAAAEyJJUV9DTE9TRVBSSUNFX0FESiIRSVFfQ0xPU0VQUklDRV9BREoCAAAACyIxLzI5LzIwMjEiCTEvMjkvMjAyMQAAAAADAAAAAAAAAAUiRU9HIgNFT0cBAAAAEyJJUV9DTE9TRVBSSUNFX0FESiIRSVFfQ0xPU0VQUklDRV9BREoCAAAACyIxLzIyLzIwMjEiCTEvMjIvMjAyMQAAAAADAAAAAAAAAAUiRU9HIgNFT0cBAAAAEyJJUV9DTE9TRVBSSUNFX0FESiIRSVFfQ0xPU0VQUklDRV9BREoCAAAACyIxLzE1LzIwMjEiCTEvMTUvMjAyMQAAAAADAAAAAAAAAAUiRU9HIgNFT0cBAAAAEyJJUV9DTE9TRVBSSUNFX0FESiIRSVFfQ0xPU0VQUklDRV9BREoCAAAACiIxLzgvMjAyMSIIMS84LzIwMjEAAAAAAwAAAAAAAAAFIkVPRyIDRU9HAQAAABMiSVFfQ0xPU0VQUklDRV9BREoiEUlRX0NMT1NFUFJJQ0VfQURKAgAAAAwiMTIvMzEvMjAyMCIKMTIvMzEvMjAyMAAAAAADAAAAAAAAAAUiRU9HIgNFT0cBAAAAEyJJUV9D</t>
  </si>
  <si>
    <t>TE9TRVBSSUNFX0FESiIRSVFfQ0xPU0VQUklDRV9BREoCAAAADCIxMi8yNC8yMDIwIgoxMi8yNC8yMDIwAAAAAAMAAAAAAAAABSJFT0ciA0VPRwEAAAATIklRX0NMT1NFUFJJQ0VfQURKIhFJUV9DTE9TRVBSSUNFX0FESgIAAAAMIjEyLzE4LzIwMjAiCjEyLzE4LzIwMjAAAAAAAwAAAAAAAAAFIkVPRyIDRU9HAQAAABMiSVFfQ0xPU0VQUklDRV9BREoiEUlRX0NMT1NFUFJJQ0VfQURKAgAAAAwiMTIvMTEvMjAyMCIKMTIvMTEvMjAyMAAAAAADAAAAAAAAAAUiRU9HIgNFT0cBAAAAEyJJUV9DTE9TRVBSSUNFX0FESiIRSVFfQ0xPU0VQUklDRV9BREoCAAAACyIxMi80LzIwMjAiCTEyLzQvMjAyMAAAAAADAAAAAAAAAAUiRU9HIgNFT0cBAAAAEyJJUV9DTE9TRVBSSUNFX0FESiIRSVFfQ0xPU0VQUklDRV9BREoCAAAADCIxMS8yNy8yMDIwIgoxMS8yNy8yMDIwAAAAAAMAAAAAAAAABSJFT0ciA0VPRwEAAAATIklRX0NMT1NFUFJJQ0VfQURKIhFJUV9DTE9TRVBSSUNFX0FESgIAAAAMIjExLzIwLzIwMjAiCjExLzIwLzIwMjAAAAAAAwAAAAAAAAAFIkVPRyIDRU9HAQAAABMiSVFfQ0xPU0VQUklDRV9BREoiEUlRX0NMT1NFUFJJQ0VfQURKAgAAAAwiMTEvMTMvMjAyMCIKMTEvMTMvMjAyMEvjsWE9Jd4IS+OxYT0l3ggjQ0lRLkVPRy5JUV9DTE9TRVBSSUNFX0FESi4xMS83LzIwMjUBAAAAXB0EAAIAAAAGMTA1LjQx</t>
  </si>
  <si>
    <t>AEvjsWE9Jd4IS+OxYT0l3ggkQ0lRLkVPRy5JUV9DTE9TRVBSSUNFX0FESi4xMC8zMS8yMDI1AQAAAFwdBAACAAAABjEwNS44NABL47FhPSXeCEvjsWE9Jd4IJENJUS5FT0cuSVFfQ0xPU0VQUklDRV9BREouMTAvMjQvMjAyNQEAAABcHQQAAgAAAAYxMDYuMzgAS+OxYT0l3ghL47FhPSXeCCRDSVEuRU9HLklRX0NMT1NFUFJJQ0VfQURKLjEwLzE3LzIwMjUBAAAAXB0EAAIAAAAGMTA2LjIyAEvjsWE9Jd4IS+OxYT0l3ggkQ0lRLkVPRy5JUV9DTE9TRVBSSUNFX0FESi4xMC8xMC8yMDI1AQAAAFwdBAACAAAACjEwNy4wNDIyMDEAS+OxYT0l3ghL47FhPSXeCCNDSVEuRU9HLklRX0NMT1NFUFJJQ0VfQURKLjEwLzMvMjAyNQEAAABcHQQAAgAAAAoxMDkuNzc1OTUyAEvjsWE9Jd4IS+OxYT0l3ggjQ0lRLkVPRy5JUV9DTE9TRVBSSUNFX0FESi45LzI2LzIwMjUBAAAAXB0EAAIAAAAKMTE2LjE5NDMyNABL47FhPSXeCEvjsWE9Jd4II0NJUS5FT0cuSVFfQ0xPU0VQUklDRV9BREouOS8xOS8yMDI1AQAAAFwdBAACAAAACjExNC44OTY3ODMAS+OxYT0l3ghL47FhPSXeCCNDSVEuRU9HLklRX0NMT1NFUFJJQ0VfQURKLjkvMTIvMjAyNQEAAABcHQQAAgAAAAoxMTcuMDM2MjQxAEvjsWE9Jd4IS+OxYT0l3ggiQ0lRLkVPRy5JUV9DTE9TRVBSSUNFX0FESi45LzUvMjAyNQEAAABcHQQAAgAAAAoxMTYuODA4NDI4AEvjsWE9</t>
  </si>
  <si>
    <t>Jd4IS+OxYT0l3ggjQ0lRLkVPRy5JUV9DTE9TRVBSSUNFX0FESi44LzI5LzIwMjUBAAAAXB0EAAIAAAAKMTIzLjYzMjkwMQBL47FhPSXeCEvjsWE9Jd4II0NJUS5FT0cuSVFfQ0xPU0VQUklDRV9BREouOC8yMi8yMDI1AQAAAFwdBAACAAAACjExOS45NTgxODUAS+OxYT0l3ghL47FhPSXeCCNDSVEuRU9HLklRX0NMT1NFUFJJQ0VfQURKLjgvMTUvMjAyNQEAAABcHQQAAgAAAAoxMTcuODU4MzQ3AEvjsWE9Jd4IS+OxYT0l3ggiQ0lRLkVPRy5JUV9DTE9TRVBSSUNFX0FESi44LzgvMjAyNQEAAABcHQQAAgAAAAkxMTUuMTc0MTIAS+OxYT0l3ghL47FhPSXeCCJDSVEuRU9HLklRX0NMT1NFUFJJQ0VfQURKLjgvMS8yMDI1AQAAAFwdBAACAAAACjExNS40OTEwNzcAS+OxYT0l3ghL47FhPSXeCCNDSVEuRU9HLklRX0NMT1NFUFJJQ0VfQURKLjcvMjUvMjAyNQEAAABcHQQAAgAAAAoxMTcuMjY0MDUzAEvjsWE9Jd4IS+OxYT0l3ggjQ0lRLkVPRy5JUV9DTE9TRVBSSUNFX0FESi43LzE4LzIwMjUBAAAAXB0EAAIAAAAKMTE2LjU2MDgwNgBL47FhPSXeCEvjsWE9Jd4II0NJUS5FT0cuSVFfQ0xPU0VQUklDRV9BREouNy8xMS8yMDI1AQAAAFwdBAACAAAACjEyMC44Njk2MzUAS+OxYT0l3ghL47FhPSXeCCJDSVEuRU9HLklRX0NMT1NFUFJJQ0VfQURKLjcvMy8yMDI1AQAAAFwdBAACAAAACjEyMC45Nzc2OTUAS+OxYT0l</t>
  </si>
  <si>
    <t>3ghL47FhPSXeCCNDSVEuRU9HLklRX0NMT1NFUFJJQ0VfQURKLjYvMjcvMjAyNQEAAABcHQQAAgAAAAoxMTguNjY5MTQ4AEvjsWE9Jd4IS+OxYT0l3ggjQ0lRLkVPRy5JUV9DTE9TRVBSSUNFX0FESi42LzIwLzIwMjUBAAAAXB0EAAIAAAAKMTIzLjEwOTQxNwBL47FhPSXeCEvjsWE9Jd4II0NJUS5FT0cuSVFfQ0xPU0VQUklDRV9BREouNi8xMy8yMDI1AQAAAFwdBAACAAAACjEyMy4wNzAxMjMAS+OxYT0l3ghL47FhPSXeCCJDSVEuRU9HLklRX0NMT1NFUFJJQ0VfQURKLjYvNi8yMDI1AQAAAFwdBAACAAAACjExMi4wMzgyMTQAS+OxYT0l3ghL47FhPSXeCCNDSVEuRU9HLklRX0NMT1NFUFJJQ0VfQURKLjUvMzAvMjAyNQEAAABcHQQAAgAAAAoxMDYuNjU0ODc5AEvjsWE9Jd4IS+OxYT0l3ggjQ0lRLkVPRy5JUV9DTE9TRVBSSUNFX0FESi41LzIzLzIwMjUBAAAAXB0EAAIAAAAKMTA4LjIzNjQ3OQBL47FhPSXeCEvjsWE9Jd4II0NJUS5FT0cuSVFfQ0xPU0VQUklDRV9BREouNS8xNi8yMDI1AQAAAFwdBAACAAAACjExMy40NjI2MzcAS+OxYT0l3ghL47FhPSXeCCJDSVEuRU9HLklRX0NMT1NFUFJJQ0VfQURKLjUvOS8yMDI1AQAAAFwdBAACAAAACjEwOS4xNTk4OTgAS+OxYT0l3ghL47FhPSXeCCJDSVEuRU9HLklRX0NMT1NFUFJJQ0VfQURKLjUvMi8yMDI1AQAAAFwdBAACAAAACjEwOC45MDQ0ODQAS+OxYT0l</t>
  </si>
  <si>
    <t>3ghL47FhPSXeCCNDSVEuRU9HLklRX0NMT1NFUFJJQ0VfQURKLjQvMjUvMjAyNQEAAABcHQQAAgAAAAoxMTEuMDc1NTAxAEvjsWE9Jd4IS+OxYT0l3ggjQ0lRLkVPRy5JUV9DTE9TRVBSSUNFX0FESi40LzE3LzIwMjUBAAAAXB0EAAIAAAAKMTA4LjU1MDgzNABL47FhPSXeCEvjsWE9Jd4II0NJUS5FT0cuSVFfQ0xPU0VQUklDRV9BREouNC8xMS8yMDI1AQAAAFwdBAACAAAACTEwNS42NTgxNgBL47FhPSXeCEvjsWE9Jd4IIkNJUS5FT0cuSVFfQ0xPU0VQUklDRV9BREouNC80LzIwMjUBAAAAXB0EAAIAAAAKMTA3LjYxNDc5MwBL47FhPSXeCEvjsWE9Jd4II0NJUS5FT0cuSVFfQ0xPU0VQUklDRV9BREouMy8yOC8yMDI1AQAAAFwdBAACAAAACjEyMy4yMjg5MTYAS+OxYT0l3ghL47FhPSXeCCNDSVEuRU9HLklRX0NMT1NFUFJJQ0VfQURKLjMvMjEvMjAyNQEAAABcHQQAAgAAAAoxMjEuODQ2NjE4AEvjsWE9Jd4IS+OxYT0l3ggjQ0lRLkVPRy5JUV9DTE9TRVBSSUNFX0FESi4zLzE0LzIwMjUBAAAAXB0EAAIAAAAKMTIwLjYyOTgwNwBL47FhPSXeCEvjsWE9Jd4IIkNJUS5FT0cuSVFfQ0xPU0VQUklDRV9BREouMy83LzIwMjUBAAAAXB0EAAIAAAAKMTIxLjkzNDIyOABL47FhPSXeCEvjsWE9Jd4II0NJUS5FT0cuSVFfQ0xPU0VQUklDRV9BREouMi8yOC8yMDI1AQAAAFwdBAACAAAACjEyMy41Njk2MjMAS+OxYT0l</t>
  </si>
  <si>
    <t>3ghL47FhPSXeCCNDSVEuRU9HLklRX0NMT1NFUFJJQ0VfQURKLjIvMjEvMjAyNQEAAABcHQQAAgAAAAgxMjkuNTQ2NgBL47FhPSXeCEvjsWE9Jd4II0NJUS5FT0cuSVFfQ0xPU0VQUklDRV9BREouMi8xNC8yMDI1AQAAAFwdBAACAAAACjEyNS44NzY2OTcAS+OxYT0l3ghL47FhPSXeCCJDSVEuRU9HLklRX0NMT1NFUFJJQ0VfQURKLjIvNy8yMDI1AQAAAFwdBAACAAAACjEyMy4xNDEzMDUAS+OxYT0l3ghL47FhPSXeCCNDSVEuRU9HLklRX0NMT1NFUFJJQ0VfQURKLjEvMzEvMjAyNQEAAABcHQQAAgAAAAoxMjIuNDUwMTU2AEvjsWE9Jd4IS+OxYT0l3ggjQ0lRLkVPRy5JUV9DTE9TRVBSSUNFX0FESi4xLzI0LzIwMjUBAAAAXB0EAAIAAAAKMTI4LjMyMDA1NABL47FhPSXeCEvjsWE9Jd4II0NJUS5FT0cuSVFfQ0xPU0VQUklDRV9BREouMS8xNy8yMDI1AQAAAFwdBAACAAAACjEzMi45NTM2NzIAS+OxYT0l3ghL47FhPSXeCCNDSVEuRU9HLklRX0NMT1NFUFJJQ0VfQURKLjEvMTAvMjAyNQEAAABcHQQAAgAAAAoxMjcuMDE3NDc4AEvjsWE9Jd4IS+OxYT0l3ggiQ0lRLkVPRy5JUV9DTE9TRVBSSUNFX0FESi4xLzMvMjAyNQEAAABcHQQAAgAAAAoxMjIuMzM5MjYxAEvjsWE9Jd4IS+OxYT0l3ggkQ0lRLkVPRy5JUV9DTE9TRVBSSUNFX0FESi4xMi8yNy8yMDI0AQAAAFwdBAACAAAACjExNi4zNzU0OTkAS+OxYT0l</t>
  </si>
  <si>
    <t>3ghL47FhPSXeCCRDSVEuRU9HLklRX0NMT1NFUFJJQ0VfQURKLjEyLzIwLzIwMjQBAAAAXB0EAAIAAAAKMTE1LjA2MDk1OQBL47FhPSXeCEvjsWE9Jd4IJENJUS5FT0cuSVFfQ0xPU0VQUklDRV9BREouMTIvMTMvMjAyNAEAAABcHQQAAgAAAAoxMjIuNTMyNTc1AEvjsWE9Jd4IS+OxYT0l3ggjQ0lRLkVPRy5JUV9DTE9TRVBSSUNFX0FESi4xMi82LzIwMjQBAAAAXB0EAAIAAAAKMTIzLjUzNzgxMgBL47FhPSXeCEvjsWE9Jd4IJENJUS5FT0cuSVFfQ0xPU0VQUklDRV9BREouMTEvMjkvMjAyNAEAAABcHQQAAgAAAAkxMjguODA1NjQAS+OxYT0l3ghL47FhPSXeCCRDSVEuRU9HLklRX0NMT1NFUFJJQ0VfQURKLjExLzIyLzIwMjQBAAAAXB0EAAIAAAAKMTMxLjc5MjM1MwBL47FhPSXeCEvjsWE9Jd4IJENJUS5FT0cuSVFfQ0xPU0VQUklDRV9BREouMTEvMTUvMjAyNAEAAABcHQQAAgAAAAoxMzAuMDYyMTg2AEvjsWE9Jd4IS+OxYT0l3ggjQ0lRLkVPRy5JUV9DTE9TRVBSSUNFX0FESi4xMS84LzIwMjQBAAAAXB0EAAIAAAAKMTI5LjYzNjg5NABL47FhPSXeCEvjsWE9Jd4II0NJUS5FT0cuSVFfQ0xPU0VQUklDRV9BREouMTEvMS8yMDI0AQAAAFwdBAACAAAACjExNi44MDA3OTIAS+OxYT0l3ghL47FhPSXeCCRDSVEuRU9HLklRX0NMT1NFUFJJQ0VfQURKLjEwLzI1LzIwMjQBAAAAXB0EAAIAAAAKMTE5LjA1Mjkw</t>
  </si>
  <si>
    <t>OQBL47FhPSXeCEvjsWE9Jd4IJENJUS5FT0cuSVFfQ0xPU0VQUklDRV9BREouMTAvMTgvMjAyNAEAAABcHQQAAgAAAAoxMjIuMzg3NTg5AEvjsWE9Jd4IS+OxYT0l3ggkQ0lRLkVPRy5JUV9DTE9TRVBSSUNFX0FESi4xMC8xMS8yMDI0AQAAAFwdBAACAAAACTEyNy4xMDc5OABL47FhPSXeCEvjsWE9Jd4II0NJUS5FT0cuSVFfQ0xPU0VQUklDRV9BREouMTAvNC8yMDI0AQAAAFwdBAACAAAACjEyNy43NTA5NTcAS+OxYT0l3ghL47FhPSXeCCNDSVEuRU9HLklRX0NMT1NFUFJJQ0VfQURKLjkvMjcvMjAyNAEAAABcHQQAAgAAAAoxMTcuNTAxNzA3AEvjsWE9Jd4IS+OxYT0l3ggjQ0lRLkVPRy5JUV9DTE9TRVBSSUNFX0FESi45LzIwLzIwMjQBAAAAXB0EAAIAAAAKMTIwLjk0NjkxNABL47FhPSXeCEvjsWE9Jd4II0NJUS5FT0cuSVFfQ0xPU0VQUklDRV9BREouOS8xMy8yMDI0AQAAAFwdBAACAAAACjExNC41NTU1MjcAS+OxYT0l3ghL47FhPSXeCCJDSVEuRU9HLklRX0NMT1NFUFJJQ0VfQURKLjkvNi8yMDI0AQAAAFwdBAACAAAACjExNS40OTYwMDEAS+OxYT0l3ghL47FhPSXeCCNDSVEuRU9HLklRX0NMT1NFUFJJQ0VfQURKLjgvMzAvMjAyNAEAAABcHQQAAgAAAAoxMjMuNjI0Mzg2AEvjsWE9Jd4IS+OxYT0l3ggjQ0lRLkVPRy5JUV9DTE9TRVBSSUNFX0FESi44LzIzLzIwMjQBAAAAXB0EAAIAAAAKMTIxLjc4</t>
  </si>
  <si>
    <t>MTgyNQBL47FhPSXeCEvjsWE9Jd4II0NJUS5FT0cuSVFfQ0xPU0VQUklDRV9BREouOC8xNi8yMDI0AQAAAFwdBAACAAAACjEyMi44OTUwMzkAS+OxYT0l3ghL47FhPSXeCCJDSVEuRU9HLklRX0NMT1NFUFJJQ0VfQURKLjgvOS8yMDI0AQAAAFwdBAACAAAACjEyMS40MjY3NDcAS+OxYT0l3ghL47FhPSXeCCJDSVEuRU9HLklRX0NMT1NFUFJJQ0VfQURKLjgvMi8yMDI0AQAAAFwdBAACAAAACjExNy45NjIzNDcAS+OxYT0l3ghL47FhPSXeCCNDSVEuRU9HLklRX0NMT1NFUFJJQ0VfQURKLjcvMjYvMjAyNAEAAABcHQQAAgAAAAoxMjIuMDIxNzQxAEvjsWE9Jd4IS+OxYT0l3ggjQ0lRLkVPRy5JUV9DTE9TRVBSSUNFX0FESi43LzE5LzIwMjQBAAAAXB0EAAIAAAAKMTI0LjAzNzA0MwBL47FhPSXeCEvjsWE9Jd4II0NJUS5FT0cuSVFfQ0xPU0VQUklDRV9BREouNy8xMi8yMDI0AQAAAFwdBAACAAAACjEyMi44OTI5MTEAS+OxYT0l3ghL47FhPSXeCCJDSVEuRU9HLklRX0NMT1NFUFJJQ0VfQURKLjcvNS8yMDI0AQAAAFwdBAACAAAACTExOS4wNzEyNwBL47FhPSXeCEvjsWE9Jd4II0NJUS5FT0cuSVFfQ0xPU0VQUklDRV9BREouNi8yOC8yMDI0AQAAAFwdBAACAAAACjExOS45NTc1ODUAS+OxYT0l3ghL47FhPSXeCCNDSVEuRU9HLklRX0NMT1NFUFJJQ0VfQURKLjYvMjEvMjAyNAEAAABcHQQAAgAAAAkxMTYuMzE3</t>
  </si>
  <si>
    <t>MDIAS+OxYT0l3ghL47FhPSXeCCNDSVEuRU9HLklRX0NMT1NFUFJJQ0VfQURKLjYvMTQvMjAyNAEAAABcHQQAAgAAAAoxMTIuNjg1OTg1AEvjsWE9Jd4IS+OxYT0l3ggiQ0lRLkVPRy5JUV9DTE9TRVBSSUNFX0FESi42LzcvMjAyNAEAAABcHQQAAgAAAAoxMTQuNTQ0Mzg5AEvjsWE9Jd4IS+OxYT0l3ggjQ0lRLkVPRy5JUV9DTE9TRVBSSUNFX0FESi41LzMxLzIwMjQBAAAAXB0EAAIAAAAKMTE4LjY5OTU4OQBL47FhPSXeCEvjsWE9Jd4II0NJUS5FT0cuSVFfQ0xPU0VQUklDRV9BREouNS8yNC8yMDI0AQAAAFwdBAACAAAACjExNy40Nzk3MTQAS+OxYT0l3ghL47FhPSXeCCNDSVEuRU9HLklRX0NMT1NFUFJJQ0VfQURKLjUvMTcvMjAyNAEAAABcHQQAAgAAAAoxMjMuODM2NDA4AEvjsWE9Jd4IS+OxYT0l3ggjQ0lRLkVPRy5JUV9DTE9TRVBSSUNFX0FESi41LzEwLzIwMjQBAAAAXB0EAAIAAAAKMTIzLjk4ODg5MgBL47FhPSXeCEvjsWE9Jd4IIkNJUS5FT0cuSVFfQ0xPU0VQUklDRV9BREouNS8zLzIwMjQBAAAAXB0EAAIAAAAJMTIzLjkxMjY1AEvjsWE9Jd4IS+OxYT0l3ggjQ0lRLkVPRy5JUV9DTE9TRVBSSUNFX0FESi40LzI2LzIwMjQBAAAAXB0EAAIAAAAKMTI5LjMyNTg0NwBL47FhPSXeCEvjsWE9Jd4II0NJUS5FT0cuSVFfQ0xPU0VQUklDRV9BREouNC8xOS8yMDI0AQAAAFwdBAACAAAACjEyNi45MTQ2</t>
  </si>
  <si>
    <t>ODcAS+OxYT0l3ghL47FhPSXeCCNDSVEuRU9HLklRX0NMT1NFUFJJQ0VfQURKLjQvMTIvMjAyNAEAAABcHQQAAgAAAAkxMjguMDY3ODUAS+OxYT0l3ghL47FhPSXeCCJDSVEuRU9HLklRX0NMT1NFUFJJQ0VfQURKLjQvNS8yMDI0AQAAAFwdBAACAAAACjEyOC42ODMxNTIAS+OxYT0l3ghL47FhPSXeCCNDSVEuRU9HLklRX0NMT1NFUFJJQ0VfQURKLjMvMjgvMjAyNAEAAABcHQQAAgAAAAoxMjEuMDE1NTUyAEvjsWE9Jd4IS+OxYT0l3ggjQ0lRLkVPRy5JUV9DTE9TRVBSSUNFX0FESi4zLzIyLzIwMjQBAAAAXB0EAAIAAAAIMTE4LjE3NTcAS+OxYT0l3ghL47FhPSXeCCNDSVEuRU9HLklRX0NMT1NFUFJJQ0VfQURKLjMvMTUvMjAyNAEAAABcHQQAAgAAAAoxMTYuMjM1MTM1AEvjsWE9Jd4IS+OxYT0l3ggiQ0lRLkVPRy5JUV9DTE9TRVBSSUNFX0FESi4zLzgvMjAyNAEAAABcHQQAAgAAAAoxMTIuMzgyNDAyAEvjsWE9Jd4IS+OxYT0l3ggiQ0lRLkVPRy5JUV9DTE9TRVBSSUNFX0FESi4zLzEvMjAyNAEAAABcHQQAAgAAAAoxMDkuOTAyMjY1AEvjsWE9Jd4IS+OxYT0l3ggjQ0lRLkVPRy5JUV9DTE9TRVBSSUNFX0FESi4yLzIzLzIwMjQBAAAAXB0EAAIAAAAKMTA1Ljg4ODYwOABL47FhPSXeCEvjsWE9Jd4II0NJUS5FT0cuSVFfQ0xPU0VQUklDRV9BREouMi8xNi8yMDI0AQAAAFwdBAACAAAACjEwNy40OTc4NTcA</t>
  </si>
  <si>
    <t>S+OxYT0l3ghL47FhPSXeCCJDSVEuRU9HLklRX0NMT1NFUFJJQ0VfQURKLjIvOS8yMDI0AQAAAFwdBAACAAAACjEwNS4xMjE4NDgAS+OxYT0l3ghL47FhPSXeCCJDSVEuRU9HLklRX0NMT1NFUFJJQ0VfQURKLjIvMi8yMDI0AQAAAFwdBAACAAAACjEwNC45MzI1MjQAS+OxYT0l3ghL47FhPSXeCCNDSVEuRU9HLklRX0NMT1NFUFJJQ0VfQURKLjEvMjYvMjAyNAEAAABcHQQAAgAAAAoxMDkuMzcyMTU5AEvjsWE9Jd4IS+OxYT0l3ggjQ0lRLkVPRy5JUV9DTE9TRVBSSUNFX0FESi4xLzE5LzIwMjQBAAAAXB0EAAIAAAAKMTA0LjI4ODgyNQBL47FhPSXeCEvjsWE9Jd4II0NJUS5FT0cuSVFfQ0xPU0VQUklDRV9BREouMS8xMi8yMDI0AQAAAFwdBAACAAAACjEwOC45OTM1MTIAS+OxYT0l3ghL47FhPSXeCCJDSVEuRU9HLklRX0NMT1NFUFJJQ0VfQURKLjEvNS8yMDI0AQAAAFwdBAACAAAACjExMy4wNjAyMjQAS+OxYT0l3ghL47FhPSXeCCRDSVEuRU9HLklRX0NMT1NFUFJJQ0VfQURKLjEyLzI5LzIwMjMBAAAAXB0EAAIAAAAKMTEzLjU5NTU2NQBL47FhPSXeCEvjsWE9Jd4IJENJUS5FT0cuSVFfQ0xPU0VQUklDRV9BREouMTIvMjIvMjAyMwEAAABcHQQAAgAAAAoxMTQuODM1MzAyAEvjsWE9Jd4IS+OxYT0l3ggkQ0lRLkVPRy5JUV9DTE9TRVBSSUNFX0FESi4xMi8xNS8yMDIzAQAAAFwdBAACAAAACjExMi44MDY2</t>
  </si>
  <si>
    <t>NDIAS+OxYT0l3ghL47FhPSXeCCNDSVEuRU9HLklRX0NMT1NFUFJJQ0VfQURKLjEyLzgvMjAyMwEAAABcHQQAAgAAAAoxMTAuMzEyMDY5AEvjsWE9Jd4IS+OxYT0l3ggjQ0lRLkVPRy5JUV9DTE9TRVBSSUNFX0FESi4xMi8xLzIwMjMBAAAAXB0EAAIAAAAKMTE0LjYxNDc1OQBL47FhPSXeCEvjsWE9Jd4IJENJUS5FT0cuSVFfQ0xPU0VQUklDRV9BREouMTEvMjQvMjAyMwEAAABcHQQAAgAAAAoxMTQuNTIyMDI5AEvjsWE9Jd4IS+OxYT0l3ggkQ0lRLkVPRy5JUV9DTE9TRVBSSUNFX0FESi4xMS8xNy8yMDIzAQAAAFwdBAACAAAACjExNC45ODU2ODEAS+OxYT0l3ghL47FhPSXeCCRDSVEuRU9HLklRX0NMT1NFUFJJQ0VfQURKLjExLzEwLzIwMjMBAAAAXB0EAAIAAAAKMTEzLjc4MDE4NgBL47FhPSXeCEvjsWE9Jd4II0NJUS5FT0cuSVFfQ0xPU0VQUklDRV9BREouMTEvMy8yMDIzAQAAAFwdBAACAAAACjExOC44NDMyNjUAS+OxYT0l3ghL47FhPSXeCCRDSVEuRU9HLklRX0NMT1NFUFJJQ0VfQURKLjEwLzI3LzIwMjMBAAAAXB0EAAIAAAAKMTE2LjgzMTAxNQBL47FhPSXeCEvjsWE9Jd4IJENJUS5FT0cuSVFfQ0xPU0VQUklDRV9BREouMTAvMjAvMjAyMwEAAABcHQQAAgAAAAoxMjMuNTQ0Njk1AEvjsWE9Jd4IS+OxYT0l3ggkQ0lRLkVPRy5JUV9DTE9TRVBSSUNFX0FESi4xMC8xMy8yMDIzAQAAAFwdBAACAAAA</t>
  </si>
  <si>
    <t>CjEyMy4zNDUzMjUAS+OxYT0l3ghL47FhPSXeCCNDSVEuRU9HLklRX0NMT1NFUFJJQ0VfQURKLjEwLzYvMjAyMwEAAABcHQQAAgAAAAoxMTEuMjE3MjI4AEvjsWE9Jd4IS+OxYT0l3ggjQ0lRLkVPRy5JUV9DTE9TRVBSSUNFX0FESi45LzI5LzIwMjMBAAAAXB0EAAIAAAAKMTE2LjgyMDQ4MwBL47FhPSXeCEvjsWE9Jd4II0NJUS5FT0cuSVFfQ0xPU0VQUklDRV9BREouOS8yMi8yMDIzAQAAAFwdBAACAAAACjExMy4wMDUxMDkAS+OxYT0l3ghL47FhPSXeCCNDSVEuRU9HLklRX0NMT1NFUFJJQ0VfQURKLjkvMTUvMjAyMwEAAABcHQQAAgAAAAoxMjEuODE1NDg5AEvjsWE9Jd4IS+OxYT0l3ggiQ0lRLkVPRy5JUV9DTE9TRVBSSUNFX0FESi45LzgvMjAyMwEAAABcHQQAAgAAAAoxMjIuMzIyMzYzAEvjsWE9Jd4IS+OxYT0l3ggiQ0lRLkVPRy5JUV9DTE9TRVBSSUNFX0FESi45LzEvMjAyMwEAAABcHQQAAgAAAAoxMjAuNzA5NTg0AEvjsWE9Jd4IS+OxYT0l3ggjQ0lRLkVPRy5JUV9DTE9TRVBSSUNFX0FESi44LzI1LzIwMjMBAAAAXB0EAAIAAAAKMTE3LjExNTM5MQBL47FhPSXeCEvjsWE9Jd4II0NJUS5FT0cuSVFfQ0xPU0VQUklDRV9BREouOC8xOC8yMDIzAQAAAFwdBAACAAAACjEyMC4zODcwMjgAS+OxYT0l3ghL47FhPSXeCCNDSVEuRU9HLklRX0NMT1NFUFJJQ0VfQURKLjgvMTEvMjAyMwEAAABcHQQAAgAA</t>
  </si>
  <si>
    <t>AAoxMjEuOTUzNzI3AEvjsWE9Jd4IS+OxYT0l3ggiQ0lRLkVPRy5JUV9DTE9TRVBSSUNFX0FESi44LzQvMjAyMwEAAABcHQQAAgAAAAkxMTkuNjIyMTEAS+OxYT0l3ghL47FhPSXeCCNDSVEuRU9HLklRX0NMT1NFUFJJQ0VfQURKLjcvMjgvMjAyMwEAAABcHQQAAgAAAAoxMjAuNDUxNTM5AEvjsWE9Jd4IS+OxYT0l3ggjQ0lRLkVPRy5JUV9DTE9TRVBSSUNFX0FESi43LzIxLzIwMjMBAAAAXB0EAAIAAAAKMTE0LjgzOTA2OQBL47FhPSXeCEvjsWE9Jd4II0NJUS5FT0cuSVFfQ0xPU0VQUklDRV9BREouNy8xNC8yMDIzAQAAAFwdBAACAAAACjEwOS42MDQ0NDkAS+OxYT0l3ghL47FhPSXeCCJDSVEuRU9HLklRX0NMT1NFUFJJQ0VfQURKLjcvNy8yMDIzAQAAAFwdBAACAAAACjEwNi4zNjc3MTgAS+OxYT0l3ghL47FhPSXeCCNDSVEuRU9HLklRX0NMT1NFUFJJQ0VfQURKLjYvMzAvMjAyMwEAAABcHQQAAgAAAAoxMDQuNzU2NjQxAEvjsWE9Jd4IS+OxYT0l3ggjQ0lRLkVPRy5JUV9DTE9TRVBSSUNFX0FESi42LzIzLzIwMjMBAAAAXB0EAAIAAAAJOTcuNzgxNDA4AEvjsWE9Jd4IS+OxYT0l3ggjQ0lRLkVPRy5JUV9DTE9TRVBSSUNFX0FESi42LzE2LzIwMjMBAAAAXB0EAAIAAAAKMTAzLjgxMzc5NABL47FhPSXeCEvjsWE9Jd4IIkNJUS5FT0cuSVFfQ0xPU0VQUklDRV9BREouNi85LzIwMjMBAAAAXB0EAAIAAAAK</t>
  </si>
  <si>
    <t>MTA2LjQxMzQ4NwBL47FhPSXeCEvjsWE9Jd4IIkNJUS5FT0cuSVFfQ0xPU0VQUklDRV9BREouNi8yLzIwMjMBAAAAXB0EAAIAAAAKMTAyLjQ0OTg3MQBL47FhPSXeCEvjsWE9Jd4II0NJUS5FT0cuSVFfQ0xPU0VQUklDRV9BREouNS8yNi8yMDIzAQAAAFwdBAACAAAACjEwMC44MDIxNzgAS+OxYT0l3ghL47FhPSXeCCNDSVEuRU9HLklRX0NMT1NFUFJJQ0VfQURKLjUvMTkvMjAyMwEAAABcHQQAAgAAAAoxMDQuODkzOTQ4AEvjsWE9Jd4IS+OxYT0l3ggjQ0lRLkVPRy5JUV9DTE9TRVBSSUNFX0FESi41LzEyLzIwMjMBAAAAXB0EAAIAAAAKMTAxLjA3Njc5NABL47FhPSXeCEvjsWE9Jd4IIkNJUS5FT0cuSVFfQ0xPU0VQUklDRV9BREouNS81LzIwMjMBAAAAXB0EAAIAAAAKMTA0LjUwOTQ4NwBL47FhPSXeCEvjsWE9Jd4II0NJUS5FT0cuSVFfQ0xPU0VQUklDRV9BREouNC8yOC8yMDIzAQAAAFwdBAACAAAACjEwOS4zNjEwMjYAS+OxYT0l3ghL47FhPSXeCCNDSVEuRU9HLklRX0NMT1NFUFJJQ0VfQURKLjQvMjEvMjAyMwEAAABcHQQAAgAAAAoxMDcuMzgzNzk1AEvjsWE9Jd4IS+OxYT0l3ggjQ0lRLkVPRy5JUV9DTE9TRVBSSUNFX0FESi40LzE0LzIwMjMBAAAAXB0EAAIAAAAJMTExLjMxOTk1AEvjsWE9Jd4IS+OxYT0l3ggiQ0lRLkVPRy5JUV9DTE9TRVBSSUNFX0FESi40LzYvMjAyMwEAAABcHQQAAgAAAAox</t>
  </si>
  <si>
    <t>MDguNTMyNDQ4AEvjsWE9Jd4IS+OxYT0l3ggjQ0lRLkVPRy5JUV9DTE9TRVBSSUNFX0FESi4zLzMxLzIwMjMBAAAAXB0EAAIAAAAKMTA0LjIyMjc5MQBL47FhPSXeCEvjsWE9Jd4II0NJUS5FT0cuSVFfQ0xPU0VQUklDRV9BREouMy8yNC8yMDIzAQAAAFwdBAACAAAACTk1LjkxMjYwOABL47FhPSXeCEvjsWE9Jd4II0NJUS5FT0cuSVFfQ0xPU0VQUklDRV9BREouMy8xNy8yMDIzAQAAAFwdBAACAAAACTkzLjQyMTM3MQBL47FhPSXeCEvjsWE9Jd4II0NJUS5FT0cuSVFfQ0xPU0VQUklDRV9BREouMy8xMC8yMDIzAQAAAFwdBAACAAAACjEwMS4wNjEyMDMAS+OxYT0l3ghL47FhPSXeCCJDSVEuRU9HLklRX0NMT1NFUFJJQ0VfQURKLjMvMy8yMDIzAQAAAFwdBAACAAAACjEwOS43MDA2ODQAS+OxYT0l3ghL47FhPSXeCCNDSVEuRU9HLklRX0NMT1NFUFJJQ0VfQURKLjIvMjQvMjAyMwEAAABcHQQAAgAAAAoxMDIuOTM1MDQyAEvjsWE9Jd4IS+OxYT0l3ggjQ0lRLkVPRy5JUV9DTE9TRVBSSUNFX0FESi4yLzE3LzIwMjMBAAAAXB0EAAIAAAAKMTA2LjY4MjcyMQBL47FhPSXeCEvjsWE9Jd4II0NJUS5FT0cuSVFfQ0xPU0VQUklDRV9BREouMi8xMC8yMDIzAQAAAFwdBAACAAAACjEyMC44NDQ2MjMAS+OxYT0l3ghL47FhPSXeCCJDSVEuRU9HLklRX0NMT1NFUFJJQ0VfQURKLjIvMy8yMDIzAQAAAFwdBAACAAAACjEx</t>
  </si>
  <si>
    <t>Mi4yNjgyMDQAS+OxYT0l3ghL47FhPSXeCCNDSVEuRU9HLklRX0NMT1NFUFJJQ0VfQURKLjEvMjcvMjAyMwEAAABcHQQAAgAAAAoxMjEuMzEzMDgzAEvjsWE9Jd4IS+OxYT0l3ggjQ0lRLkVPRy5JUV9DTE9TRVBSSUNFX0FESi4xLzIwLzIwMjMBAAAAXB0EAAIAAAAKMTE5LjU5MjM5NABL47FhPSXeCEvjsWE9Jd4II0NJUS5FT0cuSVFfQ0xPU0VQUklDRV9BREouMS8xMy8yMDIzAQAAAFwdBAACAAAACjExNi42Mjg0ODQAS+OxYT0l3ghL47FhPSXeCCJDSVEuRU9HLklRX0NMT1NFUFJJQ0VfQURKLjEvNi8yMDIzAQAAAFwdBAACAAAACjExNC4xMDk0NzMAS+OxYT0l3ghL47FhPSXeCCRDSVEuRU9HLklRX0NMT1NFUFJJQ0VfQURKLjEyLzMwLzIwMjIBAAAAXB0EAAIAAAAKMTE1Ljk0NDYwNgBL47FhPSXeCEvjsWE9Jd4IJENJUS5FT0cuSVFfQ0xPU0VQUklDRV9BREouMTIvMjMvMjAyMgEAAABcHQQAAgAAAAkxMTYuOTIwMzYAS+OxYT0l3ghL47FhPSXeCCRDSVEuRU9HLklRX0NMT1NFUFJJQ0VfQURKLjEyLzE2LzIwMjIBAAAAXB0EAAIAAAAKMTEyLjU4NzY1NQBL47FhPSXeCEvjsWE9Jd4II0NJUS5FT0cuSVFfQ0xPU0VQUklDRV9BREouMTIvOS8yMDIyAQAAAFwdBAACAAAACjEwNy42MzU2MDYAS+OxYT0l3ghL47FhPSXeCCNDSVEuRU9HLklRX0NMT1NFUFJJQ0VfQURKLjEyLzIvMjAyMgEAAABcHQQAAgAA</t>
  </si>
  <si>
    <t>AAoxMjIuOTQwMDg1AEvjsWE9Jd4IS+OxYT0l3ggkQ0lRLkVPRy5JUV9DTE9TRVBSSUNFX0FESi4xMS8yNS8yMDIyAQAAAFwdBAACAAAACjEyNi4xODY3NTgAS+OxYT0l3ghL47FhPSXeCCRDSVEuRU9HLklRX0NMT1NFUFJJQ0VfQURKLjExLzE4LzIwMjIBAAAAXB0EAAIAAAAKMTI0Ljc1MzYyMgBL47FhPSXeCEvjsWE9Jd4IJENJUS5FT0cuSVFfQ0xPU0VQUklDRV9BREouMTEvMTEvMjAyMgEAAABcHQQAAgAAAAoxMzAuMTQxMTUyAEvjsWE9Jd4IS+OxYT0l3ggjQ0lRLkVPRy5JUV9DTE9TRVBSSUNFX0FESi4xMS80LzIwMjIBAAAAXB0EAAIAAAAKMTI1LjgyNDA1MQBL47FhPSXeCEvjsWE9Jd4IJENJUS5FT0cuSVFfQ0xPU0VQUklDRV9BREouMTAvMjgvMjAyMgEAAABcHQQAAgAAAAoxMTguMjY5MTIzAEvjsWE9Jd4IS+OxYT0l3ggkQ0lRLkVPRy5JUV9DTE9TRVBSSUNFX0FESi4xMC8yMS8yMDIyAQAAAFwdBAACAAAACjExOS40MjgwMTcAS+OxYT0l3ghL47FhPSXeCCRDSVEuRU9HLklRX0NMT1NFUFJJQ0VfQURKLjEwLzE0LzIwMjIBAAAAXB0EAAIAAAAKMTA2LjY2MjQ4OQBL47FhPSXeCEvjsWE9Jd4II0NJUS5FT0cuSVFfQ0xPU0VQUklDRV9BREouMTAvNy8yMDIyAQAAAFwdBAACAAAACjExMi4wODQ4MzIAS+OxYT0l3ghL47FhPSXeCCNDSVEuRU9HLklRX0NMT1NFUFJJQ0VfQURKLjkvMzAvMjAyMgEA</t>
  </si>
  <si>
    <t>AABcHQQAAgAAAAg5OC4yNjAwMQBL47FhPSXeCEvjsWE9Jd4II0NJUS5FT0cuSVFfQ0xPU0VQUklDRV9BREouOS8yMy8yMDIyAQAAAFwdBAACAAAACTk1Ljk2NDY2OABL47FhPSXeCEvjsWE9Jd4II0NJUS5FT0cuSVFfQ0xPU0VQUklDRV9BREouOS8xNi8yMDIyAQAAAFwdBAACAAAACjEwNi44MDgxODMAS+OxYT0l3ghL47FhPSXeCCJDSVEuRU9HLklRX0NMT1NFUFJJQ0VfQURKLjkvOS8yMDIyAQAAAFwdBAACAAAACjEwNy4xNjM5MjQAS+OxYT0l3ghL47FhPSXeCCJDSVEuRU9HLklRX0NMT1NFUFJJQ0VfQURKLjkvMi8yMDIyAQAAAFwdBAACAAAACDEwNS41NjU1AEvjsWE9Jd4IS+OxYT0l3ggjQ0lRLkVPRy5JUV9DTE9TRVBSSUNFX0FESi44LzI2LzIwMjIBAAAAXB0EAAIAAAAKMTA4LjIxNTA2MgBL47FhPSXeCEvjsWE9Jd4II0NJUS5FT0cuSVFfQ0xPU0VQUklDRV9BREouOC8xOS8yMDIyAQAAAFwdBAACAAAACjEwMy4xNTkxNzYAS+OxYT0l3ghL47FhPSXeCCNDSVEuRU9HLklRX0NMT1NFUFJJQ0VfQURKLjgvMTIvMjAyMgEAAABcHQQAAgAAAAk5OS40NTg0NzYAS+OxYT0l3ghL47FhPSXeCCJDSVEuRU9HLklRX0NMT1NFUFJJQ0VfQURKLjgvNS8yMDIyAQAAAFwdBAACAAAACTkyLjk2MDUzNABL47FhPSXeCEvjsWE9Jd4II0NJUS5FT0cuSVFfQ0xPU0VQUklDRV9BREouNy8yOS8yMDIyAQAAAFwdBAAC</t>
  </si>
  <si>
    <t>AAAACTk2LjYxNzc5OQBL47FhPSXeCEvjsWE9Jd4II0NJUS5FT0cuSVFfQ0xPU0VQUklDRV9BREouNy8yMi8yMDIyAQAAAFwdBAACAAAACTg3LjczOTU5NABL47FhPSXeCEvjsWE9Jd4II0NJUS5FT0cuSVFfQ0xPU0VQUklDRV9BREouNy8xNS8yMDIyAQAAAFwdBAACAAAACTg0LjUwNzk5NwBL47FhPSXeCEvjsWE9Jd4IIkNJUS5FT0cuSVFfQ0xPU0VQUklDRV9BREouNy84LzIwMjIBAAAAXB0EAAIAAAAJOTAuOTc0NDQyAEvjsWE9Jd4IS+OxYT0l3ggiQ0lRLkVPRy5JUV9DTE9TRVBSSUNFX0FESi43LzEvMjAyMgEAAABcHQQAAgAAAAk5Ni4yMzM1NzkAS+OxYT0l3ghL47FhPSXeCCNDSVEuRU9HLklRX0NMT1NFUFJJQ0VfQURKLjYvMjQvMjAyMgEAAABcHQQAAgAAAAk5NS4zNDU1NjEAS+OxYT0l3ghL47FhPSXeCCNDSVEuRU9HLklRX0NMT1NFUFJJQ0VfQURKLjYvMTcvMjAyMgEAAABcHQQAAgAAAAk5Ni4yNzY2ODcAS+OxYT0l3ghL47FhPSXeCCNDSVEuRU9HLklRX0NMT1NFUFJJQ0VfQURKLjYvMTAvMjAyMgEAAABcHQQAAgAAAAoxMjIuNDY2NDY2AEvjsWE9Jd4IS+OxYT0l3ggiQ0lRLkVPRy5JUV9DTE9TRVBSSUNFX0FESi42LzMvMjAyMgEAAABcHQQAAgAAAAoxMjEuMTczNzY0AEvjsWE9Jd4IS+OxYT0l3ggjQ0lRLkVPRy5JUV9DTE9TRVBSSUNFX0FESi41LzI3LzIwMjIBAAAAXB0EAAIAAAAKMTE2</t>
  </si>
  <si>
    <t>LjM4NTY2NgBL47FhPSXeCEvjsWE9Jd4II0NJUS5FT0cuSVFfQ0xPU0VQUklDRV9BREouNS8yMC8yMDIyAQAAAFwdBAACAAAACjEwMy43OTg4MzQAS+OxYT0l3ghL47FhPSXeCCNDSVEuRU9HLklRX0NMT1NFUFJJQ0VfQURKLjUvMTMvMjAyMgEAAABcHQQAAgAAAAoxMDUuNjk1MzY0AEvjsWE9Jd4IS+OxYT0l3ggiQ0lRLkVPRy5JUV9DTE9TRVBSSUNFX0FESi41LzYvMjAyMgEAAABcHQQAAgAAAAoxMTIuNDQ4MDI5AEvjsWE9Jd4IS+OxYT0l3ggjQ0lRLkVPRy5JUV9DTE9TRVBSSUNFX0FESi40LzI5LzIwMjIBAAAAXB0EAAIAAAAJOTkuMjk5ODkzAEvjsWE9Jd4IS+OxYT0l3ggjQ0lRLkVPRy5JUV9DTE9TRVBSSUNFX0FESi40LzIyLzIwMjIBAAAAXB0EAAIAAAAJOTguNzU1NTk3AEvjsWE9Jd4IS+OxYT0l3ggjQ0lRLkVPRy5JUV9DTE9TRVBSSUNFX0FESi40LzE0LzIwMjIBAAAAXB0EAAIAAAAKMTA0LjU1NTc0NQBL47FhPSXeCEvjsWE9Jd4IIkNJUS5FT0cuSVFfQ0xPU0VQUklDRV9BREouNC84LzIwMjIBAAAAXB0EAAIAAAAJMTA3LjI1Njg5AEvjsWE9Jd4IS+OxYT0l3ggiQ0lRLkVPRy5JUV9DTE9TRVBSSUNFX0FESi40LzEvMjAyMgEAAABcHQQAAgAAAAoxMDEuNzE5OTA1AEvjsWE9Jd4IS+OxYT0l3ggjQ0lRLkVPRy5JUV9DTE9TRVBSSUNFX0FESi4zLzI1LzIwMjIBAAAAXB0EAAIAAAAKMTA1LjI1</t>
  </si>
  <si>
    <t>MzQzMQBL47FhPSXeCEvjsWE9Jd4II0NJUS5FT0cuSVFfQ0xPU0VQUklDRV9BREouMy8xOC8yMDIyAQAAAFwdBAACAAAACTk3Ljg5MDUwOQBL47FhPSXeCEvjsWE9Jd4II0NJUS5FT0cuSVFfQ0xPU0VQUklDRV9BREouMy8xMS8yMDIyAQAAAFwdBAACAAAACTk3Ljc4OTA2OABL47FhPSXeCEvjsWE9Jd4IIkNJUS5FT0cuSVFfQ0xPU0VQUklDRV9BREouMy80LzIwMjIBAAAAXB0EAAIAAAAJOTkuNTIzOTI4AEvjsWE9Jd4IS+OxYT0l3ggjQ0lRLkVPRy5JUV9DTE9TRVBSSUNFX0FESi4yLzI1LzIwMjIBAAAAXB0EAAIAAAAJODkuOTEwOTY0AEvjsWE9Jd4IS+OxYT0l3ggjQ0lRLkVPRy5JUV9DTE9TRVBSSUNFX0FESi4yLzE4LzIwMjIBAAAAXB0EAAIAAAAJOTMuNTQ4MzAxAEvjsWE9Jd4IS+OxYT0l3ggjQ0lRLkVPRy5JUV9DTE9TRVBSSUNFX0FESi4yLzExLzIwMjIBAAAAXB0EAAIAAAAJOTcuODQ3NzM1AEvjsWE9Jd4IS+OxYT0l3ggiQ0lRLkVPRy5JUV9DTE9TRVBSSUNFX0FESi4yLzQvMjAyMgEAAABcHQQAAgAAAAk5NS4yOTE1NDIAS+OxYT0l3ghL47FhPSXeCCNDSVEuRU9HLklRX0NMT1NFUFJJQ0VfQURKLjEvMjgvMjAyMgEAAABcHQQAAgAAAAk5MS45MzkxNTcAS+OxYT0l3ghL47FhPSXeCCNDSVEuRU9HLklRX0NMT1NFUFJJQ0VfQURKLjEvMjEvMjAyMgEAAABcHQQAAgAAAAk4NC4zMzc2MjQAS+Ox</t>
  </si>
  <si>
    <t>YT0l3ghL47FhPSXeCCNDSVEuRU9HLklRX0NMT1NFUFJJQ0VfQURKLjEvMTQvMjAyMgEAAABcHQQAAgAAAAk4OC41MjgxMDUAS+OxYT0l3ghL47FhPSXeCCJDSVEuRU9HLklRX0NMT1NFUFJJQ0VfQURKLjEvNy8yMDIyAQAAAFwdBAACAAAACDgxLjY2NzE1AEvjsWE9Jd4IS+OxYT0l3ggkQ0lRLkVPRy5JUV9DTE9TRVBSSUNFX0FESi4xMi8zMS8yMDIxAQAAAFwdBAACAAAACTczLjkwNDc3NwBL47FhPSXeCEvjsWE9Jd4IJENJUS5FT0cuSVFfQ0xPU0VQUklDRV9BREouMTIvMjMvMjAyMQEAAABcHQQAAgAAAAg3Mi41MzIwMQBL47FhPSXeCEvjsWE9Jd4IJENJUS5FT0cuSVFfQ0xPU0VQUklDRV9BREouMTIvMTcvMjAyMQEAAABcHQQAAgAAAAk2OS44ODYzMTQAS+OxYT0l3ghL47FhPSXeCCRDSVEuRU9HLklRX0NMT1NFUFJJQ0VfQURKLjEyLzEwLzIwMjEBAAAAXB0EAAIAAAAJNzIuOTE2ODEyAEvjsWE9Jd4IS+OxYT0l3ggjQ0lRLkVPRy5JUV9DTE9TRVBSSUNFX0FESi4xMi8zLzIwMjEBAAAAXB0EAAIAAAAJNjkuOTE2NTU1AEvjsWE9Jd4IS+OxYT0l3ggkQ0lRLkVPRy5JUV9DTE9TRVBSSUNFX0FESi4xMS8yNi8yMDIxAQAAAFwdBAACAAAACTcxLjA3OTI1NgBL47FhPSXeCEvjsWE9Jd4IJENJUS5FT0cuSVFfQ0xPU0VQUklDRV9BREouMTEvMTkvMjAyMQEAAABcHQQAAgAAAAk2OS42NjQ1MDEAS+OxYT0l</t>
  </si>
  <si>
    <t>3ghL47FhPSXeCCRDSVEuRU9HLklRX0NMT1NFUFJJQ0VfQURKLjExLzEyLzIwMjEBAAAAXB0EAAIAAAAJNzcuMTEyMjkzAEvjsWE9Jd4IS+OxYT0l3ggjQ0lRLkVPRy5JUV9DTE9TRVBSSUNFX0FESi4xMS81LzIwMjEBAAAAXB0EAAIAAAAJNzcuMzM5OTU1AEvjsWE9Jd4IS+OxYT0l3ggkQ0lRLkVPRy5JUV9DTE9TRVBSSUNFX0FESi4xMC8yOS8yMDIxAQAAAFwdBAACAAAACTc1LjE3NzE2OABL47FhPSXeCEvjsWE9Jd4IJENJUS5FT0cuSVFfQ0xPU0VQUklDRV9BREouMTAvMjIvMjAyMQEAAABcHQQAAgAAAAk3NC44MDMxNTIAS+OxYT0l3ghL47FhPSXeCCRDSVEuRU9HLklRX0NMT1NFUFJJQ0VfQURKLjEwLzE1LzIwMjEBAAAAXB0EAAIAAAAJNzIuODY4MDI3AEvjsWE9Jd4IS+OxYT0l3ggjQ0lRLkVPRy5JUV9DTE9TRVBSSUNFX0FESi4xMC84LzIwMjEBAAAAXB0EAAIAAAAJNzMuMjcyMDg4AFUKsmE9Jd4IVQqyYT0l3ggjQ0lRLkVPRy5JUV9DTE9TRVBSSUNFX0FESi4xMC8xLzIwMjEBAAAAXB0EAAIAAAAJNjcuOTE0MDcyAFUKsmE9Jd4IVQqyYT0l3ggjQ0lRLkVPRy5JUV9DTE9TRVBSSUNFX0FESi45LzI0LzIwMjEBAAAAXB0EAAIAAAAJNjMuMjExNjQzAFUKsmE9Jd4IVQqyYT0l3ggjQ0lRLkVPRy5JUV9DTE9TRVBSSUNFX0FESi45LzE3LzIwMjEBAAAAXB0EAAIAAAAJNjAuMDk1NTc3AFUKsmE9Jd4I</t>
  </si>
  <si>
    <t>VQqyYT0l3ggjQ0lRLkVPRy5JUV9DTE9TRVBSSUNFX0FESi45LzEwLzIwMjEBAAAAXB0EAAIAAAAINTQuMzQwOTcAVQqyYT0l3ghVCrJhPSXeCCJDSVEuRU9HLklRX0NMT1NFUFJJQ0VfQURKLjkvMy8yMDIxAQAAAFwdBAACAAAACTU1LjAyODkzMwBVCrJhPSXeCFUKsmE9Jd4II0NJUS5FT0cuSVFfQ0xPU0VQUklDRV9BREouOC8yNy8yMDIxAQAAAFwdBAACAAAACTU2LjM1NjI5NgBVCrJhPSXeCFUKsmE9Jd4II0NJUS5FT0cuSVFfQ0xPU0VQUklDRV9BREouOC8yMC8yMDIxAQAAAFwdBAACAAAACTUyLjE3OTk1NwBVCrJhPSXeCFUKsmE9Jd4II0NJUS5FT0cuSVFfQ0xPU0VQUklDRV9BREouOC8xMy8yMDIxAQAAAFwdBAACAAAACTU1LjAzNzAyNgBVCrJhPSXeCFUKsmE9Jd4IIkNJUS5FT0cuSVFfQ0xPU0VQUklDRV9BREouOC82LzIwMjEBAAAAXB0EAAIAAAAJNTcuNDA4NDc1AFUKsmE9Jd4IVQqyYT0l3ggjQ0lRLkVPRy5JUV9DTE9TRVBSSUNFX0FESi43LzMwLzIwMjEBAAAAXB0EAAIAAAAJNTguOTcwNTU1AFUKsmE9Jd4IVQqyYT0l3ggjQ0lRLkVPRy5JUV9DTE9TRVBSSUNFX0FESi43LzIzLzIwMjEBAAAAXB0EAAIAAAAJNTguNjg3Mjc2AFUKsmE9Jd4IVQqyYT0l3ggjQ0lRLkVPRy5JUV9DTE9TRVBSSUNFX0FESi43LzE2LzIwMjEBAAAAXB0EAAIAAAAJNTkuODIwMzkxAFUKsmE9Jd4IVQqyYT0l3ggi</t>
  </si>
  <si>
    <t>Q0lRLkVPRy5JUV9DTE9TRVBSSUNFX0FESi43LzkvMjAyMQEAAABcHQQAAgAAAAk2NS42NjA0MjQAVQqyYT0l3ghVCrJhPSXeCCJDSVEuRU9HLklRX0NMT1NFUFJJQ0VfQURKLjcvMi8yMDIxAQAAAFwdBAACAAAACTY4LjE4ODU3NwBVCrJhPSXeCFUKsmE9Jd4II0NJUS5FT0cuSVFfQ0xPU0VQUklDRV9BREouNi8yNS8yMDIxAQAAAFwdBAACAAAACTY5LjY4MzIwOABVCrJhPSXeCFUKsmE9Jd4II0NJUS5FT0cuSVFfQ0xPU0VQUklDRV9BREouNi8xOC8yMDIxAQAAAFwdBAACAAAACTYzLjA1Mjc2OQBVCrJhPSXeCFUKsmE9Jd4II0NJUS5FT0cuSVFfQ0xPU0VQUklDRV9BREouNi8xMS8yMDIxAQAAAFwdBAACAAAACTY3LjkyNjIyMQBVCrJhPSXeCFUKsmE9Jd4IIkNJUS5FT0cuSVFfQ0xPU0VQUklDRV9BREouNi80LzIwMjEBAAAAXB0EAAIAAAAJNjkuNTMyMTU1AFUKsmE9Jd4IVQqyYT0l3ggjQ0lRLkVPRy5JUV9DTE9TRVBSSUNFX0FESi41LzI4LzIwMjEBAAAAXB0EAAIAAAAJNjMuODcxNjM3AFUKsmE9Jd4IVQqyYT0l3ggjQ0lRLkVPRy5JUV9DTE9TRVBSSUNFX0FESi41LzIxLzIwMjEBAAAAXB0EAAIAAAAJNjMuNjU2OTgyAFUKsmE9Jd4IVQqyYT0l3ggjQ0lRLkVPRy5JUV9DTE9TRVBSSUNFX0FESi41LzE0LzIwMjEBAAAAXB0EAAIAAAAJNjUuNjY4Mzc0AFUKsmE9Jd4IVQqyYT0l3ggiQ0lRLkVPRy5J</t>
  </si>
  <si>
    <t>UV9DTE9TRVBSSUNFX0FESi41LzcvMjAyMQEAAABcHQQAAgAAAAk2Ni4wNjU4ODIAVQqyYT0l3ghVCrJhPSXeCCNDSVEuRU9HLklRX0NMT1NFUFJJQ0VfQURKLjQvMzAvMjAyMQEAAABcHQQAAgAAAAk1OC41NDUwMjUAVQqyYT0l3ghVCrJhPSXeCCNDSVEuRU9HLklRX0NMT1NFUFJJQ0VfQURKLjQvMjMvMjAyMQEAAABcHQQAAgAAAAk1NC45MDM4NDkAVQqyYT0l3ghVCrJhPSXeCCNDSVEuRU9HLklRX0NMT1NFUFJJQ0VfQURKLjQvMTYvMjAyMQEAAABcHQQAAgAAAAk1Ni4wNTY2MjMAVQqyYT0l3ghVCrJhPSXeCCJDSVEuRU9HLklRX0NMT1NFUFJJQ0VfQURKLjQvOS8yMDIxAQAAAFwdBAACAAAACTU2Ljc0MDc5NwBVCrJhPSXeCFUKsmE9Jd4IIkNJUS5FT0cuSVFfQ0xPU0VQUklDRV9BREouNC8xLzIwMjEBAAAAXB0EAAIAAAAJNTkuNTYzMjExAFUKsmE9Jd4IVQqyYT0l3ggjQ0lRLkVPRy5JUV9DTE9TRVBSSUNFX0FESi4zLzI2LzIwMjEBAAAAXB0EAAIAAAAJNTkuMTk5NTM5AFUKsmE9Jd4IVQqyYT0l3ggjQ0lRLkVPRy5JUV9DTE9TRVBSSUNFX0FESi4zLzE5LzIwMjEBAAAAXB0EAAIAAAAJNTUuNDA0Njk3AFUKsmE9Jd4IVQqyYT0l3ggjQ0lRLkVPRy5JUV9DTE9TRVBSSUNFX0FESi4zLzEyLzIwMjEBAAAAXB0EAAIAAAAINTkuMjk0NDEAVQqyYT0l3ghVCrJhPSXeCCJDSVEuRU9HLklRX0NMT1NFUFJJ</t>
  </si>
  <si>
    <t>Q0VfQURKLjMvNS8yMDIxAQAAAFwdBAACAAAACTU4Ljk2MjM2MQBVCrJhPSXeCFUKsmE9Jd4II0NJUS5FT0cuSVFfQ0xPU0VQUklDRV9BREouMi8yNi8yMDIxAQAAAFwdBAACAAAACTUxLjA0MDYyOABVCrJhPSXeCFUKsmE9Jd4II0NJUS5FT0cuSVFfQ0xPU0VQUklDRV9BREouMi8xOS8yMDIxAQAAAFwdBAACAAAACTQ5LjQxOTkxNABVCrJhPSXeCFUKsmE9Jd4II0NJUS5FT0cuSVFfQ0xPU0VQUklDRV9BREouMi8xMi8yMDIxAQAAAFwdBAACAAAACTQ4LjI0MTkzMgBVCrJhPSXeCFUKsmE9Jd4IIkNJUS5FT0cuSVFfQ0xPU0VQUklDRV9BREouMi81LzIwMjEBAAAAXB0EAAIAAAAJNDQuNzU1NDIxAFUKsmE9Jd4IVQqyYT0l3ggjQ0lRLkVPRy5JUV9DTE9TRVBSSUNFX0FESi4xLzI5LzIwMjEBAAAAXB0EAAIAAAAJNDAuMjg4NTc1AFUKsmE9Jd4IVQqyYT0l3ggjQ0lRLkVPRy5JUV9DTE9TRVBSSUNFX0FESi4xLzIyLzIwMjEBAAAAXB0EAAIAAAAJNDMuMzcxODg0AFUKsmE9Jd4IVQqyYT0l3ggjQ0lRLkVPRy5JUV9DTE9TRVBSSUNFX0FESi4xLzE1LzIwMjEBAAAAXB0EAAIAAAAJNDYuNzk1MTQ4AFUKsmE9Jd4IVQqyYT0l3ggiQ0lRLkVPRy5JUV9DTE9TRVBSSUNFX0FESi4xLzgvMjAyMQEAAABcHQQAAgAAAAk0Ni4yNTM1MzEAVQqyYT0l3ghVCrJhPSXeCCRDSVEuRU9HLklRX0NMT1NFUFJJQ0VfQURKLjEy</t>
  </si>
  <si>
    <t>LzMxLzIwMjABAAAAXB0EAAIAAAAJMzkuMTgyMzI3AFUKsmE9Jd4IVQqyYT0l3ggkQ0lRLkVPRy5JUV9DTE9TRVBSSUNFX0FESi4xMi8yNC8yMDIwAQAAAFwdBAACAAAACTM4Ljk3MDE5MQBVCrJhPSXeCFUKsmE9Jd4IJENJUS5FT0cuSVFfQ0xPU0VQUklDRV9BREouMTIvMTgvMjAyMAEAAABcHQQAAgAAAAk0MC42NzUxMzcAVQqyYT0l3ghVCrJhPSXeCCRDSVEuRU9HLklRX0NMT1NFUFJJQ0VfQURKLjEyLzExLzIwMjABAAAAXB0EAAIAAAAJNDIuMTEyOTQ4AFUKsmE9Jd4IVQqyYT0l3ggjQ0lRLkVPRy5JUV9DTE9TRVBSSUNFX0FESi4xMi80LzIwMjABAAAAXB0EAAIAAAAJNDEuNjQxNTM1AFUKsmE9Jd4IVQqyYT0l3ggkQ0lRLkVPRy5JUV9DTE9TRVBSSUNFX0FESi4xMS8yNy8yMDIwAQAAAFwdBAACAAAACTQwLjQwODAwMwBVCrJhPSXeCFUKsmE9Jd4IJENJUS5FT0cuSVFfQ0xPU0VQUklDRV9BREouMTEvMjAvMjAyMAEAAABcHQQAAgAAAAkzNS42NjI0MzkAVQqyYT0l3ghVCrJhPSXeCCRDSVEuRU9HLklRX0NMT1NFUFJJQ0VfQURKLjExLzEzLzIwMjABAAAAXB0EAAIAAAAJMzMuNTI1MzY0AFUKsmE9Jd4IVQqyYT0l3ghPQ0lRUkFOR0UuRFZOLklRX0NMT1NFUFJJQ0VfQURKLjExLzEyLzIwMjAuMTEvMTIvMjAyNS4uLkRFU0MuVy5JUV9DTE9TRVBSSUNFX0FESgMAAAAOEQQABQEAAAAAAAADAAAAAAAA</t>
  </si>
  <si>
    <t>AAUiRFZOIgNEVk4BAAAAEyJJUV9DTE9TRVBSSUNFX0FESiIRSVFfQ0xPU0VQUklDRV9BREoCAAAACyIxMS83LzIwMjUiCTExLzcvMjAyNQAAAAADAAAAAAAAAAUiRFZOIgNEVk4BAAAAEyJJUV9DTE9TRVBSSUNFX0FESiIRSVFfQ0xPU0VQUklDRV9BREoCAAAADCIxMC8zMS8yMDI1IgoxMC8zMS8yMDI1AAAAAAMAAAAAAAAABSJEVk4iA0RWTgEAAAATIklRX0NMT1NFUFJJQ0VfQURKIhFJUV9DTE9TRVBSSUNFX0FESgIAAAAMIjEwLzI0LzIwMjUiCjEwLzI0LzIwMjUAAAAAAwAAAAAAAAAFIkRWTiIDRFZOAQAAABMiSVFfQ0xPU0VQUklDRV9BREoiEUlRX0NMT1NFUFJJQ0VfQURKAgAAAAwiMTAvMTcvMjAyNSIKMTAvMTcvMjAyNQAAAAADAAAAAAAAAAUiRFZOIgNEVk4BAAAAEyJJUV9DTE9TRVBSSUNFX0FESiIRSVFfQ0xPU0VQUklDRV9BREoCAAAADCIxMC8xMC8yMDI1IgoxMC8xMC8yMDI1AAAAAAMAAAAAAAAABSJEVk4iA0RWTgEAAAATIklRX0NMT1NFUFJJQ0VfQURKIhFJUV9DTE9TRVBSSUNFX0FESgIAAAALIjEwLzMvMjAyNSIJMTAvMy8yMDI1AAAAAAMAAAAAAAAABSJEVk4iA0RWTgEAAAATIklRX0NMT1NFUFJJQ0VfQURKIhFJUV9DTE9TRVBSSUNFX0FESgIAAAALIjkvMjYvMjAyNSIJOS8yNi8yMDI1AAAAAAMAAAAAAAAABSJEVk4iA0RWTgEAAAATIklRX0NMT1NFUFJJQ0VfQURKIhFJUV9DTE9T</t>
  </si>
  <si>
    <t>RVBSSUNFX0FESgIAAAALIjkvMTkvMjAyNSIJOS8xOS8yMDI1AAAAAAMAAAAAAAAABSJEVk4iA0RWTgEAAAATIklRX0NMT1NFUFJJQ0VfQURKIhFJUV9DTE9TRVBSSUNFX0FESgIAAAALIjkvMTIvMjAyNSIJOS8xMi8yMDI1AAAAAAMAAAAAAAAABSJEVk4iA0RWTgEAAAATIklRX0NMT1NFUFJJQ0VfQURKIhFJUV9DTE9TRVBSSUNFX0FESgIAAAAKIjkvNS8yMDI1Igg5LzUvMjAyNQAAAAADAAAAAAAAAAUiRFZOIgNEVk4BAAAAEyJJUV9DTE9TRVBSSUNFX0FESiIRSVFfQ0xPU0VQUklDRV9BREoCAAAACyI4LzI5LzIwMjUiCTgvMjkvMjAyNQAAAAADAAAAAAAAAAUiRFZOIgNEVk4BAAAAEyJJUV9DTE9TRVBSSUNFX0FESiIRSVFfQ0xPU0VQUklDRV9BREoCAAAACyI4LzIyLzIwMjUiCTgvMjIvMjAyNQAAAAADAAAAAAAAAAUiRFZOIgNEVk4BAAAAEyJJUV9DTE9TRVBSSUNFX0FESiIRSVFfQ0xPU0VQUklDRV9BREoCAAAACyI4LzE1LzIwMjUiCTgvMTUvMjAyNQAAAAADAAAAAAAAAAUiRFZOIgNEVk4BAAAAEyJJUV9DTE9TRVBSSUNFX0FESiIRSVFfQ0xPU0VQUklDRV9BREoCAAAACiI4LzgvMjAyNSIIOC84LzIwMjUAAAAAAwAAAAAAAAAFIkRWTiIDRFZOAQAAABMiSVFfQ0xPU0VQUklDRV9BREoiEUlRX0NMT1NFUFJJQ0VfQURKAgAAAAoiOC8xLzIwMjUiCDgvMS8yMDI1AAAAAAMAAAAAAAAABSJEVk4iA0RW</t>
  </si>
  <si>
    <t>TgEAAAATIklRX0NMT1NFUFJJQ0VfQURKIhFJUV9DTE9TRVBSSUNFX0FESgIAAAALIjcvMjUvMjAyNSIJNy8yNS8yMDI1AAAAAAMAAAAAAAAABSJEVk4iA0RWTgEAAAATIklRX0NMT1NFUFJJQ0VfQURKIhFJUV9DTE9TRVBSSUNFX0FESgIAAAALIjcvMTgvMjAyNSIJNy8xOC8yMDI1AAAAAAMAAAAAAAAABSJEVk4iA0RWTgEAAAATIklRX0NMT1NFUFJJQ0VfQURKIhFJUV9DTE9TRVBSSUNFX0FESgIAAAALIjcvMTEvMjAyNSIJNy8xMS8yMDI1AAAAAAMAAAAAAAAABSJEVk4iA0RWTgEAAAATIklRX0NMT1NFUFJJQ0VfQURKIhFJUV9DTE9TRVBSSUNFX0FESgIAAAAKIjcvMy8yMDI1Igg3LzMvMjAyNQAAAAADAAAAAAAAAAUiRFZOIgNEVk4BAAAAEyJJUV9DTE9TRVBSSUNFX0FESiIRSVFfQ0xPU0VQUklDRV9BREoCAAAACyI2LzI3LzIwMjUiCTYvMjcvMjAyNQAAAAADAAAAAAAAAAUiRFZOIgNEVk4BAAAAEyJJUV9DTE9TRVBSSUNFX0FESiIRSVFfQ0xPU0VQUklDRV9BREoCAAAACyI2LzIwLzIwMjUiCTYvMjAvMjAyNQAAAAADAAAAAAAAAAUiRFZOIgNEVk4BAAAAEyJJUV9DTE9TRVBSSUNFX0FESiIRSVFfQ0xPU0VQUklDRV9BREoCAAAACyI2LzEzLzIwMjUiCTYvMTMvMjAyNQAAAAADAAAAAAAAAAUiRFZOIgNEVk4BAAAAEyJJUV9DTE9TRVBSSUNFX0FESiIRSVFfQ0xPU0VQUklDRV9BREoCAAAACiI2LzYv</t>
  </si>
  <si>
    <t>MjAyNSIINi82LzIwMjUAAAAAAwAAAAAAAAAFIkRWTiIDRFZOAQAAABMiSVFfQ0xPU0VQUklDRV9BREoiEUlRX0NMT1NFUFJJQ0VfQURKAgAAAAsiNS8zMC8yMDI1Igk1LzMwLzIwMjUAAAAAAwAAAAAAAAAFIkRWTiIDRFZOAQAAABMiSVFfQ0xPU0VQUklDRV9BREoiEUlRX0NMT1NFUFJJQ0VfQURKAgAAAAsiNS8yMy8yMDI1Igk1LzIzLzIwMjUAAAAAAwAAAAAAAAAFIkRWTiIDRFZOAQAAABMiSVFfQ0xPU0VQUklDRV9BREoiEUlRX0NMT1NFUFJJQ0VfQURKAgAAAAsiNS8xNi8yMDI1Igk1LzE2LzIwMjUAAAAAAwAAAAAAAAAFIkRWTiIDRFZOAQAAABMiSVFfQ0xPU0VQUklDRV9BREoiEUlRX0NMT1NFUFJJQ0VfQURKAgAAAAoiNS85LzIwMjUiCDUvOS8yMDI1AAAAAAMAAAAAAAAABSJEVk4iA0RWTgEAAAATIklRX0NMT1NFUFJJQ0VfQURKIhFJUV9DTE9TRVBSSUNFX0FESgIAAAAKIjUvMi8yMDI1Igg1LzIvMjAyNQAAAAADAAAAAAAAAAUiRFZOIgNEVk4BAAAAEyJJUV9DTE9TRVBSSUNFX0FESiIRSVFfQ0xPU0VQUklDRV9BREoCAAAACyI0LzI1LzIwMjUiCTQvMjUvMjAyNQAAAAADAAAAAAAAAAUiRFZOIgNEVk4BAAAAEyJJUV9DTE9TRVBSSUNFX0FESiIRSVFfQ0xPU0VQUklDRV9BREoCAAAACyI0LzE3LzIwMjUiCTQvMTcvMjAyNQAAAAADAAAAAAAAAAUiRFZOIgNEVk4BAAAAEyJJUV9DTE9TRVBSSUNF</t>
  </si>
  <si>
    <t>X0FESiIRSVFfQ0xPU0VQUklDRV9BREoCAAAACyI0LzExLzIwMjUiCTQvMTEvMjAyNQAAAAADAAAAAAAAAAUiRFZOIgNEVk4BAAAAEyJJUV9DTE9TRVBSSUNFX0FESiIRSVFfQ0xPU0VQUklDRV9BREoCAAAACiI0LzQvMjAyNSIINC80LzIwMjUAAAAAAwAAAAAAAAAFIkRWTiIDRFZOAQAAABMiSVFfQ0xPU0VQUklDRV9BREoiEUlRX0NMT1NFUFJJQ0VfQURKAgAAAAsiMy8yOC8yMDI1IgkzLzI4LzIwMjUAAAAAAwAAAAAAAAAFIkRWTiIDRFZOAQAAABMiSVFfQ0xPU0VQUklDRV9BREoiEUlRX0NMT1NFUFJJQ0VfQURKAgAAAAsiMy8yMS8yMDI1IgkzLzIxLzIwMjUAAAAAAwAAAAAAAAAFIkRWTiIDRFZOAQAAABMiSVFfQ0xPU0VQUklDRV9BREoiEUlRX0NMT1NFUFJJQ0VfQURKAgAAAAsiMy8xNC8yMDI1IgkzLzE0LzIwMjUAAAAAAwAAAAAAAAAFIkRWTiIDRFZOAQAAABMiSVFfQ0xPU0VQUklDRV9BREoiEUlRX0NMT1NFUFJJQ0VfQURKAgAAAAoiMy83LzIwMjUiCDMvNy8yMDI1AAAAAAMAAAAAAAAABSJEVk4iA0RWTgEAAAATIklRX0NMT1NFUFJJQ0VfQURKIhFJUV9DTE9TRVBSSUNFX0FESgIAAAALIjIvMjgvMjAyNSIJMi8yOC8yMDI1AAAAAAMAAAAAAAAABSJEVk4iA0RWTgEAAAATIklRX0NMT1NFUFJJQ0VfQURKIhFJUV9DTE9TRVBSSUNFX0FESgIAAAALIjIvMjEvMjAyNSIJMi8yMS8yMDI1AAAAAAMA</t>
  </si>
  <si>
    <t>AAAAAAAABSJEVk4iA0RWTgEAAAATIklRX0NMT1NFUFJJQ0VfQURKIhFJUV9DTE9TRVBSSUNFX0FESgIAAAALIjIvMTQvMjAyNSIJMi8xNC8yMDI1AAAAAAMAAAAAAAAABSJEVk4iA0RWTgEAAAATIklRX0NMT1NFUFJJQ0VfQURKIhFJUV9DTE9TRVBSSUNFX0FESgIAAAAKIjIvNy8yMDI1IggyLzcvMjAyNQAAAAADAAAAAAAAAAUiRFZOIgNEVk4BAAAAEyJJUV9DTE9TRVBSSUNFX0FESiIRSVFfQ0xPU0VQUklDRV9BREoCAAAACyIxLzMxLzIwMjUiCTEvMzEvMjAyNQAAAAADAAAAAAAAAAUiRFZOIgNEVk4BAAAAEyJJUV9DTE9TRVBSSUNFX0FESiIRSVFfQ0xPU0VQUklDRV9BREoCAAAACyIxLzI0LzIwMjUiCTEvMjQvMjAyNQAAAAADAAAAAAAAAAUiRFZOIgNEVk4BAAAAEyJJUV9DTE9TRVBSSUNFX0FESiIRSVFfQ0xPU0VQUklDRV9BREoCAAAACyIxLzE3LzIwMjUiCTEvMTcvMjAyNQAAAAADAAAAAAAAAAUiRFZOIgNEVk4BAAAAEyJJUV9DTE9TRVBSSUNFX0FESiIRSVFfQ0xPU0VQUklDRV9BREoCAAAACyIxLzEwLzIwMjUiCTEvMTAvMjAyNQAAAAADAAAAAAAAAAUiRFZOIgNEVk4BAAAAEyJJUV9DTE9TRVBSSUNFX0FESiIRSVFfQ0xPU0VQUklDRV9BREoCAAAACiIxLzMvMjAyNSIIMS8zLzIwMjUAAAAAAwAAAAAAAAAFIkRWTiIDRFZOAQAAABMiSVFfQ0xPU0VQUklDRV9BREoiEUlRX0NMT1NFUFJJQ0Vf</t>
  </si>
  <si>
    <t>QURKAgAAAAwiMTIvMjcvMjAyNCIKMTIvMjcvMjAyNAAAAAADAAAAAAAAAAUiRFZOIgNEVk4BAAAAEyJJUV9DTE9TRVBSSUNFX0FESiIRSVFfQ0xPU0VQUklDRV9BREoCAAAADCIxMi8yMC8yMDI0IgoxMi8yMC8yMDI0AAAAAAMAAAAAAAAABSJEVk4iA0RWTgEAAAATIklRX0NMT1NFUFJJQ0VfQURKIhFJUV9DTE9TRVBSSUNFX0FESgIAAAAMIjEyLzEzLzIwMjQiCjEyLzEzLzIwMjQAAAAAAwAAAAAAAAAFIkRWTiIDRFZOAQAAABMiSVFfQ0xPU0VQUklDRV9BREoiEUlRX0NMT1NFUFJJQ0VfQURKAgAAAAsiMTIvNi8yMDI0IgkxMi82LzIwMjQAAAAAAwAAAAAAAAAFIkRWTiIDRFZOAQAAABMiSVFfQ0xPU0VQUklDRV9BREoiEUlRX0NMT1NFUFJJQ0VfQURKAgAAAAwiMTEvMjkvMjAyNCIKMTEvMjkvMjAyNAAAAAADAAAAAAAAAAUiRFZOIgNEVk4BAAAAEyJJUV9DTE9TRVBSSUNFX0FESiIRSVFfQ0xPU0VQUklDRV9BREoCAAAADCIxMS8yMi8yMDI0IgoxMS8yMi8yMDI0AAAAAAMAAAAAAAAABSJEVk4iA0RWTgEAAAATIklRX0NMT1NFUFJJQ0VfQURKIhFJUV9DTE9TRVBSSUNFX0FESgIAAAAMIjExLzE1LzIwMjQiCjExLzE1LzIwMjQAAAAAAwAAAAAAAAAFIkRWTiIDRFZOAQAAABMiSVFfQ0xPU0VQUklDRV9BREoiEUlRX0NMT1NFUFJJQ0VfQURKAgAAAAsiMTEvOC8yMDI0IgkxMS84LzIwMjQAAAAAAwAAAAAA</t>
  </si>
  <si>
    <t>AAAFIkRWTiIDRFZOAQAAABMiSVFfQ0xPU0VQUklDRV9BREoiEUlRX0NMT1NFUFJJQ0VfQURKAgAAAAsiMTEvMS8yMDI0IgkxMS8xLzIwMjQAAAAAAwAAAAAAAAAFIkRWTiIDRFZOAQAAABMiSVFfQ0xPU0VQUklDRV9BREoiEUlRX0NMT1NFUFJJQ0VfQURKAgAAAAwiMTAvMjUvMjAyNCIKMTAvMjUvMjAyNAAAAAADAAAAAAAAAAUiRFZOIgNEVk4BAAAAEyJJUV9DTE9TRVBSSUNFX0FESiIRSVFfQ0xPU0VQUklDRV9BREoCAAAADCIxMC8xOC8yMDI0IgoxMC8xOC8yMDI0AAAAAAMAAAAAAAAABSJEVk4iA0RWTgEAAAATIklRX0NMT1NFUFJJQ0VfQURKIhFJUV9DTE9TRVBSSUNFX0FESgIAAAAMIjEwLzExLzIwMjQiCjEwLzExLzIwMjQAAAAAAwAAAAAAAAAFIkRWTiIDRFZOAQAAABMiSVFfQ0xPU0VQUklDRV9BREoiEUlRX0NMT1NFUFJJQ0VfQURKAgAAAAsiMTAvNC8yMDI0IgkxMC80LzIwMjQAAAAAAwAAAAAAAAAFIkRWTiIDRFZOAQAAABMiSVFfQ0xPU0VQUklDRV9BREoiEUlRX0NMT1NFUFJJQ0VfQURKAgAAAAsiOS8yNy8yMDI0Igk5LzI3LzIwMjQAAAAAAwAAAAAAAAAFIkRWTiIDRFZOAQAAABMiSVFfQ0xPU0VQUklDRV9BREoiEUlRX0NMT1NFUFJJQ0VfQURKAgAAAAsiOS8yMC8yMDI0Igk5LzIwLzIwMjQAAAAAAwAAAAAAAAAFIkRWTiIDRFZOAQAAABMiSVFfQ0xPU0VQUklDRV9BREoiEUlRX0NMT1NF</t>
  </si>
  <si>
    <t>UFJJQ0VfQURKAgAAAAsiOS8xMy8yMDI0Igk5LzEzLzIwMjQAAAAAAwAAAAAAAAAFIkRWTiIDRFZOAQAAABMiSVFfQ0xPU0VQUklDRV9BREoiEUlRX0NMT1NFUFJJQ0VfQURKAgAAAAoiOS82LzIwMjQiCDkvNi8yMDI0AAAAAAMAAAAAAAAABSJEVk4iA0RWTgEAAAATIklRX0NMT1NFUFJJQ0VfQURKIhFJUV9DTE9TRVBSSUNFX0FESgIAAAALIjgvMzAvMjAyNCIJOC8zMC8yMDI0AAAAAAMAAAAAAAAABSJEVk4iA0RWTgEAAAATIklRX0NMT1NFUFJJQ0VfQURKIhFJUV9DTE9TRVBSSUNFX0FESgIAAAALIjgvMjMvMjAyNCIJOC8yMy8yMDI0AAAAAAMAAAAAAAAABSJEVk4iA0RWTgEAAAATIklRX0NMT1NFUFJJQ0VfQURKIhFJUV9DTE9TRVBSSUNFX0FESgIAAAALIjgvMTYvMjAyNCIJOC8xNi8yMDI0AAAAAAMAAAAAAAAABSJEVk4iA0RWTgEAAAATIklRX0NMT1NFUFJJQ0VfQURKIhFJUV9DTE9TRVBSSUNFX0FESgIAAAAKIjgvOS8yMDI0Igg4LzkvMjAyNAAAAAADAAAAAAAAAAUiRFZOIgNEVk4BAAAAEyJJUV9DTE9TRVBSSUNFX0FESiIRSVFfQ0xPU0VQUklDRV9BREoCAAAACiI4LzIvMjAyNCIIOC8yLzIwMjQAAAAAAwAAAAAAAAAFIkRWTiIDRFZOAQAAABMiSVFfQ0xPU0VQUklDRV9BREoiEUlRX0NMT1NFUFJJQ0VfQURKAgAAAAsiNy8yNi8yMDI0Igk3LzI2LzIwMjQAAAAAAwAAAAAAAAAFIkRWTiIDRFZO</t>
  </si>
  <si>
    <t>AQAAABMiSVFfQ0xPU0VQUklDRV9BREoiEUlRX0NMT1NFUFJJQ0VfQURKAgAAAAsiNy8xOS8yMDI0Igk3LzE5LzIwMjQAAAAAAwAAAAAAAAAFIkRWTiIDRFZOAQAAABMiSVFfQ0xPU0VQUklDRV9BREoiEUlRX0NMT1NFUFJJQ0VfQURKAgAAAAsiNy8xMi8yMDI0Igk3LzEyLzIwMjQAAAAAAwAAAAAAAAAFIkRWTiIDRFZOAQAAABMiSVFfQ0xPU0VQUklDRV9BREoiEUlRX0NMT1NFUFJJQ0VfQURKAgAAAAoiNy81LzIwMjQiCDcvNS8yMDI0AAAAAAMAAAAAAAAABSJEVk4iA0RWTgEAAAATIklRX0NMT1NFUFJJQ0VfQURKIhFJUV9DTE9TRVBSSUNFX0FESgIAAAALIjYvMjgvMjAyNCIJNi8yOC8yMDI0AAAAAAMAAAAAAAAABSJEVk4iA0RWTgEAAAATIklRX0NMT1NFUFJJQ0VfQURKIhFJUV9DTE9TRVBSSUNFX0FESgIAAAALIjYvMjEvMjAyNCIJNi8yMS8yMDI0AAAAAAMAAAAAAAAABSJEVk4iA0RWTgEAAAATIklRX0NMT1NFUFJJQ0VfQURKIhFJUV9DTE9TRVBSSUNFX0FESgIAAAALIjYvMTQvMjAyNCIJNi8xNC8yMDI0AAAAAAMAAAAAAAAABSJEVk4iA0RWTgEAAAATIklRX0NMT1NFUFJJQ0VfQURKIhFJUV9DTE9TRVBSSUNFX0FESgIAAAAKIjYvNy8yMDI0Igg2LzcvMjAyNAAAAAADAAAAAAAAAAUiRFZOIgNEVk4BAAAAEyJJUV9DTE9TRVBSSUNFX0FESiIRSVFfQ0xPU0VQUklDRV9BREoCAAAACyI1LzMxLzIw</t>
  </si>
  <si>
    <t>MjQiCTUvMzEvMjAyNAAAAAADAAAAAAAAAAUiRFZOIgNEVk4BAAAAEyJJUV9DTE9TRVBSSUNFX0FESiIRSVFfQ0xPU0VQUklDRV9BREoCAAAACyI1LzI0LzIwMjQiCTUvMjQvMjAyNAAAAAADAAAAAAAAAAUiRFZOIgNEVk4BAAAAEyJJUV9DTE9TRVBSSUNFX0FESiIRSVFfQ0xPU0VQUklDRV9BREoCAAAACyI1LzE3LzIwMjQiCTUvMTcvMjAyNAAAAAADAAAAAAAAAAUiRFZOIgNEVk4BAAAAEyJJUV9DTE9TRVBSSUNFX0FESiIRSVFfQ0xPU0VQUklDRV9BREoCAAAACyI1LzEwLzIwMjQiCTUvMTAvMjAyNAAAAAADAAAAAAAAAAUiRFZOIgNEVk4BAAAAEyJJUV9DTE9TRVBSSUNFX0FESiIRSVFfQ0xPU0VQUklDRV9BREoCAAAACiI1LzMvMjAyNCIINS8zLzIwMjQAAAAAAwAAAAAAAAAFIkRWTiIDRFZOAQAAABMiSVFfQ0xPU0VQUklDRV9BREoiEUlRX0NMT1NFUFJJQ0VfQURKAgAAAAsiNC8yNi8yMDI0Igk0LzI2LzIwMjQAAAAAAwAAAAAAAAAFIkRWTiIDRFZOAQAAABMiSVFfQ0xPU0VQUklDRV9BREoiEUlRX0NMT1NFUFJJQ0VfQURKAgAAAAsiNC8xOS8yMDI0Igk0LzE5LzIwMjQAAAAAAwAAAAAAAAAFIkRWTiIDRFZOAQAAABMiSVFfQ0xPU0VQUklDRV9BREoiEUlRX0NMT1NFUFJJQ0VfQURKAgAAAAsiNC8xMi8yMDI0Igk0LzEyLzIwMjQAAAAAAwAAAAAAAAAFIkRWTiIDRFZOAQAAABMiSVFfQ0xPU0VQUklD</t>
  </si>
  <si>
    <t>RV9BREoiEUlRX0NMT1NFUFJJQ0VfQURKAgAAAAoiNC81LzIwMjQiCDQvNS8yMDI0AAAAAAMAAAAAAAAABSJEVk4iA0RWTgEAAAATIklRX0NMT1NFUFJJQ0VfQURKIhFJUV9DTE9TRVBSSUNFX0FESgIAAAALIjMvMjgvMjAyNCIJMy8yOC8yMDI0AAAAAAMAAAAAAAAABSJEVk4iA0RWTgEAAAATIklRX0NMT1NFUFJJQ0VfQURKIhFJUV9DTE9TRVBSSUNFX0FESgIAAAALIjMvMjIvMjAyNCIJMy8yMi8yMDI0AAAAAAMAAAAAAAAABSJEVk4iA0RWTgEAAAATIklRX0NMT1NFUFJJQ0VfQURKIhFJUV9DTE9TRVBSSUNFX0FESgIAAAALIjMvMTUvMjAyNCIJMy8xNS8yMDI0AAAAAAMAAAAAAAAABSJEVk4iA0RWTgEAAAATIklRX0NMT1NFUFJJQ0VfQURKIhFJUV9DTE9TRVBSSUNFX0FESgIAAAAKIjMvOC8yMDI0IggzLzgvMjAyNAAAAAADAAAAAAAAAAUiRFZOIgNEVk4BAAAAEyJJUV9DTE9TRVBSSUNFX0FESiIRSVFfQ0xPU0VQUklDRV9BREoCAAAACiIzLzEvMjAyNCIIMy8xLzIwMjQAAAAAAwAAAAAAAAAFIkRWTiIDRFZOAQAAABMiSVFfQ0xPU0VQUklDRV9BREoiEUlRX0NMT1NFUFJJQ0VfQURKAgAAAAsiMi8yMy8yMDI0IgkyLzIzLzIwMjQAAAAAAwAAAAAAAAAFIkRWTiIDRFZOAQAAABMiSVFfQ0xPU0VQUklDRV9BREoiEUlRX0NMT1NFUFJJQ0VfQURKAgAAAAsiMi8xNi8yMDI0IgkyLzE2LzIwMjQAAAAAAwAA</t>
  </si>
  <si>
    <t>AAAAAAAFIkRWTiIDRFZOAQAAABMiSVFfQ0xPU0VQUklDRV9BREoiEUlRX0NMT1NFUFJJQ0VfQURKAgAAAAoiMi85LzIwMjQiCDIvOS8yMDI0AAAAAAMAAAAAAAAABSJEVk4iA0RWTgEAAAATIklRX0NMT1NFUFJJQ0VfQURKIhFJUV9DTE9TRVBSSUNFX0FESgIAAAAKIjIvMi8yMDI0IggyLzIvMjAyNAAAAAADAAAAAAAAAAUiRFZOIgNEVk4BAAAAEyJJUV9DTE9TRVBSSUNFX0FESiIRSVFfQ0xPU0VQUklDRV9BREoCAAAACyIxLzI2LzIwMjQiCTEvMjYvMjAyNAAAAAADAAAAAAAAAAUiRFZOIgNEVk4BAAAAEyJJUV9DTE9TRVBSSUNFX0FESiIRSVFfQ0xPU0VQUklDRV9BREoCAAAACyIxLzE5LzIwMjQiCTEvMTkvMjAyNAAAAAADAAAAAAAAAAUiRFZOIgNEVk4BAAAAEyJJUV9DTE9TRVBSSUNFX0FESiIRSVFfQ0xPU0VQUklDRV9BREoCAAAACyIxLzEyLzIwMjQiCTEvMTIvMjAyNAAAAAADAAAAAAAAAAUiRFZOIgNEVk4BAAAAEyJJUV9DTE9TRVBSSUNFX0FESiIRSVFfQ0xPU0VQUklDRV9BREoCAAAACiIxLzUvMjAyNCIIMS81LzIwMjQAAAAAAwAAAAAAAAAFIkRWTiIDRFZOAQAAABMiSVFfQ0xPU0VQUklDRV9BREoiEUlRX0NMT1NFUFJJQ0VfQURKAgAAAAwiMTIvMjkvMjAyMyIKMTIvMjkvMjAyMwAAAAADAAAAAAAAAAUiRFZOIgNEVk4BAAAAEyJJUV9DTE9TRVBSSUNFX0FESiIRSVFfQ0xPU0VQUklDRV9B</t>
  </si>
  <si>
    <t>REoCAAAADCIxMi8yMi8yMDIzIgoxMi8yMi8yMDIzAAAAAAMAAAAAAAAABSJEVk4iA0RWTgEAAAATIklRX0NMT1NFUFJJQ0VfQURKIhFJUV9DTE9TRVBSSUNFX0FESgIAAAAMIjEyLzE1LzIwMjMiCjEyLzE1LzIwMjMAAAAAAwAAAAAAAAAFIkRWTiIDRFZOAQAAABMiSVFfQ0xPU0VQUklDRV9BREoiEUlRX0NMT1NFUFJJQ0VfQURKAgAAAAsiMTIvOC8yMDIzIgkxMi84LzIwMjMAAAAAAwAAAAAAAAAFIkRWTiIDRFZOAQAAABMiSVFfQ0xPU0VQUklDRV9BREoiEUlRX0NMT1NFUFJJQ0VfQURKAgAAAAsiMTIvMS8yMDIzIgkxMi8xLzIwMjMAAAAAAwAAAAAAAAAFIkRWTiIDRFZOAQAAABMiSVFfQ0xPU0VQUklDRV9BREoiEUlRX0NMT1NFUFJJQ0VfQURKAgAAAAwiMTEvMjQvMjAyMyIKMTEvMjQvMjAyMwAAAAADAAAAAAAAAAUiRFZOIgNEVk4BAAAAEyJJUV9DTE9TRVBSSUNFX0FESiIRSVFfQ0xPU0VQUklDRV9BREoCAAAADCIxMS8xNy8yMDIzIgoxMS8xNy8yMDIzAAAAAAMAAAAAAAAABSJEVk4iA0RWTgEAAAATIklRX0NMT1NFUFJJQ0VfQURKIhFJUV9DTE9TRVBSSUNFX0FESgIAAAAMIjExLzEwLzIwMjMiCjExLzEwLzIwMjMAAAAAAwAAAAAAAAAFIkRWTiIDRFZOAQAAABMiSVFfQ0xPU0VQUklDRV9BREoiEUlRX0NMT1NFUFJJQ0VfQURKAgAAAAsiMTEvMy8yMDIzIgkxMS8zLzIwMjMAAAAAAwAAAAAAAAAF</t>
  </si>
  <si>
    <t>IkRWTiIDRFZOAQAAABMiSVFfQ0xPU0VQUklDRV9BREoiEUlRX0NMT1NFUFJJQ0VfQURKAgAAAAwiMTAvMjcvMjAyMyIKMTAvMjcvMjAyMwAAAAADAAAAAAAAAAUiRFZOIgNEVk4BAAAAEyJJUV9DTE9TRVBSSUNFX0FESiIRSVFfQ0xPU0VQUklDRV9BREoCAAAADCIxMC8yMC8yMDIzIgoxMC8yMC8yMDIzAAAAAAMAAAAAAAAABSJEVk4iA0RWTgEAAAATIklRX0NMT1NFUFJJQ0VfQURKIhFJUV9DTE9TRVBSSUNFX0FESgIAAAAMIjEwLzEzLzIwMjMiCjEwLzEzLzIwMjMAAAAAAwAAAAAAAAAFIkRWTiIDRFZOAQAAABMiSVFfQ0xPU0VQUklDRV9BREoiEUlRX0NMT1NFUFJJQ0VfQURKAgAAAAsiMTAvNi8yMDIzIgkxMC82LzIwMjMAAAAAAwAAAAAAAAAFIkRWTiIDRFZOAQAAABMiSVFfQ0xPU0VQUklDRV9BREoiEUlRX0NMT1NFUFJJQ0VfQURKAgAAAAsiOS8yOS8yMDIzIgk5LzI5LzIwMjMAAAAAAwAAAAAAAAAFIkRWTiIDRFZOAQAAABMiSVFfQ0xPU0VQUklDRV9BREoiEUlRX0NMT1NFUFJJQ0VfQURKAgAAAAsiOS8yMi8yMDIzIgk5LzIyLzIwMjMAAAAAAwAAAAAAAAAFIkRWTiIDRFZOAQAAABMiSVFfQ0xPU0VQUklDRV9BREoiEUlRX0NMT1NFUFJJQ0VfQURKAgAAAAsiOS8xNS8yMDIzIgk5LzE1LzIwMjMAAAAAAwAAAAAAAAAFIkRWTiIDRFZOAQAAABMiSVFfQ0xPU0VQUklDRV9BREoiEUlRX0NMT1NFUFJJ</t>
  </si>
  <si>
    <t>Q0VfQURKAgAAAAoiOS84LzIwMjMiCDkvOC8yMDIzAAAAAAMAAAAAAAAABSJEVk4iA0RWTgEAAAATIklRX0NMT1NFUFJJQ0VfQURKIhFJUV9DTE9TRVBSSUNFX0FESgIAAAAKIjkvMS8yMDIzIgg5LzEvMjAyMwAAAAADAAAAAAAAAAUiRFZOIgNEVk4BAAAAEyJJUV9DTE9TRVBSSUNFX0FESiIRSVFfQ0xPU0VQUklDRV9BREoCAAAACyI4LzI1LzIwMjMiCTgvMjUvMjAyMwAAAAADAAAAAAAAAAUiRFZOIgNEVk4BAAAAEyJJUV9DTE9TRVBSSUNFX0FESiIRSVFfQ0xPU0VQUklDRV9BREoCAAAACyI4LzE4LzIwMjMiCTgvMTgvMjAyMwAAAAADAAAAAAAAAAUiRFZOIgNEVk4BAAAAEyJJUV9DTE9TRVBSSUNFX0FESiIRSVFfQ0xPU0VQUklDRV9BREoCAAAACyI4LzExLzIwMjMiCTgvMTEvMjAyMwAAAAADAAAAAAAAAAUiRFZOIgNEVk4BAAAAEyJJUV9DTE9TRVBSSUNFX0FESiIRSVFfQ0xPU0VQUklDRV9BREoCAAAACiI4LzQvMjAyMyIIOC80LzIwMjMAAAAAAwAAAAAAAAAFIkRWTiIDRFZOAQAAABMiSVFfQ0xPU0VQUklDRV9BREoiEUlRX0NMT1NFUFJJQ0VfQURKAgAAAAsiNy8yOC8yMDIzIgk3LzI4LzIwMjMAAAAAAwAAAAAAAAAFIkRWTiIDRFZOAQAAABMiSVFfQ0xPU0VQUklDRV9BREoiEUlRX0NMT1NFUFJJQ0VfQURKAgAAAAsiNy8yMS8yMDIzIgk3LzIxLzIwMjMAAAAAAwAAAAAAAAAFIkRWTiIDRFZOAQAA</t>
  </si>
  <si>
    <t>ABMiSVFfQ0xPU0VQUklDRV9BREoiEUlRX0NMT1NFUFJJQ0VfQURKAgAAAAsiNy8xNC8yMDIzIgk3LzE0LzIwMjMAAAAAAwAAAAAAAAAFIkRWTiIDRFZOAQAAABMiSVFfQ0xPU0VQUklDRV9BREoiEUlRX0NMT1NFUFJJQ0VfQURKAgAAAAoiNy83LzIwMjMiCDcvNy8yMDIzAAAAAAMAAAAAAAAABSJEVk4iA0RWTgEAAAATIklRX0NMT1NFUFJJQ0VfQURKIhFJUV9DTE9TRVBSSUNFX0FESgIAAAALIjYvMzAvMjAyMyIJNi8zMC8yMDIzAAAAAAMAAAAAAAAABSJEVk4iA0RWTgEAAAATIklRX0NMT1NFUFJJQ0VfQURKIhFJUV9DTE9TRVBSSUNFX0FESgIAAAALIjYvMjMvMjAyMyIJNi8yMy8yMDIzAAAAAAMAAAAAAAAABSJEVk4iA0RWTgEAAAATIklRX0NMT1NFUFJJQ0VfQURKIhFJUV9DTE9TRVBSSUNFX0FESgIAAAALIjYvMTYvMjAyMyIJNi8xNi8yMDIzAAAAAAMAAAAAAAAABSJEVk4iA0RWTgEAAAATIklRX0NMT1NFUFJJQ0VfQURKIhFJUV9DTE9TRVBSSUNFX0FESgIAAAAKIjYvOS8yMDIzIgg2LzkvMjAyMwAAAAADAAAAAAAAAAUiRFZOIgNEVk4BAAAAEyJJUV9DTE9TRVBSSUNFX0FESiIRSVFfQ0xPU0VQUklDRV9BREoCAAAACiI2LzIvMjAyMyIINi8yLzIwMjMAAAAAAwAAAAAAAAAFIkRWTiIDRFZOAQAAABMiSVFfQ0xPU0VQUklDRV9BREoiEUlRX0NMT1NFUFJJQ0VfQURKAgAAAAsiNS8yNi8yMDIzIgk1</t>
  </si>
  <si>
    <t>LzI2LzIwMjMAAAAAAwAAAAAAAAAFIkRWTiIDRFZOAQAAABMiSVFfQ0xPU0VQUklDRV9BREoiEUlRX0NMT1NFUFJJQ0VfQURKAgAAAAsiNS8xOS8yMDIzIgk1LzE5LzIwMjMAAAAAAwAAAAAAAAAFIkRWTiIDRFZOAQAAABMiSVFfQ0xPU0VQUklDRV9BREoiEUlRX0NMT1NFUFJJQ0VfQURKAgAAAAsiNS8xMi8yMDIzIgk1LzEyLzIwMjMAAAAAAwAAAAAAAAAFIkRWTiIDRFZOAQAAABMiSVFfQ0xPU0VQUklDRV9BREoiEUlRX0NMT1NFUFJJQ0VfQURKAgAAAAoiNS81LzIwMjMiCDUvNS8yMDIzAAAAAAMAAAAAAAAABSJEVk4iA0RWTgEAAAATIklRX0NMT1NFUFJJQ0VfQURKIhFJUV9DTE9TRVBSSUNFX0FESgIAAAALIjQvMjgvMjAyMyIJNC8yOC8yMDIzAAAAAAMAAAAAAAAABSJEVk4iA0RWTgEAAAATIklRX0NMT1NFUFJJQ0VfQURKIhFJUV9DTE9TRVBSSUNFX0FESgIAAAALIjQvMjEvMjAyMyIJNC8yMS8yMDIzAAAAAAMAAAAAAAAABSJEVk4iA0RWTgEAAAATIklRX0NMT1NFUFJJQ0VfQURKIhFJUV9DTE9TRVBSSUNFX0FESgIAAAALIjQvMTQvMjAyMyIJNC8xNC8yMDIzAAAAAAMAAAAAAAAABSJEVk4iA0RWTgEAAAATIklRX0NMT1NFUFJJQ0VfQURKIhFJUV9DTE9TRVBSSUNFX0FESgIAAAAKIjQvNi8yMDIzIgg0LzYvMjAyMwAAAAADAAAAAAAAAAUiRFZOIgNEVk4BAAAAEyJJUV9DTE9TRVBSSUNFX0FESiIR</t>
  </si>
  <si>
    <t>SVFfQ0xPU0VQUklDRV9BREoCAAAACyIzLzMxLzIwMjMiCTMvMzEvMjAyMwAAAAADAAAAAAAAAAUiRFZOIgNEVk4BAAAAEyJJUV9DTE9TRVBSSUNFX0FESiIRSVFfQ0xPU0VQUklDRV9BREoCAAAACyIzLzI0LzIwMjMiCTMvMjQvMjAyMwAAAAADAAAAAAAAAAUiRFZOIgNEVk4BAAAAEyJJUV9DTE9TRVBSSUNFX0FESiIRSVFfQ0xPU0VQUklDRV9BREoCAAAACyIzLzE3LzIwMjMiCTMvMTcvMjAyMwAAAAADAAAAAAAAAAUiRFZOIgNEVk4BAAAAEyJJUV9DTE9TRVBSSUNFX0FESiIRSVFfQ0xPU0VQUklDRV9BREoCAAAACyIzLzEwLzIwMjMiCTMvMTAvMjAyMwAAAAADAAAAAAAAAAUiRFZOIgNEVk4BAAAAEyJJUV9DTE9TRVBSSUNFX0FESiIRSVFfQ0xPU0VQUklDRV9BREoCAAAACiIzLzMvMjAyMyIIMy8zLzIwMjMAAAAAAwAAAAAAAAAFIkRWTiIDRFZOAQAAABMiSVFfQ0xPU0VQUklDRV9BREoiEUlRX0NMT1NFUFJJQ0VfQURKAgAAAAsiMi8yNC8yMDIzIgkyLzI0LzIwMjMAAAAAAwAAAAAAAAAFIkRWTiIDRFZOAQAAABMiSVFfQ0xPU0VQUklDRV9BREoiEUlRX0NMT1NFUFJJQ0VfQURKAgAAAAsiMi8xNy8yMDIzIgkyLzE3LzIwMjMAAAAAAwAAAAAAAAAFIkRWTiIDRFZOAQAAABMiSVFfQ0xPU0VQUklDRV9BREoiEUlRX0NMT1NFUFJJQ0VfQURKAgAAAAsiMi8xMC8yMDIzIgkyLzEwLzIwMjMAAAAAAwAAAAAA</t>
  </si>
  <si>
    <t>AAAFIkRWTiIDRFZOAQAAABMiSVFfQ0xPU0VQUklDRV9BREoiEUlRX0NMT1NFUFJJQ0VfQURKAgAAAAoiMi8zLzIwMjMiCDIvMy8yMDIzAAAAAAMAAAAAAAAABSJEVk4iA0RWTgEAAAATIklRX0NMT1NFUFJJQ0VfQURKIhFJUV9DTE9TRVBSSUNFX0FESgIAAAALIjEvMjcvMjAyMyIJMS8yNy8yMDIzAAAAAAMAAAAAAAAABSJEVk4iA0RWTgEAAAATIklRX0NMT1NFUFJJQ0VfQURKIhFJUV9DTE9TRVBSSUNFX0FESgIAAAALIjEvMjAvMjAyMyIJMS8yMC8yMDIzAAAAAAMAAAAAAAAABSJEVk4iA0RWTgEAAAATIklRX0NMT1NFUFJJQ0VfQURKIhFJUV9DTE9TRVBSSUNFX0FESgIAAAALIjEvMTMvMjAyMyIJMS8xMy8yMDIzAAAAAAMAAAAAAAAABSJEVk4iA0RWTgEAAAATIklRX0NMT1NFUFJJQ0VfQURKIhFJUV9DTE9TRVBSSUNFX0FESgIAAAAKIjEvNi8yMDIzIggxLzYvMjAyMwAAAAADAAAAAAAAAAUiRFZOIgNEVk4BAAAAEyJJUV9DTE9TRVBSSUNFX0FESiIRSVFfQ0xPU0VQUklDRV9BREoCAAAADCIxMi8zMC8yMDIyIgoxMi8zMC8yMDIyAAAAAAMAAAAAAAAABSJEVk4iA0RWTgEAAAATIklRX0NMT1NFUFJJQ0VfQURKIhFJUV9DTE9TRVBSSUNFX0FESgIAAAAMIjEyLzIzLzIwMjIiCjEyLzIzLzIwMjIAAAAAAwAAAAAAAAAFIkRWTiIDRFZOAQAAABMiSVFfQ0xPU0VQUklDRV9BREoiEUlRX0NMT1NFUFJJQ0Vf</t>
  </si>
  <si>
    <t>QURKAgAAAAwiMTIvMTYvMjAyMiIKMTIvMTYvMjAyMgAAAAADAAAAAAAAAAUiRFZOIgNEVk4BAAAAEyJJUV9DTE9TRVBSSUNFX0FESiIRSVFfQ0xPU0VQUklDRV9BREoCAAAACyIxMi85LzIwMjIiCTEyLzkvMjAyMgAAAAADAAAAAAAAAAUiRFZOIgNEVk4BAAAAEyJJUV9DTE9TRVBSSUNFX0FESiIRSVFfQ0xPU0VQUklDRV9BREoCAAAACyIxMi8yLzIwMjIiCTEyLzIvMjAyMgAAAAADAAAAAAAAAAUiRFZOIgNEVk4BAAAAEyJJUV9DTE9TRVBSSUNFX0FESiIRSVFfQ0xPU0VQUklDRV9BREoCAAAADCIxMS8yNS8yMDIyIgoxMS8yNS8yMDIyAAAAAAMAAAAAAAAABSJEVk4iA0RWTgEAAAATIklRX0NMT1NFUFJJQ0VfQURKIhFJUV9DTE9TRVBSSUNFX0FESgIAAAAMIjExLzE4LzIwMjIiCjExLzE4LzIwMjIAAAAAAwAAAAAAAAAFIkRWTiIDRFZOAQAAABMiSVFfQ0xPU0VQUklDRV9BREoiEUlRX0NMT1NFUFJJQ0VfQURKAgAAAAwiMTEvMTEvMjAyMiIKMTEvMTEvMjAyMgAAAAADAAAAAAAAAAUiRFZOIgNEVk4BAAAAEyJJUV9DTE9TRVBSSUNFX0FESiIRSVFfQ0xPU0VQUklDRV9BREoCAAAACyIxMS80LzIwMjIiCTExLzQvMjAyMgAAAAADAAAAAAAAAAUiRFZOIgNEVk4BAAAAEyJJUV9DTE9TRVBSSUNFX0FESiIRSVFfQ0xPU0VQUklDRV9BREoCAAAADCIxMC8yOC8yMDIyIgoxMC8yOC8yMDIyAAAAAAMAAAAAAAAA</t>
  </si>
  <si>
    <t>BSJEVk4iA0RWTgEAAAATIklRX0NMT1NFUFJJQ0VfQURKIhFJUV9DTE9TRVBSSUNFX0FESgIAAAAMIjEwLzIxLzIwMjIiCjEwLzIxLzIwMjIAAAAAAwAAAAAAAAAFIkRWTiIDRFZOAQAAABMiSVFfQ0xPU0VQUklDRV9BREoiEUlRX0NMT1NFUFJJQ0VfQURKAgAAAAwiMTAvMTQvMjAyMiIKMTAvMTQvMjAyMgAAAAADAAAAAAAAAAUiRFZOIgNEVk4BAAAAEyJJUV9DTE9TRVBSSUNFX0FESiIRSVFfQ0xPU0VQUklDRV9BREoCAAAACyIxMC83LzIwMjIiCTEwLzcvMjAyMgAAAAADAAAAAAAAAAUiRFZOIgNEVk4BAAAAEyJJUV9DTE9TRVBSSUNFX0FESiIRSVFfQ0xPU0VQUklDRV9BREoCAAAACyI5LzMwLzIwMjIiCTkvMzAvMjAyMgAAAAADAAAAAAAAAAUiRFZOIgNEVk4BAAAAEyJJUV9DTE9TRVBSSUNFX0FESiIRSVFfQ0xPU0VQUklDRV9BREoCAAAACyI5LzIzLzIwMjIiCTkvMjMvMjAyMgAAAAADAAAAAAAAAAUiRFZOIgNEVk4BAAAAEyJJUV9DTE9TRVBSSUNFX0FESiIRSVFfQ0xPU0VQUklDRV9BREoCAAAACyI5LzE2LzIwMjIiCTkvMTYvMjAyMgAAAAADAAAAAAAAAAUiRFZOIgNEVk4BAAAAEyJJUV9DTE9TRVBSSUNFX0FESiIRSVFfQ0xPU0VQUklDRV9BREoCAAAACiI5LzkvMjAyMiIIOS85LzIwMjIAAAAAAwAAAAAAAAAFIkRWTiIDRFZOAQAAABMiSVFfQ0xPU0VQUklDRV9BREoiEUlRX0NMT1NFUFJJQ0Vf</t>
  </si>
  <si>
    <t>QURKAgAAAAoiOS8yLzIwMjIiCDkvMi8yMDIyAAAAAAMAAAAAAAAABSJEVk4iA0RWTgEAAAATIklRX0NMT1NFUFJJQ0VfQURKIhFJUV9DTE9TRVBSSUNFX0FESgIAAAALIjgvMjYvMjAyMiIJOC8yNi8yMDIyAAAAAAMAAAAAAAAABSJEVk4iA0RWTgEAAAATIklRX0NMT1NFUFJJQ0VfQURKIhFJUV9DTE9TRVBSSUNFX0FESgIAAAALIjgvMTkvMjAyMiIJOC8xOS8yMDIyAAAAAAMAAAAAAAAABSJEVk4iA0RWTgEAAAATIklRX0NMT1NFUFJJQ0VfQURKIhFJUV9DTE9TRVBSSUNFX0FESgIAAAALIjgvMTIvMjAyMiIJOC8xMi8yMDIyAAAAAAMAAAAAAAAABSJEVk4iA0RWTgEAAAATIklRX0NMT1NFUFJJQ0VfQURKIhFJUV9DTE9TRVBSSUNFX0FESgIAAAAKIjgvNS8yMDIyIgg4LzUvMjAyMgAAAAADAAAAAAAAAAUiRFZOIgNEVk4BAAAAEyJJUV9DTE9TRVBSSUNFX0FESiIRSVFfQ0xPU0VQUklDRV9BREoCAAAACyI3LzI5LzIwMjIiCTcvMjkvMjAyMgAAAAADAAAAAAAAAAUiRFZOIgNEVk4BAAAAEyJJUV9DTE9TRVBSSUNFX0FESiIRSVFfQ0xPU0VQUklDRV9BREoCAAAACyI3LzIyLzIwMjIiCTcvMjIvMjAyMgAAAAADAAAAAAAAAAUiRFZOIgNEVk4BAAAAEyJJUV9DTE9TRVBSSUNFX0FESiIRSVFfQ0xPU0VQUklDRV9BREoCAAAACyI3LzE1LzIwMjIiCTcvMTUvMjAyMgAAAAADAAAAAAAAAAUiRFZOIgNEVk4BAAAA</t>
  </si>
  <si>
    <t>EyJJUV9DTE9TRVBSSUNFX0FESiIRSVFfQ0xPU0VQUklDRV9BREoCAAAACiI3LzgvMjAyMiIINy84LzIwMjIAAAAAAwAAAAAAAAAFIkRWTiIDRFZOAQAAABMiSVFfQ0xPU0VQUklDRV9BREoiEUlRX0NMT1NFUFJJQ0VfQURKAgAAAAoiNy8xLzIwMjIiCDcvMS8yMDIyAAAAAAMAAAAAAAAABSJEVk4iA0RWTgEAAAATIklRX0NMT1NFUFJJQ0VfQURKIhFJUV9DTE9TRVBSSUNFX0FESgIAAAALIjYvMjQvMjAyMiIJNi8yNC8yMDIyAAAAAAMAAAAAAAAABSJEVk4iA0RWTgEAAAATIklRX0NMT1NFUFJJQ0VfQURKIhFJUV9DTE9TRVBSSUNFX0FESgIAAAALIjYvMTcvMjAyMiIJNi8xNy8yMDIyAAAAAAMAAAAAAAAABSJEVk4iA0RWTgEAAAATIklRX0NMT1NFUFJJQ0VfQURKIhFJUV9DTE9TRVBSSUNFX0FESgIAAAALIjYvMTAvMjAyMiIJNi8xMC8yMDIyAAAAAAMAAAAAAAAABSJEVk4iA0RWTgEAAAATIklRX0NMT1NFUFJJQ0VfQURKIhFJUV9DTE9TRVBSSUNFX0FESgIAAAAKIjYvMy8yMDIyIgg2LzMvMjAyMgAAAAADAAAAAAAAAAUiRFZOIgNEVk4BAAAAEyJJUV9DTE9TRVBSSUNFX0FESiIRSVFfQ0xPU0VQUklDRV9BREoCAAAACyI1LzI3LzIwMjIiCTUvMjcvMjAyMgAAAAADAAAAAAAAAAUiRFZOIgNEVk4BAAAAEyJJUV9DTE9TRVBSSUNFX0FESiIRSVFfQ0xPU0VQUklDRV9BREoCAAAACyI1LzIwLzIwMjIiCTUv</t>
  </si>
  <si>
    <t>MjAvMjAyMgAAAAADAAAAAAAAAAUiRFZOIgNEVk4BAAAAEyJJUV9DTE9TRVBSSUNFX0FESiIRSVFfQ0xPU0VQUklDRV9BREoCAAAACyI1LzEzLzIwMjIiCTUvMTMvMjAyMgAAAAADAAAAAAAAAAUiRFZOIgNEVk4BAAAAEyJJUV9DTE9TRVBSSUNFX0FESiIRSVFfQ0xPU0VQUklDRV9BREoCAAAACiI1LzYvMjAyMiIINS82LzIwMjIAAAAAAwAAAAAAAAAFIkRWTiIDRFZOAQAAABMiSVFfQ0xPU0VQUklDRV9BREoiEUlRX0NMT1NFUFJJQ0VfQURKAgAAAAsiNC8yOS8yMDIyIgk0LzI5LzIwMjIAAAAAAwAAAAAAAAAFIkRWTiIDRFZOAQAAABMiSVFfQ0xPU0VQUklDRV9BREoiEUlRX0NMT1NFUFJJQ0VfQURKAgAAAAsiNC8yMi8yMDIyIgk0LzIyLzIwMjIAAAAAAwAAAAAAAAAFIkRWTiIDRFZOAQAAABMiSVFfQ0xPU0VQUklDRV9BREoiEUlRX0NMT1NFUFJJQ0VfQURKAgAAAAsiNC8xNC8yMDIyIgk0LzE0LzIwMjIAAAAAAwAAAAAAAAAFIkRWTiIDRFZOAQAAABMiSVFfQ0xPU0VQUklDRV9BREoiEUlRX0NMT1NFUFJJQ0VfQURKAgAAAAoiNC84LzIwMjIiCDQvOC8yMDIyAAAAAAMAAAAAAAAABSJEVk4iA0RWTgEAAAATIklRX0NMT1NFUFJJQ0VfQURKIhFJUV9DTE9TRVBSSUNFX0FESgIAAAAKIjQvMS8yMDIyIgg0LzEvMjAyMgAAAAADAAAAAAAAAAUiRFZOIgNEVk4BAAAAEyJJUV9DTE9TRVBSSUNFX0FESiIRSVFf</t>
  </si>
  <si>
    <t>Q0xPU0VQUklDRV9BREoCAAAACyIzLzI1LzIwMjIiCTMvMjUvMjAyMgAAAAADAAAAAAAAAAUiRFZOIgNEVk4BAAAAEyJJUV9DTE9TRVBSSUNFX0FESiIRSVFfQ0xPU0VQUklDRV9BREoCAAAACyIzLzE4LzIwMjIiCTMvMTgvMjAyMgAAAAADAAAAAAAAAAUiRFZOIgNEVk4BAAAAEyJJUV9DTE9TRVBSSUNFX0FESiIRSVFfQ0xPU0VQUklDRV9BREoCAAAACyIzLzExLzIwMjIiCTMvMTEvMjAyMgAAAAADAAAAAAAAAAUiRFZOIgNEVk4BAAAAEyJJUV9DTE9TRVBSSUNFX0FESiIRSVFfQ0xPU0VQUklDRV9BREoCAAAACiIzLzQvMjAyMiIIMy80LzIwMjIAAAAAAwAAAAAAAAAFIkRWTiIDRFZOAQAAABMiSVFfQ0xPU0VQUklDRV9BREoiEUlRX0NMT1NFUFJJQ0VfQURKAgAAAAsiMi8yNS8yMDIyIgkyLzI1LzIwMjIAAAAAAwAAAAAAAAAFIkRWTiIDRFZOAQAAABMiSVFfQ0xPU0VQUklDRV9BREoiEUlRX0NMT1NFUFJJQ0VfQURKAgAAAAsiMi8xOC8yMDIyIgkyLzE4LzIwMjIAAAAAAwAAAAAAAAAFIkRWTiIDRFZOAQAAABMiSVFfQ0xPU0VQUklDRV9BREoiEUlRX0NMT1NFUFJJQ0VfQURKAgAAAAsiMi8xMS8yMDIyIgkyLzExLzIwMjIAAAAAAwAAAAAAAAAFIkRWTiIDRFZOAQAAABMiSVFfQ0xPU0VQUklDRV9BREoiEUlRX0NMT1NFUFJJQ0VfQURKAgAAAAoiMi80LzIwMjIiCDIvNC8yMDIyAAAAAAMAAAAAAAAABSJE</t>
  </si>
  <si>
    <t>Vk4iA0RWTgEAAAATIklRX0NMT1NFUFJJQ0VfQURKIhFJUV9DTE9TRVBSSUNFX0FESgIAAAALIjEvMjgvMjAyMiIJMS8yOC8yMDIyAAAAAAMAAAAAAAAABSJEVk4iA0RWTgEAAAATIklRX0NMT1NFUFJJQ0VfQURKIhFJUV9DTE9TRVBSSUNFX0FESgIAAAALIjEvMjEvMjAyMiIJMS8yMS8yMDIyAAAAAAMAAAAAAAAABSJEVk4iA0RWTgEAAAATIklRX0NMT1NFUFJJQ0VfQURKIhFJUV9DTE9TRVBSSUNFX0FESgIAAAALIjEvMTQvMjAyMiIJMS8xNC8yMDIyAAAAAAMAAAAAAAAABSJEVk4iA0RWTgEAAAATIklRX0NMT1NFUFJJQ0VfQURKIhFJUV9DTE9TRVBSSUNFX0FESgIAAAAKIjEvNy8yMDIyIggxLzcvMjAyMgAAAAADAAAAAAAAAAUiRFZOIgNEVk4BAAAAEyJJUV9DTE9TRVBSSUNFX0FESiIRSVFfQ0xPU0VQUklDRV9BREoCAAAADCIxMi8zMS8yMDIxIgoxMi8zMS8yMDIxAAAAAAMAAAAAAAAABSJEVk4iA0RWTgEAAAATIklRX0NMT1NFUFJJQ0VfQURKIhFJUV9DTE9TRVBSSUNFX0FESgIAAAAMIjEyLzIzLzIwMjEiCjEyLzIzLzIwMjEAAAAAAwAAAAAAAAAFIkRWTiIDRFZOAQAAABMiSVFfQ0xPU0VQUklDRV9BREoiEUlRX0NMT1NFUFJJQ0VfQURKAgAAAAwiMTIvMTcvMjAyMSIKMTIvMTcvMjAyMQAAAAADAAAAAAAAAAUiRFZOIgNEVk4BAAAAEyJJUV9DTE9TRVBSSUNFX0FESiIRSVFfQ0xPU0VQUklDRV9B</t>
  </si>
  <si>
    <t>REoCAAAADCIxMi8xMC8yMDIxIgoxMi8xMC8yMDIxAAAAAAMAAAAAAAAABSJEVk4iA0RWTgEAAAATIklRX0NMT1NFUFJJQ0VfQURKIhFJUV9DTE9TRVBSSUNFX0FESgIAAAALIjEyLzMvMjAyMSIJMTIvMy8yMDIxAAAAAAMAAAAAAAAABSJEVk4iA0RWTgEAAAATIklRX0NMT1NFUFJJQ0VfQURKIhFJUV9DTE9TRVBSSUNFX0FESgIAAAAMIjExLzI2LzIwMjEiCjExLzI2LzIwMjEAAAAAAwAAAAAAAAAFIkRWTiIDRFZOAQAAABMiSVFfQ0xPU0VQUklDRV9BREoiEUlRX0NMT1NFUFJJQ0VfQURKAgAAAAwiMTEvMTkvMjAyMSIKMTEvMTkvMjAyMQAAAAADAAAAAAAAAAUiRFZOIgNEVk4BAAAAEyJJUV9DTE9TRVBSSUNFX0FESiIRSVFfQ0xPU0VQUklDRV9BREoCAAAADCIxMS8xMi8yMDIxIgoxMS8xMi8yMDIxAAAAAAMAAAAAAAAABSJEVk4iA0RWTgEAAAATIklRX0NMT1NFUFJJQ0VfQURKIhFJUV9DTE9TRVBSSUNFX0FESgIAAAALIjExLzUvMjAyMSIJMTEvNS8yMDIxAAAAAAMAAAAAAAAABSJEVk4iA0RWTgEAAAATIklRX0NMT1NFUFJJQ0VfQURKIhFJUV9DTE9TRVBSSUNFX0FESgIAAAAMIjEwLzI5LzIwMjEiCjEwLzI5LzIwMjEAAAAAAwAAAAAAAAAFIkRWTiIDRFZOAQAAABMiSVFfQ0xPU0VQUklDRV9BREoiEUlRX0NMT1NFUFJJQ0VfQURKAgAAAAwiMTAvMjIvMjAyMSIKMTAvMjIvMjAyMQAAAAADAAAAAAAA</t>
  </si>
  <si>
    <t>AAUiRFZOIgNEVk4BAAAAEyJJUV9DTE9TRVBSSUNFX0FESiIRSVFfQ0xPU0VQUklDRV9BREoCAAAADCIxMC8xNS8yMDIxIgoxMC8xNS8yMDIxAAAAAAMAAAAAAAAABSJEVk4iA0RWTgEAAAATIklRX0NMT1NFUFJJQ0VfQURKIhFJUV9DTE9TRVBSSUNFX0FESgIAAAALIjEwLzgvMjAyMSIJMTAvOC8yMDIxAAAAAAMAAAAAAAAABSJEVk4iA0RWTgEAAAATIklRX0NMT1NFUFJJQ0VfQURKIhFJUV9DTE9TRVBSSUNFX0FESgIAAAALIjEwLzEvMjAyMSIJMTAvMS8yMDIxAAAAAAMAAAAAAAAABSJEVk4iA0RWTgEAAAATIklRX0NMT1NFUFJJQ0VfQURKIhFJUV9DTE9TRVBSSUNFX0FESgIAAAALIjkvMjQvMjAyMSIJOS8yNC8yMDIxAAAAAAMAAAAAAAAABSJEVk4iA0RWTgEAAAATIklRX0NMT1NFUFJJQ0VfQURKIhFJUV9DTE9TRVBSSUNFX0FESgIAAAALIjkvMTcvMjAyMSIJOS8xNy8yMDIxAAAAAAMAAAAAAAAABSJEVk4iA0RWTgEAAAATIklRX0NMT1NFUFJJQ0VfQURKIhFJUV9DTE9TRVBSSUNFX0FESgIAAAALIjkvMTAvMjAyMSIJOS8xMC8yMDIxAAAAAAMAAAAAAAAABSJEVk4iA0RWTgEAAAATIklRX0NMT1NFUFJJQ0VfQURKIhFJUV9DTE9TRVBSSUNFX0FESgIAAAAKIjkvMy8yMDIxIgg5LzMvMjAyMQAAAAADAAAAAAAAAAUiRFZOIgNEVk4BAAAAEyJJUV9DTE9TRVBSSUNFX0FESiIRSVFfQ0xPU0VQUklDRV9B</t>
  </si>
  <si>
    <t>REoCAAAACyI4LzI3LzIwMjEiCTgvMjcvMjAyMQAAAAADAAAAAAAAAAUiRFZOIgNEVk4BAAAAEyJJUV9DTE9TRVBSSUNFX0FESiIRSVFfQ0xPU0VQUklDRV9BREoCAAAACyI4LzIwLzIwMjEiCTgvMjAvMjAyMQAAAAADAAAAAAAAAAUiRFZOIgNEVk4BAAAAEyJJUV9DTE9TRVBSSUNFX0FESiIRSVFfQ0xPU0VQUklDRV9BREoCAAAACyI4LzEzLzIwMjEiCTgvMTMvMjAyMQAAAAADAAAAAAAAAAUiRFZOIgNEVk4BAAAAEyJJUV9DTE9TRVBSSUNFX0FESiIRSVFfQ0xPU0VQUklDRV9BREoCAAAACiI4LzYvMjAyMSIIOC82LzIwMjEAAAAAAwAAAAAAAAAFIkRWTiIDRFZOAQAAABMiSVFfQ0xPU0VQUklDRV9BREoiEUlRX0NMT1NFUFJJQ0VfQURKAgAAAAsiNy8zMC8yMDIxIgk3LzMwLzIwMjEAAAAAAwAAAAAAAAAFIkRWTiIDRFZOAQAAABMiSVFfQ0xPU0VQUklDRV9BREoiEUlRX0NMT1NFUFJJQ0VfQURKAgAAAAsiNy8yMy8yMDIxIgk3LzIzLzIwMjEAAAAAAwAAAAAAAAAFIkRWTiIDRFZOAQAAABMiSVFfQ0xPU0VQUklDRV9BREoiEUlRX0NMT1NFUFJJQ0VfQURKAgAAAAsiNy8xNi8yMDIxIgk3LzE2LzIwMjEAAAAAAwAAAAAAAAAFIkRWTiIDRFZOAQAAABMiSVFfQ0xPU0VQUklDRV9BREoiEUlRX0NMT1NFUFJJQ0VfQURKAgAAAAoiNy85LzIwMjEiCDcvOS8yMDIxAAAAAAMAAAAAAAAABSJEVk4iA0RWTgEAAAAT</t>
  </si>
  <si>
    <t>IklRX0NMT1NFUFJJQ0VfQURKIhFJUV9DTE9TRVBSSUNFX0FESgIAAAAKIjcvMi8yMDIxIgg3LzIvMjAyMQAAAAADAAAAAAAAAAUiRFZOIgNEVk4BAAAAEyJJUV9DTE9TRVBSSUNFX0FESiIRSVFfQ0xPU0VQUklDRV9BREoCAAAACyI2LzI1LzIwMjEiCTYvMjUvMjAyMQAAAAADAAAAAAAAAAUiRFZOIgNEVk4BAAAAEyJJUV9DTE9TRVBSSUNFX0FESiIRSVFfQ0xPU0VQUklDRV9BREoCAAAACyI2LzE4LzIwMjEiCTYvMTgvMjAyMQAAAAADAAAAAAAAAAUiRFZOIgNEVk4BAAAAEyJJUV9DTE9TRVBSSUNFX0FESiIRSVFfQ0xPU0VQUklDRV9BREoCAAAACyI2LzExLzIwMjEiCTYvMTEvMjAyMQAAAAADAAAAAAAAAAUiRFZOIgNEVk4BAAAAEyJJUV9DTE9TRVBSSUNFX0FESiIRSVFfQ0xPU0VQUklDRV9BREoCAAAACiI2LzQvMjAyMSIINi80LzIwMjEAAAAAAwAAAAAAAAAFIkRWTiIDRFZOAQAAABMiSVFfQ0xPU0VQUklDRV9BREoiEUlRX0NMT1NFUFJJQ0VfQURKAgAAAAsiNS8yOC8yMDIxIgk1LzI4LzIwMjEAAAAAAwAAAAAAAAAFIkRWTiIDRFZOAQAAABMiSVFfQ0xPU0VQUklDRV9BREoiEUlRX0NMT1NFUFJJQ0VfQURKAgAAAAsiNS8yMS8yMDIxIgk1LzIxLzIwMjEAAAAAAwAAAAAAAAAFIkRWTiIDRFZOAQAAABMiSVFfQ0xPU0VQUklDRV9BREoiEUlRX0NMT1NFUFJJQ0VfQURKAgAAAAsiNS8xNC8yMDIxIgk1</t>
  </si>
  <si>
    <t>LzE0LzIwMjEAAAAAAwAAAAAAAAAFIkRWTiIDRFZOAQAAABMiSVFfQ0xPU0VQUklDRV9BREoiEUlRX0NMT1NFUFJJQ0VfQURKAgAAAAoiNS83LzIwMjEiCDUvNy8yMDIxAAAAAAMAAAAAAAAABSJEVk4iA0RWTgEAAAATIklRX0NMT1NFUFJJQ0VfQURKIhFJUV9DTE9TRVBSSUNFX0FESgIAAAALIjQvMzAvMjAyMSIJNC8zMC8yMDIxAAAAAAMAAAAAAAAABSJEVk4iA0RWTgEAAAATIklRX0NMT1NFUFJJQ0VfQURKIhFJUV9DTE9TRVBSSUNFX0FESgIAAAALIjQvMjMvMjAyMSIJNC8yMy8yMDIxAAAAAAMAAAAAAAAABSJEVk4iA0RWTgEAAAATIklRX0NMT1NFUFJJQ0VfQURKIhFJUV9DTE9TRVBSSUNFX0FESgIAAAALIjQvMTYvMjAyMSIJNC8xNi8yMDIxAAAAAAMAAAAAAAAABSJEVk4iA0RWTgEAAAATIklRX0NMT1NFUFJJQ0VfQURKIhFJUV9DTE9TRVBSSUNFX0FESgIAAAAKIjQvOS8yMDIxIgg0LzkvMjAyMQAAAAADAAAAAAAAAAUiRFZOIgNEVk4BAAAAEyJJUV9DTE9TRVBSSUNFX0FESiIRSVFfQ0xPU0VQUklDRV9BREoCAAAACiI0LzEvMjAyMSIINC8xLzIwMjEAAAAAAwAAAAAAAAAFIkRWTiIDRFZOAQAAABMiSVFfQ0xPU0VQUklDRV9BREoiEUlRX0NMT1NFUFJJQ0VfQURKAgAAAAsiMy8yNi8yMDIxIgkzLzI2LzIwMjEAAAAAAwAAAAAAAAAFIkRWTiIDRFZOAQAAABMiSVFfQ0xPU0VQUklDRV9BREoiEUlR</t>
  </si>
  <si>
    <t>X0NMT1NFUFJJQ0VfQURKAgAAAAsiMy8xOS8yMDIxIgkzLzE5LzIwMjEAAAAAAwAAAAAAAAAFIkRWTiIDRFZOAQAAABMiSVFfQ0xPU0VQUklDRV9BREoiEUlRX0NMT1NFUFJJQ0VfQURKAgAAAAsiMy8xMi8yMDIxIgkzLzEyLzIwMjEAAAAAAwAAAAAAAAAFIkRWTiIDRFZOAQAAABMiSVFfQ0xPU0VQUklDRV9BREoiEUlRX0NMT1NFUFJJQ0VfQURKAgAAAAoiMy81LzIwMjEiCDMvNS8yMDIxAAAAAAMAAAAAAAAABSJEVk4iA0RWTgEAAAATIklRX0NMT1NFUFJJQ0VfQURKIhFJUV9DTE9TRVBSSUNFX0FESgIAAAALIjIvMjYvMjAyMSIJMi8yNi8yMDIxAAAAAAMAAAAAAAAABSJEVk4iA0RWTgEAAAATIklRX0NMT1NFUFJJQ0VfQURKIhFJUV9DTE9TRVBSSUNFX0FESgIAAAALIjIvMTkvMjAyMSIJMi8xOS8yMDIxAAAAAAMAAAAAAAAABSJEVk4iA0RWTgEAAAATIklRX0NMT1NFUFJJQ0VfQURKIhFJUV9DTE9TRVBSSUNFX0FESgIAAAALIjIvMTIvMjAyMSIJMi8xMi8yMDIxAAAAAAMAAAAAAAAABSJEVk4iA0RWTgEAAAATIklRX0NMT1NFUFJJQ0VfQURKIhFJUV9DTE9TRVBSSUNFX0FESgIAAAAKIjIvNS8yMDIxIggyLzUvMjAyMQAAAAADAAAAAAAAAAUiRFZOIgNEVk4BAAAAEyJJUV9DTE9TRVBSSUNFX0FESiIRSVFfQ0xPU0VQUklDRV9BREoCAAAACyIxLzI5LzIwMjEiCTEvMjkvMjAyMQAAAAADAAAAAAAAAAUi</t>
  </si>
  <si>
    <t>RFZOIgNEVk4BAAAAEyJJUV9DTE9TRVBSSUNFX0FESiIRSVFfQ0xPU0VQUklDRV9BREoCAAAACyIxLzIyLzIwMjEiCTEvMjIvMjAyMQAAAAADAAAAAAAAAAUiRFZOIgNEVk4BAAAAEyJJUV9DTE9TRVBSSUNFX0FESiIRSVFfQ0xPU0VQUklDRV9BREoCAAAACyIxLzE1LzIwMjEiCTEvMTUvMjAyMQAAAAADAAAAAAAAAAUiRFZOIgNEVk4BAAAAEyJJUV9DTE9TRVBSSUNFX0FESiIRSVFfQ0xPU0VQUklDRV9BREoCAAAACiIxLzgvMjAyMSIIMS84LzIwMjEAAAAAAwAAAAAAAAAFIkRWTiIDRFZOAQAAABMiSVFfQ0xPU0VQUklDRV9BREoiEUlRX0NMT1NFUFJJQ0VfQURKAgAAAAwiMTIvMzEvMjAyMCIKMTIvMzEvMjAyMAAAAAADAAAAAAAAAAUiRFZOIgNEVk4BAAAAEyJJUV9DTE9TRVBSSUNFX0FESiIRSVFfQ0xPU0VQUklDRV9BREoCAAAADCIxMi8yNC8yMDIwIgoxMi8yNC8yMDIwAAAAAAMAAAAAAAAABSJEVk4iA0RWTgEAAAATIklRX0NMT1NFUFJJQ0VfQURKIhFJUV9DTE9TRVBSSUNFX0FESgIAAAAMIjEyLzE4LzIwMjAiCjEyLzE4LzIwMjAAAAAAAwAAAAAAAAAFIkRWTiIDRFZOAQAAABMiSVFfQ0xPU0VQUklDRV9BREoiEUlRX0NMT1NFUFJJQ0VfQURKAgAAAAwiMTIvMTEvMjAyMCIKMTIvMTEvMjAyMAAAAAADAAAAAAAAAAUiRFZOIgNEVk4BAAAAEyJJUV9DTE9TRVBSSUNFX0FESiIRSVFfQ0xPU0VQUklD</t>
  </si>
  <si>
    <t>RV9BREoCAAAACyIxMi80LzIwMjAiCTEyLzQvMjAyMAAAAAADAAAAAAAAAAUiRFZOIgNEVk4BAAAAEyJJUV9DTE9TRVBSSUNFX0FESiIRSVFfQ0xPU0VQUklDRV9BREoCAAAADCIxMS8yNy8yMDIwIgoxMS8yNy8yMDIwAAAAAAMAAAAAAAAABSJEVk4iA0RWTgEAAAATIklRX0NMT1NFUFJJQ0VfQURKIhFJUV9DTE9TRVBSSUNFX0FESgIAAAAMIjExLzIwLzIwMjAiCjExLzIwLzIwMjAAAAAAAwAAAAAAAAAFIkRWTiIDRFZOAQAAABMiSVFfQ0xPU0VQUklDRV9BREoiEUlRX0NMT1NFUFJJQ0VfQURKAgAAAAwiMTEvMTMvMjAyMCIKMTEvMTMvMjAyMFUKsmE9Jd4IVQqyYT0l3ghOQ0lRUkFOR0UuQlAuSVFfQ0xPU0VQUklDRV9BREouMTEvMTIvMjAyMC4xMS8xMi8yMDI1Li4uREVTQy5XLklRX0NMT1NFUFJJQ0VfQURKAwAAAOIEBgAFAQAAAAAAAAMAAAAAAAAABCJCUCICQlABAAAAEyJJUV9DTE9TRVBSSUNFX0FESiIRSVFfQ0xPU0VQUklDRV9BREoCAAAACyIxMS83LzIwMjUiCTExLzcvMjAyNQAAAAADAAAAAAAAAAQiQlAiAkJQAQAAABMiSVFfQ0xPU0VQUklDRV9BREoiEUlRX0NMT1NFUFJJQ0VfQURKAgAAAAwiMTAvMzEvMjAyNSIKMTAvMzEvMjAyNQAAAAADAAAAAAAAAAQiQlAiAkJQAQAAABMiSVFfQ0xPU0VQUklDRV9BREoiEUlRX0NMT1NFUFJJQ0VfQURKAgAAAAwiMTAvMjQvMjAyNSIKMTAvMjQvMjAy</t>
  </si>
  <si>
    <t>NQAAAAADAAAAAAAAAAQiQlAiAkJQAQAAABMiSVFfQ0xPU0VQUklDRV9BREoiEUlRX0NMT1NFUFJJQ0VfQURKAgAAAAwiMTAvMTcvMjAyNSIKMTAvMTcvMjAyNQAAAAADAAAAAAAAAAQiQlAiAkJQAQAAABMiSVFfQ0xPU0VQUklDRV9BREoiEUlRX0NMT1NFUFJJQ0VfQURKAgAAAAwiMTAvMTAvMjAyNSIKMTAvMTAvMjAyNQAAAAADAAAAAAAAAAQiQlAiAkJQAQAAABMiSVFfQ0xPU0VQUklDRV9BREoiEUlRX0NMT1NFUFJJQ0VfQURKAgAAAAsiMTAvMy8yMDI1IgkxMC8zLzIwMjUAAAAAAwAAAAAAAAAEIkJQIgJCUAEAAAATIklRX0NMT1NFUFJJQ0VfQURKIhFJUV9DTE9TRVBSSUNFX0FESgIAAAALIjkvMjYvMjAyNSIJOS8yNi8yMDI1AAAAAAMAAAAAAAAABCJCUCICQlABAAAAEyJJUV9DTE9TRVBSSUNFX0FESiIRSVFfQ0xPU0VQUklDRV9BREoCAAAACyI5LzE5LzIwMjUiCTkvMTkvMjAyNQAAAAADAAAAAAAAAAQiQlAiAkJQAQAAABMiSVFfQ0xPU0VQUklDRV9BREoiEUlRX0NMT1NFUFJJQ0VfQURKAgAAAAsiOS8xMi8yMDI1Igk5LzEyLzIwMjUAAAAAAwAAAAAAAAAEIkJQIgJCUAEAAAATIklRX0NMT1NFUFJJQ0VfQURKIhFJUV9DTE9TRVBSSUNFX0FESgIAAAAKIjkvNS8yMDI1Igg5LzUvMjAyNQAAAAADAAAAAAAAAAQiQlAiAkJQAQAAABMiSVFfQ0xPU0VQUklDRV9BREoiEUlRX0NMT1NFUFJJQ0VfQURK</t>
  </si>
  <si>
    <t>AgAAAAsiOC8yOS8yMDI1Igk4LzI5LzIwMjUAAAAAAwAAAAAAAAAEIkJQIgJCUAEAAAATIklRX0NMT1NFUFJJQ0VfQURKIhFJUV9DTE9TRVBSSUNFX0FESgIAAAALIjgvMjIvMjAyNSIJOC8yMi8yMDI1AAAAAAMAAAAAAAAABCJCUCICQlABAAAAEyJJUV9DTE9TRVBSSUNFX0FESiIRSVFfQ0xPU0VQUklDRV9BREoCAAAACyI4LzE1LzIwMjUiCTgvMTUvMjAyNQAAAAADAAAAAAAAAAQiQlAiAkJQAQAAABMiSVFfQ0xPU0VQUklDRV9BREoiEUlRX0NMT1NFUFJJQ0VfQURKAgAAAAoiOC84LzIwMjUiCDgvOC8yMDI1AAAAAAMAAAAAAAAABCJCUCICQlABAAAAEyJJUV9DTE9TRVBSSUNFX0FESiIRSVFfQ0xPU0VQUklDRV9BREoCAAAACiI4LzEvMjAyNSIIOC8xLzIwMjUAAAAAAwAAAAAAAAAEIkJQIgJCUAEAAAATIklRX0NMT1NFUFJJQ0VfQURKIhFJUV9DTE9TRVBSSUNFX0FESgIAAAALIjcvMjUvMjAyNSIJNy8yNS8yMDI1AAAAAAMAAAAAAAAABCJCUCICQlABAAAAEyJJUV9DTE9TRVBSSUNFX0FESiIRSVFfQ0xPU0VQUklDRV9BREoCAAAACyI3LzE4LzIwMjUiCTcvMTgvMjAyNQAAAAADAAAAAAAAAAQiQlAiAkJQAQAAABMiSVFfQ0xPU0VQUklDRV9BREoiEUlRX0NMT1NFUFJJQ0VfQURKAgAAAAsiNy8xMS8yMDI1Igk3LzExLzIwMjUAAAAAAwAAAAAAAAAEIkJQIgJCUAEAAAATIklRX0NMT1NFUFJJQ0VfQURK</t>
  </si>
  <si>
    <t>IhFJUV9DTE9TRVBSSUNFX0FESgIAAAAKIjcvMy8yMDI1Igg3LzMvMjAyNQAAAAADAAAAAAAAAAQiQlAiAkJQAQAAABMiSVFfQ0xPU0VQUklDRV9BREoiEUlRX0NMT1NFUFJJQ0VfQURKAgAAAAsiNi8yNy8yMDI1Igk2LzI3LzIwMjUAAAAAAwAAAAAAAAAEIkJQIgJCUAEAAAATIklRX0NMT1NFUFJJQ0VfQURKIhFJUV9DTE9TRVBSSUNFX0FESgIAAAALIjYvMjAvMjAyNSIJNi8yMC8yMDI1AAAAAAMAAAAAAAAABCJCUCICQlABAAAAEyJJUV9DTE9TRVBSSUNFX0FESiIRSVFfQ0xPU0VQUklDRV9BREoCAAAACyI2LzEzLzIwMjUiCTYvMTMvMjAyNQAAAAADAAAAAAAAAAQiQlAiAkJQAQAAABMiSVFfQ0xPU0VQUklDRV9BREoiEUlRX0NMT1NFUFJJQ0VfQURKAgAAAAoiNi82LzIwMjUiCDYvNi8yMDI1AAAAAAMAAAAAAAAABCJCUCICQlABAAAAEyJJUV9DTE9TRVBSSUNFX0FESiIRSVFfQ0xPU0VQUklDRV9BREoCAAAACyI1LzMwLzIwMjUiCTUvMzAvMjAyNQAAAAADAAAAAAAAAAQiQlAiAkJQAQAAABMiSVFfQ0xPU0VQUklDRV9BREoiEUlRX0NMT1NFUFJJQ0VfQURKAgAAAAsiNS8yMy8yMDI1Igk1LzIzLzIwMjUAAAAAAwAAAAAAAAAEIkJQIgJCUAEAAAATIklRX0NMT1NFUFJJQ0VfQURKIhFJUV9DTE9TRVBSSUNFX0FESgIAAAALIjUvMTYvMjAyNSIJNS8xNi8yMDI1AAAAAAMAAAAAAAAABCJCUCICQlABAAAA</t>
  </si>
  <si>
    <t>EyJJUV9DTE9TRVBSSUNFX0FESiIRSVFfQ0xPU0VQUklDRV9BREoCAAAACiI1LzkvMjAyNSIINS85LzIwMjUAAAAAAwAAAAAAAAAEIkJQIgJCUAEAAAATIklRX0NMT1NFUFJJQ0VfQURKIhFJUV9DTE9TRVBSSUNFX0FESgIAAAAKIjUvMi8yMDI1Igg1LzIvMjAyNQAAAAADAAAAAAAAAAQiQlAiAkJQAQAAABMiSVFfQ0xPU0VQUklDRV9BREoiEUlRX0NMT1NFUFJJQ0VfQURKAgAAAAsiNC8yNS8yMDI1Igk0LzI1LzIwMjUAAAAAAwAAAAAAAAAEIkJQIgJCUAEAAAATIklRX0NMT1NFUFJJQ0VfQURKIhFJUV9DTE9TRVBSSUNFX0FESgIAAAALIjQvMTcvMjAyNSIJNC8xNy8yMDI1AAAAAAMAAAAAAAAABCJCUCICQlABAAAAEyJJUV9DTE9TRVBSSUNFX0FESiIRSVFfQ0xPU0VQUklDRV9BREoCAAAACyI0LzExLzIwMjUiCTQvMTEvMjAyNQAAAAADAAAAAAAAAAQiQlAiAkJQAQAAABMiSVFfQ0xPU0VQUklDRV9BREoiEUlRX0NMT1NFUFJJQ0VfQURKAgAAAAoiNC80LzIwMjUiCDQvNC8yMDI1AAAAAAMAAAAAAAAABCJCUCICQlABAAAAEyJJUV9DTE9TRVBSSUNFX0FESiIRSVFfQ0xPU0VQUklDRV9BREoCAAAACyIzLzI4LzIwMjUiCTMvMjgvMjAyNQAAAAADAAAAAAAAAAQiQlAiAkJQAQAAABMiSVFfQ0xPU0VQUklDRV9BREoiEUlRX0NMT1NFUFJJQ0VfQURKAgAAAAsiMy8yMS8yMDI1IgkzLzIxLzIwMjUAAAAAAwAA</t>
  </si>
  <si>
    <t>AAAAAAAEIkJQIgJCUAEAAAATIklRX0NMT1NFUFJJQ0VfQURKIhFJUV9DTE9TRVBSSUNFX0FESgIAAAALIjMvMTQvMjAyNSIJMy8xNC8yMDI1AAAAAAMAAAAAAAAABCJCUCICQlABAAAAEyJJUV9DTE9TRVBSSUNFX0FESiIRSVFfQ0xPU0VQUklDRV9BREoCAAAACiIzLzcvMjAyNSIIMy83LzIwMjUAAAAAAwAAAAAAAAAEIkJQIgJCUAEAAAATIklRX0NMT1NFUFJJQ0VfQURKIhFJUV9DTE9TRVBSSUNFX0FESgIAAAALIjIvMjgvMjAyNSIJMi8yOC8yMDI1AAAAAAMAAAAAAAAABCJCUCICQlABAAAAEyJJUV9DTE9TRVBSSUNFX0FESiIRSVFfQ0xPU0VQUklDRV9BREoCAAAACyIyLzIxLzIwMjUiCTIvMjEvMjAyNQAAAAADAAAAAAAAAAQiQlAiAkJQAQAAABMiSVFfQ0xPU0VQUklDRV9BREoiEUlRX0NMT1NFUFJJQ0VfQURKAgAAAAsiMi8xNC8yMDI1IgkyLzE0LzIwMjUAAAAAAwAAAAAAAAAEIkJQIgJCUAEAAAATIklRX0NMT1NFUFJJQ0VfQURKIhFJUV9DTE9TRVBSSUNFX0FESgIAAAAKIjIvNy8yMDI1IggyLzcvMjAyNQAAAAADAAAAAAAAAAQiQlAiAkJQAQAAABMiSVFfQ0xPU0VQUklDRV9BREoiEUlRX0NMT1NFUFJJQ0VfQURKAgAAAAsiMS8zMS8yMDI1IgkxLzMxLzIwMjUAAAAAAwAAAAAAAAAEIkJQIgJCUAEAAAATIklRX0NMT1NFUFJJQ0VfQURKIhFJUV9DTE9TRVBSSUNFX0FESgIAAAALIjEvMjQvMjAy</t>
  </si>
  <si>
    <t>NSIJMS8yNC8yMDI1AAAAAAMAAAAAAAAABCJCUCICQlABAAAAEyJJUV9DTE9TRVBSSUNFX0FESiIRSVFfQ0xPU0VQUklDRV9BREoCAAAACyIxLzE3LzIwMjUiCTEvMTcvMjAyNQAAAAADAAAAAAAAAAQiQlAiAkJQAQAAABMiSVFfQ0xPU0VQUklDRV9BREoiEUlRX0NMT1NFUFJJQ0VfQURKAgAAAAsiMS8xMC8yMDI1IgkxLzEwLzIwMjUAAAAAAwAAAAAAAAAEIkJQIgJCUAEAAAATIklRX0NMT1NFUFJJQ0VfQURKIhFJUV9DTE9TRVBSSUNFX0FESgIAAAAKIjEvMy8yMDI1IggxLzMvMjAyNQAAAAADAAAAAAAAAAQiQlAiAkJQAQAAABMiSVFfQ0xPU0VQUklDRV9BREoiEUlRX0NMT1NFUFJJQ0VfQURKAgAAAAwiMTIvMjcvMjAyNCIKMTIvMjcvMjAyNAAAAAADAAAAAAAAAAQiQlAiAkJQAQAAABMiSVFfQ0xPU0VQUklDRV9BREoiEUlRX0NMT1NFUFJJQ0VfQURKAgAAAAwiMTIvMjAvMjAyNCIKMTIvMjAvMjAyNAAAAAADAAAAAAAAAAQiQlAiAkJQAQAAABMiSVFfQ0xPU0VQUklDRV9BREoiEUlRX0NMT1NFUFJJQ0VfQURKAgAAAAwiMTIvMTMvMjAyNCIKMTIvMTMvMjAyNAAAAAADAAAAAAAAAAQiQlAiAkJQAQAAABMiSVFfQ0xPU0VQUklDRV9BREoiEUlRX0NMT1NFUFJJQ0VfQURKAgAAAAsiMTIvNi8yMDI0IgkxMi82LzIwMjQAAAAAAwAAAAAAAAAEIkJQIgJCUAEAAAATIklRX0NMT1NFUFJJQ0VfQURKIhFJUV9D</t>
  </si>
  <si>
    <t>TE9TRVBSSUNFX0FESgIAAAAMIjExLzI5LzIwMjQiCjExLzI5LzIwMjQAAAAAAwAAAAAAAAAEIkJQIgJCUAEAAAATIklRX0NMT1NFUFJJQ0VfQURKIhFJUV9DTE9TRVBSSUNFX0FESgIAAAAMIjExLzIyLzIwMjQiCjExLzIyLzIwMjQAAAAAAwAAAAAAAAAEIkJQIgJCUAEAAAATIklRX0NMT1NFUFJJQ0VfQURKIhFJUV9DTE9TRVBSSUNFX0FESgIAAAAMIjExLzE1LzIwMjQiCjExLzE1LzIwMjQAAAAAAwAAAAAAAAAEIkJQIgJCUAEAAAATIklRX0NMT1NFUFJJQ0VfQURKIhFJUV9DTE9TRVBSSUNFX0FESgIAAAALIjExLzgvMjAyNCIJMTEvOC8yMDI0AAAAAAMAAAAAAAAABCJCUCICQlABAAAAEyJJUV9DTE9TRVBSSUNFX0FESiIRSVFfQ0xPU0VQUklDRV9BREoCAAAACyIxMS8xLzIwMjQiCTExLzEvMjAyNAAAAAADAAAAAAAAAAQiQlAiAkJQAQAAABMiSVFfQ0xPU0VQUklDRV9BREoiEUlRX0NMT1NFUFJJQ0VfQURKAgAAAAwiMTAvMjUvMjAyNCIKMTAvMjUvMjAyNAAAAAADAAAAAAAAAAQiQlAiAkJQAQAAABMiSVFfQ0xPU0VQUklDRV9BREoiEUlRX0NMT1NFUFJJQ0VfQURKAgAAAAwiMTAvMTgvMjAyNCIKMTAvMTgvMjAyNAAAAAADAAAAAAAAAAQiQlAiAkJQAQAAABMiSVFfQ0xPU0VQUklDRV9BREoiEUlRX0NMT1NFUFJJQ0VfQURKAgAAAAwiMTAvMTEvMjAyNCIKMTAvMTEvMjAyNAAAAAADAAAAAAAAAAQi</t>
  </si>
  <si>
    <t>QlAiAkJQAQAAABMiSVFfQ0xPU0VQUklDRV9BREoiEUlRX0NMT1NFUFJJQ0VfQURKAgAAAAsiMTAvNC8yMDI0IgkxMC80LzIwMjQAAAAAAwAAAAAAAAAEIkJQIgJCUAEAAAATIklRX0NMT1NFUFJJQ0VfQURKIhFJUV9DTE9TRVBSSUNFX0FESgIAAAALIjkvMjcvMjAyNCIJOS8yNy8yMDI0AAAAAAMAAAAAAAAABCJCUCICQlABAAAAEyJJUV9DTE9TRVBSSUNFX0FESiIRSVFfQ0xPU0VQUklDRV9BREoCAAAACyI5LzIwLzIwMjQiCTkvMjAvMjAyNAAAAAADAAAAAAAAAAQiQlAiAkJQAQAAABMiSVFfQ0xPU0VQUklDRV9BREoiEUlRX0NMT1NFUFJJQ0VfQURKAgAAAAsiOS8xMy8yMDI0Igk5LzEzLzIwMjQAAAAAAwAAAAAAAAAEIkJQIgJCUAEAAAATIklRX0NMT1NFUFJJQ0VfQURKIhFJUV9DTE9TRVBSSUNFX0FESgIAAAAKIjkvNi8yMDI0Igg5LzYvMjAyNAAAAAADAAAAAAAAAAQiQlAiAkJQAQAAABMiSVFfQ0xPU0VQUklDRV9BREoiEUlRX0NMT1NFUFJJQ0VfQURKAgAAAAsiOC8zMC8yMDI0Igk4LzMwLzIwMjQAAAAAAwAAAAAAAAAEIkJQIgJCUAEAAAATIklRX0NMT1NFUFJJQ0VfQURKIhFJUV9DTE9TRVBSSUNFX0FESgIAAAALIjgvMjMvMjAyNCIJOC8yMy8yMDI0AAAAAAMAAAAAAAAABCJCUCICQlABAAAAEyJJUV9DTE9TRVBSSUNFX0FESiIRSVFfQ0xPU0VQUklDRV9BREoCAAAACyI4LzE2LzIwMjQiCTgv</t>
  </si>
  <si>
    <t>MTYvMjAyNAAAAAADAAAAAAAAAAQiQlAiAkJQAQAAABMiSVFfQ0xPU0VQUklDRV9BREoiEUlRX0NMT1NFUFJJQ0VfQURKAgAAAAoiOC85LzIwMjQiCDgvOS8yMDI0AAAAAAMAAAAAAAAABCJCUCICQlABAAAAEyJJUV9DTE9TRVBSSUNFX0FESiIRSVFfQ0xPU0VQUklDRV9BREoCAAAACiI4LzIvMjAyNCIIOC8yLzIwMjQAAAAAAwAAAAAAAAAEIkJQIgJCUAEAAAATIklRX0NMT1NFUFJJQ0VfQURKIhFJUV9DTE9TRVBSSUNFX0FESgIAAAALIjcvMjYvMjAyNCIJNy8yNi8yMDI0AAAAAAMAAAAAAAAABCJCUCICQlABAAAAEyJJUV9DTE9TRVBSSUNFX0FESiIRSVFfQ0xPU0VQUklDRV9BREoCAAAACyI3LzE5LzIwMjQiCTcvMTkvMjAyNAAAAAADAAAAAAAAAAQiQlAiAkJQAQAAABMiSVFfQ0xPU0VQUklDRV9BREoiEUlRX0NMT1NFUFJJQ0VfQURKAgAAAAsiNy8xMi8yMDI0Igk3LzEyLzIwMjQAAAAAAwAAAAAAAAAEIkJQIgJCUAEAAAATIklRX0NMT1NFUFJJQ0VfQURKIhFJUV9DTE9TRVBSSUNFX0FESgIAAAAKIjcvNS8yMDI0Igg3LzUvMjAyNAAAAAADAAAAAAAAAAQiQlAiAkJQAQAAABMiSVFfQ0xPU0VQUklDRV9BREoiEUlRX0NMT1NFUFJJQ0VfQURKAgAAAAsiNi8yOC8yMDI0Igk2LzI4LzIwMjQAAAAAAwAAAAAAAAAEIkJQIgJCUAEAAAATIklRX0NMT1NFUFJJQ0VfQURKIhFJUV9DTE9TRVBSSUNFX0FESgIA</t>
  </si>
  <si>
    <t>AAALIjYvMjEvMjAyNCIJNi8yMS8yMDI0AAAAAAMAAAAAAAAABCJCUCICQlABAAAAEyJJUV9DTE9TRVBSSUNFX0FESiIRSVFfQ0xPU0VQUklDRV9BREoCAAAACyI2LzE0LzIwMjQiCTYvMTQvMjAyNAAAAAADAAAAAAAAAAQiQlAiAkJQAQAAABMiSVFfQ0xPU0VQUklDRV9BREoiEUlRX0NMT1NFUFJJQ0VfQURKAgAAAAoiNi83LzIwMjQiCDYvNy8yMDI0AAAAAAMAAAAAAAAABCJCUCICQlABAAAAEyJJUV9DTE9TRVBSSUNFX0FESiIRSVFfQ0xPU0VQUklDRV9BREoCAAAACyI1LzMxLzIwMjQiCTUvMzEvMjAyNAAAAAADAAAAAAAAAAQiQlAiAkJQAQAAABMiSVFfQ0xPU0VQUklDRV9BREoiEUlRX0NMT1NFUFJJQ0VfQURKAgAAAAsiNS8yNC8yMDI0Igk1LzI0LzIwMjQAAAAAAwAAAAAAAAAEIkJQIgJCUAEAAAATIklRX0NMT1NFUFJJQ0VfQURKIhFJUV9DTE9TRVBSSUNFX0FESgIAAAALIjUvMTcvMjAyNCIJNS8xNy8yMDI0AAAAAAMAAAAAAAAABCJCUCICQlABAAAAEyJJUV9DTE9TRVBSSUNFX0FESiIRSVFfQ0xPU0VQUklDRV9BREoCAAAACyI1LzEwLzIwMjQiCTUvMTAvMjAyNAAAAAADAAAAAAAAAAQiQlAiAkJQAQAAABMiSVFfQ0xPU0VQUklDRV9BREoiEUlRX0NMT1NFUFJJQ0VfQURKAgAAAAoiNS8zLzIwMjQiCDUvMy8yMDI0AAAAAAMAAAAAAAAABCJCUCICQlABAAAAEyJJUV9DTE9TRVBSSUNFX0FESiIR</t>
  </si>
  <si>
    <t>SVFfQ0xPU0VQUklDRV9BREoCAAAACyI0LzI2LzIwMjQiCTQvMjYvMjAyNAAAAAADAAAAAAAAAAQiQlAiAkJQAQAAABMiSVFfQ0xPU0VQUklDRV9BREoiEUlRX0NMT1NFUFJJQ0VfQURKAgAAAAsiNC8xOS8yMDI0Igk0LzE5LzIwMjQAAAAAAwAAAAAAAAAEIkJQIgJCUAEAAAATIklRX0NMT1NFUFJJQ0VfQURKIhFJUV9DTE9TRVBSSUNFX0FESgIAAAALIjQvMTIvMjAyNCIJNC8xMi8yMDI0AAAAAAMAAAAAAAAABCJCUCICQlABAAAAEyJJUV9DTE9TRVBSSUNFX0FESiIRSVFfQ0xPU0VQUklDRV9BREoCAAAACiI0LzUvMjAyNCIINC81LzIwMjQAAAAAAwAAAAAAAAAEIkJQIgJCUAEAAAATIklRX0NMT1NFUFJJQ0VfQURKIhFJUV9DTE9TRVBSSUNFX0FESgIAAAALIjMvMjgvMjAyNCIJMy8yOC8yMDI0AAAAAAMAAAAAAAAABCJCUCICQlABAAAAEyJJUV9DTE9TRVBSSUNFX0FESiIRSVFfQ0xPU0VQUklDRV9BREoCAAAACyIzLzIyLzIwMjQiCTMvMjIvMjAyNAAAAAADAAAAAAAAAAQiQlAiAkJQAQAAABMiSVFfQ0xPU0VQUklDRV9BREoiEUlRX0NMT1NFUFJJQ0VfQURKAgAAAAsiMy8xNS8yMDI0IgkzLzE1LzIwMjQAAAAAAwAAAAAAAAAEIkJQIgJCUAEAAAATIklRX0NMT1NFUFJJQ0VfQURKIhFJUV9DTE9TRVBSSUNFX0FESgIAAAAKIjMvOC8yMDI0IggzLzgvMjAyNAAAAAADAAAAAAAAAAQiQlAiAkJQAQAAABMi</t>
  </si>
  <si>
    <t>SVFfQ0xPU0VQUklDRV9BREoiEUlRX0NMT1NFUFJJQ0VfQURKAgAAAAoiMy8xLzIwMjQiCDMvMS8yMDI0AAAAAAMAAAAAAAAABCJCUCICQlABAAAAEyJJUV9DTE9TRVBSSUNFX0FESiIRSVFfQ0xPU0VQUklDRV9BREoCAAAACyIyLzIzLzIwMjQiCTIvMjMvMjAyNAAAAAADAAAAAAAAAAQiQlAiAkJQAQAAABMiSVFfQ0xPU0VQUklDRV9BREoiEUlRX0NMT1NFUFJJQ0VfQURKAgAAAAsiMi8xNi8yMDI0IgkyLzE2LzIwMjQAAAAAAwAAAAAAAAAEIkJQIgJCUAEAAAATIklRX0NMT1NFUFJJQ0VfQURKIhFJUV9DTE9TRVBSSUNFX0FESgIAAAAKIjIvOS8yMDI0IggyLzkvMjAyNAAAAAADAAAAAAAAAAQiQlAiAkJQAQAAABMiSVFfQ0xPU0VQUklDRV9BREoiEUlRX0NMT1NFUFJJQ0VfQURKAgAAAAoiMi8yLzIwMjQiCDIvMi8yMDI0AAAAAAMAAAAAAAAABCJCUCICQlABAAAAEyJJUV9DTE9TRVBSSUNFX0FESiIRSVFfQ0xPU0VQUklDRV9BREoCAAAACyIxLzI2LzIwMjQiCTEvMjYvMjAyNAAAAAADAAAAAAAAAAQiQlAiAkJQAQAAABMiSVFfQ0xPU0VQUklDRV9BREoiEUlRX0NMT1NFUFJJQ0VfQURKAgAAAAsiMS8xOS8yMDI0IgkxLzE5LzIwMjQAAAAAAwAAAAAAAAAEIkJQIgJCUAEAAAATIklRX0NMT1NFUFJJQ0VfQURKIhFJUV9DTE9TRVBSSUNFX0FESgIAAAALIjEvMTIvMjAyNCIJMS8xMi8yMDI0AAAAAAMAAAAA</t>
  </si>
  <si>
    <t>AAAABCJCUCICQlABAAAAEyJJUV9DTE9TRVBSSUNFX0FESiIRSVFfQ0xPU0VQUklDRV9BREoCAAAACiIxLzUvMjAyNCIIMS81LzIwMjQAAAAAAwAAAAAAAAAEIkJQIgJCUAEAAAATIklRX0NMT1NFUFJJQ0VfQURKIhFJUV9DTE9TRVBSSUNFX0FESgIAAAAMIjEyLzI5LzIwMjMiCjEyLzI5LzIwMjMAAAAAAwAAAAAAAAAEIkJQIgJCUAEAAAATIklRX0NMT1NFUFJJQ0VfQURKIhFJUV9DTE9TRVBSSUNFX0FESgIAAAAMIjEyLzIyLzIwMjMiCjEyLzIyLzIwMjMAAAAAAwAAAAAAAAAEIkJQIgJCUAEAAAATIklRX0NMT1NFUFJJQ0VfQURKIhFJUV9DTE9TRVBSSUNFX0FESgIAAAAMIjEyLzE1LzIwMjMiCjEyLzE1LzIwMjMAAAAAAwAAAAAAAAAEIkJQIgJCUAEAAAATIklRX0NMT1NFUFJJQ0VfQURKIhFJUV9DTE9TRVBSSUNFX0FESgIAAAALIjEyLzgvMjAyMyIJMTIvOC8yMDIzAAAAAAMAAAAAAAAABCJCUCICQlABAAAAEyJJUV9DTE9TRVBSSUNFX0FESiIRSVFfQ0xPU0VQUklDRV9BREoCAAAACyIxMi8xLzIwMjMiCTEyLzEvMjAyMwAAAAADAAAAAAAAAAQiQlAiAkJQAQAAABMiSVFfQ0xPU0VQUklDRV9BREoiEUlRX0NMT1NFUFJJQ0VfQURKAgAAAAwiMTEvMjQvMjAyMyIKMTEvMjQvMjAyMwAAAAADAAAAAAAAAAQiQlAiAkJQAQAAABMiSVFfQ0xPU0VQUklDRV9BREoiEUlRX0NMT1NFUFJJQ0VfQURKAgAAAAwi</t>
  </si>
  <si>
    <t>MTEvMTcvMjAyMyIKMTEvMTcvMjAyMwAAAAADAAAAAAAAAAQiQlAiAkJQAQAAABMiSVFfQ0xPU0VQUklDRV9BREoiEUlRX0NMT1NFUFJJQ0VfQURKAgAAAAwiMTEvMTAvMjAyMyIKMTEvMTAvMjAyMwAAAAADAAAAAAAAAAQiQlAiAkJQAQAAABMiSVFfQ0xPU0VQUklDRV9BREoiEUlRX0NMT1NFUFJJQ0VfQURKAgAAAAsiMTEvMy8yMDIzIgkxMS8zLzIwMjMAAAAAAwAAAAAAAAAEIkJQIgJCUAEAAAATIklRX0NMT1NFUFJJQ0VfQURKIhFJUV9DTE9TRVBSSUNFX0FESgIAAAAMIjEwLzI3LzIwMjMiCjEwLzI3LzIwMjMAAAAAAwAAAAAAAAAEIkJQIgJCUAEAAAATIklRX0NMT1NFUFJJQ0VfQURKIhFJUV9DTE9TRVBSSUNFX0FESgIAAAAMIjEwLzIwLzIwMjMiCjEwLzIwLzIwMjMAAAAAAwAAAAAAAAAEIkJQIgJCUAEAAAATIklRX0NMT1NFUFJJQ0VfQURKIhFJUV9DTE9TRVBSSUNFX0FESgIAAAAMIjEwLzEzLzIwMjMiCjEwLzEzLzIwMjMAAAAAAwAAAAAAAAAEIkJQIgJCUAEAAAATIklRX0NMT1NFUFJJQ0VfQURKIhFJUV9DTE9TRVBSSUNFX0FESgIAAAALIjEwLzYvMjAyMyIJMTAvNi8yMDIzAAAAAAMAAAAAAAAABCJCUCICQlABAAAAEyJJUV9DTE9TRVBSSUNFX0FESiIRSVFfQ0xPU0VQUklDRV9BREoCAAAACyI5LzI5LzIwMjMiCTkvMjkvMjAyMwAAAAADAAAAAAAAAAQiQlAiAkJQAQAAABMiSVFfQ0xPU0VQ</t>
  </si>
  <si>
    <t>UklDRV9BREoiEUlRX0NMT1NFUFJJQ0VfQURKAgAAAAsiOS8yMi8yMDIzIgk5LzIyLzIwMjMAAAAAAwAAAAAAAAAEIkJQIgJCUAEAAAATIklRX0NMT1NFUFJJQ0VfQURKIhFJUV9DTE9TRVBSSUNFX0FESgIAAAALIjkvMTUvMjAyMyIJOS8xNS8yMDIzAAAAAAMAAAAAAAAABCJCUCICQlABAAAAEyJJUV9DTE9TRVBSSUNFX0FESiIRSVFfQ0xPU0VQUklDRV9BREoCAAAACiI5LzgvMjAyMyIIOS84LzIwMjMAAAAAAwAAAAAAAAAEIkJQIgJCUAEAAAATIklRX0NMT1NFUFJJQ0VfQURKIhFJUV9DTE9TRVBSSUNFX0FESgIAAAAKIjkvMS8yMDIzIgg5LzEvMjAyMwAAAAADAAAAAAAAAAQiQlAiAkJQAQAAABMiSVFfQ0xPU0VQUklDRV9BREoiEUlRX0NMT1NFUFJJQ0VfQURKAgAAAAsiOC8yNS8yMDIzIgk4LzI1LzIwMjMAAAAAAwAAAAAAAAAEIkJQIgJCUAEAAAATIklRX0NMT1NFUFJJQ0VfQURKIhFJUV9DTE9TRVBSSUNFX0FESgIAAAALIjgvMTgvMjAyMyIJOC8xOC8yMDIzAAAAAAMAAAAAAAAABCJCUCICQlABAAAAEyJJUV9DTE9TRVBSSUNFX0FESiIRSVFfQ0xPU0VQUklDRV9BREoCAAAACyI4LzExLzIwMjMiCTgvMTEvMjAyMwAAAAADAAAAAAAAAAQiQlAiAkJQAQAAABMiSVFfQ0xPU0VQUklDRV9BREoiEUlRX0NMT1NFUFJJQ0VfQURKAgAAAAoiOC80LzIwMjMiCDgvNC8yMDIzAAAAAAMAAAAAAAAABCJCUCIC</t>
  </si>
  <si>
    <t>QlABAAAAEyJJUV9DTE9TRVBSSUNFX0FESiIRSVFfQ0xPU0VQUklDRV9BREoCAAAACyI3LzI4LzIwMjMiCTcvMjgvMjAyMwAAAAADAAAAAAAAAAQiQlAiAkJQAQAAABMiSVFfQ0xPU0VQUklDRV9BREoiEUlRX0NMT1NFUFJJQ0VfQURKAgAAAAsiNy8yMS8yMDIzIgk3LzIxLzIwMjMAAAAAAwAAAAAAAAAEIkJQIgJCUAEAAAATIklRX0NMT1NFUFJJQ0VfQURKIhFJUV9DTE9TRVBSSUNFX0FESgIAAAALIjcvMTQvMjAyMyIJNy8xNC8yMDIzAAAAAAMAAAAAAAAABCJCUCICQlABAAAAEyJJUV9DTE9TRVBSSUNFX0FESiIRSVFfQ0xPU0VQUklDRV9BREoCAAAACiI3LzcvMjAyMyIINy83LzIwMjMAAAAAAwAAAAAAAAAEIkJQIgJCUAEAAAATIklRX0NMT1NFUFJJQ0VfQURKIhFJUV9DTE9TRVBSSUNFX0FESgIAAAALIjYvMzAvMjAyMyIJNi8zMC8yMDIzAAAAAAMAAAAAAAAABCJCUCICQlABAAAAEyJJUV9DTE9TRVBSSUNFX0FESiIRSVFfQ0xPU0VQUklDRV9BREoCAAAACyI2LzIzLzIwMjMiCTYvMjMvMjAyMwAAAAADAAAAAAAAAAQiQlAiAkJQAQAAABMiSVFfQ0xPU0VQUklDRV9BREoiEUlRX0NMT1NFUFJJQ0VfQURKAgAAAAsiNi8xNi8yMDIzIgk2LzE2LzIwMjMAAAAAAwAAAAAAAAAEIkJQIgJCUAEAAAATIklRX0NMT1NFUFJJQ0VfQURKIhFJUV9DTE9TRVBSSUNFX0FESgIAAAAKIjYvOS8yMDIzIgg2LzkvMjAy</t>
  </si>
  <si>
    <t>MwAAAAADAAAAAAAAAAQiQlAiAkJQAQAAABMiSVFfQ0xPU0VQUklDRV9BREoiEUlRX0NMT1NFUFJJQ0VfQURKAgAAAAoiNi8yLzIwMjMiCDYvMi8yMDIzAAAAAAMAAAAAAAAABCJCUCICQlABAAAAEyJJUV9DTE9TRVBSSUNFX0FESiIRSVFfQ0xPU0VQUklDRV9BREoCAAAACyI1LzI2LzIwMjMiCTUvMjYvMjAyMwAAAAADAAAAAAAAAAQiQlAiAkJQAQAAABMiSVFfQ0xPU0VQUklDRV9BREoiEUlRX0NMT1NFUFJJQ0VfQURKAgAAAAsiNS8xOS8yMDIzIgk1LzE5LzIwMjMAAAAAAwAAAAAAAAAEIkJQIgJCUAEAAAATIklRX0NMT1NFUFJJQ0VfQURKIhFJUV9DTE9TRVBSSUNFX0FESgIAAAALIjUvMTIvMjAyMyIJNS8xMi8yMDIzAAAAAAMAAAAAAAAABCJCUCICQlABAAAAEyJJUV9DTE9TRVBSSUNFX0FESiIRSVFfQ0xPU0VQUklDRV9BREoCAAAACiI1LzUvMjAyMyIINS81LzIwMjMAAAAAAwAAAAAAAAAEIkJQIgJCUAEAAAATIklRX0NMT1NFUFJJQ0VfQURKIhFJUV9DTE9TRVBSSUNFX0FESgIAAAALIjQvMjgvMjAyMyIJNC8yOC8yMDIzAAAAAAMAAAAAAAAABCJCUCICQlABAAAAEyJJUV9DTE9TRVBSSUNFX0FESiIRSVFfQ0xPU0VQUklDRV9BREoCAAAACyI0LzIxLzIwMjMiCTQvMjEvMjAyMwAAAAADAAAAAAAAAAQiQlAiAkJQAQAAABMiSVFfQ0xPU0VQUklDRV9BREoiEUlRX0NMT1NFUFJJQ0VfQURKAgAAAAsi</t>
  </si>
  <si>
    <t>NC8xNC8yMDIzIgk0LzE0LzIwMjMAAAAAAwAAAAAAAAAEIkJQIgJCUAEAAAATIklRX0NMT1NFUFJJQ0VfQURKIhFJUV9DTE9TRVBSSUNFX0FESgIAAAAKIjQvNi8yMDIzIgg0LzYvMjAyMwAAAAADAAAAAAAAAAQiQlAiAkJQAQAAABMiSVFfQ0xPU0VQUklDRV9BREoiEUlRX0NMT1NFUFJJQ0VfQURKAgAAAAsiMy8zMS8yMDIzIgkzLzMxLzIwMjMAAAAAAwAAAAAAAAAEIkJQIgJCUAEAAAATIklRX0NMT1NFUFJJQ0VfQURKIhFJUV9DTE9TRVBSSUNFX0FESgIAAAALIjMvMjQvMjAyMyIJMy8yNC8yMDIzAAAAAAMAAAAAAAAABCJCUCICQlABAAAAEyJJUV9DTE9TRVBSSUNFX0FESiIRSVFfQ0xPU0VQUklDRV9BREoCAAAACyIzLzE3LzIwMjMiCTMvMTcvMjAyMwAAAAADAAAAAAAAAAQiQlAiAkJQAQAAABMiSVFfQ0xPU0VQUklDRV9BREoiEUlRX0NMT1NFUFJJQ0VfQURKAgAAAAsiMy8xMC8yMDIzIgkzLzEwLzIwMjMAAAAAAwAAAAAAAAAEIkJQIgJCUAEAAAATIklRX0NMT1NFUFJJQ0VfQURKIhFJUV9DTE9TRVBSSUNFX0FESgIAAAAKIjMvMy8yMDIzIggzLzMvMjAyMwAAAAADAAAAAAAAAAQiQlAiAkJQAQAAABMiSVFfQ0xPU0VQUklDRV9BREoiEUlRX0NMT1NFUFJJQ0VfQURKAgAAAAsiMi8yNC8yMDIzIgkyLzI0LzIwMjMAAAAAAwAAAAAAAAAEIkJQIgJCUAEAAAATIklRX0NMT1NFUFJJQ0VfQURKIhFJUV9D</t>
  </si>
  <si>
    <t>TE9TRVBSSUNFX0FESgIAAAALIjIvMTcvMjAyMyIJMi8xNy8yMDIzAAAAAAMAAAAAAAAABCJCUCICQlABAAAAEyJJUV9DTE9TRVBSSUNFX0FESiIRSVFfQ0xPU0VQUklDRV9BREoCAAAACyIyLzEwLzIwMjMiCTIvMTAvMjAyMwAAAAADAAAAAAAAAAQiQlAiAkJQAQAAABMiSVFfQ0xPU0VQUklDRV9BREoiEUlRX0NMT1NFUFJJQ0VfQURKAgAAAAoiMi8zLzIwMjMiCDIvMy8yMDIzAAAAAAMAAAAAAAAABCJCUCICQlABAAAAEyJJUV9DTE9TRVBSSUNFX0FESiIRSVFfQ0xPU0VQUklDRV9BREoCAAAACyIxLzI3LzIwMjMiCTEvMjcvMjAyMwAAAAADAAAAAAAAAAQiQlAiAkJQAQAAABMiSVFfQ0xPU0VQUklDRV9BREoiEUlRX0NMT1NFUFJJQ0VfQURKAgAAAAsiMS8yMC8yMDIzIgkxLzIwLzIwMjMAAAAAAwAAAAAAAAAEIkJQIgJCUAEAAAATIklRX0NMT1NFUFJJQ0VfQURKIhFJUV9DTE9TRVBSSUNFX0FESgIAAAALIjEvMTMvMjAyMyIJMS8xMy8yMDIzAAAAAAMAAAAAAAAABCJCUCICQlABAAAAEyJJUV9DTE9TRVBSSUNFX0FESiIRSVFfQ0xPU0VQUklDRV9BREoCAAAACiIxLzYvMjAyMyIIMS82LzIwMjMAAAAAAwAAAAAAAAAEIkJQIgJCUAEAAAATIklRX0NMT1NFUFJJQ0VfQURKIhFJUV9DTE9TRVBSSUNFX0FESgIAAAAMIjEyLzMwLzIwMjIiCjEyLzMwLzIwMjIAAAAAAwAAAAAAAAAEIkJQIgJCUAEAAAATIklR</t>
  </si>
  <si>
    <t>X0NMT1NFUFJJQ0VfQURKIhFJUV9DTE9TRVBSSUNFX0FESgIAAAAMIjEyLzIzLzIwMjIiCjEyLzIzLzIwMjIAAAAAAwAAAAAAAAAEIkJQIgJCUAEAAAATIklRX0NMT1NFUFJJQ0VfQURKIhFJUV9DTE9TRVBSSUNFX0FESgIAAAAMIjEyLzE2LzIwMjIiCjEyLzE2LzIwMjIAAAAAAwAAAAAAAAAEIkJQIgJCUAEAAAATIklRX0NMT1NFUFJJQ0VfQURKIhFJUV9DTE9TRVBSSUNFX0FESgIAAAALIjEyLzkvMjAyMiIJMTIvOS8yMDIyAAAAAAMAAAAAAAAABCJCUCICQlABAAAAEyJJUV9DTE9TRVBSSUNFX0FESiIRSVFfQ0xPU0VQUklDRV9BREoCAAAACyIxMi8yLzIwMjIiCTEyLzIvMjAyMgAAAAADAAAAAAAAAAQiQlAiAkJQAQAAABMiSVFfQ0xPU0VQUklDRV9BREoiEUlRX0NMT1NFUFJJQ0VfQURKAgAAAAwiMTEvMjUvMjAyMiIKMTEvMjUvMjAyMgAAAAADAAAAAAAAAAQiQlAiAkJQAQAAABMiSVFfQ0xPU0VQUklDRV9BREoiEUlRX0NMT1NFUFJJQ0VfQURKAgAAAAwiMTEvMTgvMjAyMiIKMTEvMTgvMjAyMgAAAAADAAAAAAAAAAQiQlAiAkJQAQAAABMiSVFfQ0xPU0VQUklDRV9BREoiEUlRX0NMT1NFUFJJQ0VfQURKAgAAAAwiMTEvMTEvMjAyMiIKMTEvMTEvMjAyMgAAAAADAAAAAAAAAAQiQlAiAkJQAQAAABMiSVFfQ0xPU0VQUklDRV9BREoiEUlRX0NMT1NFUFJJQ0VfQURKAgAAAAsiMTEvNC8yMDIyIgkxMS80</t>
  </si>
  <si>
    <t>LzIwMjIAAAAAAwAAAAAAAAAEIkJQIgJCUAEAAAATIklRX0NMT1NFUFJJQ0VfQURKIhFJUV9DTE9TRVBSSUNFX0FESgIAAAAMIjEwLzI4LzIwMjIiCjEwLzI4LzIwMjIAAAAAAwAAAAAAAAAEIkJQIgJCUAEAAAATIklRX0NMT1NFUFJJQ0VfQURKIhFJUV9DTE9TRVBSSUNFX0FESgIAAAAMIjEwLzIxLzIwMjIiCjEwLzIxLzIwMjIAAAAAAwAAAAAAAAAEIkJQIgJCUAEAAAATIklRX0NMT1NFUFJJQ0VfQURKIhFJUV9DTE9TRVBSSUNFX0FESgIAAAAMIjEwLzE0LzIwMjIiCjEwLzE0LzIwMjIAAAAAAwAAAAAAAAAEIkJQIgJCUAEAAAATIklRX0NMT1NFUFJJQ0VfQURKIhFJUV9DTE9TRVBSSUNFX0FESgIAAAALIjEwLzcvMjAyMiIJMTAvNy8yMDIyAAAAAAMAAAAAAAAABCJCUCICQlABAAAAEyJJUV9DTE9TRVBSSUNFX0FESiIRSVFfQ0xPU0VQUklDRV9BREoCAAAACyI5LzMwLzIwMjIiCTkvMzAvMjAyMgAAAAADAAAAAAAAAAQiQlAiAkJQAQAAABMiSVFfQ0xPU0VQUklDRV9BREoiEUlRX0NMT1NFUFJJQ0VfQURKAgAAAAsiOS8yMy8yMDIyIgk5LzIzLzIwMjIAAAAAAwAAAAAAAAAEIkJQIgJCUAEAAAATIklRX0NMT1NFUFJJQ0VfQURKIhFJUV9DTE9TRVBSSUNFX0FESgIAAAALIjkvMTYvMjAyMiIJOS8xNi8yMDIyAAAAAAMAAAAAAAAABCJCUCICQlABAAAAEyJJUV9DTE9TRVBSSUNFX0FESiIRSVFfQ0xPU0VQ</t>
  </si>
  <si>
    <t>UklDRV9BREoCAAAACiI5LzkvMjAyMiIIOS85LzIwMjIAAAAAAwAAAAAAAAAEIkJQIgJCUAEAAAATIklRX0NMT1NFUFJJQ0VfQURKIhFJUV9DTE9TRVBSSUNFX0FESgIAAAAKIjkvMi8yMDIyIgg5LzIvMjAyMgAAAAADAAAAAAAAAAQiQlAiAkJQAQAAABMiSVFfQ0xPU0VQUklDRV9BREoiEUlRX0NMT1NFUFJJQ0VfQURKAgAAAAsiOC8yNi8yMDIyIgk4LzI2LzIwMjIAAAAAAwAAAAAAAAAEIkJQIgJCUAEAAAATIklRX0NMT1NFUFJJQ0VfQURKIhFJUV9DTE9TRVBSSUNFX0FESgIAAAALIjgvMTkvMjAyMiIJOC8xOS8yMDIyAAAAAAMAAAAAAAAABCJCUCICQlABAAAAEyJJUV9DTE9TRVBSSUNFX0FESiIRSVFfQ0xPU0VQUklDRV9BREoCAAAACyI4LzEyLzIwMjIiCTgvMTIvMjAyMgAAAAADAAAAAAAAAAQiQlAiAkJQAQAAABMiSVFfQ0xPU0VQUklDRV9BREoiEUlRX0NMT1NFUFJJQ0VfQURKAgAAAAoiOC81LzIwMjIiCDgvNS8yMDIyAAAAAAMAAAAAAAAABCJCUCICQlABAAAAEyJJUV9DTE9TRVBSSUNFX0FESiIRSVFfQ0xPU0VQUklDRV9BREoCAAAACyI3LzI5LzIwMjIiCTcvMjkvMjAyMgAAAAADAAAAAAAAAAQiQlAiAkJQAQAAABMiSVFfQ0xPU0VQUklDRV9BREoiEUlRX0NMT1NFUFJJQ0VfQURKAgAAAAsiNy8yMi8yMDIyIgk3LzIyLzIwMjIAAAAAAwAAAAAAAAAEIkJQIgJCUAEAAAATIklRX0NMT1NFUFJJ</t>
  </si>
  <si>
    <t>Q0VfQURKIhFJUV9DTE9TRVBSSUNFX0FESgIAAAALIjcvMTUvMjAyMiIJNy8xNS8yMDIyAAAAAAMAAAAAAAAABCJCUCICQlABAAAAEyJJUV9DTE9TRVBSSUNFX0FESiIRSVFfQ0xPU0VQUklDRV9BREoCAAAACiI3LzgvMjAyMiIINy84LzIwMjIAAAAAAwAAAAAAAAAEIkJQIgJCUAEAAAATIklRX0NMT1NFUFJJQ0VfQURKIhFJUV9DTE9TRVBSSUNFX0FESgIAAAAKIjcvMS8yMDIyIgg3LzEvMjAyMgAAAAADAAAAAAAAAAQiQlAiAkJQAQAAABMiSVFfQ0xPU0VQUklDRV9BREoiEUlRX0NMT1NFUFJJQ0VfQURKAgAAAAsiNi8yNC8yMDIyIgk2LzI0LzIwMjIAAAAAAwAAAAAAAAAEIkJQIgJCUAEAAAATIklRX0NMT1NFUFJJQ0VfQURKIhFJUV9DTE9TRVBSSUNFX0FESgIAAAALIjYvMTcvMjAyMiIJNi8xNy8yMDIyAAAAAAMAAAAAAAAABCJCUCICQlABAAAAEyJJUV9DTE9TRVBSSUNFX0FESiIRSVFfQ0xPU0VQUklDRV9BREoCAAAACyI2LzEwLzIwMjIiCTYvMTAvMjAyMgAAAAADAAAAAAAAAAQiQlAiAkJQAQAAABMiSVFfQ0xPU0VQUklDRV9BREoiEUlRX0NMT1NFUFJJQ0VfQURKAgAAAAoiNi8zLzIwMjIiCDYvMy8yMDIyAAAAAAMAAAAAAAAABCJCUCICQlABAAAAEyJJUV9DTE9TRVBSSUNFX0FESiIRSVFfQ0xPU0VQUklDRV9BREoCAAAACyI1LzI3LzIwMjIiCTUvMjcvMjAyMgAAAAADAAAAAAAAAAQiQlAiAkJQ</t>
  </si>
  <si>
    <t>AQAAABMiSVFfQ0xPU0VQUklDRV9BREoiEUlRX0NMT1NFUFJJQ0VfQURKAgAAAAsiNS8yMC8yMDIyIgk1LzIwLzIwMjIAAAAAAwAAAAAAAAAEIkJQIgJCUAEAAAATIklRX0NMT1NFUFJJQ0VfQURKIhFJUV9DTE9TRVBSSUNFX0FESgIAAAALIjUvMTMvMjAyMiIJNS8xMy8yMDIyAAAAAAMAAAAAAAAABCJCUCICQlABAAAAEyJJUV9DTE9TRVBSSUNFX0FESiIRSVFfQ0xPU0VQUklDRV9BREoCAAAACiI1LzYvMjAyMiIINS82LzIwMjIAAAAAAwAAAAAAAAAEIkJQIgJCUAEAAAATIklRX0NMT1NFUFJJQ0VfQURKIhFJUV9DTE9TRVBSSUNFX0FESgIAAAALIjQvMjkvMjAyMiIJNC8yOS8yMDIyAAAAAAMAAAAAAAAABCJCUCICQlABAAAAEyJJUV9DTE9TRVBSSUNFX0FESiIRSVFfQ0xPU0VQUklDRV9BREoCAAAACyI0LzIyLzIwMjIiCTQvMjIvMjAyMgAAAAADAAAAAAAAAAQiQlAiAkJQAQAAABMiSVFfQ0xPU0VQUklDRV9BREoiEUlRX0NMT1NFUFJJQ0VfQURKAgAAAAsiNC8xNC8yMDIyIgk0LzE0LzIwMjIAAAAAAwAAAAAAAAAEIkJQIgJCUAEAAAATIklRX0NMT1NFUFJJQ0VfQURKIhFJUV9DTE9TRVBSSUNFX0FESgIAAAAKIjQvOC8yMDIyIgg0LzgvMjAyMgAAAAADAAAAAAAAAAQiQlAiAkJQAQAAABMiSVFfQ0xPU0VQUklDRV9BREoiEUlRX0NMT1NFUFJJQ0VfQURKAgAAAAoiNC8xLzIwMjIiCDQvMS8yMDIyAAAA</t>
  </si>
  <si>
    <t>AAMAAAAAAAAABCJCUCICQlABAAAAEyJJUV9DTE9TRVBSSUNFX0FESiIRSVFfQ0xPU0VQUklDRV9BREoCAAAACyIzLzI1LzIwMjIiCTMvMjUvMjAyMgAAAAADAAAAAAAAAAQiQlAiAkJQAQAAABMiSVFfQ0xPU0VQUklDRV9BREoiEUlRX0NMT1NFUFJJQ0VfQURKAgAAAAsiMy8xOC8yMDIyIgkzLzE4LzIwMjIAAAAAAwAAAAAAAAAEIkJQIgJCUAEAAAATIklRX0NMT1NFUFJJQ0VfQURKIhFJUV9DTE9TRVBSSUNFX0FESgIAAAALIjMvMTEvMjAyMiIJMy8xMS8yMDIyAAAAAAMAAAAAAAAABCJCUCICQlABAAAAEyJJUV9DTE9TRVBSSUNFX0FESiIRSVFfQ0xPU0VQUklDRV9BREoCAAAACiIzLzQvMjAyMiIIMy80LzIwMjIAAAAAAwAAAAAAAAAEIkJQIgJCUAEAAAATIklRX0NMT1NFUFJJQ0VfQURKIhFJUV9DTE9TRVBSSUNFX0FESgIAAAALIjIvMjUvMjAyMiIJMi8yNS8yMDIyAAAAAAMAAAAAAAAABCJCUCICQlABAAAAEyJJUV9DTE9TRVBSSUNFX0FESiIRSVFfQ0xPU0VQUklDRV9BREoCAAAACyIyLzE4LzIwMjIiCTIvMTgvMjAyMgAAAAADAAAAAAAAAAQiQlAiAkJQAQAAABMiSVFfQ0xPU0VQUklDRV9BREoiEUlRX0NMT1NFUFJJQ0VfQURKAgAAAAsiMi8xMS8yMDIyIgkyLzExLzIwMjIAAAAAAwAAAAAAAAAEIkJQIgJCUAEAAAATIklRX0NMT1NFUFJJQ0VfQURKIhFJUV9DTE9TRVBSSUNFX0FESgIAAAAKIjIv</t>
  </si>
  <si>
    <t>NC8yMDIyIggyLzQvMjAyMgAAAAADAAAAAAAAAAQiQlAiAkJQAQAAABMiSVFfQ0xPU0VQUklDRV9BREoiEUlRX0NMT1NFUFJJQ0VfQURKAgAAAAsiMS8yOC8yMDIyIgkxLzI4LzIwMjIAAAAAAwAAAAAAAAAEIkJQIgJCUAEAAAATIklRX0NMT1NFUFJJQ0VfQURKIhFJUV9DTE9TRVBSSUNFX0FESgIAAAALIjEvMjEvMjAyMiIJMS8yMS8yMDIyAAAAAAMAAAAAAAAABCJCUCICQlABAAAAEyJJUV9DTE9TRVBSSUNFX0FESiIRSVFfQ0xPU0VQUklDRV9BREoCAAAACyIxLzE0LzIwMjIiCTEvMTQvMjAyMgAAAAADAAAAAAAAAAQiQlAiAkJQAQAAABMiSVFfQ0xPU0VQUklDRV9BREoiEUlRX0NMT1NFUFJJQ0VfQURKAgAAAAoiMS83LzIwMjIiCDEvNy8yMDIyAAAAAAMAAAAAAAAABCJCUCICQlABAAAAEyJJUV9DTE9TRVBSSUNFX0FESiIRSVFfQ0xPU0VQUklDRV9BREoCAAAADCIxMi8zMS8yMDIxIgoxMi8zMS8yMDIxAAAAAAMAAAAAAAAABCJCUCICQlABAAAAEyJJUV9DTE9TRVBSSUNFX0FESiIRSVFfQ0xPU0VQUklDRV9BREoCAAAADCIxMi8yMy8yMDIxIgoxMi8yMy8yMDIxAAAAAAMAAAAAAAAABCJCUCICQlABAAAAEyJJUV9DTE9TRVBSSUNFX0FESiIRSVFfQ0xPU0VQUklDRV9BREoCAAAADCIxMi8xNy8yMDIxIgoxMi8xNy8yMDIxAAAAAAMAAAAAAAAABCJCUCICQlABAAAAEyJJUV9DTE9TRVBSSUNFX0FESiIR</t>
  </si>
  <si>
    <t>SVFfQ0xPU0VQUklDRV9BREoCAAAADCIxMi8xMC8yMDIxIgoxMi8xMC8yMDIxAAAAAAMAAAAAAAAABCJCUCICQlABAAAAEyJJUV9DTE9TRVBSSUNFX0FESiIRSVFfQ0xPU0VQUklDRV9BREoCAAAACyIxMi8zLzIwMjEiCTEyLzMvMjAyMQAAAAADAAAAAAAAAAQiQlAiAkJQAQAAABMiSVFfQ0xPU0VQUklDRV9BREoiEUlRX0NMT1NFUFJJQ0VfQURKAgAAAAwiMTEvMjYvMjAyMSIKMTEvMjYvMjAyMQAAAAADAAAAAAAAAAQiQlAiAkJQAQAAABMiSVFfQ0xPU0VQUklDRV9BREoiEUlRX0NMT1NFUFJJQ0VfQURKAgAAAAwiMTEvMTkvMjAyMSIKMTEvMTkvMjAyMQAAAAADAAAAAAAAAAQiQlAiAkJQAQAAABMiSVFfQ0xPU0VQUklDRV9BREoiEUlRX0NMT1NFUFJJQ0VfQURKAgAAAAwiMTEvMTIvMjAyMSIKMTEvMTIvMjAyMQAAAAADAAAAAAAAAAQiQlAiAkJQAQAAABMiSVFfQ0xPU0VQUklDRV9BREoiEUlRX0NMT1NFUFJJQ0VfQURKAgAAAAsiMTEvNS8yMDIxIgkxMS81LzIwMjEAAAAAAwAAAAAAAAAEIkJQIgJCUAEAAAATIklRX0NMT1NFUFJJQ0VfQURKIhFJUV9DTE9TRVBSSUNFX0FESgIAAAAMIjEwLzI5LzIwMjEiCjEwLzI5LzIwMjEAAAAAAwAAAAAAAAAEIkJQIgJCUAEAAAATIklRX0NMT1NFUFJJQ0VfQURKIhFJUV9DTE9TRVBSSUNFX0FESgIAAAAMIjEwLzIyLzIwMjEiCjEwLzIyLzIwMjEAAAAAAwAAAAAA</t>
  </si>
  <si>
    <t>AAAEIkJQIgJCUAEAAAATIklRX0NMT1NFUFJJQ0VfQURKIhFJUV9DTE9TRVBSSUNFX0FESgIAAAAMIjEwLzE1LzIwMjEiCjEwLzE1LzIwMjEAAAAAAwAAAAAAAAAEIkJQIgJCUAEAAAATIklRX0NMT1NFUFJJQ0VfQURKIhFJUV9DTE9TRVBSSUNFX0FESgIAAAALIjEwLzgvMjAyMSIJMTAvOC8yMDIxAAAAAAMAAAAAAAAABCJCUCICQlABAAAAEyJJUV9DTE9TRVBSSUNFX0FESiIRSVFfQ0xPU0VQUklDRV9BREoCAAAACyIxMC8xLzIwMjEiCTEwLzEvMjAyMQAAAAADAAAAAAAAAAQiQlAiAkJQAQAAABMiSVFfQ0xPU0VQUklDRV9BREoiEUlRX0NMT1NFUFJJQ0VfQURKAgAAAAsiOS8yNC8yMDIxIgk5LzI0LzIwMjEAAAAAAwAAAAAAAAAEIkJQIgJCUAEAAAATIklRX0NMT1NFUFJJQ0VfQURKIhFJUV9DTE9TRVBSSUNFX0FESgIAAAALIjkvMTcvMjAyMSIJOS8xNy8yMDIxAAAAAAMAAAAAAAAABCJCUCICQlABAAAAEyJJUV9DTE9TRVBSSUNFX0FESiIRSVFfQ0xPU0VQUklDRV9BREoCAAAACyI5LzEwLzIwMjEiCTkvMTAvMjAyMQAAAAADAAAAAAAAAAQiQlAiAkJQAQAAABMiSVFfQ0xPU0VQUklDRV9BREoiEUlRX0NMT1NFUFJJQ0VfQURKAgAAAAoiOS8zLzIwMjEiCDkvMy8yMDIxAAAAAAMAAAAAAAAABCJCUCICQlABAAAAEyJJUV9DTE9TRVBSSUNFX0FESiIRSVFfQ0xPU0VQUklDRV9BREoCAAAACyI4LzI3LzIw</t>
  </si>
  <si>
    <t>MjEiCTgvMjcvMjAyMQAAAAADAAAAAAAAAAQiQlAiAkJQAQAAABMiSVFfQ0xPU0VQUklDRV9BREoiEUlRX0NMT1NFUFJJQ0VfQURKAgAAAAsiOC8yMC8yMDIxIgk4LzIwLzIwMjEAAAAAAwAAAAAAAAAEIkJQIgJCUAEAAAATIklRX0NMT1NFUFJJQ0VfQURKIhFJUV9DTE9TRVBSSUNFX0FESgIAAAALIjgvMTMvMjAyMSIJOC8xMy8yMDIxAAAAAAMAAAAAAAAABCJCUCICQlABAAAAEyJJUV9DTE9TRVBSSUNFX0FESiIRSVFfQ0xPU0VQUklDRV9BREoCAAAACiI4LzYvMjAyMSIIOC82LzIwMjEAAAAAAwAAAAAAAAAEIkJQIgJCUAEAAAATIklRX0NMT1NFUFJJQ0VfQURKIhFJUV9DTE9TRVBSSUNFX0FESgIAAAALIjcvMzAvMjAyMSIJNy8zMC8yMDIxAAAAAAMAAAAAAAAABCJCUCICQlABAAAAEyJJUV9DTE9TRVBSSUNFX0FESiIRSVFfQ0xPU0VQUklDRV9BREoCAAAACyI3LzIzLzIwMjEiCTcvMjMvMjAyMQAAAAADAAAAAAAAAAQiQlAiAkJQAQAAABMiSVFfQ0xPU0VQUklDRV9BREoiEUlRX0NMT1NFUFJJQ0VfQURKAgAAAAsiNy8xNi8yMDIxIgk3LzE2LzIwMjEAAAAAAwAAAAAAAAAEIkJQIgJCUAEAAAATIklRX0NMT1NFUFJJQ0VfQURKIhFJUV9DTE9TRVBSSUNFX0FESgIAAAAKIjcvOS8yMDIxIgg3LzkvMjAyMQAAAAADAAAAAAAAAAQiQlAiAkJQAQAAABMiSVFfQ0xPU0VQUklDRV9BREoiEUlRX0NMT1NFUFJJ</t>
  </si>
  <si>
    <t>Q0VfQURKAgAAAAoiNy8yLzIwMjEiCDcvMi8yMDIxAAAAAAMAAAAAAAAABCJCUCICQlABAAAAEyJJUV9DTE9TRVBSSUNFX0FESiIRSVFfQ0xPU0VQUklDRV9BREoCAAAACyI2LzI1LzIwMjEiCTYvMjUvMjAyMQAAAAADAAAAAAAAAAQiQlAiAkJQAQAAABMiSVFfQ0xPU0VQUklDRV9BREoiEUlRX0NMT1NFUFJJQ0VfQURKAgAAAAsiNi8xOC8yMDIxIgk2LzE4LzIwMjEAAAAAAwAAAAAAAAAEIkJQIgJCUAEAAAATIklRX0NMT1NFUFJJQ0VfQURKIhFJUV9DTE9TRVBSSUNFX0FESgIAAAALIjYvMTEvMjAyMSIJNi8xMS8yMDIxAAAAAAMAAAAAAAAABCJCUCICQlABAAAAEyJJUV9DTE9TRVBSSUNFX0FESiIRSVFfQ0xPU0VQUklDRV9BREoCAAAACiI2LzQvMjAyMSIINi80LzIwMjEAAAAAAwAAAAAAAAAEIkJQIgJCUAEAAAATIklRX0NMT1NFUFJJQ0VfQURKIhFJUV9DTE9TRVBSSUNFX0FESgIAAAALIjUvMjgvMjAyMSIJNS8yOC8yMDIxAAAAAAMAAAAAAAAABCJCUCICQlABAAAAEyJJUV9DTE9TRVBSSUNFX0FESiIRSVFfQ0xPU0VQUklDRV9BREoCAAAACyI1LzIxLzIwMjEiCTUvMjEvMjAyMQAAAAADAAAAAAAAAAQiQlAiAkJQAQAAABMiSVFfQ0xPU0VQUklDRV9BREoiEUlRX0NMT1NFUFJJQ0VfQURKAgAAAAsiNS8xNC8yMDIxIgk1LzE0LzIwMjEAAAAAAwAAAAAAAAAEIkJQIgJCUAEAAAATIklRX0NMT1NFUFJJ</t>
  </si>
  <si>
    <t>Q0VfQURKIhFJUV9DTE9TRVBSSUNFX0FESgIAAAAKIjUvNy8yMDIxIgg1LzcvMjAyMQAAAAADAAAAAAAAAAQiQlAiAkJQAQAAABMiSVFfQ0xPU0VQUklDRV9BREoiEUlRX0NMT1NFUFJJQ0VfQURKAgAAAAsiNC8zMC8yMDIxIgk0LzMwLzIwMjEAAAAAAwAAAAAAAAAEIkJQIgJCUAEAAAATIklRX0NMT1NFUFJJQ0VfQURKIhFJUV9DTE9TRVBSSUNFX0FESgIAAAALIjQvMjMvMjAyMSIJNC8yMy8yMDIxAAAAAAMAAAAAAAAABCJCUCICQlABAAAAEyJJUV9DTE9TRVBSSUNFX0FESiIRSVFfQ0xPU0VQUklDRV9BREoCAAAACyI0LzE2LzIwMjEiCTQvMTYvMjAyMQAAAAADAAAAAAAAAAQiQlAiAkJQAQAAABMiSVFfQ0xPU0VQUklDRV9BREoiEUlRX0NMT1NFUFJJQ0VfQURKAgAAAAoiNC85LzIwMjEiCDQvOS8yMDIxAAAAAAMAAAAAAAAABCJCUCICQlABAAAAEyJJUV9DTE9TRVBSSUNFX0FESiIRSVFfQ0xPU0VQUklDRV9BREoCAAAACiI0LzEvMjAyMSIINC8xLzIwMjEAAAAAAwAAAAAAAAAEIkJQIgJCUAEAAAATIklRX0NMT1NFUFJJQ0VfQURKIhFJUV9DTE9TRVBSSUNFX0FESgIAAAALIjMvMjYvMjAyMSIJMy8yNi8yMDIxAAAAAAMAAAAAAAAABCJCUCICQlABAAAAEyJJUV9DTE9TRVBSSUNFX0FESiIRSVFfQ0xPU0VQUklDRV9BREoCAAAACyIzLzE5LzIwMjEiCTMvMTkvMjAyMQAAAAADAAAAAAAAAAQiQlAiAkJQ</t>
  </si>
  <si>
    <t>AQAAABMiSVFfQ0xPU0VQUklDRV9BREoiEUlRX0NMT1NFUFJJQ0VfQURKAgAAAAsiMy8xMi8yMDIxIgkzLzEyLzIwMjEAAAAAAwAAAAAAAAAEIkJQIgJCUAEAAAATIklRX0NMT1NFUFJJQ0VfQURKIhFJUV9DTE9TRVBSSUNFX0FESgIAAAAKIjMvNS8yMDIxIggzLzUvMjAyMQAAAAADAAAAAAAAAAQiQlAiAkJQAQAAABMiSVFfQ0xPU0VQUklDRV9BREoiEUlRX0NMT1NFUFJJQ0VfQURKAgAAAAsiMi8yNi8yMDIxIgkyLzI2LzIwMjEAAAAAAwAAAAAAAAAEIkJQIgJCUAEAAAATIklRX0NMT1NFUFJJQ0VfQURKIhFJUV9DTE9TRVBSSUNFX0FESgIAAAALIjIvMTkvMjAyMSIJMi8xOS8yMDIxAAAAAAMAAAAAAAAABCJCUCICQlABAAAAEyJJUV9DTE9TRVBSSUNFX0FESiIRSVFfQ0xPU0VQUklDRV9BREoCAAAACyIyLzEyLzIwMjEiCTIvMTIvMjAyMQAAAAADAAAAAAAAAAQiQlAiAkJQAQAAABMiSVFfQ0xPU0VQUklDRV9BREoiEUlRX0NMT1NFUFJJQ0VfQURKAgAAAAoiMi81LzIwMjEiCDIvNS8yMDIxAAAAAAMAAAAAAAAABCJCUCICQlABAAAAEyJJUV9DTE9TRVBSSUNFX0FESiIRSVFfQ0xPU0VQUklDRV9BREoCAAAACyIxLzI5LzIwMjEiCTEvMjkvMjAyMQAAAAADAAAAAAAAAAQiQlAiAkJQAQAAABMiSVFfQ0xPU0VQUklDRV9BREoiEUlRX0NMT1NFUFJJQ0VfQURKAgAAAAsiMS8yMi8yMDIxIgkxLzIyLzIwMjEA</t>
  </si>
  <si>
    <t>AAAAAwAAAAAAAAAEIkJQIgJCUAEAAAATIklRX0NMT1NFUFJJQ0VfQURKIhFJUV9DTE9TRVBSSUNFX0FESgIAAAALIjEvMTUvMjAyMSIJMS8xNS8yMDIxAAAAAAMAAAAAAAAABCJCUCICQlABAAAAEyJJUV9DTE9TRVBSSUNFX0FESiIRSVFfQ0xPU0VQUklDRV9BREoCAAAACiIxLzgvMjAyMSIIMS84LzIwMjEAAAAAAwAAAAAAAAAEIkJQIgJCUAEAAAATIklRX0NMT1NFUFJJQ0VfQURKIhFJUV9DTE9TRVBSSUNFX0FESgIAAAAMIjEyLzMxLzIwMjAiCjEyLzMxLzIwMjAAAAAAAwAAAAAAAAAEIkJQIgJCUAEAAAATIklRX0NMT1NFUFJJQ0VfQURKIhFJUV9DTE9TRVBSSUNFX0FESgIAAAAMIjEyLzI0LzIwMjAiCjEyLzI0LzIwMjAAAAAAAwAAAAAAAAAEIkJQIgJCUAEAAAATIklRX0NMT1NFUFJJQ0VfQURKIhFJUV9DTE9TRVBSSUNFX0FESgIAAAAMIjEyLzE4LzIwMjAiCjEyLzE4LzIwMjAAAAAAAwAAAAAAAAAEIkJQIgJCUAEAAAATIklRX0NMT1NFUFJJQ0VfQURKIhFJUV9DTE9TRVBSSUNFX0FESgIAAAAMIjEyLzExLzIwMjAiCjEyLzExLzIwMjAAAAAAAwAAAAAAAAAEIkJQIgJCUAEAAAATIklRX0NMT1NFUFJJQ0VfQURKIhFJUV9DTE9TRVBSSUNFX0FESgIAAAALIjEyLzQvMjAyMCIJMTIvNC8yMDIwAAAAAAMAAAAAAAAABCJCUCICQlABAAAAEyJJUV9DTE9TRVBSSUNFX0FESiIRSVFfQ0xPU0VQUklDRV9B</t>
  </si>
  <si>
    <t>REoCAAAADCIxMS8yNy8yMDIwIgoxMS8yNy8yMDIwAAAAAAMAAAAAAAAABCJCUCICQlABAAAAEyJJUV9DTE9TRVBSSUNFX0FESiIRSVFfQ0xPU0VQUklDRV9BREoCAAAADCIxMS8yMC8yMDIwIgoxMS8yMC8yMDIwAAAAAAMAAAAAAAAABCJCUCICQlABAAAAEyJJUV9DTE9TRVBSSUNFX0FESiIRSVFfQ0xPU0VQUklDRV9BREoCAAAADCIxMS8xMy8yMDIwIgoxMS8xMy8yMDIwbjGyYT0l3ghuMbJhPSXeCE9DSVFSQU5HRS5DT1AuSVFfQ0xPU0VQUklDRV9BREouMTEvMTIvMjAyMC4xMS8xMi8yMDI1Li4uREVTQy5XLklRX0NMT1NFUFJJQ0VfQURKAwAAAE+GBAAFAQAAAAAAAAMAAAAAAAAABSJDT1AiA0NPUAEAAAATIklRX0NMT1NFUFJJQ0VfQURKIhFJUV9DTE9TRVBSSUNFX0FESgIAAAALIjExLzcvMjAyNSIJMTEvNy8yMDI1AAAAAAMAAAAAAAAABSJDT1AiA0NPUAEAAAATIklRX0NMT1NFUFJJQ0VfQURKIhFJUV9DTE9TRVBSSUNFX0FESgIAAAAMIjEwLzMxLzIwMjUiCjEwLzMxLzIwMjUAAAAAAwAAAAAAAAAFIkNPUCIDQ09QAQAAABMiSVFfQ0xPU0VQUklDRV9BREoiEUlRX0NMT1NFUFJJQ0VfQURKAgAAAAwiMTAvMjQvMjAyNSIKMTAvMjQvMjAyNQAAAAADAAAAAAAAAAUiQ09QIgNDT1ABAAAAEyJJUV9DTE9TRVBSSUNFX0FESiIRSVFfQ0xPU0VQUklDRV9BREoCAAAADCIxMC8xNy8yMDI1IgoxMC8xNy8y</t>
  </si>
  <si>
    <t>MDI1AAAAAAMAAAAAAAAABSJDT1AiA0NPUAEAAAATIklRX0NMT1NFUFJJQ0VfQURKIhFJUV9DTE9TRVBSSUNFX0FESgIAAAAMIjEwLzEwLzIwMjUiCjEwLzEwLzIwMjUAAAAAAwAAAAAAAAAFIkNPUCIDQ09QAQAAABMiSVFfQ0xPU0VQUklDRV9BREoiEUlRX0NMT1NFUFJJQ0VfQURKAgAAAAsiMTAvMy8yMDI1IgkxMC8zLzIwMjUAAAAAAwAAAAAAAAAFIkNPUCIDQ09QAQAAABMiSVFfQ0xPU0VQUklDRV9BREoiEUlRX0NMT1NFUFJJQ0VfQURKAgAAAAsiOS8yNi8yMDI1Igk5LzI2LzIwMjUAAAAAAwAAAAAAAAAFIkNPUCIDQ09QAQAAABMiSVFfQ0xPU0VQUklDRV9BREoiEUlRX0NMT1NFUFJJQ0VfQURKAgAAAAsiOS8xOS8yMDI1Igk5LzE5LzIwMjUAAAAAAwAAAAAAAAAFIkNPUCIDQ09QAQAAABMiSVFfQ0xPU0VQUklDRV9BREoiEUlRX0NMT1NFUFJJQ0VfQURKAgAAAAsiOS8xMi8yMDI1Igk5LzEyLzIwMjUAAAAAAwAAAAAAAAAFIkNPUCIDQ09QAQAAABMiSVFfQ0xPU0VQUklDRV9BREoiEUlRX0NMT1NFUFJJQ0VfQURKAgAAAAoiOS81LzIwMjUiCDkvNS8yMDI1AAAAAAMAAAAAAAAABSJDT1AiA0NPUAEAAAATIklRX0NMT1NFUFJJQ0VfQURKIhFJUV9DTE9TRVBSSUNFX0FESgIAAAALIjgvMjkvMjAyNSIJOC8yOS8yMDI1AAAAAAMAAAAAAAAABSJDT1AiA0NPUAEAAAATIklRX0NMT1NFUFJJQ0VfQURKIhFJ</t>
  </si>
  <si>
    <t>UV9DTE9TRVBSSUNFX0FESgIAAAALIjgvMjIvMjAyNSIJOC8yMi8yMDI1AAAAAAMAAAAAAAAABSJDT1AiA0NPUAEAAAATIklRX0NMT1NFUFJJQ0VfQURKIhFJUV9DTE9TRVBSSUNFX0FESgIAAAALIjgvMTUvMjAyNSIJOC8xNS8yMDI1AAAAAAMAAAAAAAAABSJDT1AiA0NPUAEAAAATIklRX0NMT1NFUFJJQ0VfQURKIhFJUV9DTE9TRVBSSUNFX0FESgIAAAAKIjgvOC8yMDI1Igg4LzgvMjAyNQAAAAADAAAAAAAAAAUiQ09QIgNDT1ABAAAAEyJJUV9DTE9TRVBSSUNFX0FESiIRSVFfQ0xPU0VQUklDRV9BREoCAAAACiI4LzEvMjAyNSIIOC8xLzIwMjUAAAAAAwAAAAAAAAAFIkNPUCIDQ09QAQAAABMiSVFfQ0xPU0VQUklDRV9BREoiEUlRX0NMT1NFUFJJQ0VfQURKAgAAAAsiNy8yNS8yMDI1Igk3LzI1LzIwMjUAAAAAAwAAAAAAAAAFIkNPUCIDQ09QAQAAABMiSVFfQ0xPU0VQUklDRV9BREoiEUlRX0NMT1NFUFJJQ0VfQURKAgAAAAsiNy8xOC8yMDI1Igk3LzE4LzIwMjUAAAAAAwAAAAAAAAAFIkNPUCIDQ09QAQAAABMiSVFfQ0xPU0VQUklDRV9BREoiEUlRX0NMT1NFUFJJQ0VfQURKAgAAAAsiNy8xMS8yMDI1Igk3LzExLzIwMjUAAAAAAwAAAAAAAAAFIkNPUCIDQ09QAQAAABMiSVFfQ0xPU0VQUklDRV9BREoiEUlRX0NMT1NFUFJJQ0VfQURKAgAAAAoiNy8zLzIwMjUiCDcvMy8yMDI1AAAAAAMAAAAAAAAABSJD</t>
  </si>
  <si>
    <t>T1AiA0NPUAEAAAATIklRX0NMT1NFUFJJQ0VfQURKIhFJUV9DTE9TRVBSSUNFX0FESgIAAAALIjYvMjcvMjAyNSIJNi8yNy8yMDI1AAAAAAMAAAAAAAAABSJDT1AiA0NPUAEAAAATIklRX0NMT1NFUFJJQ0VfQURKIhFJUV9DTE9TRVBSSUNFX0FESgIAAAALIjYvMjAvMjAyNSIJNi8yMC8yMDI1AAAAAAMAAAAAAAAABSJDT1AiA0NPUAEAAAATIklRX0NMT1NFUFJJQ0VfQURKIhFJUV9DTE9TRVBSSUNFX0FESgIAAAALIjYvMTMvMjAyNSIJNi8xMy8yMDI1AAAAAAMAAAAAAAAABSJDT1AiA0NPUAEAAAATIklRX0NMT1NFUFJJQ0VfQURKIhFJUV9DTE9TRVBSSUNFX0FESgIAAAAKIjYvNi8yMDI1Igg2LzYvMjAyNQAAAAADAAAAAAAAAAUiQ09QIgNDT1ABAAAAEyJJUV9DTE9TRVBSSUNFX0FESiIRSVFfQ0xPU0VQUklDRV9BREoCAAAACyI1LzMwLzIwMjUiCTUvMzAvMjAyNQAAAAADAAAAAAAAAAUiQ09QIgNDT1ABAAAAEyJJUV9DTE9TRVBSSUNFX0FESiIRSVFfQ0xPU0VQUklDRV9BREoCAAAACyI1LzIzLzIwMjUiCTUvMjMvMjAyNQAAAAADAAAAAAAAAAUiQ09QIgNDT1ABAAAAEyJJUV9DTE9TRVBSSUNFX0FESiIRSVFfQ0xPU0VQUklDRV9BREoCAAAACyI1LzE2LzIwMjUiCTUvMTYvMjAyNQAAAAADAAAAAAAAAAUiQ09QIgNDT1ABAAAAEyJJUV9DTE9TRVBSSUNFX0FESiIRSVFfQ0xPU0VQUklDRV9BREoCAAAA</t>
  </si>
  <si>
    <t>CiI1LzkvMjAyNSIINS85LzIwMjUAAAAAAwAAAAAAAAAFIkNPUCIDQ09QAQAAABMiSVFfQ0xPU0VQUklDRV9BREoiEUlRX0NMT1NFUFJJQ0VfQURKAgAAAAoiNS8yLzIwMjUiCDUvMi8yMDI1AAAAAAMAAAAAAAAABSJDT1AiA0NPUAEAAAATIklRX0NMT1NFUFJJQ0VfQURKIhFJUV9DTE9TRVBSSUNFX0FESgIAAAALIjQvMjUvMjAyNSIJNC8yNS8yMDI1AAAAAAMAAAAAAAAABSJDT1AiA0NPUAEAAAATIklRX0NMT1NFUFJJQ0VfQURKIhFJUV9DTE9TRVBSSUNFX0FESgIAAAALIjQvMTcvMjAyNSIJNC8xNy8yMDI1AAAAAAMAAAAAAAAABSJDT1AiA0NPUAEAAAATIklRX0NMT1NFUFJJQ0VfQURKIhFJUV9DTE9TRVBSSUNFX0FESgIAAAALIjQvMTEvMjAyNSIJNC8xMS8yMDI1AAAAAAMAAAAAAAAABSJDT1AiA0NPUAEAAAATIklRX0NMT1NFUFJJQ0VfQURKIhFJUV9DTE9TRVBSSUNFX0FESgIAAAAKIjQvNC8yMDI1Igg0LzQvMjAyNQAAAAADAAAAAAAAAAUiQ09QIgNDT1ABAAAAEyJJUV9DTE9TRVBSSUNFX0FESiIRSVFfQ0xPU0VQUklDRV9BREoCAAAACyIzLzI4LzIwMjUiCTMvMjgvMjAyNQAAAAADAAAAAAAAAAUiQ09QIgNDT1ABAAAAEyJJUV9DTE9TRVBSSUNFX0FESiIRSVFfQ0xPU0VQUklDRV9BREoCAAAACyIzLzIxLzIwMjUiCTMvMjEvMjAyNQAAAAADAAAAAAAAAAUiQ09QIgNDT1ABAAAAEyJJUV9DTE9T</t>
  </si>
  <si>
    <t>RVBSSUNFX0FESiIRSVFfQ0xPU0VQUklDRV9BREoCAAAACyIzLzE0LzIwMjUiCTMvMTQvMjAyNQAAAAADAAAAAAAAAAUiQ09QIgNDT1ABAAAAEyJJUV9DTE9TRVBSSUNFX0FESiIRSVFfQ0xPU0VQUklDRV9BREoCAAAACiIzLzcvMjAyNSIIMy83LzIwMjUAAAAAAwAAAAAAAAAFIkNPUCIDQ09QAQAAABMiSVFfQ0xPU0VQUklDRV9BREoiEUlRX0NMT1NFUFJJQ0VfQURKAgAAAAsiMi8yOC8yMDI1IgkyLzI4LzIwMjUAAAAAAwAAAAAAAAAFIkNPUCIDQ09QAQAAABMiSVFfQ0xPU0VQUklDRV9BREoiEUlRX0NMT1NFUFJJQ0VfQURKAgAAAAsiMi8yMS8yMDI1IgkyLzIxLzIwMjUAAAAAAwAAAAAAAAAFIkNPUCIDQ09QAQAAABMiSVFfQ0xPU0VQUklDRV9BREoiEUlRX0NMT1NFUFJJQ0VfQURKAgAAAAsiMi8xNC8yMDI1IgkyLzE0LzIwMjUAAAAAAwAAAAAAAAAFIkNPUCIDQ09QAQAAABMiSVFfQ0xPU0VQUklDRV9BREoiEUlRX0NMT1NFUFJJQ0VfQURKAgAAAAoiMi83LzIwMjUiCDIvNy8yMDI1AAAAAAMAAAAAAAAABSJDT1AiA0NPUAEAAAATIklRX0NMT1NFUFJJQ0VfQURKIhFJUV9DTE9TRVBSSUNFX0FESgIAAAALIjEvMzEvMjAyNSIJMS8zMS8yMDI1AAAAAAMAAAAAAAAABSJDT1AiA0NPUAEAAAATIklRX0NMT1NFUFJJQ0VfQURKIhFJUV9DTE9TRVBSSUNFX0FESgIAAAALIjEvMjQvMjAyNSIJMS8yNC8yMDI1</t>
  </si>
  <si>
    <t>AAAAAAMAAAAAAAAABSJDT1AiA0NPUAEAAAATIklRX0NMT1NFUFJJQ0VfQURKIhFJUV9DTE9TRVBSSUNFX0FESgIAAAALIjEvMTcvMjAyNSIJMS8xNy8yMDI1AAAAAAMAAAAAAAAABSJDT1AiA0NPUAEAAAATIklRX0NMT1NFUFJJQ0VfQURKIhFJUV9DTE9TRVBSSUNFX0FESgIAAAALIjEvMTAvMjAyNSIJMS8xMC8yMDI1AAAAAAMAAAAAAAAABSJDT1AiA0NPUAEAAAATIklRX0NMT1NFUFJJQ0VfQURKIhFJUV9DTE9TRVBSSUNFX0FESgIAAAAKIjEvMy8yMDI1IggxLzMvMjAyNQAAAAADAAAAAAAAAAUiQ09QIgNDT1ABAAAAEyJJUV9DTE9TRVBSSUNFX0FESiIRSVFfQ0xPU0VQUklDRV9BREoCAAAADCIxMi8yNy8yMDI0IgoxMi8yNy8yMDI0AAAAAAMAAAAAAAAABSJDT1AiA0NPUAEAAAATIklRX0NMT1NFUFJJQ0VfQURKIhFJUV9DTE9TRVBSSUNFX0FESgIAAAAMIjEyLzIwLzIwMjQiCjEyLzIwLzIwMjQAAAAAAwAAAAAAAAAFIkNPUCIDQ09QAQAAABMiSVFfQ0xPU0VQUklDRV9BREoiEUlRX0NMT1NFUFJJQ0VfQURKAgAAAAwiMTIvMTMvMjAyNCIKMTIvMTMvMjAyNAAAAAADAAAAAAAAAAUiQ09QIgNDT1ABAAAAEyJJUV9DTE9TRVBSSUNFX0FESiIRSVFfQ0xPU0VQUklDRV9BREoCAAAACyIxMi82LzIwMjQiCTEyLzYvMjAyNAAAAAADAAAAAAAAAAUiQ09QIgNDT1ABAAAAEyJJUV9DTE9TRVBSSUNFX0FESiIR</t>
  </si>
  <si>
    <t>SVFfQ0xPU0VQUklDRV9BREoCAAAADCIxMS8yOS8yMDI0IgoxMS8yOS8yMDI0AAAAAAMAAAAAAAAABSJDT1AiA0NPUAEAAAATIklRX0NMT1NFUFJJQ0VfQURKIhFJUV9DTE9TRVBSSUNFX0FESgIAAAAMIjExLzIyLzIwMjQiCjExLzIyLzIwMjQAAAAAAwAAAAAAAAAFIkNPUCIDQ09QAQAAABMiSVFfQ0xPU0VQUklDRV9BREoiEUlRX0NMT1NFUFJJQ0VfQURKAgAAAAwiMTEvMTUvMjAyNCIKMTEvMTUvMjAyNAAAAAADAAAAAAAAAAUiQ09QIgNDT1ABAAAAEyJJUV9DTE9TRVBSSUNFX0FESiIRSVFfQ0xPU0VQUklDRV9BREoCAAAACyIxMS84LzIwMjQiCTExLzgvMjAyNAAAAAADAAAAAAAAAAUiQ09QIgNDT1ABAAAAEyJJUV9DTE9TRVBSSUNFX0FESiIRSVFfQ0xPU0VQUklDRV9BREoCAAAACyIxMS8xLzIwMjQiCTExLzEvMjAyNAAAAAADAAAAAAAAAAUiQ09QIgNDT1ABAAAAEyJJUV9DTE9TRVBSSUNFX0FESiIRSVFfQ0xPU0VQUklDRV9BREoCAAAADCIxMC8yNS8yMDI0IgoxMC8yNS8yMDI0AAAAAAMAAAAAAAAABSJDT1AiA0NPUAEAAAATIklRX0NMT1NFUFJJQ0VfQURKIhFJUV9DTE9TRVBSSUNFX0FESgIAAAAMIjEwLzE4LzIwMjQiCjEwLzE4LzIwMjQAAAAAAwAAAAAAAAAFIkNPUCIDQ09QAQAAABMiSVFfQ0xPU0VQUklDRV9BREoiEUlRX0NMT1NFUFJJQ0VfQURKAgAAAAwiMTAvMTEvMjAyNCIKMTAvMTEv</t>
  </si>
  <si>
    <t>MjAyNAAAAAADAAAAAAAAAAUiQ09QIgNDT1ABAAAAEyJJUV9DTE9TRVBSSUNFX0FESiIRSVFfQ0xPU0VQUklDRV9BREoCAAAACyIxMC80LzIwMjQiCTEwLzQvMjAyNAAAAAADAAAAAAAAAAUiQ09QIgNDT1ABAAAAEyJJUV9DTE9TRVBSSUNFX0FESiIRSVFfQ0xPU0VQUklDRV9BREoCAAAACyI5LzI3LzIwMjQiCTkvMjcvMjAyNAAAAAADAAAAAAAAAAUiQ09QIgNDT1ABAAAAEyJJUV9DTE9TRVBSSUNFX0FESiIRSVFfQ0xPU0VQUklDRV9BREoCAAAACyI5LzIwLzIwMjQiCTkvMjAvMjAyNAAAAAADAAAAAAAAAAUiQ09QIgNDT1ABAAAAEyJJUV9DTE9TRVBSSUNFX0FESiIRSVFfQ0xPU0VQUklDRV9BREoCAAAACyI5LzEzLzIwMjQiCTkvMTMvMjAyNAAAAAADAAAAAAAAAAUiQ09QIgNDT1ABAAAAEyJJUV9DTE9TRVBSSUNFX0FESiIRSVFfQ0xPU0VQUklDRV9BREoCAAAACiI5LzYvMjAyNCIIOS82LzIwMjQAAAAAAwAAAAAAAAAFIkNPUCIDQ09QAQAAABMiSVFfQ0xPU0VQUklDRV9BREoiEUlRX0NMT1NFUFJJQ0VfQURKAgAAAAsiOC8zMC8yMDI0Igk4LzMwLzIwMjQAAAAAAwAAAAAAAAAFIkNPUCIDQ09QAQAAABMiSVFfQ0xPU0VQUklDRV9BREoiEUlRX0NMT1NFUFJJQ0VfQURKAgAAAAsiOC8yMy8yMDI0Igk4LzIzLzIwMjQAAAAAAwAAAAAAAAAFIkNPUCIDQ09QAQAAABMiSVFfQ0xPU0VQUklDRV9BREoiEUlR</t>
  </si>
  <si>
    <t>X0NMT1NFUFJJQ0VfQURKAgAAAAsiOC8xNi8yMDI0Igk4LzE2LzIwMjQAAAAAAwAAAAAAAAAFIkNPUCIDQ09QAQAAABMiSVFfQ0xPU0VQUklDRV9BREoiEUlRX0NMT1NFUFJJQ0VfQURKAgAAAAoiOC85LzIwMjQiCDgvOS8yMDI0AAAAAAMAAAAAAAAABSJDT1AiA0NPUAEAAAATIklRX0NMT1NFUFJJQ0VfQURKIhFJUV9DTE9TRVBSSUNFX0FESgIAAAAKIjgvMi8yMDI0Igg4LzIvMjAyNAAAAAADAAAAAAAAAAUiQ09QIgNDT1ABAAAAEyJJUV9DTE9TRVBSSUNFX0FESiIRSVFfQ0xPU0VQUklDRV9BREoCAAAACyI3LzI2LzIwMjQiCTcvMjYvMjAyNAAAAAADAAAAAAAAAAUiQ09QIgNDT1ABAAAAEyJJUV9DTE9TRVBSSUNFX0FESiIRSVFfQ0xPU0VQUklDRV9BREoCAAAACyI3LzE5LzIwMjQiCTcvMTkvMjAyNAAAAAADAAAAAAAAAAUiQ09QIgNDT1ABAAAAEyJJUV9DTE9TRVBSSUNFX0FESiIRSVFfQ0xPU0VQUklDRV9BREoCAAAACyI3LzEyLzIwMjQiCTcvMTIvMjAyNAAAAAADAAAAAAAAAAUiQ09QIgNDT1ABAAAAEyJJUV9DTE9TRVBSSUNFX0FESiIRSVFfQ0xPU0VQUklDRV9BREoCAAAACiI3LzUvMjAyNCIINy81LzIwMjQAAAAAAwAAAAAAAAAFIkNPUCIDQ09QAQAAABMiSVFfQ0xPU0VQUklDRV9BREoiEUlRX0NMT1NFUFJJQ0VfQURKAgAAAAsiNi8yOC8yMDI0Igk2LzI4LzIwMjQAAAAAAwAAAAAAAAAFIkNP</t>
  </si>
  <si>
    <t>UCIDQ09QAQAAABMiSVFfQ0xPU0VQUklDRV9BREoiEUlRX0NMT1NFUFJJQ0VfQURKAgAAAAsiNi8yMS8yMDI0Igk2LzIxLzIwMjQAAAAAAwAAAAAAAAAFIkNPUCIDQ09QAQAAABMiSVFfQ0xPU0VQUklDRV9BREoiEUlRX0NMT1NFUFJJQ0VfQURKAgAAAAsiNi8xNC8yMDI0Igk2LzE0LzIwMjQAAAAAAwAAAAAAAAAFIkNPUCIDQ09QAQAAABMiSVFfQ0xPU0VQUklDRV9BREoiEUlRX0NMT1NFUFJJQ0VfQURKAgAAAAoiNi83LzIwMjQiCDYvNy8yMDI0AAAAAAMAAAAAAAAABSJDT1AiA0NPUAEAAAATIklRX0NMT1NFUFJJQ0VfQURKIhFJUV9DTE9TRVBSSUNFX0FESgIAAAALIjUvMzEvMjAyNCIJNS8zMS8yMDI0AAAAAAMAAAAAAAAABSJDT1AiA0NPUAEAAAATIklRX0NMT1NFUFJJQ0VfQURKIhFJUV9DTE9TRVBSSUNFX0FESgIAAAALIjUvMjQvMjAyNCIJNS8yNC8yMDI0AAAAAAMAAAAAAAAABSJDT1AiA0NPUAEAAAATIklRX0NMT1NFUFJJQ0VfQURKIhFJUV9DTE9TRVBSSUNFX0FESgIAAAALIjUvMTcvMjAyNCIJNS8xNy8yMDI0AAAAAAMAAAAAAAAABSJDT1AiA0NPUAEAAAATIklRX0NMT1NFUFJJQ0VfQURKIhFJUV9DTE9TRVBSSUNFX0FESgIAAAALIjUvMTAvMjAyNCIJNS8xMC8yMDI0AAAAAAMAAAAAAAAABSJDT1AiA0NPUAEAAAATIklRX0NMT1NFUFJJQ0VfQURKIhFJUV9DTE9TRVBSSUNFX0FESgIAAAAK</t>
  </si>
  <si>
    <t>IjUvMy8yMDI0Igg1LzMvMjAyNAAAAAADAAAAAAAAAAUiQ09QIgNDT1ABAAAAEyJJUV9DTE9TRVBSSUNFX0FESiIRSVFfQ0xPU0VQUklDRV9BREoCAAAACyI0LzI2LzIwMjQiCTQvMjYvMjAyNAAAAAADAAAAAAAAAAUiQ09QIgNDT1ABAAAAEyJJUV9DTE9TRVBSSUNFX0FESiIRSVFfQ0xPU0VQUklDRV9BREoCAAAACyI0LzE5LzIwMjQiCTQvMTkvMjAyNAAAAAADAAAAAAAAAAUiQ09QIgNDT1ABAAAAEyJJUV9DTE9TRVBSSUNFX0FESiIRSVFfQ0xPU0VQUklDRV9BREoCAAAACyI0LzEyLzIwMjQiCTQvMTIvMjAyNAAAAAADAAAAAAAAAAUiQ09QIgNDT1ABAAAAEyJJUV9DTE9TRVBSSUNFX0FESiIRSVFfQ0xPU0VQUklDRV9BREoCAAAACiI0LzUvMjAyNCIINC81LzIwMjQAAAAAAwAAAAAAAAAFIkNPUCIDQ09QAQAAABMiSVFfQ0xPU0VQUklDRV9BREoiEUlRX0NMT1NFUFJJQ0VfQURKAgAAAAsiMy8yOC8yMDI0IgkzLzI4LzIwMjQAAAAAAwAAAAAAAAAFIkNPUCIDQ09QAQAAABMiSVFfQ0xPU0VQUklDRV9BREoiEUlRX0NMT1NFUFJJQ0VfQURKAgAAAAsiMy8yMi8yMDI0IgkzLzIyLzIwMjQAAAAAAwAAAAAAAAAFIkNPUCIDQ09QAQAAABMiSVFfQ0xPU0VQUklDRV9BREoiEUlRX0NMT1NFUFJJQ0VfQURKAgAAAAsiMy8xNS8yMDI0IgkzLzE1LzIwMjQAAAAAAwAAAAAAAAAFIkNPUCIDQ09QAQAAABMiSVFfQ0xP</t>
  </si>
  <si>
    <t>U0VQUklDRV9BREoiEUlRX0NMT1NFUFJJQ0VfQURKAgAAAAoiMy84LzIwMjQiCDMvOC8yMDI0AAAAAAMAAAAAAAAABSJDT1AiA0NPUAEAAAATIklRX0NMT1NFUFJJQ0VfQURKIhFJUV9DTE9TRVBSSUNFX0FESgIAAAAKIjMvMS8yMDI0IggzLzEvMjAyNAAAAAADAAAAAAAAAAUiQ09QIgNDT1ABAAAAEyJJUV9DTE9TRVBSSUNFX0FESiIRSVFfQ0xPU0VQUklDRV9BREoCAAAACyIyLzIzLzIwMjQiCTIvMjMvMjAyNAAAAAADAAAAAAAAAAUiQ09QIgNDT1ABAAAAEyJJUV9DTE9TRVBSSUNFX0FESiIRSVFfQ0xPU0VQUklDRV9BREoCAAAACyIyLzE2LzIwMjQiCTIvMTYvMjAyNAAAAAADAAAAAAAAAAUiQ09QIgNDT1ABAAAAEyJJUV9DTE9TRVBSSUNFX0FESiIRSVFfQ0xPU0VQUklDRV9BREoCAAAACiIyLzkvMjAyNCIIMi85LzIwMjQAAAAAAwAAAAAAAAAFIkNPUCIDQ09QAQAAABMiSVFfQ0xPU0VQUklDRV9BREoiEUlRX0NMT1NFUFJJQ0VfQURKAgAAAAoiMi8yLzIwMjQiCDIvMi8yMDI0AAAAAAMAAAAAAAAABSJDT1AiA0NPUAEAAAATIklRX0NMT1NFUFJJQ0VfQURKIhFJUV9DTE9TRVBSSUNFX0FESgIAAAALIjEvMjYvMjAyNCIJMS8yNi8yMDI0AAAAAAMAAAAAAAAABSJDT1AiA0NPUAEAAAATIklRX0NMT1NFUFJJQ0VfQURKIhFJUV9DTE9TRVBSSUNFX0FESgIAAAALIjEvMTkvMjAyNCIJMS8xOS8yMDI0AAAA</t>
  </si>
  <si>
    <t>AAMAAAAAAAAABSJDT1AiA0NPUAEAAAATIklRX0NMT1NFUFJJQ0VfQURKIhFJUV9DTE9TRVBSSUNFX0FESgIAAAALIjEvMTIvMjAyNCIJMS8xMi8yMDI0AAAAAAMAAAAAAAAABSJDT1AiA0NPUAEAAAATIklRX0NMT1NFUFJJQ0VfQURKIhFJUV9DTE9TRVBSSUNFX0FESgIAAAAKIjEvNS8yMDI0IggxLzUvMjAyNAAAAAADAAAAAAAAAAUiQ09QIgNDT1ABAAAAEyJJUV9DTE9TRVBSSUNFX0FESiIRSVFfQ0xPU0VQUklDRV9BREoCAAAADCIxMi8yOS8yMDIzIgoxMi8yOS8yMDIzAAAAAAMAAAAAAAAABSJDT1AiA0NPUAEAAAATIklRX0NMT1NFUFJJQ0VfQURKIhFJUV9DTE9TRVBSSUNFX0FESgIAAAAMIjEyLzIyLzIwMjMiCjEyLzIyLzIwMjMAAAAAAwAAAAAAAAAFIkNPUCIDQ09QAQAAABMiSVFfQ0xPU0VQUklDRV9BREoiEUlRX0NMT1NFUFJJQ0VfQURKAgAAAAwiMTIvMTUvMjAyMyIKMTIvMTUvMjAyMwAAAAADAAAAAAAAAAUiQ09QIgNDT1ABAAAAEyJJUV9DTE9TRVBSSUNFX0FESiIRSVFfQ0xPU0VQUklDRV9BREoCAAAACyIxMi84LzIwMjMiCTEyLzgvMjAyMwAAAAADAAAAAAAAAAUiQ09QIgNDT1ABAAAAEyJJUV9DTE9TRVBSSUNFX0FESiIRSVFfQ0xPU0VQUklDRV9BREoCAAAACyIxMi8xLzIwMjMiCTEyLzEvMjAyMwAAAAADAAAAAAAAAAUiQ09QIgNDT1ABAAAAEyJJUV9DTE9TRVBSSUNFX0FESiIRSVFf</t>
  </si>
  <si>
    <t>Q0xPU0VQUklDRV9BREoCAAAADCIxMS8yNC8yMDIzIgoxMS8yNC8yMDIzAAAAAAMAAAAAAAAABSJDT1AiA0NPUAEAAAATIklRX0NMT1NFUFJJQ0VfQURKIhFJUV9DTE9TRVBSSUNFX0FESgIAAAAMIjExLzE3LzIwMjMiCjExLzE3LzIwMjMAAAAAAwAAAAAAAAAFIkNPUCIDQ09QAQAAABMiSVFfQ0xPU0VQUklDRV9BREoiEUlRX0NMT1NFUFJJQ0VfQURKAgAAAAwiMTEvMTAvMjAyMyIKMTEvMTAvMjAyMwAAAAADAAAAAAAAAAUiQ09QIgNDT1ABAAAAEyJJUV9DTE9TRVBSSUNFX0FESiIRSVFfQ0xPU0VQUklDRV9BREoCAAAACyIxMS8zLzIwMjMiCTExLzMvMjAyMwAAAAADAAAAAAAAAAUiQ09QIgNDT1ABAAAAEyJJUV9DTE9TRVBSSUNFX0FESiIRSVFfQ0xPU0VQUklDRV9BREoCAAAADCIxMC8yNy8yMDIzIgoxMC8yNy8yMDIzAAAAAAMAAAAAAAAABSJDT1AiA0NPUAEAAAATIklRX0NMT1NFUFJJQ0VfQURKIhFJUV9DTE9TRVBSSUNFX0FESgIAAAAMIjEwLzIwLzIwMjMiCjEwLzIwLzIwMjMAAAAAAwAAAAAAAAAFIkNPUCIDQ09QAQAAABMiSVFfQ0xPU0VQUklDRV9BREoiEUlRX0NMT1NFUFJJQ0VfQURKAgAAAAwiMTAvMTMvMjAyMyIKMTAvMTMvMjAyMwAAAAADAAAAAAAAAAUiQ09QIgNDT1ABAAAAEyJJUV9DTE9TRVBSSUNFX0FESiIRSVFfQ0xPU0VQUklDRV9BREoCAAAACyIxMC82LzIwMjMiCTEwLzYvMjAy</t>
  </si>
  <si>
    <t>MwAAAAADAAAAAAAAAAUiQ09QIgNDT1ABAAAAEyJJUV9DTE9TRVBSSUNFX0FESiIRSVFfQ0xPU0VQUklDRV9BREoCAAAACyI5LzI5LzIwMjMiCTkvMjkvMjAyMwAAAAADAAAAAAAAAAUiQ09QIgNDT1ABAAAAEyJJUV9DTE9TRVBSSUNFX0FESiIRSVFfQ0xPU0VQUklDRV9BREoCAAAACyI5LzIyLzIwMjMiCTkvMjIvMjAyMwAAAAADAAAAAAAAAAUiQ09QIgNDT1ABAAAAEyJJUV9DTE9TRVBSSUNFX0FESiIRSVFfQ0xPU0VQUklDRV9BREoCAAAACyI5LzE1LzIwMjMiCTkvMTUvMjAyMwAAAAADAAAAAAAAAAUiQ09QIgNDT1ABAAAAEyJJUV9DTE9TRVBSSUNFX0FESiIRSVFfQ0xPU0VQUklDRV9BREoCAAAACiI5LzgvMjAyMyIIOS84LzIwMjMAAAAAAwAAAAAAAAAFIkNPUCIDQ09QAQAAABMiSVFfQ0xPU0VQUklDRV9BREoiEUlRX0NMT1NFUFJJQ0VfQURKAgAAAAoiOS8xLzIwMjMiCDkvMS8yMDIzAAAAAAMAAAAAAAAABSJDT1AiA0NPUAEAAAATIklRX0NMT1NFUFJJQ0VfQURKIhFJUV9DTE9TRVBSSUNFX0FESgIAAAALIjgvMjUvMjAyMyIJOC8yNS8yMDIzAAAAAAMAAAAAAAAABSJDT1AiA0NPUAEAAAATIklRX0NMT1NFUFJJQ0VfQURKIhFJUV9DTE9TRVBSSUNFX0FESgIAAAALIjgvMTgvMjAyMyIJOC8xOC8yMDIzAAAAAAMAAAAAAAAABSJDT1AiA0NPUAEAAAATIklRX0NMT1NFUFJJQ0VfQURKIhFJUV9DTE9T</t>
  </si>
  <si>
    <t>RVBSSUNFX0FESgIAAAALIjgvMTEvMjAyMyIJOC8xMS8yMDIzAAAAAAMAAAAAAAAABSJDT1AiA0NPUAEAAAATIklRX0NMT1NFUFJJQ0VfQURKIhFJUV9DTE9TRVBSSUNFX0FESgIAAAAKIjgvNC8yMDIzIgg4LzQvMjAyMwAAAAADAAAAAAAAAAUiQ09QIgNDT1ABAAAAEyJJUV9DTE9TRVBSSUNFX0FESiIRSVFfQ0xPU0VQUklDRV9BREoCAAAACyI3LzI4LzIwMjMiCTcvMjgvMjAyMwAAAAADAAAAAAAAAAUiQ09QIgNDT1ABAAAAEyJJUV9DTE9TRVBSSUNFX0FESiIRSVFfQ0xPU0VQUklDRV9BREoCAAAACyI3LzIxLzIwMjMiCTcvMjEvMjAyMwAAAAADAAAAAAAAAAUiQ09QIgNDT1ABAAAAEyJJUV9DTE9TRVBSSUNFX0FESiIRSVFfQ0xPU0VQUklDRV9BREoCAAAACyI3LzE0LzIwMjMiCTcvMTQvMjAyMwAAAAADAAAAAAAAAAUiQ09QIgNDT1ABAAAAEyJJUV9DTE9TRVBSSUNFX0FESiIRSVFfQ0xPU0VQUklDRV9BREoCAAAACiI3LzcvMjAyMyIINy83LzIwMjMAAAAAAwAAAAAAAAAFIkNPUCIDQ09QAQAAABMiSVFfQ0xPU0VQUklDRV9BREoiEUlRX0NMT1NFUFJJQ0VfQURKAgAAAAsiNi8zMC8yMDIzIgk2LzMwLzIwMjMAAAAAAwAAAAAAAAAFIkNPUCIDQ09QAQAAABMiSVFfQ0xPU0VQUklDRV9BREoiEUlRX0NMT1NFUFJJQ0VfQURKAgAAAAsiNi8yMy8yMDIzIgk2LzIzLzIwMjMAAAAAAwAAAAAAAAAFIkNPUCID</t>
  </si>
  <si>
    <t>Q09QAQAAABMiSVFfQ0xPU0VQUklDRV9BREoiEUlRX0NMT1NFUFJJQ0VfQURKAgAAAAsiNi8xNi8yMDIzIgk2LzE2LzIwMjMAAAAAAwAAAAAAAAAFIkNPUCIDQ09QAQAAABMiSVFfQ0xPU0VQUklDRV9BREoiEUlRX0NMT1NFUFJJQ0VfQURKAgAAAAoiNi85LzIwMjMiCDYvOS8yMDIzAAAAAAMAAAAAAAAABSJDT1AiA0NPUAEAAAATIklRX0NMT1NFUFJJQ0VfQURKIhFJUV9DTE9TRVBSSUNFX0FESgIAAAAKIjYvMi8yMDIzIgg2LzIvMjAyMwAAAAADAAAAAAAAAAUiQ09QIgNDT1ABAAAAEyJJUV9DTE9TRVBSSUNFX0FESiIRSVFfQ0xPU0VQUklDRV9BREoCAAAACyI1LzI2LzIwMjMiCTUvMjYvMjAyMwAAAAADAAAAAAAAAAUiQ09QIgNDT1ABAAAAEyJJUV9DTE9TRVBSSUNFX0FESiIRSVFfQ0xPU0VQUklDRV9BREoCAAAACyI1LzE5LzIwMjMiCTUvMTkvMjAyMwAAAAADAAAAAAAAAAUiQ09QIgNDT1ABAAAAEyJJUV9DTE9TRVBSSUNFX0FESiIRSVFfQ0xPU0VQUklDRV9BREoCAAAACyI1LzEyLzIwMjMiCTUvMTIvMjAyMwAAAAADAAAAAAAAAAUiQ09QIgNDT1ABAAAAEyJJUV9DTE9TRVBSSUNFX0FESiIRSVFfQ0xPU0VQUklDRV9BREoCAAAACiI1LzUvMjAyMyIINS81LzIwMjMAAAAAAwAAAAAAAAAFIkNPUCIDQ09QAQAAABMiSVFfQ0xPU0VQUklDRV9BREoiEUlRX0NMT1NFUFJJQ0VfQURKAgAAAAsiNC8yOC8y</t>
  </si>
  <si>
    <t>MDIzIgk0LzI4LzIwMjMAAAAAAwAAAAAAAAAFIkNPUCIDQ09QAQAAABMiSVFfQ0xPU0VQUklDRV9BREoiEUlRX0NMT1NFUFJJQ0VfQURKAgAAAAsiNC8yMS8yMDIzIgk0LzIxLzIwMjMAAAAAAwAAAAAAAAAFIkNPUCIDQ09QAQAAABMiSVFfQ0xPU0VQUklDRV9BREoiEUlRX0NMT1NFUFJJQ0VfQURKAgAAAAsiNC8xNC8yMDIzIgk0LzE0LzIwMjMAAAAAAwAAAAAAAAAFIkNPUCIDQ09QAQAAABMiSVFfQ0xPU0VQUklDRV9BREoiEUlRX0NMT1NFUFJJQ0VfQURKAgAAAAoiNC82LzIwMjMiCDQvNi8yMDIzAAAAAAMAAAAAAAAABSJDT1AiA0NPUAEAAAATIklRX0NMT1NFUFJJQ0VfQURKIhFJUV9DTE9TRVBSSUNFX0FESgIAAAALIjMvMzEvMjAyMyIJMy8zMS8yMDIzAAAAAAMAAAAAAAAABSJDT1AiA0NPUAEAAAATIklRX0NMT1NFUFJJQ0VfQURKIhFJUV9DTE9TRVBSSUNFX0FESgIAAAALIjMvMjQvMjAyMyIJMy8yNC8yMDIzAAAAAAMAAAAAAAAABSJDT1AiA0NPUAEAAAATIklRX0NMT1NFUFJJQ0VfQURKIhFJUV9DTE9TRVBSSUNFX0FESgIAAAALIjMvMTcvMjAyMyIJMy8xNy8yMDIzAAAAAAMAAAAAAAAABSJDT1AiA0NPUAEAAAATIklRX0NMT1NFUFJJQ0VfQURKIhFJUV9DTE9TRVBSSUNFX0FESgIAAAALIjMvMTAvMjAyMyIJMy8xMC8yMDIzAAAAAAMAAAAAAAAABSJDT1AiA0NPUAEAAAATIklRX0NMT1NFUFJJ</t>
  </si>
  <si>
    <t>Q0VfQURKIhFJUV9DTE9TRVBSSUNFX0FESgIAAAAKIjMvMy8yMDIzIggzLzMvMjAyMwAAAAADAAAAAAAAAAUiQ09QIgNDT1ABAAAAEyJJUV9DTE9TRVBSSUNFX0FESiIRSVFfQ0xPU0VQUklDRV9BREoCAAAACyIyLzI0LzIwMjMiCTIvMjQvMjAyMwAAAAADAAAAAAAAAAUiQ09QIgNDT1ABAAAAEyJJUV9DTE9TRVBSSUNFX0FESiIRSVFfQ0xPU0VQUklDRV9BREoCAAAACyIyLzE3LzIwMjMiCTIvMTcvMjAyMwAAAAADAAAAAAAAAAUiQ09QIgNDT1ABAAAAEyJJUV9DTE9TRVBSSUNFX0FESiIRSVFfQ0xPU0VQUklDRV9BREoCAAAACyIyLzEwLzIwMjMiCTIvMTAvMjAyMwAAAAADAAAAAAAAAAUiQ09QIgNDT1ABAAAAEyJJUV9DTE9TRVBSSUNFX0FESiIRSVFfQ0xPU0VQUklDRV9BREoCAAAACiIyLzMvMjAyMyIIMi8zLzIwMjMAAAAAAwAAAAAAAAAFIkNPUCIDQ09QAQAAABMiSVFfQ0xPU0VQUklDRV9BREoiEUlRX0NMT1NFUFJJQ0VfQURKAgAAAAsiMS8yNy8yMDIzIgkxLzI3LzIwMjMAAAAAAwAAAAAAAAAFIkNPUCIDQ09QAQAAABMiSVFfQ0xPU0VQUklDRV9BREoiEUlRX0NMT1NFUFJJQ0VfQURKAgAAAAsiMS8yMC8yMDIzIgkxLzIwLzIwMjMAAAAAAwAAAAAAAAAFIkNPUCIDQ09QAQAAABMiSVFfQ0xPU0VQUklDRV9BREoiEUlRX0NMT1NFUFJJQ0VfQURKAgAAAAsiMS8xMy8yMDIzIgkxLzEzLzIwMjMAAAAA</t>
  </si>
  <si>
    <t>AwAAAAAAAAAFIkNPUCIDQ09QAQAAABMiSVFfQ0xPU0VQUklDRV9BREoiEUlRX0NMT1NFUFJJQ0VfQURKAgAAAAoiMS82LzIwMjMiCDEvNi8yMDIzAAAAAAMAAAAAAAAABSJDT1AiA0NPUAEAAAATIklRX0NMT1NFUFJJQ0VfQURKIhFJUV9DTE9TRVBSSUNFX0FESgIAAAAMIjEyLzMwLzIwMjIiCjEyLzMwLzIwMjIAAAAAAwAAAAAAAAAFIkNPUCIDQ09QAQAAABMiSVFfQ0xPU0VQUklDRV9BREoiEUlRX0NMT1NFUFJJQ0VfQURKAgAAAAwiMTIvMjMvMjAyMiIKMTIvMjMvMjAyMgAAAAADAAAAAAAAAAUiQ09QIgNDT1ABAAAAEyJJUV9DTE9TRVBSSUNFX0FESiIRSVFfQ0xPU0VQUklDRV9BREoCAAAADCIxMi8xNi8yMDIyIgoxMi8xNi8yMDIyAAAAAAMAAAAAAAAABSJDT1AiA0NPUAEAAAATIklRX0NMT1NFUFJJQ0VfQURKIhFJUV9DTE9TRVBSSUNFX0FESgIAAAALIjEyLzkvMjAyMiIJMTIvOS8yMDIyAAAAAAMAAAAAAAAABSJDT1AiA0NPUAEAAAATIklRX0NMT1NFUFJJQ0VfQURKIhFJUV9DTE9TRVBSSUNFX0FESgIAAAALIjEyLzIvMjAyMiIJMTIvMi8yMDIyAAAAAAMAAAAAAAAABSJDT1AiA0NPUAEAAAATIklRX0NMT1NFUFJJQ0VfQURKIhFJUV9DTE9TRVBSSUNFX0FESgIAAAAMIjExLzI1LzIwMjIiCjExLzI1LzIwMjIAAAAAAwAAAAAAAAAFIkNPUCIDQ09QAQAAABMiSVFfQ0xPU0VQUklDRV9BREoiEUlR</t>
  </si>
  <si>
    <t>X0NMT1NFUFJJQ0VfQURKAgAAAAwiMTEvMTgvMjAyMiIKMTEvMTgvMjAyMgAAAAADAAAAAAAAAAUiQ09QIgNDT1ABAAAAEyJJUV9DTE9TRVBSSUNFX0FESiIRSVFfQ0xPU0VQUklDRV9BREoCAAAADCIxMS8xMS8yMDIyIgoxMS8xMS8yMDIyAAAAAAMAAAAAAAAABSJDT1AiA0NPUAEAAAATIklRX0NMT1NFUFJJQ0VfQURKIhFJUV9DTE9TRVBSSUNFX0FESgIAAAALIjExLzQvMjAyMiIJMTEvNC8yMDIyAAAAAAMAAAAAAAAABSJDT1AiA0NPUAEAAAATIklRX0NMT1NFUFJJQ0VfQURKIhFJUV9DTE9TRVBSSUNFX0FESgIAAAAMIjEwLzI4LzIwMjIiCjEwLzI4LzIwMjIAAAAAAwAAAAAAAAAFIkNPUCIDQ09QAQAAABMiSVFfQ0xPU0VQUklDRV9BREoiEUlRX0NMT1NFUFJJQ0VfQURKAgAAAAwiMTAvMjEvMjAyMiIKMTAvMjEvMjAyMgAAAAADAAAAAAAAAAUiQ09QIgNDT1ABAAAAEyJJUV9DTE9TRVBSSUNFX0FESiIRSVFfQ0xPU0VQUklDRV9BREoCAAAADCIxMC8xNC8yMDIyIgoxMC8xNC8yMDIyAAAAAAMAAAAAAAAABSJDT1AiA0NPUAEAAAATIklRX0NMT1NFUFJJQ0VfQURKIhFJUV9DTE9TRVBSSUNFX0FESgIAAAALIjEwLzcvMjAyMiIJMTAvNy8yMDIyAAAAAAMAAAAAAAAABSJDT1AiA0NPUAEAAAATIklRX0NMT1NFUFJJQ0VfQURKIhFJUV9DTE9TRVBSSUNFX0FESgIAAAALIjkvMzAvMjAyMiIJOS8zMC8yMDIy</t>
  </si>
  <si>
    <t>AAAAAAMAAAAAAAAABSJDT1AiA0NPUAEAAAATIklRX0NMT1NFUFJJQ0VfQURKIhFJUV9DTE9TRVBSSUNFX0FESgIAAAALIjkvMjMvMjAyMiIJOS8yMy8yMDIyAAAAAAMAAAAAAAAABSJDT1AiA0NPUAEAAAATIklRX0NMT1NFUFJJQ0VfQURKIhFJUV9DTE9TRVBSSUNFX0FESgIAAAALIjkvMTYvMjAyMiIJOS8xNi8yMDIyAAAAAAMAAAAAAAAABSJDT1AiA0NPUAEAAAATIklRX0NMT1NFUFJJQ0VfQURKIhFJUV9DTE9TRVBSSUNFX0FESgIAAAAKIjkvOS8yMDIyIgg5LzkvMjAyMgAAAAADAAAAAAAAAAUiQ09QIgNDT1ABAAAAEyJJUV9DTE9TRVBSSUNFX0FESiIRSVFfQ0xPU0VQUklDRV9BREoCAAAACiI5LzIvMjAyMiIIOS8yLzIwMjIAAAAAAwAAAAAAAAAFIkNPUCIDQ09QAQAAABMiSVFfQ0xPU0VQUklDRV9BREoiEUlRX0NMT1NFUFJJQ0VfQURKAgAAAAsiOC8yNi8yMDIyIgk4LzI2LzIwMjIAAAAAAwAAAAAAAAAFIkNPUCIDQ09QAQAAABMiSVFfQ0xPU0VQUklDRV9BREoiEUlRX0NMT1NFUFJJQ0VfQURKAgAAAAsiOC8xOS8yMDIyIgk4LzE5LzIwMjIAAAAAAwAAAAAAAAAFIkNPUCIDQ09QAQAAABMiSVFfQ0xPU0VQUklDRV9BREoiEUlRX0NMT1NFUFJJQ0VfQURKAgAAAAsiOC8xMi8yMDIyIgk4LzEyLzIwMjIAAAAAAwAAAAAAAAAFIkNPUCIDQ09QAQAAABMiSVFfQ0xPU0VQUklDRV9BREoiEUlRX0NMT1NF</t>
  </si>
  <si>
    <t>UFJJQ0VfQURKAgAAAAoiOC81LzIwMjIiCDgvNS8yMDIyAAAAAAMAAAAAAAAABSJDT1AiA0NPUAEAAAATIklRX0NMT1NFUFJJQ0VfQURKIhFJUV9DTE9TRVBSSUNFX0FESgIAAAALIjcvMjkvMjAyMiIJNy8yOS8yMDIyAAAAAAMAAAAAAAAABSJDT1AiA0NPUAEAAAATIklRX0NMT1NFUFJJQ0VfQURKIhFJUV9DTE9TRVBSSUNFX0FESgIAAAALIjcvMjIvMjAyMiIJNy8yMi8yMDIyAAAAAAMAAAAAAAAABSJDT1AiA0NPUAEAAAATIklRX0NMT1NFUFJJQ0VfQURKIhFJUV9DTE9TRVBSSUNFX0FESgIAAAALIjcvMTUvMjAyMiIJNy8xNS8yMDIyAAAAAAMAAAAAAAAABSJDT1AiA0NPUAEAAAATIklRX0NMT1NFUFJJQ0VfQURKIhFJUV9DTE9TRVBSSUNFX0FESgIAAAAKIjcvOC8yMDIyIgg3LzgvMjAyMgAAAAADAAAAAAAAAAUiQ09QIgNDT1ABAAAAEyJJUV9DTE9TRVBSSUNFX0FESiIRSVFfQ0xPU0VQUklDRV9BREoCAAAACiI3LzEvMjAyMiIINy8xLzIwMjIAAAAAAwAAAAAAAAAFIkNPUCIDQ09QAQAAABMiSVFfQ0xPU0VQUklDRV9BREoiEUlRX0NMT1NFUFJJQ0VfQURKAgAAAAsiNi8yNC8yMDIyIgk2LzI0LzIwMjIAAAAAAwAAAAAAAAAFIkNPUCIDQ09QAQAAABMiSVFfQ0xPU0VQUklDRV9BREoiEUlRX0NMT1NFUFJJQ0VfQURKAgAAAAsiNi8xNy8yMDIyIgk2LzE3LzIwMjIAAAAAAwAAAAAAAAAFIkNPUCIDQ09Q</t>
  </si>
  <si>
    <t>AQAAABMiSVFfQ0xPU0VQUklDRV9BREoiEUlRX0NMT1NFUFJJQ0VfQURKAgAAAAsiNi8xMC8yMDIyIgk2LzEwLzIwMjIAAAAAAwAAAAAAAAAFIkNPUCIDQ09QAQAAABMiSVFfQ0xPU0VQUklDRV9BREoiEUlRX0NMT1NFUFJJQ0VfQURKAgAAAAoiNi8zLzIwMjIiCDYvMy8yMDIyAAAAAAMAAAAAAAAABSJDT1AiA0NPUAEAAAATIklRX0NMT1NFUFJJQ0VfQURKIhFJUV9DTE9TRVBSSUNFX0FESgIAAAALIjUvMjcvMjAyMiIJNS8yNy8yMDIyAAAAAAMAAAAAAAAABSJDT1AiA0NPUAEAAAATIklRX0NMT1NFUFJJQ0VfQURKIhFJUV9DTE9TRVBSSUNFX0FESgIAAAALIjUvMjAvMjAyMiIJNS8yMC8yMDIyAAAAAAMAAAAAAAAABSJDT1AiA0NPUAEAAAATIklRX0NMT1NFUFJJQ0VfQURKIhFJUV9DTE9TRVBSSUNFX0FESgIAAAALIjUvMTMvMjAyMiIJNS8xMy8yMDIyAAAAAAMAAAAAAAAABSJDT1AiA0NPUAEAAAATIklRX0NMT1NFUFJJQ0VfQURKIhFJUV9DTE9TRVBSSUNFX0FESgIAAAAKIjUvNi8yMDIyIgg1LzYvMjAyMgAAAAADAAAAAAAAAAUiQ09QIgNDT1ABAAAAEyJJUV9DTE9TRVBSSUNFX0FESiIRSVFfQ0xPU0VQUklDRV9BREoCAAAACyI0LzI5LzIwMjIiCTQvMjkvMjAyMgAAAAADAAAAAAAAAAUiQ09QIgNDT1ABAAAAEyJJUV9DTE9TRVBSSUNFX0FESiIRSVFfQ0xPU0VQUklDRV9BREoCAAAACyI0LzIyLzIw</t>
  </si>
  <si>
    <t>MjIiCTQvMjIvMjAyMgAAAAADAAAAAAAAAAUiQ09QIgNDT1ABAAAAEyJJUV9DTE9TRVBSSUNFX0FESiIRSVFfQ0xPU0VQUklDRV9BREoCAAAACyI0LzE0LzIwMjIiCTQvMTQvMjAyMgAAAAADAAAAAAAAAAUiQ09QIgNDT1ABAAAAEyJJUV9DTE9TRVBSSUNFX0FESiIRSVFfQ0xPU0VQUklDRV9BREoCAAAACiI0LzgvMjAyMiIINC84LzIwMjIAAAAAAwAAAAAAAAAFIkNPUCIDQ09QAQAAABMiSVFfQ0xPU0VQUklDRV9BREoiEUlRX0NMT1NFUFJJQ0VfQURKAgAAAAoiNC8xLzIwMjIiCDQvMS8yMDIyAAAAAAMAAAAAAAAABSJDT1AiA0NPUAEAAAATIklRX0NMT1NFUFJJQ0VfQURKIhFJUV9DTE9TRVBSSUNFX0FESgIAAAALIjMvMjUvMjAyMiIJMy8yNS8yMDIyAAAAAAMAAAAAAAAABSJDT1AiA0NPUAEAAAATIklRX0NMT1NFUFJJQ0VfQURKIhFJUV9DTE9TRVBSSUNFX0FESgIAAAALIjMvMTgvMjAyMiIJMy8xOC8yMDIyAAAAAAMAAAAAAAAABSJDT1AiA0NPUAEAAAATIklRX0NMT1NFUFJJQ0VfQURKIhFJUV9DTE9TRVBSSUNFX0FESgIAAAALIjMvMTEvMjAyMiIJMy8xMS8yMDIyAAAAAAMAAAAAAAAABSJDT1AiA0NPUAEAAAATIklRX0NMT1NFUFJJQ0VfQURKIhFJUV9DTE9TRVBSSUNFX0FESgIAAAAKIjMvNC8yMDIyIggzLzQvMjAyMgAAAAADAAAAAAAAAAUiQ09QIgNDT1ABAAAAEyJJUV9DTE9TRVBSSUNFX0FE</t>
  </si>
  <si>
    <t>SiIRSVFfQ0xPU0VQUklDRV9BREoCAAAACyIyLzI1LzIwMjIiCTIvMjUvMjAyMgAAAAADAAAAAAAAAAUiQ09QIgNDT1ABAAAAEyJJUV9DTE9TRVBSSUNFX0FESiIRSVFfQ0xPU0VQUklDRV9BREoCAAAACyIyLzE4LzIwMjIiCTIvMTgvMjAyMgAAAAADAAAAAAAAAAUiQ09QIgNDT1ABAAAAEyJJUV9DTE9TRVBSSUNFX0FESiIRSVFfQ0xPU0VQUklDRV9BREoCAAAACyIyLzExLzIwMjIiCTIvMTEvMjAyMgAAAAADAAAAAAAAAAUiQ09QIgNDT1ABAAAAEyJJUV9DTE9TRVBSSUNFX0FESiIRSVFfQ0xPU0VQUklDRV9BREoCAAAACiIyLzQvMjAyMiIIMi80LzIwMjIAAAAAAwAAAAAAAAAFIkNPUCIDQ09QAQAAABMiSVFfQ0xPU0VQUklDRV9BREoiEUlRX0NMT1NFUFJJQ0VfQURKAgAAAAsiMS8yOC8yMDIyIgkxLzI4LzIwMjIAAAAAAwAAAAAAAAAFIkNPUCIDQ09QAQAAABMiSVFfQ0xPU0VQUklDRV9BREoiEUlRX0NMT1NFUFJJQ0VfQURKAgAAAAsiMS8yMS8yMDIyIgkxLzIxLzIwMjIAAAAAAwAAAAAAAAAFIkNPUCIDQ09QAQAAABMiSVFfQ0xPU0VQUklDRV9BREoiEUlRX0NMT1NFUFJJQ0VfQURKAgAAAAsiMS8xNC8yMDIyIgkxLzE0LzIwMjIAAAAAAwAAAAAAAAAFIkNPUCIDQ09QAQAAABMiSVFfQ0xPU0VQUklDRV9BREoiEUlRX0NMT1NFUFJJQ0VfQURKAgAAAAoiMS83LzIwMjIiCDEvNy8yMDIyAAAAAAMAAAAA</t>
  </si>
  <si>
    <t>AAAABSJDT1AiA0NPUAEAAAATIklRX0NMT1NFUFJJQ0VfQURKIhFJUV9DTE9TRVBSSUNFX0FESgIAAAAMIjEyLzMxLzIwMjEiCjEyLzMxLzIwMjEAAAAAAwAAAAAAAAAFIkNPUCIDQ09QAQAAABMiSVFfQ0xPU0VQUklDRV9BREoiEUlRX0NMT1NFUFJJQ0VfQURKAgAAAAwiMTIvMjMvMjAyMSIKMTIvMjMvMjAyMQAAAAADAAAAAAAAAAUiQ09QIgNDT1ABAAAAEyJJUV9DTE9TRVBSSUNFX0FESiIRSVFfQ0xPU0VQUklDRV9BREoCAAAADCIxMi8xNy8yMDIxIgoxMi8xNy8yMDIxAAAAAAMAAAAAAAAABSJDT1AiA0NPUAEAAAATIklRX0NMT1NFUFJJQ0VfQURKIhFJUV9DTE9TRVBSSUNFX0FESgIAAAAMIjEyLzEwLzIwMjEiCjEyLzEwLzIwMjEAAAAAAwAAAAAAAAAFIkNPUCIDQ09QAQAAABMiSVFfQ0xPU0VQUklDRV9BREoiEUlRX0NMT1NFUFJJQ0VfQURKAgAAAAsiMTIvMy8yMDIxIgkxMi8zLzIwMjEAAAAAAwAAAAAAAAAFIkNPUCIDQ09QAQAAABMiSVFfQ0xPU0VQUklDRV9BREoiEUlRX0NMT1NFUFJJQ0VfQURKAgAAAAwiMTEvMjYvMjAyMSIKMTEvMjYvMjAyMQAAAAADAAAAAAAAAAUiQ09QIgNDT1ABAAAAEyJJUV9DTE9TRVBSSUNFX0FESiIRSVFfQ0xPU0VQUklDRV9BREoCAAAADCIxMS8xOS8yMDIxIgoxMS8xOS8yMDIxAAAAAAMAAAAAAAAABSJDT1AiA0NPUAEAAAATIklRX0NMT1NFUFJJQ0VfQURKIhFJ</t>
  </si>
  <si>
    <t>UV9DTE9TRVBSSUNFX0FESgIAAAAMIjExLzEyLzIwMjEiCjExLzEyLzIwMjEAAAAAAwAAAAAAAAAFIkNPUCIDQ09QAQAAABMiSVFfQ0xPU0VQUklDRV9BREoiEUlRX0NMT1NFUFJJQ0VfQURKAgAAAAsiMTEvNS8yMDIxIgkxMS81LzIwMjEAAAAAAwAAAAAAAAAFIkNPUCIDQ09QAQAAABMiSVFfQ0xPU0VQUklDRV9BREoiEUlRX0NMT1NFUFJJQ0VfQURKAgAAAAwiMTAvMjkvMjAyMSIKMTAvMjkvMjAyMQAAAAADAAAAAAAAAAUiQ09QIgNDT1ABAAAAEyJJUV9DTE9TRVBSSUNFX0FESiIRSVFfQ0xPU0VQUklDRV9BREoCAAAADCIxMC8yMi8yMDIxIgoxMC8yMi8yMDIxAAAAAAMAAAAAAAAABSJDT1AiA0NPUAEAAAATIklRX0NMT1NFUFJJQ0VfQURKIhFJUV9DTE9TRVBSSUNFX0FESgIAAAAMIjEwLzE1LzIwMjEiCjEwLzE1LzIwMjEAAAAAAwAAAAAAAAAFIkNPUCIDQ09QAQAAABMiSVFfQ0xPU0VQUklDRV9BREoiEUlRX0NMT1NFUFJJQ0VfQURKAgAAAAsiMTAvOC8yMDIxIgkxMC84LzIwMjEAAAAAAwAAAAAAAAAFIkNPUCIDQ09QAQAAABMiSVFfQ0xPU0VQUklDRV9BREoiEUlRX0NMT1NFUFJJQ0VfQURKAgAAAAsiMTAvMS8yMDIxIgkxMC8xLzIwMjEAAAAAAwAAAAAAAAAFIkNPUCIDQ09QAQAAABMiSVFfQ0xPU0VQUklDRV9BREoiEUlRX0NMT1NFUFJJQ0VfQURKAgAAAAsiOS8yNC8yMDIxIgk5LzI0LzIwMjEA</t>
  </si>
  <si>
    <t>AAAAAwAAAAAAAAAFIkNPUCIDQ09QAQAAABMiSVFfQ0xPU0VQUklDRV9BREoiEUlRX0NMT1NFUFJJQ0VfQURKAgAAAAsiOS8xNy8yMDIxIgk5LzE3LzIwMjEAAAAAAwAAAAAAAAAFIkNPUCIDQ09QAQAAABMiSVFfQ0xPU0VQUklDRV9BREoiEUlRX0NMT1NFUFJJQ0VfQURKAgAAAAsiOS8xMC8yMDIxIgk5LzEwLzIwMjEAAAAAAwAAAAAAAAAFIkNPUCIDQ09QAQAAABMiSVFfQ0xPU0VQUklDRV9BREoiEUlRX0NMT1NFUFJJQ0VfQURKAgAAAAoiOS8zLzIwMjEiCDkvMy8yMDIxAAAAAAMAAAAAAAAABSJDT1AiA0NPUAEAAAATIklRX0NMT1NFUFJJQ0VfQURKIhFJUV9DTE9TRVBSSUNFX0FESgIAAAALIjgvMjcvMjAyMSIJOC8yNy8yMDIxAAAAAAMAAAAAAAAABSJDT1AiA0NPUAEAAAATIklRX0NMT1NFUFJJQ0VfQURKIhFJUV9DTE9TRVBSSUNFX0FESgIAAAALIjgvMjAvMjAyMSIJOC8yMC8yMDIxAAAAAAMAAAAAAAAABSJDT1AiA0NPUAEAAAATIklRX0NMT1NFUFJJQ0VfQURKIhFJUV9DTE9TRVBSSUNFX0FESgIAAAALIjgvMTMvMjAyMSIJOC8xMy8yMDIxAAAAAAMAAAAAAAAABSJDT1AiA0NPUAEAAAATIklRX0NMT1NFUFJJQ0VfQURKIhFJUV9DTE9TRVBSSUNFX0FESgIAAAAKIjgvNi8yMDIxIgg4LzYvMjAyMQAAAAADAAAAAAAAAAUiQ09QIgNDT1ABAAAAEyJJUV9DTE9TRVBSSUNFX0FESiIRSVFfQ0xPU0VQ</t>
  </si>
  <si>
    <t>UklDRV9BREoCAAAACyI3LzMwLzIwMjEiCTcvMzAvMjAyMQAAAAADAAAAAAAAAAUiQ09QIgNDT1ABAAAAEyJJUV9DTE9TRVBSSUNFX0FESiIRSVFfQ0xPU0VQUklDRV9BREoCAAAACyI3LzIzLzIwMjEiCTcvMjMvMjAyMQAAAAADAAAAAAAAAAUiQ09QIgNDT1ABAAAAEyJJUV9DTE9TRVBSSUNFX0FESiIRSVFfQ0xPU0VQUklDRV9BREoCAAAACyI3LzE2LzIwMjEiCTcvMTYvMjAyMQAAAAADAAAAAAAAAAUiQ09QIgNDT1ABAAAAEyJJUV9DTE9TRVBSSUNFX0FESiIRSVFfQ0xPU0VQUklDRV9BREoCAAAACiI3LzkvMjAyMSIINy85LzIwMjEAAAAAAwAAAAAAAAAFIkNPUCIDQ09QAQAAABMiSVFfQ0xPU0VQUklDRV9BREoiEUlRX0NMT1NFUFJJQ0VfQURKAgAAAAoiNy8yLzIwMjEiCDcvMi8yMDIxAAAAAAMAAAAAAAAABSJDT1AiA0NPUAEAAAATIklRX0NMT1NFUFJJQ0VfQURKIhFJUV9DTE9TRVBSSUNFX0FESgIAAAALIjYvMjUvMjAyMSIJNi8yNS8yMDIxAAAAAAMAAAAAAAAABSJDT1AiA0NPUAEAAAATIklRX0NMT1NFUFJJQ0VfQURKIhFJUV9DTE9TRVBSSUNFX0FESgIAAAALIjYvMTgvMjAyMSIJNi8xOC8yMDIxAAAAAAMAAAAAAAAABSJDT1AiA0NPUAEAAAATIklRX0NMT1NFUFJJQ0VfQURKIhFJUV9DTE9TRVBSSUNFX0FESgIAAAALIjYvMTEvMjAyMSIJNi8xMS8yMDIxAAAAAAMAAAAAAAAABSJDT1AiA0NP</t>
  </si>
  <si>
    <t>UAEAAAATIklRX0NMT1NFUFJJQ0VfQURKIhFJUV9DTE9TRVBSSUNFX0FESgIAAAAKIjYvNC8yMDIxIgg2LzQvMjAyMQAAAAADAAAAAAAAAAUiQ09QIgNDT1ABAAAAEyJJUV9DTE9TRVBSSUNFX0FESiIRSVFfQ0xPU0VQUklDRV9BREoCAAAACyI1LzI4LzIwMjEiCTUvMjgvMjAyMQAAAAADAAAAAAAAAAUiQ09QIgNDT1ABAAAAEyJJUV9DTE9TRVBSSUNFX0FESiIRSVFfQ0xPU0VQUklDRV9BREoCAAAACyI1LzIxLzIwMjEiCTUvMjEvMjAyMQAAAAADAAAAAAAAAAUiQ09QIgNDT1ABAAAAEyJJUV9DTE9TRVBSSUNFX0FESiIRSVFfQ0xPU0VQUklDRV9BREoCAAAACyI1LzE0LzIwMjEiCTUvMTQvMjAyMQAAAAADAAAAAAAAAAUiQ09QIgNDT1ABAAAAEyJJUV9DTE9TRVBSSUNFX0FESiIRSVFfQ0xPU0VQUklDRV9BREoCAAAACiI1LzcvMjAyMSIINS83LzIwMjEAAAAAAwAAAAAAAAAFIkNPUCIDQ09QAQAAABMiSVFfQ0xPU0VQUklDRV9BREoiEUlRX0NMT1NFUFJJQ0VfQURKAgAAAAsiNC8zMC8yMDIxIgk0LzMwLzIwMjEAAAAAAwAAAAAAAAAFIkNPUCIDQ09QAQAAABMiSVFfQ0xPU0VQUklDRV9BREoiEUlRX0NMT1NFUFJJQ0VfQURKAgAAAAsiNC8yMy8yMDIxIgk0LzIzLzIwMjEAAAAAAwAAAAAAAAAFIkNPUCIDQ09QAQAAABMiSVFfQ0xPU0VQUklDRV9BREoiEUlRX0NMT1NFUFJJQ0VfQURKAgAAAAsiNC8xNi8y</t>
  </si>
  <si>
    <t>MDIxIgk0LzE2LzIwMjEAAAAAAwAAAAAAAAAFIkNPUCIDQ09QAQAAABMiSVFfQ0xPU0VQUklDRV9BREoiEUlRX0NMT1NFUFJJQ0VfQURKAgAAAAoiNC85LzIwMjEiCDQvOS8yMDIxAAAAAAMAAAAAAAAABSJDT1AiA0NPUAEAAAATIklRX0NMT1NFUFJJQ0VfQURKIhFJUV9DTE9TRVBSSUNFX0FESgIAAAAKIjQvMS8yMDIxIgg0LzEvMjAyMQAAAAADAAAAAAAAAAUiQ09QIgNDT1ABAAAAEyJJUV9DTE9TRVBSSUNFX0FESiIRSVFfQ0xPU0VQUklDRV9BREoCAAAACyIzLzI2LzIwMjEiCTMvMjYvMjAyMQAAAAADAAAAAAAAAAUiQ09QIgNDT1ABAAAAEyJJUV9DTE9TRVBSSUNFX0FESiIRSVFfQ0xPU0VQUklDRV9BREoCAAAACyIzLzE5LzIwMjEiCTMvMTkvMjAyMQAAAAADAAAAAAAAAAUiQ09QIgNDT1ABAAAAEyJJUV9DTE9TRVBSSUNFX0FESiIRSVFfQ0xPU0VQUklDRV9BREoCAAAACyIzLzEyLzIwMjEiCTMvMTIvMjAyMQAAAAADAAAAAAAAAAUiQ09QIgNDT1ABAAAAEyJJUV9DTE9TRVBSSUNFX0FESiIRSVFfQ0xPU0VQUklDRV9BREoCAAAACiIzLzUvMjAyMSIIMy81LzIwMjEAAAAAAwAAAAAAAAAFIkNPUCIDQ09QAQAAABMiSVFfQ0xPU0VQUklDRV9BREoiEUlRX0NMT1NFUFJJQ0VfQURKAgAAAAsiMi8yNi8yMDIxIgkyLzI2LzIwMjEAAAAAAwAAAAAAAAAFIkNPUCIDQ09QAQAAABMiSVFfQ0xPU0VQUklDRV9B</t>
  </si>
  <si>
    <t>REoiEUlRX0NMT1NFUFJJQ0VfQURKAgAAAAsiMi8xOS8yMDIxIgkyLzE5LzIwMjEAAAAAAwAAAAAAAAAFIkNPUCIDQ09QAQAAABMiSVFfQ0xPU0VQUklDRV9BREoiEUlRX0NMT1NFUFJJQ0VfQURKAgAAAAsiMi8xMi8yMDIxIgkyLzEyLzIwMjEAAAAAAwAAAAAAAAAFIkNPUCIDQ09QAQAAABMiSVFfQ0xPU0VQUklDRV9BREoiEUlRX0NMT1NFUFJJQ0VfQURKAgAAAAoiMi81LzIwMjEiCDIvNS8yMDIxAAAAAAMAAAAAAAAABSJDT1AiA0NPUAEAAAATIklRX0NMT1NFUFJJQ0VfQURKIhFJUV9DTE9TRVBSSUNFX0FESgIAAAALIjEvMjkvMjAyMSIJMS8yOS8yMDIxAAAAAAMAAAAAAAAABSJDT1AiA0NPUAEAAAATIklRX0NMT1NFUFJJQ0VfQURKIhFJUV9DTE9TRVBSSUNFX0FESgIAAAALIjEvMjIvMjAyMSIJMS8yMi8yMDIxAAAAAAMAAAAAAAAABSJDT1AiA0NPUAEAAAATIklRX0NMT1NFUFJJQ0VfQURKIhFJUV9DTE9TRVBSSUNFX0FESgIAAAALIjEvMTUvMjAyMSIJMS8xNS8yMDIxAAAAAAMAAAAAAAAABSJDT1AiA0NPUAEAAAATIklRX0NMT1NFUFJJQ0VfQURKIhFJUV9DTE9TRVBSSUNFX0FESgIAAAAKIjEvOC8yMDIxIggxLzgvMjAyMQAAAAADAAAAAAAAAAUiQ09QIgNDT1ABAAAAEyJJUV9DTE9TRVBSSUNFX0FESiIRSVFfQ0xPU0VQUklDRV9BREoCAAAADCIxMi8zMS8yMDIwIgoxMi8zMS8yMDIwAAAAAAMA</t>
  </si>
  <si>
    <t>AAAAAAAABSJDT1AiA0NPUAEAAAATIklRX0NMT1NFUFJJQ0VfQURKIhFJUV9DTE9TRVBSSUNFX0FESgIAAAAMIjEyLzI0LzIwMjAiCjEyLzI0LzIwMjAAAAAAAwAAAAAAAAAFIkNPUCIDQ09QAQAAABMiSVFfQ0xPU0VQUklDRV9BREoiEUlRX0NMT1NFUFJJQ0VfQURKAgAAAAwiMTIvMTgvMjAyMCIKMTIvMTgvMjAyMAAAAAADAAAAAAAAAAUiQ09QIgNDT1ABAAAAEyJJUV9DTE9TRVBSSUNFX0FESiIRSVFfQ0xPU0VQUklDRV9BREoCAAAADCIxMi8xMS8yMDIwIgoxMi8xMS8yMDIwAAAAAAMAAAAAAAAABSJDT1AiA0NPUAEAAAATIklRX0NMT1NFUFJJQ0VfQURKIhFJUV9DTE9TRVBSSUNFX0FESgIAAAALIjEyLzQvMjAyMCIJMTIvNC8yMDIwAAAAAAMAAAAAAAAABSJDT1AiA0NPUAEAAAATIklRX0NMT1NFUFJJQ0VfQURKIhFJUV9DTE9TRVBSSUNFX0FESgIAAAAMIjExLzI3LzIwMjAiCjExLzI3LzIwMjAAAAAAAwAAAAAAAAAFIkNPUCIDQ09QAQAAABMiSVFfQ0xPU0VQUklDRV9BREoiEUlRX0NMT1NFUFJJQ0VfQURKAgAAAAwiMTEvMjAvMjAyMCIKMTEvMjAvMjAyMAAAAAADAAAAAAAAAAUiQ09QIgNDT1ABAAAAEyJJUV9DTE9TRVBSSUNFX0FESiIRSVFfQ0xPU0VQUklDRV9BREoCAAAADCIxMS8xMy8yMDIwIgoxMS8xMy8yMDIweViyYT0l3gh5WLJhPSXeCCNDSVEuQ09QLklRX0NMT1NFUFJJQ0VfQURKLjEx</t>
  </si>
  <si>
    <t>LzcvMjAyNQEAAABPhgQAAgAAAAU4Ni44MwB5WLJhPSXeCHlYsmE9Jd4IJENJUS5DT1AuSVFfQ0xPU0VQUklDRV9BREouMTAvMzEvMjAyNQEAAABPhgQAAgAAAAU4OC44NgB5WLJhPSXeCHlYsmE9Jd4IJENJUS5DT1AuSVFfQ0xPU0VQUklDRV9BREouMTAvMjQvMjAyNQEAAABPhgQAAgAAAAU4OC4wMwB5WLJhPSXeCHlYsmE9Jd4IJENJUS5DT1AuSVFfQ0xPU0VQUklDRV9BREouMTAvMTcvMjAyNQEAAABPhgQAAgAAAAU4Ni40OAB5WLJhPSXeCHlYsmE9Jd4IJENJUS5DT1AuSVFfQ0xPU0VQUklDRV9BREouMTAvMTAvMjAyNQEAAABPhgQAAgAAAAU4Ny42NAB5WLJhPSXeCHlYsmE9Jd4II0NJUS5DT1AuSVFfQ0xPU0VQUklDRV9BREouMTAvMy8yMDI1AQAAAE+GBAACAAAABTk0LjE2AHlYsmE9Jd4IeViyYT0l3ggjQ0lRLkNPUC5JUV9DTE9TRVBSSUNFX0FESi45LzI2LzIwMjUBAAAAT4YEAAIAAAAFOTguNDgAeViyYT0l3gh5WLJhPSXeCCNDSVEuQ09QLklRX0NMT1NFUFJJQ0VfQURKLjkvMTkvMjAyNQEAAABPhgQAAgAAAAU5MS45MgB5WLJhPSXeCHlYsmE9Jd4II0NJUS5DT1AuSVFfQ0xPU0VQUklDRV9BREouOS8xMi8yMDI1AQAAAE+GBAACAAAABTkyLjQzAHlYsmE9Jd4IeViyYT0l3ggiQ0lRLkNPUC5JUV9DTE9TRVBSSUNFX0FESi45LzUvMjAyNQEAAABPhgQAAgAAAAU5Mi45NQB5WLJhPSXeCHlYsmE9</t>
  </si>
  <si>
    <t>Jd4II0NJUS5DT1AuSVFfQ0xPU0VQUklDRV9BREouOC8yOS8yMDI1AQAAAE+GBAACAAAABTk4Ljk3AHlYsmE9Jd4IeViyYT0l3ggjQ0lRLkNPUC5JUV9DTE9TRVBSSUNFX0FESi44LzIyLzIwMjUBAAAAT4YEAAIAAAAFOTYuNzgAeViyYT0l3gh5WLJhPSXeCCNDSVEuQ09QLklRX0NMT1NFUFJJQ0VfQURKLjgvMTUvMjAyNQEAAABPhgQAAgAAAAU5NC41NQB5WLJhPSXeCHlYsmE9Jd4IIkNJUS5DT1AuSVFfQ0xPU0VQUklDRV9BREouOC84LzIwMjUBAAAAT4YEAAIAAAAJOTMuMTQxNjE5AHlYsmE9Jd4IeViyYT0l3ggiQ0lRLkNPUC5JUV9DTE9TRVBSSUNFX0FESi44LzEvMjAyNQEAAABPhgQAAgAAAAk5Mi4wMDEwMjgAeViyYT0l3gh5WLJhPSXeCCNDSVEuQ09QLklRX0NMT1NFUFJJQ0VfQURKLjcvMjUvMjAyNQEAAABPhgQAAgAAAAk5NC4xNzMxMDkAeViyYT0l3gh5WLJhPSXeCCNDSVEuQ09QLklRX0NMT1NFUFJJQ0VfQURKLjcvMTgvMjAyNQEAAABPhgQAAgAAAAk5MC44OTAxOTIAeViyYT0l3gh5WLJhPSXeCCNDSVEuQ09QLklRX0NMT1NFUFJJQ0VfQURKLjcvMTEvMjAyNQEAAABPhgQAAgAAAAk5NC44Mjc3MDkAeViyYT0l3gh5WLJhPSXeCCJDSVEuQ09QLklRX0NMT1NFUFJJQ0VfQURKLjcvMy8yMDI1AQAAAE+GBAACAAAABzkyLjkxMzUAeViyYT0l3gh5WLJhPSXeCCNDSVEuQ09QLklRX0NMT1NFUFJJ</t>
  </si>
  <si>
    <t>Q0VfQURKLjYvMjcvMjAyNQEAAABPhgQAAgAAAAg4OS40MzIyMgB5WLJhPSXeCHlYsmE9Jd4II0NJUS5DT1AuSVFfQ0xPU0VQUklDRV9BREouNi8yMC8yMDI1AQAAAE+GBAACAAAACTkzLjkxNTIzNwB5WLJhPSXeCHlYsmE9Jd4II0NJUS5DT1AuSVFfQ0xPU0VQUklDRV9BREouNi8xMy8yMDI1AQAAAE+GBAACAAAACTk2LjE2NjY2MwB5WLJhPSXeCHlYsmE9Jd4IIkNJUS5DT1AuSVFfQ0xPU0VQUklDRV9BREouNi82LzIwMjUBAAAAT4YEAAIAAAAJODYuNTA2MzU3AHlYsmE9Jd4IeViyYT0l3ggjQ0lRLkNPUC5JUV9DTE9TRVBSSUNFX0FESi41LzMwLzIwMjUBAAAAT4YEAAIAAAAJODQuNjUxNjU3AHlYsmE9Jd4IeViyYT0l3ggjQ0lRLkNPUC5JUV9DTE9TRVBSSUNFX0FESi41LzIzLzIwMjUBAAAAT4YEAAIAAAAJODQuNDkyOTY3AHlYsmE9Jd4IeViyYT0l3ggjQ0lRLkNPUC5JUV9DTE9TRVBSSUNFX0FESi41LzE2LzIwMjUBAAAAT4YEAAIAAAAIOTAuOTAwMTEAeViyYT0l3gh5WLJhPSXeCCJDSVEuQ09QLklRX0NMT1NFUFJJQ0VfQURKLjUvOS8yMDI1AQAAAE+GBAACAAAACTg3LjEyMzY2OQB5WLJhPSXeCHlYsmE9Jd4IIkNJUS5DT1AuSVFfQ0xPU0VQUklDRV9BREouNS8yLzIwMjUBAAAAT4YEAAIAAAAJODkuODk2OTkzAHlYsmE9Jd4IeViyYT0l3ggjQ0lRLkNPUC5JUV9DTE9TRVBSSUNFX0FESi40LzI1</t>
  </si>
  <si>
    <t>LzIwMjUBAAAAT4YEAAIAAAAJOTAuMjAxODYyAHlYsmE9Jd4IeViyYT0l3ggjQ0lRLkNPUC5JUV9DTE9TRVBSSUNFX0FESi40LzE3LzIwMjUBAAAAT4YEAAIAAAAJODcuNTA3MjE0AHlYsmE9Jd4IeViyYT0l3ggjQ0lRLkNPUC5JUV9DTE9TRVBSSUNFX0FESi40LzExLzIwMjUBAAAAT4YEAAIAAAAJODQuOTYwMDgzAHlYsmE9Jd4IeViyYT0l3ggiQ0lRLkNPUC5JUV9DTE9TRVBSSUNFX0FESi40LzQvMjAyNQEAAABPhgQAAgAAAAk4NC44NjE3MzkAeViyYT0l3gh5WLJhPSXeCCNDSVEuQ09QLklRX0NMT1NFUFJJQ0VfQURKLjMvMjgvMjAyNQEAAABPhgQAAgAAAAoxMDAuNjc1NTg1AHlYsmE9Jd4IeViyYT0l3ggjQ0lRLkNPUC5JUV9DTE9TRVBSSUNFX0FESi4zLzIxLzIwMjUBAAAAT4YEAAIAAAAKMTAwLjIzMzAzMwB5WLJhPSXeCHlYsmE9Jd4II0NJUS5DT1AuSVFfQ0xPU0VQUklDRV9BREouMy8xNC8yMDI1AQAAAE+GBAACAAAACTk3LjMxMjE5MgB5WLJhPSXeCHlYsmE9Jd4IIkNJUS5DT1AuSVFfQ0xPU0VQUklDRV9BREouMy83LzIwMjUBAAAAT4YEAAIAAAAJODkuMTI5OTA0AHlYsmE9Jd4IeViyYT0l3ggjQ0lRLkNPUC5JUV9DTE9TRVBSSUNFX0FESi4yLzI4LzIwMjUBAAAAT4YEAAIAAAAJOTcuNTA4ODgyAHlYsmE9Jd4IeViyYT0l3ggjQ0lRLkNPUC5JUV9DTE9TRVBSSUNFX0FESi4yLzIxLzIwMjUB</t>
  </si>
  <si>
    <t>AAAAT4YEAAIAAAAJOTYuMzE4OTA5AHlYsmE9Jd4IeViyYT0l3ggjQ0lRLkNPUC5JUV9DTE9TRVBSSUNFX0FESi4yLzE0LzIwMjUBAAAAT4YEAAIAAAAJOTQuNjY2NzE2AHlYsmE9Jd4IeViyYT0l3ggiQ0lRLkNPUC5JUV9DTE9TRVBSSUNFX0FESi4yLzcvMjAyNQEAAABPhgQAAgAAAAg5NS45NTMzMQB5WLJhPSXeCHlYsmE9Jd4II0NJUS5DT1AuSVFfQ0xPU0VQUklDRV9BREouMS8zMS8yMDI1AQAAAE+GBAACAAAACDk2LjQxMTgxAHlYsmE9Jd4IeViyYT0l3ggjQ0lRLkNPUC5JUV9DTE9TRVBSSUNFX0FESi4xLzI0LzIwMjUBAAAAT4YEAAIAAAAJOTkuMzM4NDA2AHlYsmE9Jd4IeViyYT0l3ggjQ0lRLkNPUC5JUV9DTE9TRVBSSUNFX0FESi4xLzE3LzIwMjUBAAAAT4YEAAIAAAAKMTAzLjI2MDA0NAB5WLJhPSXeCHlYsmE9Jd4II0NJUS5DT1AuSVFfQ0xPU0VQUklDRV9BREouMS8xMC8yMDI1AQAAAE+GBAACAAAACTk5LjQyNjIwMwB5WLJhPSXeCHlYsmE9Jd4IIkNJUS5DT1AuSVFfQ0xPU0VQUklDRV9BREouMS8zLzIwMjUBAAAAT4YEAAIAAAAJOTguNjE2NTEyAHlYsmE9Jd4IeViyYT0l3ggkQ0lRLkNPUC5JUV9DTE9TRVBSSUNFX0FESi4xMi8yNy8yMDI0AQAAAE+GBAACAAAACTk0LjU0ODU0NAB5WLJhPSXeCHlYsmE9Jd4IJENJUS5DT1AuSVFfQ0xPU0VQUklDRV9BREouMTIvMjAvMjAyNAEAAABPhgQA</t>
  </si>
  <si>
    <t>AgAAAAk5Mi43OTI1ODcAeViyYT0l3gh5WLJhPSXeCCRDSVEuQ09QLklRX0NMT1NFUFJJQ0VfQURKLjEyLzEzLzIwMjQBAAAAT4YEAAIAAAAJOTguNTQ4MjI1AHlYsmE9Jd4IeViyYT0l3ggjQ0lRLkNPUC5JUV9DTE9TRVBSSUNFX0FESi4xMi82LzIwMjQBAAAAT4YEAAIAAAAKMTAwLjY5NDM5NQB5WLJhPSXeCHlYsmE9Jd4IJENJUS5DT1AuSVFfQ0xPU0VQUklDRV9BREouMTEvMjkvMjAyNAEAAABPhgQAAgAAAAoxMDUuNjg5MTE4AHlYsmE9Jd4IeViyYT0l3ggkQ0lRLkNPUC5JUV9DTE9TRVBSSUNFX0FESi4xMS8yMi8yMDI0AQAAAE+GBAACAAAACjEwOS4wMTU2ODEAeViyYT0l3gh5WLJhPSXeCCRDSVEuQ09QLklRX0NMT1NFUFJJQ0VfQURKLjExLzE1LzIwMjQBAAAAT4YEAAIAAAAKMTA5LjU3MTczNAB5WLJhPSXeCHlYsmE9Jd4II0NJUS5DT1AuSVFfQ0xPU0VQUklDRV9BREouMTEvOC8yMDI0AQAAAE+GBAACAAAACjEwOC44NTk1OTYAeViyYT0l3gh5WLJhPSXeCCNDSVEuQ09QLklRX0NMT1NFUFJJQ0VfQURKLjExLzEvMjAyNAEAAABPhgQAAgAAAAoxMDQuNDcxMzA3AHlYsmE9Jd4IeViyYT0l3ggkQ0lRLkNPUC5JUV9DTE9TRVBSSUNFX0FESi4xMC8yNS8yMDI0AQAAAE+GBAACAAAACjEwMS4yOTM3NjcAeViyYT0l3gh5WLJhPSXeCCRDSVEuQ09QLklRX0NMT1NFUFJJQ0VfQURKLjEwLzE4LzIwMjQB</t>
  </si>
  <si>
    <t>AAAAT4YEAAIAAAAKMTAyLjM2OTA5MwB5WLJhPSXeCHlYsmE9Jd4IJENJUS5DT1AuSVFfQ0xPU0VQUklDRV9BREouMTAvMTEvMjAyNAEAAABPhgQAAgAAAAoxMDcuMDM4NTI3AHlYsmE9Jd4IeViyYT0l3ggjQ0lRLkNPUC5JUV9DTE9TRVBSSUNFX0FESi4xMC80LzIwMjQBAAAAT4YEAAIAAAAKMTEwLjk2MjAxMwB5WLJhPSXeCHlYsmE9Jd4II0NJUS5DT1AuSVFfQ0xPU0VQUklDRV9BREouOS8yNy8yMDI0AQAAAE+GBAACAAAACjEwMS40NDg3NjkAeViyYT0l3gh5WLJhPSXeCCNDSVEuQ09QLklRX0NMT1NFUFJJQ0VfQURKLjkvMjAvMjAyNAEAAABPhgQAAgAAAAoxMDYuNDM3ODk0AHlYsmE9Jd4IeViyYT0l3ggjQ0lRLkNPUC5JUV9DTE9TRVBSSUNFX0FESi45LzEzLzIwMjQBAAAAT4YEAAIAAAAKMTAwLjI2Njg3OQB5WLJhPSXeCHlYsmE9Jd4IIkNJUS5DT1AuSVFfQ0xPU0VQUklDRV9BREouOS82LzIwMjQBAAAAT4YEAAIAAAAJMTAyLjcwODE2AHlYsmE9Jd4IeViyYT0l3ggjQ0lRLkNPUC5JUV9DTE9TRVBSSUNFX0FESi44LzMwLzIwMjQBAAAAT4YEAAIAAAAKMTEwLjIzNTQ0MgB5WLJhPSXeCHlYsmE9Jd4II0NJUS5DT1AuSVFfQ0xPU0VQUklDRV9BREouOC8yMy8yMDI0AQAAAE+GBAACAAAACDEwNy45MjAxAHlYsmE9Jd4IeViyYT0l3ggjQ0lRLkNPUC5JUV9DTE9TRVBSSUNFX0FESi44LzE2LzIwMjQB</t>
  </si>
  <si>
    <t>AAAAT4YEAAIAAAAKMTA3LjcwNjk3MgB5WLJhPSXeCHlYsmE9Jd4IIkNJUS5DT1AuSVFfQ0xPU0VQUklDRV9BREouOC85LzIwMjQBAAAAT4YEAAIAAAAKMTA0LjQ2MTYxOQB5WLJhPSXeCHlYsmE9Jd4IIkNJUS5DT1AuSVFfQ0xPU0VQUklDRV9BREouOC8yLzIwMjQBAAAAT4YEAAIAAAAKMTAxLjczMDA5NAB5WLJhPSXeCHlYsmE9Jd4II0NJUS5DT1AuSVFfQ0xPU0VQUklDRV9BREouNy8yNi8yMDI0AQAAAE+GBAACAAAACTEwNi42MjU2OAB5WLJhPSXeCHlYsmE9Jd4II0NJUS5DT1AuSVFfQ0xPU0VQUklDRV9BREouNy8xOS8yMDI0AQAAAE+GBAACAAAACjEwOS45ODIzNzkAeViyYT0l3gh5WLJhPSXeCCNDSVEuQ09QLklRX0NMT1NFUFJJQ0VfQURKLjcvMTIvMjAyNAEAAABPhgQAAgAAAAoxMDguODE4NTk1AHlYsmE9Jd4IeViyYT0l3ggiQ0lRLkNPUC5JUV9DTE9TRVBSSUNFX0FESi43LzUvMjAyNAEAAABPhgQAAgAAAAkxMDguMjUxMTMAeViyYT0l3gh5WLJhPSXeCCNDSVEuQ09QLklRX0NMT1NFUFJJQ0VfQURKLjYvMjgvMjAyNAEAAABPhgQAAgAAAAoxMTAuMDExMjMzAHlYsmE9Jd4IeViyYT0l3ggjQ0lRLkNPUC5JUV9DTE9TRVBSSUNFX0FESi42LzIxLzIwMjQBAAAAT4YEAAIAAAAKMTA3LjA4NzM0NgB5WLJhPSXeCHlYsmE9Jd4II0NJUS5DT1AuSVFfQ0xPU0VQUklDRV9BREouNi8xNC8yMDI0AQAA</t>
  </si>
  <si>
    <t>AE+GBAACAAAACjEwNS4yMTE4MjcAeViyYT0l3gh5WLJhPSXeCCJDSVEuQ09QLklRX0NMT1NFUFJJQ0VfQURKLjYvNy8yMDI0AQAAAE+GBAACAAAACjEwNy43MjIxMzgAeViyYT0l3gh5WLJhPSXeCCNDSVEuQ09QLklRX0NMT1NFUFJJQ0VfQURKLjUvMzEvMjAyNAEAAABPhgQAAgAAAAoxMTIuMDMxMDIzAHlYsmE9Jd4IeViyYT0l3ggjQ0lRLkNPUC5JUV9DTE9TRVBSSUNFX0FESi41LzI0LzIwMjQBAAAAT4YEAAIAAAAKMTEyLjc3MTYxMwB5WLJhPSXeCHlYsmE9Jd4II0NJUS5DT1AuSVFfQ0xPU0VQUklDRV9BREouNS8xNy8yMDI0AQAAAE+GBAACAAAACjExNy4wNjEyNjIAeViyYT0l3gh5WLJhPSXeCCNDSVEuQ09QLklRX0NMT1NFUFJJQ0VfQURKLjUvMTAvMjAyNAEAAABPhgQAAgAAAAoxMTcuMjUzNjIzAHlYsmE9Jd4IeViyYT0l3ggiQ0lRLkNPUC5JUV9DTE9TRVBSSUNFX0FESi41LzMvMjAyNAEAAABPhgQAAgAAAAoxMTYuODE4MjQ2AHlYsmE9Jd4IeViyYT0l3ggjQ0lRLkNPUC5JUV9DTE9TRVBSSUNFX0FESi40LzI2LzIwMjQBAAAAT4YEAAIAAAAKMTI0LjQ3MzYwMgB5WLJhPSXeCHlYsmE9Jd4II0NJUS5DT1AuSVFfQ0xPU0VQUklDRV9BREouNC8xOS8yMDI0AQAAAE+GBAACAAAACjEyMy42NTE2NzgAeViyYT0l3gh5WLJhPSXeCCNDSVEuQ09QLklRX0NMT1NFUFJJQ0VfQURKLjQvMTIvMjAyNAEA</t>
  </si>
  <si>
    <t>AABPhgQAAgAAAAoxMjUuMzkxMDk3AHlYsmE9Jd4IeViyYT0l3ggiQ0lRLkNPUC5JUV9DTE9TRVBSSUNFX0FESi40LzUvMjAyNAEAAABPhgQAAgAAAAoxMjcuNjA4Mzc5AHlYsmE9Jd4IeViyYT0l3ggjQ0lRLkNPUC5JUV9DTE9TRVBSSUNFX0FESi4zLzI4LzIwMjQBAAAAT4YEAAIAAAAKMTIxLjY0NDY1NgB5WLJhPSXeCHlYsmE9Jd4II0NJUS5DT1AuSVFfQ0xPU0VQUklDRV9BREouMy8yMi8yMDI0AQAAAE+GBAACAAAACjExNy41ODI4MjYAeViyYT0l3gh5WLJhPSXeCCNDSVEuQ09QLklRX0NMT1NFUFJJQ0VfQURKLjMvMTUvMjAyNAEAAABPhgQAAgAAAAoxMTQuNzI1MjA4AHlYsmE9Jd4IeViyYT0l3ggiQ0lRLkNPUC5JUV9DTE9TRVBSSUNFX0FESi4zLzgvMjAyNAEAAABPhgQAAgAAAAoxMDcuOTk2OTA2AHlYsmE9Jd4IeViyYT0l3ggiQ0lRLkNPUC5JUV9DTE9TRVBSSUNFX0FESi4zLzEvMjAyNAEAAABPhgQAAgAAAAoxMDkuMTgyMDA0AHlYsmE9Jd4IeViyYT0l3ggjQ0lRLkNPUC5JUV9DTE9TRVBSSUNFX0FESi4yLzIzLzIwMjQBAAAAT4YEAAIAAAAKMTA2LjU3Mjg3NgB5WLJhPSXeCHlYsmE9Jd4II0NJUS5DT1AuSVFfQ0xPU0VQUklDRV9BREouMi8xNi8yMDI0AQAAAE+GBAACAAAACjEwNS42NzQ0OTQAeViyYT0l3gh5WLJhPSXeCCJDSVEuQ09QLklRX0NMT1NFUFJJQ0VfQURKLjIvOS8yMDI0AQAA</t>
  </si>
  <si>
    <t>AE+GBAACAAAACjEwNS40ODU4NjYAeViyYT0l3gh5WLJhPSXeCCJDSVEuQ09QLklRX0NMT1NFUFJJQ0VfQURKLjIvMi8yMDI0AQAAAE+GBAACAAAACTEwNC45ODI5MgB5WLJhPSXeCHlYsmE9Jd4II0NJUS5DT1AuSVFfQ0xPU0VQUklDRV9BREouMS8yNi8yMDI0AQAAAE+GBAACAAAACjEwNi41MDEyNDgAeViyYT0l3gh5WLJhPSXeCCNDSVEuQ09QLklRX0NMT1NFUFJJQ0VfQURKLjEvMTkvMjAyNAEAAABPhgQAAgAAAAoxMDIuMzYzODAzAHlYsmE9Jd4IeViyYT0l3ggjQ0lRLkNPUC5JUV9DTE9TRVBSSUNFX0FESi4xLzEyLzIwMjQBAAAAT4YEAAIAAAAKMTA1Ljk5ODMwMgB5WLJhPSXeCHlYsmE9Jd4IIkNJUS5DT1AuSVFfQ0xPU0VQUklDRV9BREouMS81LzIwMjQBAAAAT4YEAAIAAAAKMTEwLjU4MTc1NgB5WLJhPSXeCHlYsmE9Jd4IJENJUS5DT1AuSVFfQ0xPU0VQUklDRV9BREouMTIvMjkvMjAyMwEAAABPhgQAAgAAAAoxMTAuMTQ1MjM2AHlYsmE9Jd4IeViyYT0l3ggkQ0lRLkNPUC5JUV9DTE9TRVBSSUNFX0FESi4xMi8yMi8yMDIzAQAAAE+GBAACAAAACjExMS42NTQwNzUAeViyYT0l3gh5WLJhPSXeCCRDSVEuQ09QLklRX0NMT1NFUFJJQ0VfQURKLjEyLzE1LzIwMjMBAAAAT4YEAAIAAAAKMTA4LjY5MzMzNQB5WLJhPSXeCHlYsmE9Jd4II0NJUS5DT1AuSVFfQ0xPU0VQUklDRV9BREouMTIvOC8yMDIz</t>
  </si>
  <si>
    <t>AQAAAE+GBAACAAAACjEwNi4zNDk0MTUAeViyYT0l3gh5WLJhPSXeCCNDSVEuQ09QLklRX0NMT1NFUFJJQ0VfQURKLjEyLzEvMjAyMwEAAABPhgQAAgAAAAoxMDkuMzQ4MTE0AHlYsmE9Jd4IeViyYT0l3ggkQ0lRLkNPUC5JUV9DTE9TRVBSSUNFX0FESi4xMS8yNC8yMDIzAQAAAE+GBAACAAAACjEwOS41OTQ4NDIAeViyYT0l3gh5WLJhPSXeCCRDSVEuQ09QLklRX0NMT1NFUFJJQ0VfQURKLjExLzE3LzIwMjMBAAAAT4YEAAIAAAAKMTA4Ljc0MDc4MwB5WLJhPSXeCHlYsmE9Jd4IJENJUS5DT1AuSVFfQ0xPU0VQUklDRV9BREouMTEvMTAvMjAyMwEAAABPhgQAAgAAAAoxMDkuMTU4MzIzAHlYsmE9Jd4IeViyYT0l3ggjQ0lRLkNPUC5JUV9DTE9TRVBSSUNFX0FESi4xMS8zLzIwMjMBAAAAT4YEAAIAAAAKMTEzLjA2NzI4OAB5WLJhPSXeCHlYsmE9Jd4IJENJUS5DT1AuSVFfQ0xPU0VQUklDRV9BREouMTAvMjcvMjAyMwEAAABPhgQAAgAAAAoxMTEuMjI2MTA5AHlYsmE9Jd4IeViyYT0l3ggkQ0lRLkNPUC5JUV9DTE9TRVBSSUNFX0FESi4xMC8yMC8yMDIzAQAAAE+GBAACAAAACjExNy4xMzY3NjYAeViyYT0l3gh5WLJhPSXeCCRDSVEuQ09QLklRX0NMT1NFUFJJQ0VfQURKLjEwLzEzLzIwMjMBAAAAT4YEAAIAAAAKMTE3Ljg5MjEyMgB5WLJhPSXeCHlYsmE9Jd4II0NJUS5DT1AuSVFfQ0xPU0VQUklDRV9BREou</t>
  </si>
  <si>
    <t>MTAvNi8yMDIzAQAAAE+GBAACAAAACjEwOC44OTM5NDkAeViyYT0l3gh5WLJhPSXeCCNDSVEuQ09QLklRX0NMT1NFUFJJQ0VfQURKLjkvMjkvMjAyMwEAAABPhgQAAgAAAAoxMTMuMTE0NDk4AHlYsmE9Jd4IeViyYT0l3ggjQ0lRLkNPUC5JUV9DTE9TRVBSSUNFX0FESi45LzIyLzIwMjMBAAAAT4YEAAIAAAAKMTExLjk0ODMxOAB5WLJhPSXeCHlYsmE9Jd4II0NJUS5DT1AuSVFfQ0xPU0VQUklDRV9BREouOS8xNS8yMDIzAQAAAE+GBAACAAAACTExNi4wOTE0MgB5WLJhPSXeCHlYsmE9Jd4IIkNJUS5DT1AuSVFfQ0xPU0VQUklDRV9BREouOS84LzIwMjMBAAAAT4YEAAIAAAAKMTE1LjI5Mjg2MwB5WLJhPSXeCHlYsmE9Jd4IIkNJUS5DT1AuSVFfQ0xPU0VQUklDRV9BREouOS8xLzIwMjMBAAAAT4YEAAIAAAAKMTE0Ljc0Nzk2NQB5WLJhPSXeCHlYsmE9Jd4II0NJUS5DT1AuSVFfQ0xPU0VQUklDRV9BREouOC8yNS8yMDIzAQAAAE+GBAACAAAACjEwOS40NjgwOTMAeViyYT0l3gh5WLJhPSXeCCNDSVEuQ09QLklRX0NMT1NFUFJJQ0VfQURKLjgvMTgvMjAyMwEAAABPhgQAAgAAAAoxMTAuMTkxNDkyAHlYsmE9Jd4IeViyYT0l3ggjQ0lRLkNPUC5JUV9DTE9TRVBSSUNFX0FESi44LzExLzIwMjMBAAAAT4YEAAIAAAAKMTEwLjIwMDM5OAB5WLJhPSXeCHlYsmE9Jd4IIkNJUS5DT1AuSVFfQ0xPU0VQUklDRV9BREou</t>
  </si>
  <si>
    <t>OC80LzIwMjMBAAAAT4YEAAIAAAAKMTA2LjM2NTIyNgB5WLJhPSXeCHlYsmE9Jd4II0NJUS5DT1AuSVFfQ0xPU0VQUklDRV9BREouNy8yOC8yMDIzAQAAAE+GBAACAAAACjEwOC40NDE4MzIAeViyYT0l3gh5WLJhPSXeCCNDSVEuQ09QLklRX0NMT1NFUFJJQ0VfQURKLjcvMjEvMjAyMwEAAABPhgQAAgAAAAoxMDUuNTk4MTkyAHlYsmE9Jd4IeViyYT0l3ggjQ0lRLkNPUC5JUV9DTE9TRVBSSUNFX0FESi43LzE0LzIwMjMBAAAAT4YEAAIAAAAKMTAwLjE3MjgyNgB5WLJhPSXeCHlYsmE9Jd4IIkNJUS5DT1AuSVFfQ0xPU0VQUklDRV9BREouNy83LzIwMjMBAAAAT4YEAAIAAAAJOTYuNTYyMTUyAHlYsmE9Jd4IeViyYT0l3ggjQ0lRLkNPUC5JUV9DTE9TRVBSSUNFX0FESi42LzMwLzIwMjMBAAAAT4YEAAIAAAAJOTYuOTE3NjA3AHlYsmE9Jd4IeViyYT0l3ggjQ0lRLkNPUC5JUV9DTE9TRVBSSUNFX0FESi42LzIzLzIwMjMBAAAAT4YEAAIAAAAJOTMuNDA5ODI3AHlYsmE9Jd4IeViyYT0l3ggjQ0lRLkNPUC5JUV9DTE9TRVBSSUNFX0FESi42LzE2LzIwMjMBAAAAT4YEAAIAAAAIOTcuNTU2ODMAeViyYT0l3gh5WLJhPSXeCCJDSVEuQ09QLklRX0NMT1NFUFJJQ0VfQURKLjYvOS8yMDIzAQAAAE+GBAACAAAACTk2LjU5OTExNAB5WLJhPSXeCHlYsmE9Jd4IIkNJUS5DT1AuSVFfQ0xPU0VQUklDRV9BREouNi8yLzIw</t>
  </si>
  <si>
    <t>MjMBAAAAT4YEAAIAAAAJOTUuMTY3MTg5AHlYsmE9Jd4IeViyYT0l3ggjQ0lRLkNPUC5JUV9DTE9TRVBSSUNFX0FESi41LzI2LzIwMjMBAAAAT4YEAAIAAAAJOTQuNzAyMjc5AHlYsmE9Jd4IeViyYT0l3ggjQ0lRLkNPUC5JUV9DTE9TRVBSSUNFX0FESi41LzE5LzIwMjMBAAAAT4YEAAIAAAAJOTUuMzk5NjQ1AHlYsmE9Jd4IeViyYT0l3ggjQ0lRLkNPUC5JUV9DTE9TRVBSSUNFX0FESi41LzEyLzIwMjMBAAAAT4YEAAIAAAAJOTEuOTc3OTAzAHlYsmE9Jd4IeViyYT0l3ggiQ0lRLkNPUC5JUV9DTE9TRVBSSUNFX0FESi41LzUvMjAyMwEAAABPhgQAAgAAAAk5Mi44NDc0NTIAeViyYT0l3gh5WLJhPSXeCCNDSVEuQ09QLklRX0NMT1NFUFJJQ0VfQURKLjQvMjgvMjAyMwEAAABPhgQAAgAAAAk5NS4xNzg1ODIAeViyYT0l3gh5WLJhPSXeCCNDSVEuQ09QLklRX0NMT1NFUFJJQ0VfQURKLjQvMjEvMjAyMwEAAABPhgQAAgAAAAc5NC41OTU4AHlYsmE9Jd4IeViyYT0l3ggjQ0lRLkNPUC5JUV9DTE9TRVBSSUNFX0FESi40LzE0LzIwMjMBAAAAT4YEAAIAAAAKMTAwLjM2ODEyMwB5WLJhPSXeCHlYsmE9Jd4IIkNJUS5DT1AuSVFfQ0xPU0VQUklDRV9BREouNC82LzIwMjMBAAAAT4YEAAIAAAAJOTguMjk2MDA3AHlYsmE9Jd4IeViyYT0l3ggjQ0lRLkNPUC5JUV9DTE9TRVBSSUNFX0FESi4zLzMxLzIwMjMBAAAAT4YE</t>
  </si>
  <si>
    <t>AAIAAAAJOTEuNzc0MzkyAHlYsmE9Jd4IeViyYT0l3ggjQ0lRLkNPUC5JUV9DTE9TRVBSSUNFX0FESi4zLzI0LzIwMjMBAAAAT4YEAAIAAAAJODcuNzM0MzM3AHlYsmE9Jd4IeViyYT0l3ggjQ0lRLkNPUC5JUV9DTE9TRVBSSUNFX0FESi4zLzE3LzIwMjMBAAAAT4YEAAIAAAAJODYuNzc4MjA1AHlYsmE9Jd4IeViyYT0l3ggjQ0lRLkNPUC5JUV9DTE9TRVBSSUNFX0FESi4zLzEwLzIwMjMBAAAAT4YEAAIAAAAJOTUuODE1NDk0AHlYsmE9Jd4IeViyYT0l3ggiQ0lRLkNPUC5JUV9DTE9TRVBSSUNFX0FESi4zLzMvMjAyMwEAAABPhgQAAgAAAAk5OS44NzkwNTYAeViyYT0l3gh5WLJhPSXeCCNDSVEuQ09QLklRX0NMT1NFUFJJQ0VfQURKLjIvMjQvMjAyMwEAAABPhgQAAgAAAAk5Ni43NjI0MzMAeViyYT0l3gh5WLJhPSXeCCNDSVEuQ09QLklRX0NMT1NFUFJJQ0VfQURKLjIvMTcvMjAyMwEAAABPhgQAAgAAAAk5NS43MjM1NTgAeViyYT0l3gh5WLJhPSXeCCNDSVEuQ09QLklRX0NMT1NFUFJJQ0VfQURKLjIvMTAvMjAyMwEAAABPhgQAAgAAAAoxMDUuMzEyNDYyAHlYsmE9Jd4IeViyYT0l3ggiQ0lRLkNPUC5JUV9DTE9TRVBSSUNFX0FESi4yLzMvMjAyMwEAAABPhgQAAgAAAAk5OC45NTEyNDYAeViyYT0l3gh5WLJhPSXeCCNDSVEuQ09QLklRX0NMT1NFUFJJQ0VfQURKLjEvMjcvMjAyMwEAAABPhgQAAgAAAAox</t>
  </si>
  <si>
    <t>MTMuMTM4MTMyAHlYsmE9Jd4IeViyYT0l3ggjQ0lRLkNPUC5JUV9DTE9TRVBSSUNFX0FESi4xLzIwLzIwMjMBAAAAT4YEAAIAAAAJMTExLjQ4MTQ3AHlYsmE9Jd4IeViyYT0l3ggjQ0lRLkNPUC5JUV9DTE9TRVBSSUNFX0FESi4xLzEzLzIwMjMBAAAAT4YEAAIAAAAKMTExLjE3OTQyNgB5WLJhPSXeCHlYsmE9Jd4IIkNJUS5DT1AuSVFfQ0xPU0VQUklDRV9BREouMS82LzIwMjMBAAAAT4YEAAIAAAAJMTA4LjIxMzkxAHlYsmE9Jd4IeViyYT0l3ggkQ0lRLkNPUC5JUV9DTE9TRVBSSUNFX0FESi4xMi8zMC8yMDIyAQAAAE+GBAACAAAACjEwOC4wMDMzOTQAeViyYT0l3gh5WLJhPSXeCCRDSVEuQ09QLklRX0NMT1NFUFJJQ0VfQURKLjEyLzIzLzIwMjIBAAAAT4YEAAIAAAAKMTA3LjEzMzg3NgB5WLJhPSXeCHlYsmE9Jd4IJENJUS5DT1AuSVFfQ0xPU0VQUklDRV9BREouMTIvMTYvMjAyMgEAAABPhgQAAgAAAAoxMDAuNDU3MTE3AHlYsmE9Jd4IeViyYT0l3ggjQ0lRLkNPUC5JUV9DTE9TRVBSSUNFX0FESi4xMi85LzIwMjIBAAAAT4YEAAIAAAAKMTAwLjA3NTA4MgB5WLJhPSXeCHlYsmE9Jd4II0NJUS5DT1AuSVFfQ0xPU0VQUklDRV9BREouMTIvMi8yMDIyAQAAAE+GBAACAAAACjExMS4xMzU5MTYAeViyYT0l3gh5WLJhPSXeCCRDSVEuQ09QLklRX0NMT1NFUFJJQ0VfQURKLjExLzI1LzIwMjIBAAAAT4YEAAIA</t>
  </si>
  <si>
    <t>AAAKMTE1LjM0NzQwMgB5WLJhPSXeCHlYsmE9Jd4IJENJUS5DT1AuSVFfQ0xPU0VQUklDRV9BREouMTEvMTgvMjAyMgEAAABPhgQAAgAAAAoxMTYuOTY2NTA0AHlYsmE9Jd4IeViyYT0l3ggkQ0lRLkNPUC5JUV9DTE9TRVBSSUNFX0FESi4xMS8xMS8yMDIyAQAAAE+GBAACAAAACjEyMS4zODcxOTkAeViyYT0l3gh5WLJhPSXeCCNDSVEuQ09QLklRX0NMT1NFUFJJQ0VfQURKLjExLzQvMjAyMgEAAABPhgQAAgAAAAoxMTkuOTAxMTIxAHlYsmE9Jd4IeViyYT0l3ggkQ0lRLkNPUC5JUV9DTE9TRVBSSUNFX0FESi4xMC8yOC8yMDIyAQAAAE+GBAACAAAACjExNS4yMzQ0NzQAeViyYT0l3gh5WLJhPSXeCCRDSVEuQ09QLklRX0NMT1NFUFJJQ0VfQURKLjEwLzIxLzIwMjIBAAAAT4YEAAIAAAAKMTEyLjgwNjAwNQB5WLJhPSXeCHlYsmE9Jd4IJENJUS5DT1AuSVFfQ0xPU0VQUklDRV9BREouMTAvMTQvMjAyMgEAAABPhgQAAgAAAAoxMDYuODg4ODc3AHlYsmE9Jd4IeViyYT0l3ggjQ0lRLkNPUC5JUV9DTE9TRVBSSUNFX0FESi4xMC83LzIwMjIBAAAAT4YEAAIAAAAKMTA3LjM4NzI1NwB5WLJhPSXeCHlYsmE9Jd4II0NJUS5DT1AuSVFfQ0xPU0VQUklDRV9BREouOS8zMC8yMDIyAQAAAE+GBAACAAAACTkyLjczNDg5MQB5WLJhPSXeCHlYsmE9Jd4II0NJUS5DT1AuSVFfQ0xPU0VQUklDRV9BREouOS8yMy8yMDIyAQAA</t>
  </si>
  <si>
    <t>AE+GBAACAAAACTg5Ljg1NzAyNwB5WLJhPSXeCHlYsmE9Jd4II0NJUS5DT1AuSVFfQ0xPU0VQUklDRV9BREouOS8xNi8yMDIyAQAAAE+GBAACAAAACjEwMS4wNTkwMDYAeViyYT0l3gh5WLJhPSXeCCJDSVEuQ09QLklRX0NMT1NFUFJJQ0VfQURKLjkvOS8yMDIyAQAAAE+GBAACAAAACjEwMC4wMjI3NzgAeViyYT0l3gh5WLJhPSXeCCJDSVEuQ09QLklRX0NMT1NFUFJJQ0VfQURKLjkvMi8yMDIyAQAAAE+GBAACAAAACTk4LjQ5NTIzNgB5WLJhPSXeCHlYsmE9Jd4II0NJUS5DT1AuSVFfQ0xPU0VQUklDRV9BREouOC8yNi8yMDIyAQAAAE+GBAACAAAACjEwMC4xNTY3NzMAeViyYT0l3gh5WLJhPSXeCCNDSVEuQ09QLklRX0NMT1NFUFJJQ0VfQURKLjgvMTkvMjAyMgEAAABPhgQAAgAAAAk5My45MjE1NDEAeViyYT0l3gh5WLJhPSXeCCNDSVEuQ09QLklRX0NMT1NFUFJJQ0VfQURKLjgvMTIvMjAyMgEAAABPhgQAAgAAAAk5MS4zNzU2MzYAeViyYT0l3gh5WLJhPSXeCCJDSVEuQ09QLklRX0NMT1NFUFJJQ0VfQURKLjgvNS8yMDIyAQAAAE+GBAACAAAACDgyLjU3MTU2AHlYsmE9Jd4IeViyYT0l3ggjQ0lRLkNPUC5JUV9DTE9TRVBSSUNFX0FESi43LzI5LzIwMjIBAAAAT4YEAAIAAAAJODYuNjQ0NTU3AHlYsmE9Jd4IeViyYT0l3ggjQ0lRLkNPUC5JUV9DTE9TRVBSSUNFX0FESi43LzIyLzIwMjIBAAAAT4YEAAIA</t>
  </si>
  <si>
    <t>AAAJNzguMzc0MDYyAHlYsmE9Jd4IeViyYT0l3ggjQ0lRLkNPUC5JUV9DTE9TRVBSSUNFX0FESi43LzE1LzIwMjIBAAAAT4YEAAIAAAAJNzMuNzE0MTI3AHlYsmE9Jd4IeViyYT0l3ggiQ0lRLkNPUC5JUV9DTE9TRVBSSUNFX0FESi43LzgvMjAyMgEAAABPhgQAAgAAAAg3Ni44ODg5MwB5WLJhPSXeCHlYsmE9Jd4IIkNJUS5DT1AuSVFfQ0xPU0VQUklDRV9BREouNy8xLzIwMjIBAAAAT4YEAAIAAAAJODAuOTA4NTY4AHlYsmE9Jd4IeViyYT0l3ggjQ0lRLkNPUC5JUV9DTE9TRVBSSUNFX0FESi42LzI0LzIwMjIBAAAAT4YEAAIAAAAJODAuMjIzODA3AHlYsmE9Jd4IeViyYT0l3ggjQ0lRLkNPUC5JUV9DTE9TRVBSSUNFX0FESi42LzE3LzIwMjIBAAAAT4YEAAIAAAAJODIuNzIxMTQ5AHlYsmE9Jd4IeViyYT0l3ggjQ0lRLkNPUC5JUV9DTE9TRVBSSUNFX0FESi42LzEwLzIwMjIBAAAAT4YEAAIAAAAJMTAzLjA5Njk5AHlYsmE9Jd4IeViyYT0l3ggiQ0lRLkNPUC5JUV9DTE9TRVBSSUNFX0FESi42LzMvMjAyMgEAAABPhgQAAgAAAAoxMDQuMjM1MzU0AHlYsmE9Jd4IeViyYT0l3ggjQ0lRLkNPUC5JUV9DTE9TRVBSSUNFX0FESi41LzI3LzIwMjIBAAAAT4YEAAIAAAAJMTAxLjEyOTEyAHlYsmE9Jd4IeViyYT0l3ggjQ0lRLkNPUC5JUV9DTE9TRVBSSUNFX0FESi41LzIwLzIwMjIBAAAAT4YEAAIAAAAJOTIuNjc1</t>
  </si>
  <si>
    <t>MjE5AHlYsmE9Jd4IeViyYT0l3ggjQ0lRLkNPUC5JUV9DTE9TRVBSSUNFX0FESi41LzEzLzIwMjIBAAAAT4YEAAIAAAAJOTAuNDA3MzE1AHlYsmE9Jd4IeViyYT0l3ggiQ0lRLkNPUC5JUV9DTE9TRVBSSUNFX0FESi41LzYvMjAyMgEAAABPhgQAAgAAAAk5NC42MDY1ODYAeViyYT0l3gh5WLJhPSXeCCNDSVEuQ09QLklRX0NMT1NFUFJJQ0VfQURKLjQvMjkvMjAyMgEAAABPhgQAAgAAAAk4My45MTUxMzcAeViyYT0l3gh5WLJhPSXeCCNDSVEuQ09QLklRX0NMT1NFUFJJQ0VfQURKLjQvMjIvMjAyMgEAAABPhgQAAgAAAAk4NC4zNDU2MDYAeViyYT0l3gh5WLJhPSXeCCNDSVEuQ09QLklRX0NMT1NFUFJJQ0VfQURKLjQvMTQvMjAyMgEAAABPhgQAAgAAAAk4OS4wNTQ0MTIAeViyYT0l3gh5WLJhPSXeCCJDSVEuQ09QLklRX0NMT1NFUFJJQ0VfQURKLjQvOC8yMDIyAQAAAE+GBAACAAAACTkwLjUzMDMwNgB5WLJhPSXeCHlYsmE9Jd4IIkNJUS5DT1AuSVFfQ0xPU0VQUklDRV9BREouNC8xLzIwMjIBAAAAT4YEAAIAAAAIODguMzYwMzkAeViyYT0l3gh5WLJhPSXeCCNDSVEuQ09QLklRX0NMT1NFUFJJQ0VfQURKLjMvMjUvMjAyMgEAAABPhgQAAgAAAAk5NC4xNTgyOTIAeViyYT0l3gh5WLJhPSXeCCNDSVEuQ09QLklRX0NMT1NFUFJJQ0VfQURKLjMvMTgvMjAyMgEAAABPhgQAAgAAAAk4Ny4yMzg3NTIAeViyYT0l</t>
  </si>
  <si>
    <t>3gh5WLJhPSXeCCNDSVEuQ09QLklRX0NMT1NFUFJJQ0VfQURKLjMvMTEvMjAyMgEAAABPhgQAAgAAAAk4Ni4xOTY0NDIAeViyYT0l3gh5WLJhPSXeCCJDSVEuQ09QLklRX0NMT1NFUFJJQ0VfQURKLjMvNC8yMDIyAQAAAE+GBAACAAAACTg3LjgyNTU5OQB5WLJhPSXeCHlYsmE9Jd4II0NJUS5DT1AuSVFfQ0xPU0VQUklDRV9BREouMi8yNS8yMDIyAQAAAE+GBAACAAAACDc5Ljk0MjU4AHlYsmE9Jd4IeViyYT0l3ggjQ0lRLkNPUC5JUV9DTE9TRVBSSUNFX0FESi4yLzE4LzIwMjIBAAAAT4YEAAIAAAAJNzguNTA2MTE4AHlYsmE9Jd4IeViyYT0l3ggjQ0lRLkNPUC5JUV9DTE9TRVBSSUNFX0FESi4yLzExLzIwMjIBAAAAT4YEAAIAAAAJODEuOTEzMzM0AHlYsmE9Jd4IeViyYT0l3ggiQ0lRLkNPUC5JUV9DTE9TRVBSSUNFX0FESi4yLzQvMjAyMgEAAABPhgQAAgAAAAg4MC4wNjUzOAB5WLJhPSXeCHlYsmE9Jd4II0NJUS5DT1AuSVFfQ0xPU0VQUklDRV9BREouMS8yOC8yMDIyAQAAAE+GBAACAAAACTc3Ljc1NTg4NQB5WLJhPSXeCHlYsmE9Jd4II0NJUS5DT1AuSVFfQ0xPU0VQUklDRV9BREouMS8yMS8yMDIyAQAAAE+GBAACAAAACTcyLjA5MTA4NwB5WLJhPSXeCHlYsmE9Jd4II0NJUS5DT1AuSVFfQ0xPU0VQUklDRV9BREouMS8xNC8yMDIyAQAAAE+GBAACAAAACTc1LjU5NDU0NwB5WLJhPSXeCHlYsmE9Jd4I</t>
  </si>
  <si>
    <t>IkNJUS5DT1AuSVFfQ0xPU0VQUklDRV9BREouMS83LzIwMjIBAAAAT4YEAAIAAAAJNzAuMjc4MzUyAHlYsmE9Jd4IeViyYT0l3ggkQ0lRLkNPUC5JUV9DTE9TRVBSSUNFX0FESi4xMi8zMS8yMDIxAQAAAE+GBAACAAAABzYyLjkwNTQAeViyYT0l3gh5WLJhPSXeCCRDSVEuQ09QLklRX0NMT1NFUFJJQ0VfQURKLjEyLzIzLzIwMjEBAAAAT4YEAAIAAAAJNjEuODcwOTM1AHlYsmE9Jd4IeViyYT0l3ggkQ0lRLkNPUC5JUV9DTE9TRVBSSUNFX0FESi4xMi8xNy8yMDIxAQAAAE+GBAACAAAACTU5LjYyODY2NwB5WLJhPSXeCHlYsmE9Jd4IJENJUS5DT1AuSVFfQ0xPU0VQUklDRV9BREouMTIvMTAvMjAyMQEAAABPhgQAAgAAAAk2My44Njk4NTUAeViyYT0l3gh5WLJhPSXeCCNDSVEuQ09QLklRX0NMT1NFUFJJQ0VfQURKLjEyLzMvMjAyMQEAAABPhgQAAgAAAAk2MS44MDE0MDcAeViyYT0l3gh5WLJhPSXeCCRDSVEuQ09QLklRX0NMT1NFUFJJQ0VfQURKLjExLzI2LzIwMjEBAAAAT4YEAAIAAAAJNjIuMTIyOTczAHlYsmE9Jd4IeViyYT0l3ggkQ0lRLkNPUC5JUV9DTE9TRVBSSUNFX0FESi4xMS8xOS8yMDIxAQAAAE+GBAACAAAACTYwLjQ5Nzc2MwB5WLJhPSXeCHlYsmE9Jd4IJENJUS5DT1AuSVFfQ0xPU0VQUklDRV9BREouMTEvMTIvMjAyMQEAAABPhgQAAgAAAAk2Mi44ODc3NzcAeViyYT0l3gh5WLJhPSXeCCND</t>
  </si>
  <si>
    <t>SVEuQ09QLklRX0NMT1NFUFJJQ0VfQURKLjExLzUvMjAyMQEAAABPhgQAAgAAAAk2NS41NzMyODMAeViyYT0l3gh5WLJhPSXeCCRDSVEuQ09QLklRX0NMT1NFUFJJQ0VfQURKLjEwLzI5LzIwMjEBAAAAT4YEAAIAAAAJNjQuNzM4OTUxAHlYsmE9Jd4IeViyYT0l3ggkQ0lRLkNPUC5JUV9DTE9TRVBSSUNFX0FESi4xMC8yMi8yMDIxAQAAAE+GBAACAAAACTY1LjQxNDk1NAB5WLJhPSXeCHlYsmE9Jd4IJENJUS5DT1AuSVFfQ0xPU0VQUklDRV9BREouMTAvMTUvMjAyMQEAAABPhgQAAgAAAAk2NC4wNDk5ODMAeViyYT0l3gh5WLJhPSXeCCNDSVEuQ09QLklRX0NMT1NFUFJJQ0VfQURKLjEwLzgvMjAyMQEAAABPhgQAAgAAAAk2NC43MjM4MjkAeViyYT0l3gh5WLJhPSXeCCNDSVEuQ09QLklRX0NMT1NFUFJJQ0VfQURKLjEwLzEvMjAyMQEAAABPhgQAAgAAAAk2MC41NTk4MDMAeViyYT0l3gh5WLJhPSXeCCNDSVEuQ09QLklRX0NMT1NFUFJJQ0VfQURKLjkvMjQvMjAyMQEAAABPhgQAAgAAAAk1Ni4xNzExNjEAeViyYT0l3gh5WLJhPSXeCCNDSVEuQ09QLklRX0NMT1NFUFJJQ0VfQURKLjkvMTcvMjAyMQEAAABPhgQAAgAAAAk1MC45MDEzMzUAeViyYT0l3gh5WLJhPSXeCCNDSVEuQ09QLklRX0NMT1NFUFJJQ0VfQURKLjkvMTAvMjAyMQEAAABPhgQAAgAAAAk0OC4xNDU0NzUAeViyYT0l3gh5WLJhPSXeCCJDSVEu</t>
  </si>
  <si>
    <t>Q09QLklRX0NMT1NFUFJJQ0VfQURKLjkvMy8yMDIxAQAAAE+GBAACAAAACTQ4LjU4NjA2NwB5WLJhPSXeCHlYsmE9Jd4II0NJUS5DT1AuSVFfQ0xPU0VQUklDRV9BREouOC8yNy8yMDIxAQAAAE+GBAACAAAACDQ5LjAxODAyAHlYsmE9Jd4IeViyYT0l3ggjQ0lRLkNPUC5JUV9DTE9TRVBSSUNFX0FESi44LzIwLzIwMjEBAAAAT4YEAAIAAAAJNDUuNTg4MzE0AHlYsmE9Jd4IeViyYT0l3ggjQ0lRLkNPUC5JUV9DTE9TRVBSSUNFX0FESi44LzEzLzIwMjEBAAAAT4YEAAIAAAAJNDguMzUyODEzAHlYsmE9Jd4IeViyYT0l3ggiQ0lRLkNPUC5JUV9DTE9TRVBSSUNFX0FESi44LzYvMjAyMQEAAABPhgQAAgAAAAk0OC44MTA2ODMAeViyYT0l3gh5WLJhPSXeCCNDSVEuQ09QLklRX0NMT1NFUFJJQ0VfQURKLjcvMzAvMjAyMQEAAABPhgQAAgAAAAk0OC40MzA1NjQAeViyYT0l3gh5WLJhPSXeCCNDSVEuQ09QLklRX0NMT1NFUFJJQ0VfQURKLjcvMjMvMjAyMQEAAABPhgQAAgAAAAk0Ny44MDg1NTIAeViyYT0l3gh5WLJhPSXeCCNDSVEuQ09QLklRX0NMT1NFUFJJQ0VfQURKLjcvMTYvMjAyMQEAAABPhgQAAgAAAAk0Ny41ODI5NjcAeViyYT0l3gh5WLJhPSXeCCJDSVEuQ09QLklRX0NMT1NFUFJJQ0VfQURKLjcvOS8yMDIxAQAAAE+GBAACAAAACTUxLjU1MjUwMQB5WLJhPSXeCHlYsmE9Jd4IIkNJUS5DT1AuSVFfQ0xP</t>
  </si>
  <si>
    <t>U0VQUklDRV9BREouNy8yLzIwMjEBAAAAT4YEAAIAAAAINTMuNzk4NzYAeViyYT0l3gh5WLJhPSXeCCNDSVEuQ09QLklRX0NMT1NFUFJJQ0VfQURKLjYvMjUvMjAyMQEAAABPhgQAAgAAAAk1Mi41NjQxNzUAeViyYT0l3gh5WLJhPSXeCCNDSVEuQ09QLklRX0NMT1NFUFJJQ0VfQURKLjYvMTgvMjAyMQEAAABPhgQAAgAAAAk0OS4zMjMzODkAeViyYT0l3gh5WLJhPSXeCCNDSVEuQ09QLklRX0NMT1NFUFJJQ0VfQURKLjYvMTEvMjAyMQEAAABPhgQAAgAAAAk1MS40MTUzMjUAeViyYT0l3gh5WLJhPSXeCCJDSVEuQ09QLklRX0NMT1NFUFJJQ0VfQURKLjYvNC8yMDIxAQAAAE+GBAACAAAACTUxLjMxMjQ0MwB5WLJhPSXeCHlYsmE9Jd4II0NJUS5DT1AuSVFfQ0xPU0VQUklDRV9BREouNS8yOC8yMDIxAQAAAE+GBAACAAAACTQ3Ljc4ODczMQB5WLJhPSXeCHlYsmE9Jd4II0NJUS5DT1AuSVFfQ0xPU0VQUklDRV9BREouNS8yMS8yMDIxAQAAAE+GBAACAAAACTQ3LjcxMTU2OQB5WLJhPSXeCHlYsmE9Jd4II0NJUS5DT1AuSVFfQ0xPU0VQUklDRV9BREouNS8xNC8yMDIxAQAAAE+GBAACAAAACTQ4LjQ1NzQ2NQB5WLJhPSXeCHlYsmE9Jd4IIkNJUS5DT1AuSVFfQ0xPU0VQUklDRV9BREouNS83LzIwMjEBAAAAT4YEAAIAAAAJNDguNTc2NzMzAHlYsmE9Jd4IeViyYT0l3ggjQ0lRLkNPUC5JUV9DTE9TRVBSSUNFX0FE</t>
  </si>
  <si>
    <t>Si40LzMwLzIwMjEBAAAAT4YEAAIAAAAJNDMuNTA2Mzc3AHlYsmE9Jd4IeViyYT0l3ggjQ0lRLkNPUC5JUV9DTE9TRVBSSUNFX0FESi40LzIzLzIwMjEBAAAAT4YEAAIAAAAJNDIuMjk4MzM5AHlYsmE9Jd4IeViyYT0l3ggjQ0lRLkNPUC5JUV9DTE9TRVBSSUNFX0FESi40LzE2LzIwMjEBAAAAT4YEAAIAAAAJNDMuNDYzODQxAHlYsmE9Jd4IeViyYT0l3ggiQ0lRLkNPUC5JUV9DTE9TRVBSSUNFX0FESi40LzkvMjAyMQEAAABPhgQAAgAAAAk0My41ODI5NDMAeViyYT0l3gh5WLJhPSXeCCJDSVEuQ09QLklRX0NMT1NFUFJJQ0VfQURKLjQvMS8yMDIxAQAAAE+GBAACAAAACTQ1Ljk1NjQ4MgB5WLJhPSXeCHlYsmE9Jd4II0NJUS5DT1AuSVFfQ0xPU0VQUklDRV9BREouMy8yNi8yMDIxAQAAAE+GBAACAAAACTQ2LjgyNDIyOAB5WLJhPSXeCHlYsmE9Jd4II0NJUS5DT1AuSVFfQ0xPU0VQUklDRV9BREouMy8xOS8yMDIxAQAAAE+GBAACAAAACTQ0Ljc0ODQ0NAB5WLJhPSXeCHlYsmE9Jd4II0NJUS5DT1AuSVFfQ0xPU0VQUklDRV9BREouMy8xMi8yMDIxAQAAAE+GBAACAAAACTUwLjM1NDc2MQB5WLJhPSXeCHlYsmE9Jd4IIkNJUS5DT1AuSVFfQ0xPU0VQUklDRV9BREouMy81LzIwMjEBAAAAT4YEAAIAAAAJNDkuNjMxNjM5AHlYsmE9Jd4IeViyYT0l3ggjQ0lRLkNPUC5JUV9DTE9TRVBSSUNFX0FESi4yLzI2LzIw</t>
  </si>
  <si>
    <t>MjEBAAAAT4YEAAIAAAAJNDQuMjQ2NTEzAHlYsmE9Jd4IeViyYT0l3ggjQ0lRLkNPUC5JUV9DTE9TRVBSSUNFX0FESi4yLzE5LzIwMjEBAAAAT4YEAAIAAAAJNDEuMTkyMzg5AHlYsmE9Jd4IeViyYT0l3ggjQ0lRLkNPUC5JUV9DTE9TRVBSSUNFX0FESi4yLzEyLzIwMjEBAAAAT4YEAAIAAAAJNDAuMTIwNDY4AHlYsmE9Jd4IeViyYT0l3ggiQ0lRLkNPUC5JUV9DTE9TRVBSSUNFX0FESi4yLzUvMjAyMQEAAABPhgQAAgAAAAkzNy40NDU1NjEAeViyYT0l3gh5WLJhPSXeCCNDSVEuQ09QLklRX0NMT1NFUFJJQ0VfQURKLjEvMjkvMjAyMQEAAABPhgQAAgAAAAkzMy43NDQ4NDEAeViyYT0l3gh5WLJhPSXeCCNDSVEuQ09QLklRX0NMT1NFUFJJQ0VfQURKLjEvMjIvMjAyMQEAAABPhgQAAgAAAAkzNS45ODcxOTEAeViyYT0l3gh5WLJhPSXeCCNDSVEuQ09QLklRX0NMT1NFUFJJQ0VfQURKLjEvMTUvMjAyMQEAAABPhgQAAgAAAAkzOC4wMzU2NTQAeViyYT0l3gh5WLJhPSXeCCJDSVEuQ09QLklRX0NMT1NFUFJJQ0VfQURKLjEvOC8yMDIxAQAAAE+GBAACAAAACTM3LjY4MTU5OAB5WLJhPSXeCHlYsmE9Jd4IJENJUS5DT1AuSVFfQ0xPU0VQUklDRV9BREouMTIvMzEvMjAyMAEAAABPhgQAAgAAAAkzMy43MTExMjEAeViyYT0l3gh5WLJhPSXeCCRDSVEuQ09QLklRX0NMT1NFUFJJQ0VfQURKLjEyLzI0LzIwMjABAAAA</t>
  </si>
  <si>
    <t>T4YEAAIAAAAJMzMuMjg5NjI3AHlYsmE9Jd4IeViyYT0l3ggkQ0lRLkNPUC5JUV9DTE9TRVBSSUNFX0FESi4xMi8xOC8yMDIwAQAAAE+GBAACAAAACDM0LjU0NTY4AHlYsmE9Jd4IeViyYT0l3ggkQ0lRLkNPUC5JUV9DTE9TRVBSSUNFX0FESi4xMi8xMS8yMDIwAQAAAE+GBAACAAAACTM2LjY1MzE1MgB5WLJhPSXeCHlYsmE9Jd4II0NJUS5DT1AuSVFfQ0xPU0VQUklDRV9BREouMTIvNC8yMDIwAQAAAE+GBAACAAAACTM3LjMxOTExMwB5WLJhPSXeCHlYsmE9Jd4IJENJUS5DT1AuSVFfQ0xPU0VQUklDRV9BREouMTEvMjcvMjAyMAEAAABPhgQAAgAAAAgzNi4wNjMwNgB5WLJhPSXeCHlYsmE9Jd4IJENJUS5DT1AuSVFfQ0xPU0VQUklDRV9BREouMTEvMjAvMjAyMAEAAABPhgQAAgAAAAkzMy40MjQ1MDUAeViyYT0l3gh5WLJhPSXeCCRDSVEuQ09QLklRX0NMT1NFUFJJQ0VfQURKLjExLzEzLzIwMjABAAAAT4YEAAIAAAAJMjkuODA4MDgzAHlYsmE9Jd4IeViyYT0l3ghPQ0lRUkFOR0UuWE9NLklRX0NMT1NFUFJJQ0VfQURKLjExLzEyLzIwMjAuMTEvMTIvMjAyNS4uLkRFU0MuVy5JUV9DTE9TRVBSSUNFX0FESgMAAABCMwYABQEAAAAAAAADAAAAAAAAAAUiWE9NIgNYT00BAAAAEyJJUV9DTE9TRVBSSUNFX0FESiIRSVFfQ0xPU0VQUklDRV9BREoCAAAACyIxMS83LzIwMjUiCTExLzcvMjAyNQAAAAADAAAAAAAA</t>
  </si>
  <si>
    <t>AAUiWE9NIgNYT00BAAAAEyJJUV9DTE9TRVBSSUNFX0FESiIRSVFfQ0xPU0VQUklDRV9BREoCAAAADCIxMC8zMS8yMDI1IgoxMC8zMS8yMDI1AAAAAAMAAAAAAAAABSJYT00iA1hPTQEAAAATIklRX0NMT1NFUFJJQ0VfQURKIhFJUV9DTE9TRVBSSUNFX0FESgIAAAAMIjEwLzI0LzIwMjUiCjEwLzI0LzIwMjUAAAAAAwAAAAAAAAAFIlhPTSIDWE9NAQAAABMiSVFfQ0xPU0VQUklDRV9BREoiEUlRX0NMT1NFUFJJQ0VfQURKAgAAAAwiMTAvMTcvMjAyNSIKMTAvMTcvMjAyNQAAAAADAAAAAAAAAAUiWE9NIgNYT00BAAAAEyJJUV9DTE9TRVBSSUNFX0FESiIRSVFfQ0xPU0VQUklDRV9BREoCAAAADCIxMC8xMC8yMDI1IgoxMC8xMC8yMDI1AAAAAAMAAAAAAAAABSJYT00iA1hPTQEAAAATIklRX0NMT1NFUFJJQ0VfQURKIhFJUV9DTE9TRVBSSUNFX0FESgIAAAALIjEwLzMvMjAyNSIJMTAvMy8yMDI1AAAAAAMAAAAAAAAABSJYT00iA1hPTQEAAAATIklRX0NMT1NFUFJJQ0VfQURKIhFJUV9DTE9TRVBSSUNFX0FESgIAAAALIjkvMjYvMjAyNSIJOS8yNi8yMDI1AAAAAAMAAAAAAAAABSJYT00iA1hPTQEAAAATIklRX0NMT1NFUFJJQ0VfQURKIhFJUV9DTE9TRVBSSUNFX0FESgIAAAALIjkvMTkvMjAyNSIJOS8xOS8yMDI1AAAAAAMAAAAAAAAABSJYT00iA1hPTQEAAAATIklRX0NMT1NFUFJJQ0VfQURKIhFJUV9DTE9T</t>
  </si>
  <si>
    <t>RVBSSUNFX0FESgIAAAALIjkvMTIvMjAyNSIJOS8xMi8yMDI1AAAAAAMAAAAAAAAABSJYT00iA1hPTQEAAAATIklRX0NMT1NFUFJJQ0VfQURKIhFJUV9DTE9TRVBSSUNFX0FESgIAAAAKIjkvNS8yMDI1Igg5LzUvMjAyNQAAAAADAAAAAAAAAAUiWE9NIgNYT00BAAAAEyJJUV9DTE9TRVBSSUNFX0FESiIRSVFfQ0xPU0VQUklDRV9BREoCAAAACyI4LzI5LzIwMjUiCTgvMjkvMjAyNQAAAAADAAAAAAAAAAUiWE9NIgNYT00BAAAAEyJJUV9DTE9TRVBSSUNFX0FESiIRSVFfQ0xPU0VQUklDRV9BREoCAAAACyI4LzIyLzIwMjUiCTgvMjIvMjAyNQAAAAADAAAAAAAAAAUiWE9NIgNYT00BAAAAEyJJUV9DTE9TRVBSSUNFX0FESiIRSVFfQ0xPU0VQUklDRV9BREoCAAAACyI4LzE1LzIwMjUiCTgvMTUvMjAyNQAAAAADAAAAAAAAAAUiWE9NIgNYT00BAAAAEyJJUV9DTE9TRVBSSUNFX0FESiIRSVFfQ0xPU0VQUklDRV9BREoCAAAACiI4LzgvMjAyNSIIOC84LzIwMjUAAAAAAwAAAAAAAAAFIlhPTSIDWE9NAQAAABMiSVFfQ0xPU0VQUklDRV9BREoiEUlRX0NMT1NFUFJJQ0VfQURKAgAAAAoiOC8xLzIwMjUiCDgvMS8yMDI1AAAAAAMAAAAAAAAABSJYT00iA1hPTQEAAAATIklRX0NMT1NFUFJJQ0VfQURKIhFJUV9DTE9TRVBSSUNFX0FESgIAAAALIjcvMjUvMjAyNSIJNy8yNS8yMDI1AAAAAAMAAAAAAAAABSJYT00iA1hP</t>
  </si>
  <si>
    <t>TQEAAAATIklRX0NMT1NFUFJJQ0VfQURKIhFJUV9DTE9TRVBSSUNFX0FESgIAAAALIjcvMTgvMjAyNSIJNy8xOC8yMDI1AAAAAAMAAAAAAAAABSJYT00iA1hPTQEAAAATIklRX0NMT1NFUFJJQ0VfQURKIhFJUV9DTE9TRVBSSUNFX0FESgIAAAALIjcvMTEvMjAyNSIJNy8xMS8yMDI1AAAAAAMAAAAAAAAABSJYT00iA1hPTQEAAAATIklRX0NMT1NFUFJJQ0VfQURKIhFJUV9DTE9TRVBSSUNFX0FESgIAAAAKIjcvMy8yMDI1Igg3LzMvMjAyNQAAAAADAAAAAAAAAAUiWE9NIgNYT00BAAAAEyJJUV9DTE9TRVBSSUNFX0FESiIRSVFfQ0xPU0VQUklDRV9BREoCAAAACyI2LzI3LzIwMjUiCTYvMjcvMjAyNQAAAAADAAAAAAAAAAUiWE9NIgNYT00BAAAAEyJJUV9DTE9TRVBSSUNFX0FESiIRSVFfQ0xPU0VQUklDRV9BREoCAAAACyI2LzIwLzIwMjUiCTYvMjAvMjAyNQAAAAADAAAAAAAAAAUiWE9NIgNYT00BAAAAEyJJUV9DTE9TRVBSSUNFX0FESiIRSVFfQ0xPU0VQUklDRV9BREoCAAAACyI2LzEzLzIwMjUiCTYvMTMvMjAyNQAAAAADAAAAAAAAAAUiWE9NIgNYT00BAAAAEyJJUV9DTE9TRVBSSUNFX0FESiIRSVFfQ0xPU0VQUklDRV9BREoCAAAACiI2LzYvMjAyNSIINi82LzIwMjUAAAAAAwAAAAAAAAAFIlhPTSIDWE9NAQAAABMiSVFfQ0xPU0VQUklDRV9BREoiEUlRX0NMT1NFUFJJQ0VfQURKAgAAAAsiNS8zMC8y</t>
  </si>
  <si>
    <t>MDI1Igk1LzMwLzIwMjUAAAAAAwAAAAAAAAAFIlhPTSIDWE9NAQAAABMiSVFfQ0xPU0VQUklDRV9BREoiEUlRX0NMT1NFUFJJQ0VfQURKAgAAAAsiNS8yMy8yMDI1Igk1LzIzLzIwMjUAAAAAAwAAAAAAAAAFIlhPTSIDWE9NAQAAABMiSVFfQ0xPU0VQUklDRV9BREoiEUlRX0NMT1NFUFJJQ0VfQURKAgAAAAsiNS8xNi8yMDI1Igk1LzE2LzIwMjUAAAAAAwAAAAAAAAAFIlhPTSIDWE9NAQAAABMiSVFfQ0xPU0VQUklDRV9BREoiEUlRX0NMT1NFUFJJQ0VfQURKAgAAAAoiNS85LzIwMjUiCDUvOS8yMDI1AAAAAAMAAAAAAAAABSJYT00iA1hPTQEAAAATIklRX0NMT1NFUFJJQ0VfQURKIhFJUV9DTE9TRVBSSUNFX0FESgIAAAAKIjUvMi8yMDI1Igg1LzIvMjAyNQAAAAADAAAAAAAAAAUiWE9NIgNYT00BAAAAEyJJUV9DTE9TRVBSSUNFX0FESiIRSVFfQ0xPU0VQUklDRV9BREoCAAAACyI0LzI1LzIwMjUiCTQvMjUvMjAyNQAAAAADAAAAAAAAAAUiWE9NIgNYT00BAAAAEyJJUV9DTE9TRVBSSUNFX0FESiIRSVFfQ0xPU0VQUklDRV9BREoCAAAACyI0LzE3LzIwMjUiCTQvMTcvMjAyNQAAAAADAAAAAAAAAAUiWE9NIgNYT00BAAAAEyJJUV9DTE9TRVBSSUNFX0FESiIRSVFfQ0xPU0VQUklDRV9BREoCAAAACyI0LzExLzIwMjUiCTQvMTEvMjAyNQAAAAADAAAAAAAAAAUiWE9NIgNYT00BAAAAEyJJUV9DTE9TRVBSSUNF</t>
  </si>
  <si>
    <t>X0FESiIRSVFfQ0xPU0VQUklDRV9BREoCAAAACiI0LzQvMjAyNSIINC80LzIwMjUAAAAAAwAAAAAAAAAFIlhPTSIDWE9NAQAAABMiSVFfQ0xPU0VQUklDRV9BREoiEUlRX0NMT1NFUFJJQ0VfQURKAgAAAAsiMy8yOC8yMDI1IgkzLzI4LzIwMjUAAAAAAwAAAAAAAAAFIlhPTSIDWE9NAQAAABMiSVFfQ0xPU0VQUklDRV9BREoiEUlRX0NMT1NFUFJJQ0VfQURKAgAAAAsiMy8yMS8yMDI1IgkzLzIxLzIwMjUAAAAAAwAAAAAAAAAFIlhPTSIDWE9NAQAAABMiSVFfQ0xPU0VQUklDRV9BREoiEUlRX0NMT1NFUFJJQ0VfQURKAgAAAAsiMy8xNC8yMDI1IgkzLzE0LzIwMjUAAAAAAwAAAAAAAAAFIlhPTSIDWE9NAQAAABMiSVFfQ0xPU0VQUklDRV9BREoiEUlRX0NMT1NFUFJJQ0VfQURKAgAAAAoiMy83LzIwMjUiCDMvNy8yMDI1AAAAAAMAAAAAAAAABSJYT00iA1hPTQEAAAATIklRX0NMT1NFUFJJQ0VfQURKIhFJUV9DTE9TRVBSSUNFX0FESgIAAAALIjIvMjgvMjAyNSIJMi8yOC8yMDI1AAAAAAMAAAAAAAAABSJYT00iA1hPTQEAAAATIklRX0NMT1NFUFJJQ0VfQURKIhFJUV9DTE9TRVBSSUNFX0FESgIAAAALIjIvMjEvMjAyNSIJMi8yMS8yMDI1AAAAAAMAAAAAAAAABSJYT00iA1hPTQEAAAATIklRX0NMT1NFUFJJQ0VfQURKIhFJUV9DTE9TRVBSSUNFX0FESgIAAAALIjIvMTQvMjAyNSIJMi8xNC8yMDI1AAAAAAMA</t>
  </si>
  <si>
    <t>AAAAAAAABSJYT00iA1hPTQEAAAATIklRX0NMT1NFUFJJQ0VfQURKIhFJUV9DTE9TRVBSSUNFX0FESgIAAAAKIjIvNy8yMDI1IggyLzcvMjAyNQAAAAADAAAAAAAAAAUiWE9NIgNYT00BAAAAEyJJUV9DTE9TRVBSSUNFX0FESiIRSVFfQ0xPU0VQUklDRV9BREoCAAAACyIxLzMxLzIwMjUiCTEvMzEvMjAyNQAAAAADAAAAAAAAAAUiWE9NIgNYT00BAAAAEyJJUV9DTE9TRVBSSUNFX0FESiIRSVFfQ0xPU0VQUklDRV9BREoCAAAACyIxLzI0LzIwMjUiCTEvMjQvMjAyNQAAAAADAAAAAAAAAAUiWE9NIgNYT00BAAAAEyJJUV9DTE9TRVBSSUNFX0FESiIRSVFfQ0xPU0VQUklDRV9BREoCAAAACyIxLzE3LzIwMjUiCTEvMTcvMjAyNQAAAAADAAAAAAAAAAUiWE9NIgNYT00BAAAAEyJJUV9DTE9TRVBSSUNFX0FESiIRSVFfQ0xPU0VQUklDRV9BREoCAAAACyIxLzEwLzIwMjUiCTEvMTAvMjAyNQAAAAADAAAAAAAAAAUiWE9NIgNYT00BAAAAEyJJUV9DTE9TRVBSSUNFX0FESiIRSVFfQ0xPU0VQUklDRV9BREoCAAAACiIxLzMvMjAyNSIIMS8zLzIwMjUAAAAAAwAAAAAAAAAFIlhPTSIDWE9NAQAAABMiSVFfQ0xPU0VQUklDRV9BREoiEUlRX0NMT1NFUFJJQ0VfQURKAgAAAAwiMTIvMjcvMjAyNCIKMTIvMjcvMjAyNAAAAAADAAAAAAAAAAUiWE9NIgNYT00BAAAAEyJJUV9DTE9TRVBSSUNFX0FESiIRSVFfQ0xPU0VQUklD</t>
  </si>
  <si>
    <t>RV9BREoCAAAADCIxMi8yMC8yMDI0IgoxMi8yMC8yMDI0AAAAAAMAAAAAAAAABSJYT00iA1hPTQEAAAATIklRX0NMT1NFUFJJQ0VfQURKIhFJUV9DTE9TRVBSSUNFX0FESgIAAAAMIjEyLzEzLzIwMjQiCjEyLzEzLzIwMjQAAAAAAwAAAAAAAAAFIlhPTSIDWE9NAQAAABMiSVFfQ0xPU0VQUklDRV9BREoiEUlRX0NMT1NFUFJJQ0VfQURKAgAAAAsiMTIvNi8yMDI0IgkxMi82LzIwMjQAAAAAAwAAAAAAAAAFIlhPTSIDWE9NAQAAABMiSVFfQ0xPU0VQUklDRV9BREoiEUlRX0NMT1NFUFJJQ0VfQURKAgAAAAwiMTEvMjkvMjAyNCIKMTEvMjkvMjAyNAAAAAADAAAAAAAAAAUiWE9NIgNYT00BAAAAEyJJUV9DTE9TRVBSSUNFX0FESiIRSVFfQ0xPU0VQUklDRV9BREoCAAAADCIxMS8yMi8yMDI0IgoxMS8yMi8yMDI0AAAAAAMAAAAAAAAABSJYT00iA1hPTQEAAAATIklRX0NMT1NFUFJJQ0VfQURKIhFJUV9DTE9TRVBSSUNFX0FESgIAAAAMIjExLzE1LzIwMjQiCjExLzE1LzIwMjQAAAAAAwAAAAAAAAAFIlhPTSIDWE9NAQAAABMiSVFfQ0xPU0VQUklDRV9BREoiEUlRX0NMT1NFUFJJQ0VfQURKAgAAAAsiMTEvOC8yMDI0IgkxMS84LzIwMjQAAAAAAwAAAAAAAAAFIlhPTSIDWE9NAQAAABMiSVFfQ0xPU0VQUklDRV9BREoiEUlRX0NMT1NFUFJJQ0VfQURKAgAAAAsiMTEvMS8yMDI0IgkxMS8xLzIwMjQAAAAAAwAAAAAA</t>
  </si>
  <si>
    <t>AAAFIlhPTSIDWE9NAQAAABMiSVFfQ0xPU0VQUklDRV9BREoiEUlRX0NMT1NFUFJJQ0VfQURKAgAAAAwiMTAvMjUvMjAyNCIKMTAvMjUvMjAyNAAAAAADAAAAAAAAAAUiWE9NIgNYT00BAAAAEyJJUV9DTE9TRVBSSUNFX0FESiIRSVFfQ0xPU0VQUklDRV9BREoCAAAADCIxMC8xOC8yMDI0IgoxMC8xOC8yMDI0AAAAAAMAAAAAAAAABSJYT00iA1hPTQEAAAATIklRX0NMT1NFUFJJQ0VfQURKIhFJUV9DTE9TRVBSSUNFX0FESgIAAAAMIjEwLzExLzIwMjQiCjEwLzExLzIwMjQAAAAAAwAAAAAAAAAFIlhPTSIDWE9NAQAAABMiSVFfQ0xPU0VQUklDRV9BREoiEUlRX0NMT1NFUFJJQ0VfQURKAgAAAAsiMTAvNC8yMDI0IgkxMC80LzIwMjQAAAAAAwAAAAAAAAAFIlhPTSIDWE9NAQAAABMiSVFfQ0xPU0VQUklDRV9BREoiEUlRX0NMT1NFUFJJQ0VfQURKAgAAAAsiOS8yNy8yMDI0Igk5LzI3LzIwMjQAAAAAAwAAAAAAAAAFIlhPTSIDWE9NAQAAABMiSVFfQ0xPU0VQUklDRV9BREoiEUlRX0NMT1NFUFJJQ0VfQURKAgAAAAsiOS8yMC8yMDI0Igk5LzIwLzIwMjQAAAAAAwAAAAAAAAAFIlhPTSIDWE9NAQAAABMiSVFfQ0xPU0VQUklDRV9BREoiEUlRX0NMT1NFUFJJQ0VfQURKAgAAAAsiOS8xMy8yMDI0Igk5LzEzLzIwMjQAAAAAAwAAAAAAAAAFIlhPTSIDWE9NAQAAABMiSVFfQ0xPU0VQUklDRV9BREoiEUlRX0NMT1NF</t>
  </si>
  <si>
    <t>UFJJQ0VfQURKAgAAAAoiOS82LzIwMjQiCDkvNi8yMDI0AAAAAAMAAAAAAAAABSJYT00iA1hPTQEAAAATIklRX0NMT1NFUFJJQ0VfQURKIhFJUV9DTE9TRVBSSUNFX0FESgIAAAALIjgvMzAvMjAyNCIJOC8zMC8yMDI0AAAAAAMAAAAAAAAABSJYT00iA1hPTQEAAAATIklRX0NMT1NFUFJJQ0VfQURKIhFJUV9DTE9TRVBSSUNFX0FESgIAAAALIjgvMjMvMjAyNCIJOC8yMy8yMDI0AAAAAAMAAAAAAAAABSJYT00iA1hPTQEAAAATIklRX0NMT1NFUFJJQ0VfQURKIhFJUV9DTE9TRVBSSUNFX0FESgIAAAALIjgvMTYvMjAyNCIJOC8xNi8yMDI0AAAAAAMAAAAAAAAABSJYT00iA1hPTQEAAAATIklRX0NMT1NFUFJJQ0VfQURKIhFJUV9DTE9TRVBSSUNFX0FESgIAAAAKIjgvOS8yMDI0Igg4LzkvMjAyNAAAAAADAAAAAAAAAAUiWE9NIgNYT00BAAAAEyJJUV9DTE9TRVBSSUNFX0FESiIRSVFfQ0xPU0VQUklDRV9BREoCAAAACiI4LzIvMjAyNCIIOC8yLzIwMjQAAAAAAwAAAAAAAAAFIlhPTSIDWE9NAQAAABMiSVFfQ0xPU0VQUklDRV9BREoiEUlRX0NMT1NFUFJJQ0VfQURKAgAAAAsiNy8yNi8yMDI0Igk3LzI2LzIwMjQAAAAAAwAAAAAAAAAFIlhPTSIDWE9NAQAAABMiSVFfQ0xPU0VQUklDRV9BREoiEUlRX0NMT1NFUFJJQ0VfQURKAgAAAAsiNy8xOS8yMDI0Igk3LzE5LzIwMjQAAAAAAwAAAAAAAAAFIlhPTSIDWE9N</t>
  </si>
  <si>
    <t>AQAAABMiSVFfQ0xPU0VQUklDRV9BREoiEUlRX0NMT1NFUFJJQ0VfQURKAgAAAAsiNy8xMi8yMDI0Igk3LzEyLzIwMjQAAAAAAwAAAAAAAAAFIlhPTSIDWE9NAQAAABMiSVFfQ0xPU0VQUklDRV9BREoiEUlRX0NMT1NFUFJJQ0VfQURKAgAAAAoiNy81LzIwMjQiCDcvNS8yMDI0AAAAAAMAAAAAAAAABSJYT00iA1hPTQEAAAATIklRX0NMT1NFUFJJQ0VfQURKIhFJUV9DTE9TRVBSSUNFX0FESgIAAAALIjYvMjgvMjAyNCIJNi8yOC8yMDI0AAAAAAMAAAAAAAAABSJYT00iA1hPTQEAAAATIklRX0NMT1NFUFJJQ0VfQURKIhFJUV9DTE9TRVBSSUNFX0FESgIAAAALIjYvMjEvMjAyNCIJNi8yMS8yMDI0AAAAAAMAAAAAAAAABSJYT00iA1hPTQEAAAATIklRX0NMT1NFUFJJQ0VfQURKIhFJUV9DTE9TRVBSSUNFX0FESgIAAAALIjYvMTQvMjAyNCIJNi8xNC8yMDI0AAAAAAMAAAAAAAAABSJYT00iA1hPTQEAAAATIklRX0NMT1NFUFJJQ0VfQURKIhFJUV9DTE9TRVBSSUNFX0FESgIAAAAKIjYvNy8yMDI0Igg2LzcvMjAyNAAAAAADAAAAAAAAAAUiWE9NIgNYT00BAAAAEyJJUV9DTE9TRVBSSUNFX0FESiIRSVFfQ0xPU0VQUklDRV9BREoCAAAACyI1LzMxLzIwMjQiCTUvMzEvMjAyNAAAAAADAAAAAAAAAAUiWE9NIgNYT00BAAAAEyJJUV9DTE9TRVBSSUNFX0FESiIRSVFfQ0xPU0VQUklDRV9BREoCAAAACyI1LzI0LzIw</t>
  </si>
  <si>
    <t>MjQiCTUvMjQvMjAyNAAAAAADAAAAAAAAAAUiWE9NIgNYT00BAAAAEyJJUV9DTE9TRVBSSUNFX0FESiIRSVFfQ0xPU0VQUklDRV9BREoCAAAACyI1LzE3LzIwMjQiCTUvMTcvMjAyNAAAAAADAAAAAAAAAAUiWE9NIgNYT00BAAAAEyJJUV9DTE9TRVBSSUNFX0FESiIRSVFfQ0xPU0VQUklDRV9BREoCAAAACyI1LzEwLzIwMjQiCTUvMTAvMjAyNAAAAAADAAAAAAAAAAUiWE9NIgNYT00BAAAAEyJJUV9DTE9TRVBSSUNFX0FESiIRSVFfQ0xPU0VQUklDRV9BREoCAAAACiI1LzMvMjAyNCIINS8zLzIwMjQAAAAAAwAAAAAAAAAFIlhPTSIDWE9NAQAAABMiSVFfQ0xPU0VQUklDRV9BREoiEUlRX0NMT1NFUFJJQ0VfQURKAgAAAAsiNC8yNi8yMDI0Igk0LzI2LzIwMjQAAAAAAwAAAAAAAAAFIlhPTSIDWE9NAQAAABMiSVFfQ0xPU0VQUklDRV9BREoiEUlRX0NMT1NFUFJJQ0VfQURKAgAAAAsiNC8xOS8yMDI0Igk0LzE5LzIwMjQAAAAAAwAAAAAAAAAFIlhPTSIDWE9NAQAAABMiSVFfQ0xPU0VQUklDRV9BREoiEUlRX0NMT1NFUFJJQ0VfQURKAgAAAAsiNC8xMi8yMDI0Igk0LzEyLzIwMjQAAAAAAwAAAAAAAAAFIlhPTSIDWE9NAQAAABMiSVFfQ0xPU0VQUklDRV9BREoiEUlRX0NMT1NFUFJJQ0VfQURKAgAAAAoiNC81LzIwMjQiCDQvNS8yMDI0AAAAAAMAAAAAAAAABSJYT00iA1hPTQEAAAATIklRX0NMT1NFUFJJQ0Vf</t>
  </si>
  <si>
    <t>QURKIhFJUV9DTE9TRVBSSUNFX0FESgIAAAALIjMvMjgvMjAyNCIJMy8yOC8yMDI0AAAAAAMAAAAAAAAABSJYT00iA1hPTQEAAAATIklRX0NMT1NFUFJJQ0VfQURKIhFJUV9DTE9TRVBSSUNFX0FESgIAAAALIjMvMjIvMjAyNCIJMy8yMi8yMDI0AAAAAAMAAAAAAAAABSJYT00iA1hPTQEAAAATIklRX0NMT1NFUFJJQ0VfQURKIhFJUV9DTE9TRVBSSUNFX0FESgIAAAALIjMvMTUvMjAyNCIJMy8xNS8yMDI0AAAAAAMAAAAAAAAABSJYT00iA1hPTQEAAAATIklRX0NMT1NFUFJJQ0VfQURKIhFJUV9DTE9TRVBSSUNFX0FESgIAAAAKIjMvOC8yMDI0IggzLzgvMjAyNAAAAAADAAAAAAAAAAUiWE9NIgNYT00BAAAAEyJJUV9DTE9TRVBSSUNFX0FESiIRSVFfQ0xPU0VQUklDRV9BREoCAAAACiIzLzEvMjAyNCIIMy8xLzIwMjQAAAAAAwAAAAAAAAAFIlhPTSIDWE9NAQAAABMiSVFfQ0xPU0VQUklDRV9BREoiEUlRX0NMT1NFUFJJQ0VfQURKAgAAAAsiMi8yMy8yMDI0IgkyLzIzLzIwMjQAAAAAAwAAAAAAAAAFIlhPTSIDWE9NAQAAABMiSVFfQ0xPU0VQUklDRV9BREoiEUlRX0NMT1NFUFJJQ0VfQURKAgAAAAsiMi8xNi8yMDI0IgkyLzE2LzIwMjQAAAAAAwAAAAAAAAAFIlhPTSIDWE9NAQAAABMiSVFfQ0xPU0VQUklDRV9BREoiEUlRX0NMT1NFUFJJQ0VfQURKAgAAAAoiMi85LzIwMjQiCDIvOS8yMDI0AAAAAAMAAAAA</t>
  </si>
  <si>
    <t>AAAABSJYT00iA1hPTQEAAAATIklRX0NMT1NFUFJJQ0VfQURKIhFJUV9DTE9TRVBSSUNFX0FESgIAAAAKIjIvMi8yMDI0IggyLzIvMjAyNAAAAAADAAAAAAAAAAUiWE9NIgNYT00BAAAAEyJJUV9DTE9TRVBSSUNFX0FESiIRSVFfQ0xPU0VQUklDRV9BREoCAAAACyIxLzI2LzIwMjQiCTEvMjYvMjAyNAAAAAADAAAAAAAAAAUiWE9NIgNYT00BAAAAEyJJUV9DTE9TRVBSSUNFX0FESiIRSVFfQ0xPU0VQUklDRV9BREoCAAAACyIxLzE5LzIwMjQiCTEvMTkvMjAyNAAAAAADAAAAAAAAAAUiWE9NIgNYT00BAAAAEyJJUV9DTE9TRVBSSUNFX0FESiIRSVFfQ0xPU0VQUklDRV9BREoCAAAACyIxLzEyLzIwMjQiCTEvMTIvMjAyNAAAAAADAAAAAAAAAAUiWE9NIgNYT00BAAAAEyJJUV9DTE9TRVBSSUNFX0FESiIRSVFfQ0xPU0VQUklDRV9BREoCAAAACiIxLzUvMjAyNCIIMS81LzIwMjQAAAAAAwAAAAAAAAAFIlhPTSIDWE9NAQAAABMiSVFfQ0xPU0VQUklDRV9BREoiEUlRX0NMT1NFUFJJQ0VfQURKAgAAAAwiMTIvMjkvMjAyMyIKMTIvMjkvMjAyMwAAAAADAAAAAAAAAAUiWE9NIgNYT00BAAAAEyJJUV9DTE9TRVBSSUNFX0FESiIRSVFfQ0xPU0VQUklDRV9BREoCAAAADCIxMi8yMi8yMDIzIgoxMi8yMi8yMDIzAAAAAAMAAAAAAAAABSJYT00iA1hPTQEAAAATIklRX0NMT1NFUFJJQ0VfQURKIhFJUV9DTE9TRVBSSUNF</t>
  </si>
  <si>
    <t>X0FESgIAAAAMIjEyLzE1LzIwMjMiCjEyLzE1LzIwMjMAAAAAAwAAAAAAAAAFIlhPTSIDWE9NAQAAABMiSVFfQ0xPU0VQUklDRV9BREoiEUlRX0NMT1NFUFJJQ0VfQURKAgAAAAsiMTIvOC8yMDIzIgkxMi84LzIwMjMAAAAAAwAAAAAAAAAFIlhPTSIDWE9NAQAAABMiSVFfQ0xPU0VQUklDRV9BREoiEUlRX0NMT1NFUFJJQ0VfQURKAgAAAAsiMTIvMS8yMDIzIgkxMi8xLzIwMjMAAAAAAwAAAAAAAAAFIlhPTSIDWE9NAQAAABMiSVFfQ0xPU0VQUklDRV9BREoiEUlRX0NMT1NFUFJJQ0VfQURKAgAAAAwiMTEvMjQvMjAyMyIKMTEvMjQvMjAyMwAAAAADAAAAAAAAAAUiWE9NIgNYT00BAAAAEyJJUV9DTE9TRVBSSUNFX0FESiIRSVFfQ0xPU0VQUklDRV9BREoCAAAADCIxMS8xNy8yMDIzIgoxMS8xNy8yMDIzAAAAAAMAAAAAAAAABSJYT00iA1hPTQEAAAATIklRX0NMT1NFUFJJQ0VfQURKIhFJUV9DTE9TRVBSSUNFX0FESgIAAAAMIjExLzEwLzIwMjMiCjExLzEwLzIwMjMAAAAAAwAAAAAAAAAFIlhPTSIDWE9NAQAAABMiSVFfQ0xPU0VQUklDRV9BREoiEUlRX0NMT1NFUFJJQ0VfQURKAgAAAAsiMTEvMy8yMDIzIgkxMS8zLzIwMjMAAAAAAwAAAAAAAAAFIlhPTSIDWE9NAQAAABMiSVFfQ0xPU0VQUklDRV9BREoiEUlRX0NMT1NFUFJJQ0VfQURKAgAAAAwiMTAvMjcvMjAyMyIKMTAvMjcvMjAyMwAAAAADAAAAAAAA</t>
  </si>
  <si>
    <t>AAUiWE9NIgNYT00BAAAAEyJJUV9DTE9TRVBSSUNFX0FESiIRSVFfQ0xPU0VQUklDRV9BREoCAAAADCIxMC8yMC8yMDIzIgoxMC8yMC8yMDIzAAAAAAMAAAAAAAAABSJYT00iA1hPTQEAAAATIklRX0NMT1NFUFJJQ0VfQURKIhFJUV9DTE9TRVBSSUNFX0FESgIAAAAMIjEwLzEzLzIwMjMiCjEwLzEzLzIwMjMAAAAAAwAAAAAAAAAFIlhPTSIDWE9NAQAAABMiSVFfQ0xPU0VQUklDRV9BREoiEUlRX0NMT1NFUFJJQ0VfQURKAgAAAAsiMTAvNi8yMDIzIgkxMC82LzIwMjMAAAAAAwAAAAAAAAAFIlhPTSIDWE9NAQAAABMiSVFfQ0xPU0VQUklDRV9BREoiEUlRX0NMT1NFUFJJQ0VfQURKAgAAAAsiOS8yOS8yMDIzIgk5LzI5LzIwMjMAAAAAAwAAAAAAAAAFIlhPTSIDWE9NAQAAABMiSVFfQ0xPU0VQUklDRV9BREoiEUlRX0NMT1NFUFJJQ0VfQURKAgAAAAsiOS8yMi8yMDIzIgk5LzIyLzIwMjMAAAAAAwAAAAAAAAAFIlhPTSIDWE9NAQAAABMiSVFfQ0xPU0VQUklDRV9BREoiEUlRX0NMT1NFUFJJQ0VfQURKAgAAAAsiOS8xNS8yMDIzIgk5LzE1LzIwMjMAAAAAAwAAAAAAAAAFIlhPTSIDWE9NAQAAABMiSVFfQ0xPU0VQUklDRV9BREoiEUlRX0NMT1NFUFJJQ0VfQURKAgAAAAoiOS84LzIwMjMiCDkvOC8yMDIzAAAAAAMAAAAAAAAABSJYT00iA1hPTQEAAAATIklRX0NMT1NFUFJJQ0VfQURKIhFJUV9DTE9TRVBSSUNF</t>
  </si>
  <si>
    <t>X0FESgIAAAAKIjkvMS8yMDIzIgg5LzEvMjAyMwAAAAADAAAAAAAAAAUiWE9NIgNYT00BAAAAEyJJUV9DTE9TRVBSSUNFX0FESiIRSVFfQ0xPU0VQUklDRV9BREoCAAAACyI4LzI1LzIwMjMiCTgvMjUvMjAyMwAAAAADAAAAAAAAAAUiWE9NIgNYT00BAAAAEyJJUV9DTE9TRVBSSUNFX0FESiIRSVFfQ0xPU0VQUklDRV9BREoCAAAACyI4LzE4LzIwMjMiCTgvMTgvMjAyMwAAAAADAAAAAAAAAAUiWE9NIgNYT00BAAAAEyJJUV9DTE9TRVBSSUNFX0FESiIRSVFfQ0xPU0VQUklDRV9BREoCAAAACyI4LzExLzIwMjMiCTgvMTEvMjAyMwAAAAADAAAAAAAAAAUiWE9NIgNYT00BAAAAEyJJUV9DTE9TRVBSSUNFX0FESiIRSVFfQ0xPU0VQUklDRV9BREoCAAAACiI4LzQvMjAyMyIIOC80LzIwMjMAAAAAAwAAAAAAAAAFIlhPTSIDWE9NAQAAABMiSVFfQ0xPU0VQUklDRV9BREoiEUlRX0NMT1NFUFJJQ0VfQURKAgAAAAsiNy8yOC8yMDIzIgk3LzI4LzIwMjMAAAAAAwAAAAAAAAAFIlhPTSIDWE9NAQAAABMiSVFfQ0xPU0VQUklDRV9BREoiEUlRX0NMT1NFUFJJQ0VfQURKAgAAAAsiNy8yMS8yMDIzIgk3LzIxLzIwMjMAAAAAAwAAAAAAAAAFIlhPTSIDWE9NAQAAABMiSVFfQ0xPU0VQUklDRV9BREoiEUlRX0NMT1NFUFJJQ0VfQURKAgAAAAsiNy8xNC8yMDIzIgk3LzE0LzIwMjMAAAAAAwAAAAAAAAAFIlhPTSIDWE9NAQAA</t>
  </si>
  <si>
    <t>ABMiSVFfQ0xPU0VQUklDRV9BREoiEUlRX0NMT1NFUFJJQ0VfQURKAgAAAAoiNy83LzIwMjMiCDcvNy8yMDIzAAAAAAMAAAAAAAAABSJYT00iA1hPTQEAAAATIklRX0NMT1NFUFJJQ0VfQURKIhFJUV9DTE9TRVBSSUNFX0FESgIAAAALIjYvMzAvMjAyMyIJNi8zMC8yMDIzAAAAAAMAAAAAAAAABSJYT00iA1hPTQEAAAATIklRX0NMT1NFUFJJQ0VfQURKIhFJUV9DTE9TRVBSSUNFX0FESgIAAAALIjYvMjMvMjAyMyIJNi8yMy8yMDIzAAAAAAMAAAAAAAAABSJYT00iA1hPTQEAAAATIklRX0NMT1NFUFJJQ0VfQURKIhFJUV9DTE9TRVBSSUNFX0FESgIAAAALIjYvMTYvMjAyMyIJNi8xNi8yMDIzAAAAAAMAAAAAAAAABSJYT00iA1hPTQEAAAATIklRX0NMT1NFUFJJQ0VfQURKIhFJUV9DTE9TRVBSSUNFX0FESgIAAAAKIjYvOS8yMDIzIgg2LzkvMjAyMwAAAAADAAAAAAAAAAUiWE9NIgNYT00BAAAAEyJJUV9DTE9TRVBSSUNFX0FESiIRSVFfQ0xPU0VQUklDRV9BREoCAAAACiI2LzIvMjAyMyIINi8yLzIwMjMAAAAAAwAAAAAAAAAFIlhPTSIDWE9NAQAAABMiSVFfQ0xPU0VQUklDRV9BREoiEUlRX0NMT1NFUFJJQ0VfQURKAgAAAAsiNS8yNi8yMDIzIgk1LzI2LzIwMjMAAAAAAwAAAAAAAAAFIlhPTSIDWE9NAQAAABMiSVFfQ0xPU0VQUklDRV9BREoiEUlRX0NMT1NFUFJJQ0VfQURKAgAAAAsiNS8xOS8yMDIzIgk1</t>
  </si>
  <si>
    <t>LzE5LzIwMjMAAAAAAwAAAAAAAAAFIlhPTSIDWE9NAQAAABMiSVFfQ0xPU0VQUklDRV9BREoiEUlRX0NMT1NFUFJJQ0VfQURKAgAAAAsiNS8xMi8yMDIzIgk1LzEyLzIwMjMAAAAAAwAAAAAAAAAFIlhPTSIDWE9NAQAAABMiSVFfQ0xPU0VQUklDRV9BREoiEUlRX0NMT1NFUFJJQ0VfQURKAgAAAAoiNS81LzIwMjMiCDUvNS8yMDIzAAAAAAMAAAAAAAAABSJYT00iA1hPTQEAAAATIklRX0NMT1NFUFJJQ0VfQURKIhFJUV9DTE9TRVBSSUNFX0FESgIAAAALIjQvMjgvMjAyMyIJNC8yOC8yMDIzAAAAAAMAAAAAAAAABSJYT00iA1hPTQEAAAATIklRX0NMT1NFUFJJQ0VfQURKIhFJUV9DTE9TRVBSSUNFX0FESgIAAAALIjQvMjEvMjAyMyIJNC8yMS8yMDIzAAAAAAMAAAAAAAAABSJYT00iA1hPTQEAAAATIklRX0NMT1NFUFJJQ0VfQURKIhFJUV9DTE9TRVBSSUNFX0FESgIAAAALIjQvMTQvMjAyMyIJNC8xNC8yMDIzAAAAAAMAAAAAAAAABSJYT00iA1hPTQEAAAATIklRX0NMT1NFUFJJQ0VfQURKIhFJUV9DTE9TRVBSSUNFX0FESgIAAAAKIjQvNi8yMDIzIgg0LzYvMjAyMwAAAAADAAAAAAAAAAUiWE9NIgNYT00BAAAAEyJJUV9DTE9TRVBSSUNFX0FESiIRSVFfQ0xPU0VQUklDRV9BREoCAAAACyIzLzMxLzIwMjMiCTMvMzEvMjAyMwAAAAADAAAAAAAAAAUiWE9NIgNYT00BAAAAEyJJUV9DTE9TRVBSSUNFX0FESiIR</t>
  </si>
  <si>
    <t>SVFfQ0xPU0VQUklDRV9BREoCAAAACyIzLzI0LzIwMjMiCTMvMjQvMjAyMwAAAAADAAAAAAAAAAUiWE9NIgNYT00BAAAAEyJJUV9DTE9TRVBSSUNFX0FESiIRSVFfQ0xPU0VQUklDRV9BREoCAAAACyIzLzE3LzIwMjMiCTMvMTcvMjAyMwAAAAADAAAAAAAAAAUiWE9NIgNYT00BAAAAEyJJUV9DTE9TRVBSSUNFX0FESiIRSVFfQ0xPU0VQUklDRV9BREoCAAAACyIzLzEwLzIwMjMiCTMvMTAvMjAyMwAAAAADAAAAAAAAAAUiWE9NIgNYT00BAAAAEyJJUV9DTE9TRVBSSUNFX0FESiIRSVFfQ0xPU0VQUklDRV9BREoCAAAACiIzLzMvMjAyMyIIMy8zLzIwMjMAAAAAAwAAAAAAAAAFIlhPTSIDWE9NAQAAABMiSVFfQ0xPU0VQUklDRV9BREoiEUlRX0NMT1NFUFJJQ0VfQURKAgAAAAsiMi8yNC8yMDIzIgkyLzI0LzIwMjMAAAAAAwAAAAAAAAAFIlhPTSIDWE9NAQAAABMiSVFfQ0xPU0VQUklDRV9BREoiEUlRX0NMT1NFUFJJQ0VfQURKAgAAAAsiMi8xNy8yMDIzIgkyLzE3LzIwMjMAAAAAAwAAAAAAAAAFIlhPTSIDWE9NAQAAABMiSVFfQ0xPU0VQUklDRV9BREoiEUlRX0NMT1NFUFJJQ0VfQURKAgAAAAsiMi8xMC8yMDIzIgkyLzEwLzIwMjMAAAAAAwAAAAAAAAAFIlhPTSIDWE9NAQAAABMiSVFfQ0xPU0VQUklDRV9BREoiEUlRX0NMT1NFUFJJQ0VfQURKAgAAAAoiMi8zLzIwMjMiCDIvMy8yMDIzAAAAAAMAAAAAAAAA</t>
  </si>
  <si>
    <t>BSJYT00iA1hPTQEAAAATIklRX0NMT1NFUFJJQ0VfQURKIhFJUV9DTE9TRVBSSUNFX0FESgIAAAALIjEvMjcvMjAyMyIJMS8yNy8yMDIzAAAAAAMAAAAAAAAABSJYT00iA1hPTQEAAAATIklRX0NMT1NFUFJJQ0VfQURKIhFJUV9DTE9TRVBSSUNFX0FESgIAAAALIjEvMjAvMjAyMyIJMS8yMC8yMDIzAAAAAAMAAAAAAAAABSJYT00iA1hPTQEAAAATIklRX0NMT1NFUFJJQ0VfQURKIhFJUV9DTE9TRVBSSUNFX0FESgIAAAALIjEvMTMvMjAyMyIJMS8xMy8yMDIzAAAAAAMAAAAAAAAABSJYT00iA1hPTQEAAAATIklRX0NMT1NFUFJJQ0VfQURKIhFJUV9DTE9TRVBSSUNFX0FESgIAAAAKIjEvNi8yMDIzIggxLzYvMjAyMwAAAAADAAAAAAAAAAUiWE9NIgNYT00BAAAAEyJJUV9DTE9TRVBSSUNFX0FESiIRSVFfQ0xPU0VQUklDRV9BREoCAAAADCIxMi8zMC8yMDIyIgoxMi8zMC8yMDIyAAAAAAMAAAAAAAAABSJYT00iA1hPTQEAAAATIklRX0NMT1NFUFJJQ0VfQURKIhFJUV9DTE9TRVBSSUNFX0FESgIAAAAMIjEyLzIzLzIwMjIiCjEyLzIzLzIwMjIAAAAAAwAAAAAAAAAFIlhPTSIDWE9NAQAAABMiSVFfQ0xPU0VQUklDRV9BREoiEUlRX0NMT1NFUFJJQ0VfQURKAgAAAAwiMTIvMTYvMjAyMiIKMTIvMTYvMjAyMgAAAAADAAAAAAAAAAUiWE9NIgNYT00BAAAAEyJJUV9DTE9TRVBSSUNFX0FESiIRSVFfQ0xPU0VQUklD</t>
  </si>
  <si>
    <t>RV9BREoCAAAACyIxMi85LzIwMjIiCTEyLzkvMjAyMgAAAAADAAAAAAAAAAUiWE9NIgNYT00BAAAAEyJJUV9DTE9TRVBSSUNFX0FESiIRSVFfQ0xPU0VQUklDRV9BREoCAAAACyIxMi8yLzIwMjIiCTEyLzIvMjAyMgAAAAADAAAAAAAAAAUiWE9NIgNYT00BAAAAEyJJUV9DTE9TRVBSSUNFX0FESiIRSVFfQ0xPU0VQUklDRV9BREoCAAAADCIxMS8yNS8yMDIyIgoxMS8yNS8yMDIyAAAAAAMAAAAAAAAABSJYT00iA1hPTQEAAAATIklRX0NMT1NFUFJJQ0VfQURKIhFJUV9DTE9TRVBSSUNFX0FESgIAAAAMIjExLzE4LzIwMjIiCjExLzE4LzIwMjIAAAAAAwAAAAAAAAAFIlhPTSIDWE9NAQAAABMiSVFfQ0xPU0VQUklDRV9BREoiEUlRX0NMT1NFUFJJQ0VfQURKAgAAAAwiMTEvMTEvMjAyMiIKMTEvMTEvMjAyMgAAAAADAAAAAAAAAAUiWE9NIgNYT00BAAAAEyJJUV9DTE9TRVBSSUNFX0FESiIRSVFfQ0xPU0VQUklDRV9BREoCAAAACyIxMS80LzIwMjIiCTExLzQvMjAyMgAAAAADAAAAAAAAAAUiWE9NIgNYT00BAAAAEyJJUV9DTE9TRVBSSUNFX0FESiIRSVFfQ0xPU0VQUklDRV9BREoCAAAADCIxMC8yOC8yMDIyIgoxMC8yOC8yMDIyAAAAAAMAAAAAAAAABSJYT00iA1hPTQEAAAATIklRX0NMT1NFUFJJQ0VfQURKIhFJUV9DTE9TRVBSSUNFX0FESgIAAAAMIjEwLzIxLzIwMjIiCjEwLzIxLzIwMjIAAAAAAwAAAAAA</t>
  </si>
  <si>
    <t>AAAFIlhPTSIDWE9NAQAAABMiSVFfQ0xPU0VQUklDRV9BREoiEUlRX0NMT1NFUFJJQ0VfQURKAgAAAAwiMTAvMTQvMjAyMiIKMTAvMTQvMjAyMgAAAAADAAAAAAAAAAUiWE9NIgNYT00BAAAAEyJJUV9DTE9TRVBSSUNFX0FESiIRSVFfQ0xPU0VQUklDRV9BREoCAAAACyIxMC83LzIwMjIiCTEwLzcvMjAyMgAAAAADAAAAAAAAAAUiWE9NIgNYT00BAAAAEyJJUV9DTE9TRVBSSUNFX0FESiIRSVFfQ0xPU0VQUklDRV9BREoCAAAACyI5LzMwLzIwMjIiCTkvMzAvMjAyMgAAAAADAAAAAAAAAAUiWE9NIgNYT00BAAAAEyJJUV9DTE9TRVBSSUNFX0FESiIRSVFfQ0xPU0VQUklDRV9BREoCAAAACyI5LzIzLzIwMjIiCTkvMjMvMjAyMgAAAAADAAAAAAAAAAUiWE9NIgNYT00BAAAAEyJJUV9DTE9TRVBSSUNFX0FESiIRSVFfQ0xPU0VQUklDRV9BREoCAAAACyI5LzE2LzIwMjIiCTkvMTYvMjAyMgAAAAADAAAAAAAAAAUiWE9NIgNYT00BAAAAEyJJUV9DTE9TRVBSSUNFX0FESiIRSVFfQ0xPU0VQUklDRV9BREoCAAAACiI5LzkvMjAyMiIIOS85LzIwMjIAAAAAAwAAAAAAAAAFIlhPTSIDWE9NAQAAABMiSVFfQ0xPU0VQUklDRV9BREoiEUlRX0NMT1NFUFJJQ0VfQURKAgAAAAoiOS8yLzIwMjIiCDkvMi8yMDIyAAAAAAMAAAAAAAAABSJYT00iA1hPTQEAAAATIklRX0NMT1NFUFJJQ0VfQURKIhFJUV9DTE9TRVBSSUNFX0FE</t>
  </si>
  <si>
    <t>SgIAAAALIjgvMjYvMjAyMiIJOC8yNi8yMDIyAAAAAAMAAAAAAAAABSJYT00iA1hPTQEAAAATIklRX0NMT1NFUFJJQ0VfQURKIhFJUV9DTE9TRVBSSUNFX0FESgIAAAALIjgvMTkvMjAyMiIJOC8xOS8yMDIyAAAAAAMAAAAAAAAABSJYT00iA1hPTQEAAAATIklRX0NMT1NFUFJJQ0VfQURKIhFJUV9DTE9TRVBSSUNFX0FESgIAAAALIjgvMTIvMjAyMiIJOC8xMi8yMDIyAAAAAAMAAAAAAAAABSJYT00iA1hPTQEAAAATIklRX0NMT1NFUFJJQ0VfQURKIhFJUV9DTE9TRVBSSUNFX0FESgIAAAAKIjgvNS8yMDIyIgg4LzUvMjAyMgAAAAADAAAAAAAAAAUiWE9NIgNYT00BAAAAEyJJUV9DTE9TRVBSSUNFX0FESiIRSVFfQ0xPU0VQUklDRV9BREoCAAAACyI3LzI5LzIwMjIiCTcvMjkvMjAyMgAAAAADAAAAAAAAAAUiWE9NIgNYT00BAAAAEyJJUV9DTE9TRVBSSUNFX0FESiIRSVFfQ0xPU0VQUklDRV9BREoCAAAACyI3LzIyLzIwMjIiCTcvMjIvMjAyMgAAAAADAAAAAAAAAAUiWE9NIgNYT00BAAAAEyJJUV9DTE9TRVBSSUNFX0FESiIRSVFfQ0xPU0VQUklDRV9BREoCAAAACyI3LzE1LzIwMjIiCTcvMTUvMjAyMgAAAAADAAAAAAAAAAUiWE9NIgNYT00BAAAAEyJJUV9DTE9TRVBSSUNFX0FESiIRSVFfQ0xPU0VQUklDRV9BREoCAAAACiI3LzgvMjAyMiIINy84LzIwMjIAAAAAAwAAAAAAAAAFIlhPTSIDWE9NAQAAABMi</t>
  </si>
  <si>
    <t>SVFfQ0xPU0VQUklDRV9BREoiEUlRX0NMT1NFUFJJQ0VfQURKAgAAAAoiNy8xLzIwMjIiCDcvMS8yMDIyAAAAAAMAAAAAAAAABSJYT00iA1hPTQEAAAATIklRX0NMT1NFUFJJQ0VfQURKIhFJUV9DTE9TRVBSSUNFX0FESgIAAAALIjYvMjQvMjAyMiIJNi8yNC8yMDIyAAAAAAMAAAAAAAAABSJYT00iA1hPTQEAAAATIklRX0NMT1NFUFJJQ0VfQURKIhFJUV9DTE9TRVBSSUNFX0FESgIAAAALIjYvMTcvMjAyMiIJNi8xNy8yMDIyAAAAAAMAAAAAAAAABSJYT00iA1hPTQEAAAATIklRX0NMT1NFUFJJQ0VfQURKIhFJUV9DTE9TRVBSSUNFX0FESgIAAAALIjYvMTAvMjAyMiIJNi8xMC8yMDIyAAAAAAMAAAAAAAAABSJYT00iA1hPTQEAAAATIklRX0NMT1NFUFJJQ0VfQURKIhFJUV9DTE9TRVBSSUNFX0FESgIAAAAKIjYvMy8yMDIyIgg2LzMvMjAyMgAAAAADAAAAAAAAAAUiWE9NIgNYT00BAAAAEyJJUV9DTE9TRVBSSUNFX0FESiIRSVFfQ0xPU0VQUklDRV9BREoCAAAACyI1LzI3LzIwMjIiCTUvMjcvMjAyMgAAAAADAAAAAAAAAAUiWE9NIgNYT00BAAAAEyJJUV9DTE9TRVBSSUNFX0FESiIRSVFfQ0xPU0VQUklDRV9BREoCAAAACyI1LzIwLzIwMjIiCTUvMjAvMjAyMgAAAAADAAAAAAAAAAUiWE9NIgNYT00BAAAAEyJJUV9DTE9TRVBSSUNFX0FESiIRSVFfQ0xPU0VQUklDRV9BREoCAAAACyI1LzEzLzIwMjIiCTUv</t>
  </si>
  <si>
    <t>MTMvMjAyMgAAAAADAAAAAAAAAAUiWE9NIgNYT00BAAAAEyJJUV9DTE9TRVBSSUNFX0FESiIRSVFfQ0xPU0VQUklDRV9BREoCAAAACiI1LzYvMjAyMiIINS82LzIwMjIAAAAAAwAAAAAAAAAFIlhPTSIDWE9NAQAAABMiSVFfQ0xPU0VQUklDRV9BREoiEUlRX0NMT1NFUFJJQ0VfQURKAgAAAAsiNC8yOS8yMDIyIgk0LzI5LzIwMjIAAAAAAwAAAAAAAAAFIlhPTSIDWE9NAQAAABMiSVFfQ0xPU0VQUklDRV9BREoiEUlRX0NMT1NFUFJJQ0VfQURKAgAAAAsiNC8yMi8yMDIyIgk0LzIyLzIwMjIAAAAAAwAAAAAAAAAFIlhPTSIDWE9NAQAAABMiSVFfQ0xPU0VQUklDRV9BREoiEUlRX0NMT1NFUFJJQ0VfQURKAgAAAAsiNC8xNC8yMDIyIgk0LzE0LzIwMjIAAAAAAwAAAAAAAAAFIlhPTSIDWE9NAQAAABMiSVFfQ0xPU0VQUklDRV9BREoiEUlRX0NMT1NFUFJJQ0VfQURKAgAAAAoiNC84LzIwMjIiCDQvOC8yMDIyAAAAAAMAAAAAAAAABSJYT00iA1hPTQEAAAATIklRX0NMT1NFUFJJQ0VfQURKIhFJUV9DTE9TRVBSSUNFX0FESgIAAAAKIjQvMS8yMDIyIgg0LzEvMjAyMgAAAAADAAAAAAAAAAUiWE9NIgNYT00BAAAAEyJJUV9DTE9TRVBSSUNFX0FESiIRSVFfQ0xPU0VQUklDRV9BREoCAAAACyIzLzI1LzIwMjIiCTMvMjUvMjAyMgAAAAADAAAAAAAAAAUiWE9NIgNYT00BAAAAEyJJUV9DTE9TRVBSSUNFX0FESiIRSVFf</t>
  </si>
  <si>
    <t>Q0xPU0VQUklDRV9BREoCAAAACyIzLzE4LzIwMjIiCTMvMTgvMjAyMgAAAAADAAAAAAAAAAUiWE9NIgNYT00BAAAAEyJJUV9DTE9TRVBSSUNFX0FESiIRSVFfQ0xPU0VQUklDRV9BREoCAAAACyIzLzExLzIwMjIiCTMvMTEvMjAyMgAAAAADAAAAAAAAAAUiWE9NIgNYT00BAAAAEyJJUV9DTE9TRVBSSUNFX0FESiIRSVFfQ0xPU0VQUklDRV9BREoCAAAACiIzLzQvMjAyMiIIMy80LzIwMjIAAAAAAwAAAAAAAAAFIlhPTSIDWE9NAQAAABMiSVFfQ0xPU0VQUklDRV9BREoiEUlRX0NMT1NFUFJJQ0VfQURKAgAAAAsiMi8yNS8yMDIyIgkyLzI1LzIwMjIAAAAAAwAAAAAAAAAFIlhPTSIDWE9NAQAAABMiSVFfQ0xPU0VQUklDRV9BREoiEUlRX0NMT1NFUFJJQ0VfQURKAgAAAAsiMi8xOC8yMDIyIgkyLzE4LzIwMjIAAAAAAwAAAAAAAAAFIlhPTSIDWE9NAQAAABMiSVFfQ0xPU0VQUklDRV9BREoiEUlRX0NMT1NFUFJJQ0VfQURKAgAAAAsiMi8xMS8yMDIyIgkyLzExLzIwMjIAAAAAAwAAAAAAAAAFIlhPTSIDWE9NAQAAABMiSVFfQ0xPU0VQUklDRV9BREoiEUlRX0NMT1NFUFJJQ0VfQURKAgAAAAoiMi80LzIwMjIiCDIvNC8yMDIyAAAAAAMAAAAAAAAABSJYT00iA1hPTQEAAAATIklRX0NMT1NFUFJJQ0VfQURKIhFJUV9DTE9TRVBSSUNFX0FESgIAAAALIjEvMjgvMjAyMiIJMS8yOC8yMDIyAAAAAAMAAAAAAAAABSJY</t>
  </si>
  <si>
    <t>T00iA1hPTQEAAAATIklRX0NMT1NFUFJJQ0VfQURKIhFJUV9DTE9TRVBSSUNFX0FESgIAAAALIjEvMjEvMjAyMiIJMS8yMS8yMDIyAAAAAAMAAAAAAAAABSJYT00iA1hPTQEAAAATIklRX0NMT1NFUFJJQ0VfQURKIhFJUV9DTE9TRVBSSUNFX0FESgIAAAALIjEvMTQvMjAyMiIJMS8xNC8yMDIyAAAAAAMAAAAAAAAABSJYT00iA1hPTQEAAAATIklRX0NMT1NFUFJJQ0VfQURKIhFJUV9DTE9TRVBSSUNFX0FESgIAAAAKIjEvNy8yMDIyIggxLzcvMjAyMgAAAAADAAAAAAAAAAUiWE9NIgNYT00BAAAAEyJJUV9DTE9TRVBSSUNFX0FESiIRSVFfQ0xPU0VQUklDRV9BREoCAAAADCIxMi8zMS8yMDIxIgoxMi8zMS8yMDIxAAAAAAMAAAAAAAAABSJYT00iA1hPTQEAAAATIklRX0NMT1NFUFJJQ0VfQURKIhFJUV9DTE9TRVBSSUNFX0FESgIAAAAMIjEyLzIzLzIwMjEiCjEyLzIzLzIwMjEAAAAAAwAAAAAAAAAFIlhPTSIDWE9NAQAAABMiSVFfQ0xPU0VQUklDRV9BREoiEUlRX0NMT1NFUFJJQ0VfQURKAgAAAAwiMTIvMTcvMjAyMSIKMTIvMTcvMjAyMQAAAAADAAAAAAAAAAUiWE9NIgNYT00BAAAAEyJJUV9DTE9TRVBSSUNFX0FESiIRSVFfQ0xPU0VQUklDRV9BREoCAAAADCIxMi8xMC8yMDIxIgoxMi8xMC8yMDIxAAAAAAMAAAAAAAAABSJYT00iA1hPTQEAAAATIklRX0NMT1NFUFJJQ0VfQURKIhFJUV9DTE9TRVBSSUNF</t>
  </si>
  <si>
    <t>X0FESgIAAAALIjEyLzMvMjAyMSIJMTIvMy8yMDIxAAAAAAMAAAAAAAAABSJYT00iA1hPTQEAAAATIklRX0NMT1NFUFJJQ0VfQURKIhFJUV9DTE9TRVBSSUNFX0FESgIAAAAMIjExLzI2LzIwMjEiCjExLzI2LzIwMjEAAAAAAwAAAAAAAAAFIlhPTSIDWE9NAQAAABMiSVFfQ0xPU0VQUklDRV9BREoiEUlRX0NMT1NFUFJJQ0VfQURKAgAAAAwiMTEvMTkvMjAyMSIKMTEvMTkvMjAyMQAAAAADAAAAAAAAAAUiWE9NIgNYT00BAAAAEyJJUV9DTE9TRVBSSUNFX0FESiIRSVFfQ0xPU0VQUklDRV9BREoCAAAADCIxMS8xMi8yMDIxIgoxMS8xMi8yMDIxAAAAAAMAAAAAAAAABSJYT00iA1hPTQEAAAATIklRX0NMT1NFUFJJQ0VfQURKIhFJUV9DTE9TRVBSSUNFX0FESgIAAAALIjExLzUvMjAyMSIJMTEvNS8yMDIxAAAAAAMAAAAAAAAABSJYT00iA1hPTQEAAAATIklRX0NMT1NFUFJJQ0VfQURKIhFJUV9DTE9TRVBSSUNFX0FESgIAAAAMIjEwLzI5LzIwMjEiCjEwLzI5LzIwMjEAAAAAAwAAAAAAAAAFIlhPTSIDWE9NAQAAABMiSVFfQ0xPU0VQUklDRV9BREoiEUlRX0NMT1NFUFJJQ0VfQURKAgAAAAwiMTAvMjIvMjAyMSIKMTAvMjIvMjAyMQAAAAADAAAAAAAAAAUiWE9NIgNYT00BAAAAEyJJUV9DTE9TRVBSSUNFX0FESiIRSVFfQ0xPU0VQUklDRV9BREoCAAAADCIxMC8xNS8yMDIxIgoxMC8xNS8yMDIxAAAAAAMAAAAA</t>
  </si>
  <si>
    <t>AAAABSJYT00iA1hPTQEAAAATIklRX0NMT1NFUFJJQ0VfQURKIhFJUV9DTE9TRVBSSUNFX0FESgIAAAALIjEwLzgvMjAyMSIJMTAvOC8yMDIxAAAAAAMAAAAAAAAABSJYT00iA1hPTQEAAAATIklRX0NMT1NFUFJJQ0VfQURKIhFJUV9DTE9TRVBSSUNFX0FESgIAAAALIjEwLzEvMjAyMSIJMTAvMS8yMDIxAAAAAAMAAAAAAAAABSJYT00iA1hPTQEAAAATIklRX0NMT1NFUFJJQ0VfQURKIhFJUV9DTE9TRVBSSUNFX0FESgIAAAALIjkvMjQvMjAyMSIJOS8yNC8yMDIxAAAAAAMAAAAAAAAABSJYT00iA1hPTQEAAAATIklRX0NMT1NFUFJJQ0VfQURKIhFJUV9DTE9TRVBSSUNFX0FESgIAAAALIjkvMTcvMjAyMSIJOS8xNy8yMDIxAAAAAAMAAAAAAAAABSJYT00iA1hPTQEAAAATIklRX0NMT1NFUFJJQ0VfQURKIhFJUV9DTE9TRVBSSUNFX0FESgIAAAALIjkvMTAvMjAyMSIJOS8xMC8yMDIxAAAAAAMAAAAAAAAABSJYT00iA1hPTQEAAAATIklRX0NMT1NFUFJJQ0VfQURKIhFJUV9DTE9TRVBSSUNFX0FESgIAAAAKIjkvMy8yMDIxIgg5LzMvMjAyMQAAAAADAAAAAAAAAAUiWE9NIgNYT00BAAAAEyJJUV9DTE9TRVBSSUNFX0FESiIRSVFfQ0xPU0VQUklDRV9BREoCAAAACyI4LzI3LzIwMjEiCTgvMjcvMjAyMQAAAAADAAAAAAAAAAUiWE9NIgNYT00BAAAAEyJJUV9DTE9TRVBSSUNFX0FESiIRSVFfQ0xPU0VQUklDRV9B</t>
  </si>
  <si>
    <t>REoCAAAACyI4LzIwLzIwMjEiCTgvMjAvMjAyMQAAAAADAAAAAAAAAAUiWE9NIgNYT00BAAAAEyJJUV9DTE9TRVBSSUNFX0FESiIRSVFfQ0xPU0VQUklDRV9BREoCAAAACyI4LzEzLzIwMjEiCTgvMTMvMjAyMQAAAAADAAAAAAAAAAUiWE9NIgNYT00BAAAAEyJJUV9DTE9TRVBSSUNFX0FESiIRSVFfQ0xPU0VQUklDRV9BREoCAAAACiI4LzYvMjAyMSIIOC82LzIwMjEAAAAAAwAAAAAAAAAFIlhPTSIDWE9NAQAAABMiSVFfQ0xPU0VQUklDRV9BREoiEUlRX0NMT1NFUFJJQ0VfQURKAgAAAAsiNy8zMC8yMDIxIgk3LzMwLzIwMjEAAAAAAwAAAAAAAAAFIlhPTSIDWE9NAQAAABMiSVFfQ0xPU0VQUklDRV9BREoiEUlRX0NMT1NFUFJJQ0VfQURKAgAAAAsiNy8yMy8yMDIxIgk3LzIzLzIwMjEAAAAAAwAAAAAAAAAFIlhPTSIDWE9NAQAAABMiSVFfQ0xPU0VQUklDRV9BREoiEUlRX0NMT1NFUFJJQ0VfQURKAgAAAAsiNy8xNi8yMDIxIgk3LzE2LzIwMjEAAAAAAwAAAAAAAAAFIlhPTSIDWE9NAQAAABMiSVFfQ0xPU0VQUklDRV9BREoiEUlRX0NMT1NFUFJJQ0VfQURKAgAAAAoiNy85LzIwMjEiCDcvOS8yMDIxAAAAAAMAAAAAAAAABSJYT00iA1hPTQEAAAATIklRX0NMT1NFUFJJQ0VfQURKIhFJUV9DTE9TRVBSSUNFX0FESgIAAAAKIjcvMi8yMDIxIgg3LzIvMjAyMQAAAAADAAAAAAAAAAUiWE9NIgNYT00BAAAAEyJJ</t>
  </si>
  <si>
    <t>UV9DTE9TRVBSSUNFX0FESiIRSVFfQ0xPU0VQUklDRV9BREoCAAAACyI2LzI1LzIwMjEiCTYvMjUvMjAyMQAAAAADAAAAAAAAAAUiWE9NIgNYT00BAAAAEyJJUV9DTE9TRVBSSUNFX0FESiIRSVFfQ0xPU0VQUklDRV9BREoCAAAACyI2LzE4LzIwMjEiCTYvMTgvMjAyMQAAAAADAAAAAAAAAAUiWE9NIgNYT00BAAAAEyJJUV9DTE9TRVBSSUNFX0FESiIRSVFfQ0xPU0VQUklDRV9BREoCAAAACyI2LzExLzIwMjEiCTYvMTEvMjAyMQAAAAADAAAAAAAAAAUiWE9NIgNYT00BAAAAEyJJUV9DTE9TRVBSSUNFX0FESiIRSVFfQ0xPU0VQUklDRV9BREoCAAAACiI2LzQvMjAyMSIINi80LzIwMjEAAAAAAwAAAAAAAAAFIlhPTSIDWE9NAQAAABMiSVFfQ0xPU0VQUklDRV9BREoiEUlRX0NMT1NFUFJJQ0VfQURKAgAAAAsiNS8yOC8yMDIxIgk1LzI4LzIwMjEAAAAAAwAAAAAAAAAFIlhPTSIDWE9NAQAAABMiSVFfQ0xPU0VQUklDRV9BREoiEUlRX0NMT1NFUFJJQ0VfQURKAgAAAAsiNS8yMS8yMDIxIgk1LzIxLzIwMjEAAAAAAwAAAAAAAAAFIlhPTSIDWE9NAQAAABMiSVFfQ0xPU0VQUklDRV9BREoiEUlRX0NMT1NFUFJJQ0VfQURKAgAAAAsiNS8xNC8yMDIxIgk1LzE0LzIwMjEAAAAAAwAAAAAAAAAFIlhPTSIDWE9NAQAAABMiSVFfQ0xPU0VQUklDRV9BREoiEUlRX0NMT1NFUFJJQ0VfQURKAgAAAAoiNS83LzIwMjEiCDUv</t>
  </si>
  <si>
    <t>Ny8yMDIxAAAAAAMAAAAAAAAABSJYT00iA1hPTQEAAAATIklRX0NMT1NFUFJJQ0VfQURKIhFJUV9DTE9TRVBSSUNFX0FESgIAAAALIjQvMzAvMjAyMSIJNC8zMC8yMDIxAAAAAAMAAAAAAAAABSJYT00iA1hPTQEAAAATIklRX0NMT1NFUFJJQ0VfQURKIhFJUV9DTE9TRVBSSUNFX0FESgIAAAALIjQvMjMvMjAyMSIJNC8yMy8yMDIxAAAAAAMAAAAAAAAABSJYT00iA1hPTQEAAAATIklRX0NMT1NFUFJJQ0VfQURKIhFJUV9DTE9TRVBSSUNFX0FESgIAAAALIjQvMTYvMjAyMSIJNC8xNi8yMDIxAAAAAAMAAAAAAAAABSJYT00iA1hPTQEAAAATIklRX0NMT1NFUFJJQ0VfQURKIhFJUV9DTE9TRVBSSUNFX0FESgIAAAAKIjQvOS8yMDIxIgg0LzkvMjAyMQAAAAADAAAAAAAAAAUiWE9NIgNYT00BAAAAEyJJUV9DTE9TRVBSSUNFX0FESiIRSVFfQ0xPU0VQUklDRV9BREoCAAAACiI0LzEvMjAyMSIINC8xLzIwMjEAAAAAAwAAAAAAAAAFIlhPTSIDWE9NAQAAABMiSVFfQ0xPU0VQUklDRV9BREoiEUlRX0NMT1NFUFJJQ0VfQURKAgAAAAsiMy8yNi8yMDIxIgkzLzI2LzIwMjEAAAAAAwAAAAAAAAAFIlhPTSIDWE9NAQAAABMiSVFfQ0xPU0VQUklDRV9BREoiEUlRX0NMT1NFUFJJQ0VfQURKAgAAAAsiMy8xOS8yMDIxIgkzLzE5LzIwMjEAAAAAAwAAAAAAAAAFIlhPTSIDWE9NAQAAABMiSVFfQ0xPU0VQUklDRV9BREoiEUlR</t>
  </si>
  <si>
    <t>X0NMT1NFUFJJQ0VfQURKAgAAAAsiMy8xMi8yMDIxIgkzLzEyLzIwMjEAAAAAAwAAAAAAAAAFIlhPTSIDWE9NAQAAABMiSVFfQ0xPU0VQUklDRV9BREoiEUlRX0NMT1NFUFJJQ0VfQURKAgAAAAoiMy81LzIwMjEiCDMvNS8yMDIxAAAAAAMAAAAAAAAABSJYT00iA1hPTQEAAAATIklRX0NMT1NFUFJJQ0VfQURKIhFJUV9DTE9TRVBSSUNFX0FESgIAAAALIjIvMjYvMjAyMSIJMi8yNi8yMDIxAAAAAAMAAAAAAAAABSJYT00iA1hPTQEAAAATIklRX0NMT1NFUFJJQ0VfQURKIhFJUV9DTE9TRVBSSUNFX0FESgIAAAALIjIvMTkvMjAyMSIJMi8xOS8yMDIxAAAAAAMAAAAAAAAABSJYT00iA1hPTQEAAAATIklRX0NMT1NFUFJJQ0VfQURKIhFJUV9DTE9TRVBSSUNFX0FESgIAAAALIjIvMTIvMjAyMSIJMi8xMi8yMDIxAAAAAAMAAAAAAAAABSJYT00iA1hPTQEAAAATIklRX0NMT1NFUFJJQ0VfQURKIhFJUV9DTE9TRVBSSUNFX0FESgIAAAAKIjIvNS8yMDIxIggyLzUvMjAyMQAAAAADAAAAAAAAAAUiWE9NIgNYT00BAAAAEyJJUV9DTE9TRVBSSUNFX0FESiIRSVFfQ0xPU0VQUklDRV9BREoCAAAACyIxLzI5LzIwMjEiCTEvMjkvMjAyMQAAAAADAAAAAAAAAAUiWE9NIgNYT00BAAAAEyJJUV9DTE9TRVBSSUNFX0FESiIRSVFfQ0xPU0VQUklDRV9BREoCAAAACyIxLzIyLzIwMjEiCTEvMjIvMjAyMQAAAAADAAAAAAAAAAUi</t>
  </si>
  <si>
    <t>WE9NIgNYT00BAAAAEyJJUV9DTE9TRVBSSUNFX0FESiIRSVFfQ0xPU0VQUklDRV9BREoCAAAACyIxLzE1LzIwMjEiCTEvMTUvMjAyMQAAAAADAAAAAAAAAAUiWE9NIgNYT00BAAAAEyJJUV9DTE9TRVBSSUNFX0FESiIRSVFfQ0xPU0VQUklDRV9BREoCAAAACiIxLzgvMjAyMSIIMS84LzIwMjEAAAAAAwAAAAAAAAAFIlhPTSIDWE9NAQAAABMiSVFfQ0xPU0VQUklDRV9BREoiEUlRX0NMT1NFUFJJQ0VfQURKAgAAAAwiMTIvMzEvMjAyMCIKMTIvMzEvMjAyMAAAAAADAAAAAAAAAAUiWE9NIgNYT00BAAAAEyJJUV9DTE9TRVBSSUNFX0FESiIRSVFfQ0xPU0VQUklDRV9BREoCAAAADCIxMi8yNC8yMDIwIgoxMi8yNC8yMDIwAAAAAAMAAAAAAAAABSJYT00iA1hPTQEAAAATIklRX0NMT1NFUFJJQ0VfQURKIhFJUV9DTE9TRVBSSUNFX0FESgIAAAAMIjEyLzE4LzIwMjAiCjEyLzE4LzIwMjAAAAAAAwAAAAAAAAAFIlhPTSIDWE9NAQAAABMiSVFfQ0xPU0VQUklDRV9BREoiEUlRX0NMT1NFUFJJQ0VfQURKAgAAAAwiMTIvMTEvMjAyMCIKMTIvMTEvMjAyMAAAAAADAAAAAAAAAAUiWE9NIgNYT00BAAAAEyJJUV9DTE9TRVBSSUNFX0FESiIRSVFfQ0xPU0VQUklDRV9BREoCAAAACyIxMi80LzIwMjAiCTEyLzQvMjAyMAAAAAADAAAAAAAAAAUiWE9NIgNYT00BAAAAEyJJUV9DTE9TRVBSSUNFX0FESiIRSVFfQ0xPU0VQUklD</t>
  </si>
  <si>
    <t>d9FQLHwk3gh30VAsfCTeCCZDSVEuLklRX1RPVEFMX1JFVkVOVUUuSVFfTFRNLi5MLi5VU0QuSAUAAAABAAAACAAAABQoSW52YWxpZCBJZGVudGlmaWVyKXfRUCx8JN4Id9FQLHwk3ggaQ0lRLi5JUV9OSS5JUV9DUS4uTC4uVVNELkgFAAAAAQAAAAgAAAAUKEludmFsaWQgSWRlbnRpZmllcil30VAsfCTeCHfRUCx8JN4IKUNJUS4uSVFfTklfMVlSX0FOTl9HUk9XVEguSVFfQ1EuLkwuLlVTRC5IBQAAAAEAAAAIAAAAFChJbnZhbGlkIElkZW50aWZpZXIpd9FQLHwk3gh30VAsfCTeCDhDSVEuLklRX1JFVFVSTl9JTlZFU1RFRF9DQVBJVEFMLklRX0NRLjkvMzAvMjAyNC5MLi5VU0QuSAUAAAAAAAAACAAAABQoSW52YWxpZCBJZGVudGlmaWVyKWqxEix8JN4I8e+8ED4l3gg5Q0lRLi5JUV9SRVRVUk5fSU5WRVNURURfQ0FQSVRBTC5JUV9MVE0uOS8zMC8yMDI0LkwuLlVTRC5IBQAAAAAAAAAIAAAAFChJbnZhbGlkIElkZW50aWZpZXIparESLHwk3gjfyLwQPiXeCDhDSVEuLklRX1JFVFVSTl9JTlZFU1RFRF9DQVBJVEFMLklRX0NRLjkvMzAvMjAyMy5MLi5VU0QuSAUAAAAAAAAACAAAABQoSW52YWxpZCBJZGVudGlmaWVyKWqxEix8JN4IT4e2ED4l3ggwQ0lRLi5JUV9SRVRVUk5fSU5WRVNURURfQ0FQSVRBTC5JUV9MVE0uLkwuLlVTRC5IBQAAAAEAAAAIAAAAFChJbnZhbGlkIElkZW50aWZpZXIparESLHwk3ghq</t>
  </si>
  <si>
    <t>sRIsfCTeCDhDSVEuLklRX1JFVFVSTl9JTlZFU1RFRF9DQVBJVEFMLklRX0NRLjMvMzEvMjAyNC5MLi5VU0QuSAUAAAAAAAAACAAAABQoSW52YWxpZCBJZGVudGlmaWVyKWqxEix8JN4IjZS5ED4l3gg5Q0lRLi5JUV9SRVRVUk5fSU5WRVNURURfQ0FQSVRBTC5JUV9MVE0uNi8zMC8yMDI0LkwuLlVTRC5IBQAAAAAAAAAIAAAAFChJbnZhbGlkIElkZW50aWZpZXIparESLHwk3ghQQrsQPiXeCDlDSVEuLklRX1JFVFVSTl9JTlZFU1RFRF9DQVBJVEFMLklRX0NRLjEyLzMxLzIwMjMuTC4uVVNELkgFAAAAAAAAAAgAAAAUKEludmFsaWQgSWRlbnRpZmllcilqsRIsfCTeCOoNuBA+Jd4IOkNJUS4uSVFfUkVUVVJOX0lOVkVTVEVEX0NBUElUQUwuSVFfTFRNLjEyLzMxLzIwMjMuTC4uVVNELkgFAAAAAAAAAAgAAAAUKEludmFsaWQgSWRlbnRpZmllcilqsRIsfCTeCOzmtxA+Jd4IOUNJUS4uSVFfUkVUVVJOX0lOVkVTVEVEX0NBUElUQUwuSVFfTFRNLjYvMzAvMjAyMy5MLi5VU0QuSAUAAAAAAAAACAAAABQoSW52YWxpZCBJZGVudGlmaWVyKWqxEix8JN4IibK0ED4l3gg5Q0lRLi5JUV9SRVRVUk5fSU5WRVNURURfQ0FQSVRBTC5JUV9MVE0uNi8zMC8yMDIyLkwuLlVTRC5IBQAAAAAAAAAIAAAAFChJbnZhbGlkIElkZW50aWZpZXIparESLHwk3gjJ1K0QPiXeCDpDSVEuLklRX1RPVEFMX1JFVl8xWVJfQU5OX0dST1dU</t>
  </si>
  <si>
    <t>SC5JUV9MVE0uNi8zMC8yMDIxLkwuLlVTRC5IBQAAAAAAAAAIAAAAFChJbnZhbGlkIElkZW50aWZpZXIparESLHwk3ghgCKgQPiXeCDtDSVEuLklRX1RPVEFMX1JFVl8xWVJfQU5OX0dST1dUSC5JUV9MVE0uMTIvMzEvMjAyMS5MLi5VU0QuSAUAAAAAAAAACAAAABQoSW52YWxpZCBJZGVudGlmaWVyKWqxEix8JN4IsTyrED4l3ggxQ0lRLi5JUV9UT1RBTF9SRVZfMVlSX0FOTl9HUk9XVEguSVFfTFRNLi5MLi5VU0QuSAUAAAABAAAACAAAABQoSW52YWxpZCBJZGVudGlmaWVyKWqxEix8JN4IarESLHwk3gg6Q0lRLi5JUV9UT1RBTF9SRVZfMVlSX0FOTl9HUk9XVEguSVFfTFRNLjMvMzEvMjAyMi5MLi5VU0QuSAUAAAAAAAAACAAAABQoSW52YWxpZCBJZGVudGlmaWVyKWqxEix8JN4IgjitED4l3gg6Q0lRLi5JUV9UT1RBTF9SRVZfMVlSX0FOTl9HUk9XVEguSVFfTFRNLjMvMzEvMjAyMS5MLi5VU0QuSAUAAAAAAAAACAAAABQoSW52YWxpZCBJZGVudGlmaWVyKWqxEix8JN4IqFqmED4l3gg7Q0lRLi5JUV9UT1RBTF9SRVZfMVlSX0FOTl9HUk9XVEguSVFfTFRNLjEyLzMxLzIwMjAuTC4uVVNELkgFAAAAAAAAAAgAAAAUKEludmFsaWQgSWRlbnRpZmllcilqsRIsfCTeCPuspBA+Jd4IOkNJUS4uSVFfVE9UQUxfUkVWXzFZUl9BTk5fR1JPV1RILklRX0xUTS42LzMwLzIwMjAuTC4uVVNELkgFAAAAAAAAAAgAAAAU</t>
  </si>
  <si>
    <t>KEludmFsaWQgSWRlbnRpZmllcilqsRIsfCTeCKl4oRA+Jd4IJ0NJUS5FT0cuSVFfTklfMVlSX0FOTl9HUk9XVEguLi5MLi5VU0QuSAEAAABcHQQAAgAAAAgtMjIuNTQ5MQEIAAAABQAAAAExAQAAAAstMTkxODE2OTMxNQMAAAADMTYwAgAAAAQ0MTk5BAAAAAEwBwAAAAoxMS8xNS8yMDI1CAAAAAk5LzMwLzIwMjUJAAAAATB30VAsfCTeCHfRUCx8JN4IHENJUS5DVlguSVFfRUJJVERBLi4uTC4uVVNELkgBAAAAyoABAAIAAAAFMzc2ODMBCAAAAAUAAAABMQEAAAALLTE5MTgwOTYzMjADAAAAAzE2MAIAAAAENDA1MQQAAAABMAcAAAAKMTEvMTUvMjAyNQgAAAAJOS8zMC8yMDI1CQAAAAEwd9FQLHwk3gi1k5MaPCXeCBxDSVEuRU9HLklRX0VCSVREQS4uLkwuLlVTRC5IAQAAAFwdBAACAAAABTExNzYwAQgAAAAFAAAAATEBAAAACy0xOTE4MTY5MzE1AwAAAAMxNjACAAAABDQwNTEEAAAAATAHAAAACjExLzE1LzIwMjUIAAAACTkvMzAvMjAyNQkAAAABMHfRUCx8JN4ItZOTGjwl3ggcQ0lRLkRWTi5JUV9FQklUREEuLi5MLi5VU0QuSAEAAAAOEQQAAgAAAAQ3NjcwAQgAAAAFAAAAATEBAAAACy0xOTE4MDI3NDM1AwAAAAMxNjACAAAABDQwNTEEAAAAATAHAAAACjExLzE1LzIwMjUIAAAACTkvMzAvMjAyNQkAAAABMHfRUCx8JN4IrGyTGjwl3ggbQ0lRLkJQLklRX0VCSVREQS4uLkwuLlVTRC5IAQAAAOIEBgACAAAA</t>
  </si>
  <si>
    <t>bnZhbGlkIElkZW50aWZpZXIpd9FQLHwk3ghsmcAQPiXeCDhDSVEuLklRX1JFVFVSTl9JTlZFU1RFRF9DQVBJVEFMLklRX0NRLjYvMzAvMjAyNS5MLi5VU0QuSAUAAAAAAAAACAAAABQoSW52YWxpZCBJZGVudGlmaWVyKXfRUCx8JN4IMG7CED4l3gg5Q0lRLi5JUV9SRVRVUk5fSU5WRVNURURfQ0FQSVRBTC5JUV9MVE0uMy8zMS8yMDI1LkwuLlVTRC5IBQAAAAAAAAAIAAAAFChJbnZhbGlkIElkZW50aWZpZXIpd9FQLHwk3ghgcsAQPiXeCDlDSVEuLklRX1JFVFVSTl9JTlZFU1RFRF9DQVBJVEFMLklRX0NRLjEyLzMxLzIwMjQuTC4uVVNELkgFAAAAAAAAAAgAAAAUKEludmFsaWQgSWRlbnRpZmllcil30VAsfCTeCJudvhA+Jd4IOUNJUS4uSVFfUkVUVVJOX0lOVkVTVEVEX0NBUElUQUwuSVFfTFRNLjYvMzAvMjAyNS5MLi5VU0QuSAUAAAAAAAAACAAAABQoSW52YWxpZCBJZGVudGlmaWVyKXfRUCx8JN4IJEfCED4l3gg0Q0lRLi5JUV9UT1RBTF9SRVZfMVlSX0FOTl9HUk9XVEguLjYvMzAvMjAyMy5MLi5VU0QuSAUAAAAAAAAACAAAABQoSW52YWxpZCBJZGVudGlmaWVyKXfRUCx8JN4ImCp6MHwk3gg4Q0lRLi5JUV9SRVRVUk5fSU5WRVNURURfQ0FQSVRBTC5JUV9DUS42LzMwLzIwMjMuTC4uVVNELkgFAAAAAAAAAAgAAAAUKEludmFsaWQgSWRlbnRpZmllcil30VAsfCTeCKDZtBA+Jd4IOUNJUS4uSVFfUkVU</t>
  </si>
  <si>
    <t>VVJOX0lOVkVTVEVEX0NBUElUQUwuSVFfTFRNLjMvMzEvMjAyNC5MLi5VU0QuSAUAAAAAAAAACAAAABQoSW52YWxpZCBJZGVudGlmaWVyKXfRUCx8JN4IjZS5ED4l3ggwQ0lRLi5JUV9UT1RBTF9SRVZFTlVFLklRX0xUTS4xMi8zMS8yMDI0LkwuLlVTRC5IBQAAAAAAAAAIAAAAFChJbnZhbGlkIElkZW50aWZpZXIpd9FQLHwk3ggq/b8QPiXeCCRDSVEuLklRX05JLklRX0xUTS4zLzMxLzIwMjUuTC4uVVNELkgFAAAAAAAAAAgAAAAUKEludmFsaWQgSWRlbnRpZmllcil30VAsfCTeCM2DwRA+Jd4IL0NJUS4uSVFfVE9UQUxfUkVWRU5VRS5JUV9MVE0uNi8zMC8yMDI1LkwuLlVTRC5IBQAAAAAAAAAIAAAAFChJbnZhbGlkIElkZW50aWZpZXIpd9FQLHwk3gjX9MMQPiXeCCRDSVEuLklRX05JLklRX0xUTS42LzMwLzIwMjUuTC4uVVNELkgFAAAAAAAAAAgAAAAUKEludmFsaWQgSWRlbnRpZmllcil30VAsfCTeCJ5/wxA+Jd4IL0NJUS4uSVFfVE9UQUxfUkVWRU5VRS5JUV9MVE0uOS8zMC8yMDI1LkwuLlVTRC5IBQAAAAAAAAAIAAAAFChJbnZhbGlkIElkZW50aWZpZXIpd9FQLHwk3gik8MUQPiXeCC9DSVEuLklRX1RPVEFMX1JFVkVOVUUuSVFfTFRNLjMvMzEvMjAyNS5MLi5VU0QuSAUAAAAAAAAACAAAABQoSW52YWxpZCBJZGVudGlmaWVyKXfRUCx8JN4IAvnBED4l3gglQ0lRLi5JUV9OSS5JUV9MVE0uMTIvMzEv</t>
  </si>
  <si>
    <t>MjAyNC5MLi5VU0QuSAUAAAAAAAAACAAAABQoSW52YWxpZCBJZGVudGlmaWVyKXfRUCx8JN4I+Ie/ED4l3ggkQ0lRLi5JUV9OSS5JUV9MVE0uOS8zMC8yMDI1LkwuLlVTRC5IBQAAAAAAAAAIAAAAFChJbnZhbGlkIElkZW50aWZpZXIpd9FQLHwk3ghaVMUQPiXeCDlDSVEuLklRX1RPVEFMX1JFVl8xWVJfQU5OX0dST1dUSC5JUV9DUS42LzMwLzIwMjUuTC4uVVNELkgFAAAAAAAAAAgAAAAUKEludmFsaWQgSWRlbnRpZmllcil30VAsfCTeCMHNwxA+Jd4II0NJUS4uSVFfTkkuSVFfQ1EuNi8zMC8yMDI1LkwuLlVTRC5IBQAAAAAAAAAIAAAAFChJbnZhbGlkIElkZW50aWZpZXIpd9FQLHwk3gief8MQPiXeCDlDSVEuLklRX1RPVEFMX1JFVl8xWVJfQU5OX0dST1dUSC5JUV9DUS45LzMwLzIwMjUuTC4uVVNELkgFAAAAAAAAAAgAAAAUKEludmFsaWQgSWRlbnRpZmllcil30VAsfCTeCI3JxRA+Jd4II0NJUS4uSVFfTkkuSVFfQ1EuOS8zMC8yMDI1LkwuLlVTRC5IBQAAAAAAAAAIAAAAFChJbnZhbGlkIElkZW50aWZpZXIpd9FQLHwk3ghxe8UQPiXeCC9DSVEuLklRX1RPVEFMX1JFVkVOVUUuSVFfQ1EuMTIvMzEvMjAyNC5MLi5VU0QuSAUAAAAAAAAACAAAABQoSW52YWxpZCBJZGVudGlmaWVyKXfRUCx8JN4IK1DHED4l3ggkQ0lRLi5JUV9OSS5JUV9DUS4xMi8zMS8yMDI0LkwuLlVTRC5IBQAAAAAAAAAIAAAAFChJ</t>
  </si>
  <si>
    <t>bnZhbGlkIElkZW50aWZpZXIpd9FQLHwk3ggOr78QPiXeCC5DSVEuLklRX1RPVEFMX1JFVkVOVUUuSVFfQ1EuNi8zMC8yMDI1LkwuLlVTRC5IBQAAAAAAAAAIAAAAFChJbnZhbGlkIElkZW50aWZpZXIpd9FQLHwk3ghBd8cQPiXeCC5DSVEuLklRX1RPVEFMX1JFVkVOVUUuSVFfQ1EuOS8zMC8yMDI1LkwuLlVTRC5IBQAAAAAAAAAIAAAAFChJbnZhbGlkIElkZW50aWZpZXIpd9FQLHwk3ghBd8cQPiXeCDpDSVEuLklRX1RPVEFMX1JFVl8xWVJfQU5OX0dST1dUSC5JUV9DUS4xMi8zMS8yMDI0LkwuLlVTRC5IBQAAAAAAAAAIAAAAFChJbnZhbGlkIElkZW50aWZpZXIpd9FQLHwk3ggg1r8QPiXeCC5DSVEuLklRX1RPVEFMX1JFVkVOVUUuSVFfQ1EuMy8zMS8yMDI1LkwuLlVTRC5IBQAAAAAAAAAIAAAAFChJbnZhbGlkIElkZW50aWZpZXIpd9FQLHwk3ggrUMcQPiXeCCNDSVEuLklRX05JLklRX0NRLjMvMzEvMjAyNS5MLi5VU0QuSAUAAAAAAAAACAAAABQoSW52YWxpZCBJZGVudGlmaWVyKXfRUCx8JN4I6KrBED4l3gg5Q0lRLi5JUV9UT1RBTF9SRVZfMVlSX0FOTl9HUk9XVEguSVFfQ1EuMy8zMS8yMDI1LkwuLlVTRC5IBQAAAAAAAAAIAAAAFChJbnZhbGlkIElkZW50aWZpZXIpd9FQLHwk3gjs0cEQPiXeCDhDSVEuLklRX1JFVFVSTl9JTlZFU1RFRF9DQVBJVEFMLklRX0NRLjYvMzAvMjAyNC5MLi5VU0QuSAUA</t>
  </si>
  <si>
    <t>AAAAAAAACAAAABQoSW52YWxpZCBJZGVudGlmaWVyKXfRUCx8JN4IUmm7ED4l3ggyQ0lRLi5JUV9OSV8xWVJfQU5OX0dST1dUSC5JUV9DUS42LzMwLzIwMjUuTC4uVVNELkgFAAAAAAAAAAgAAAAUKEludmFsaWQgSWRlbnRpZmllcil30VAsfCTeCJ5/wxA+Jd4IMkNJUS4uSVFfTklfMVlSX0FOTl9HUk9XVEguSVFfQ1EuOS8zMC8yMDI1LkwuLlVTRC5IBQAAAAAAAAAIAAAAFChJbnZhbGlkIElkZW50aWZpZXIpd9FQLHwk3ghaVMUQPiXeCDJDSVEuLklRX05JXzFZUl9BTk5fR1JPV1RILklRX0NRLjMvMzEvMjAyNS5MLi5VU0QuSAUAAAAAAAAACAAAABQoSW52YWxpZCBJZGVudGlmaWVyKXfRUCx8JN4IvVzBED4l3ggzQ0lRLi5JUV9OSV8xWVJfQU5OX0dST1dUSC5JUV9DUS4xMi8zMS8yMDI0LkwuLlVTRC5IBQAAAAAAAAAIAAAAFChJbnZhbGlkIElkZW50aWZpZXIpd9FQLHwk3gjrYL8QPiXeCDRDSVEuLklRX1RPVEFMX1JFVl8xWVJfQU5OX0dST1dUSC4uNi8zMC8yMDIyLkwuLlVTRC5IBQAAAAEAAAAIAAAAFChJbnZhbGlkIElkZW50aWZpZXIpd9FQLHwk3gh30VAsfCTeCDhDSVEuLklRX1JFVFVSTl9JTlZFU1RFRF9DQVBJVEFMLklRX0NRLjYvMzAvMjAyMi5MLi5VU0QuSAUAAAAAAAAACAAAABQoSW52YWxpZCBJZGVudGlmaWVyKXfRUCx8JN4I0futED4l3gg0Q0lRLi5JUV9UT1RBTF9SRVZfMVlSX0FO</t>
  </si>
  <si>
    <t>Tl9HUk9XVEguLjkvMzAvMjAyMy5MLi5VU0QuSAUAAAABAAAACAAAABQoSW52YWxpZCBJZGVudGlmaWVyKXfRUCx8JN4Id9FQLHwk3gg5Q0lRLi5JUV9SRVRVUk5fSU5WRVNURURfQ0FQSVRBTC5JUV9MVE0uOS8zMC8yMDIzLkwuLlVTRC5IBQAAAAAAAAAIAAAAFChJbnZhbGlkIElkZW50aWZpZXIpd9FQLHwk3gg1ObYQPiXeCDJDSVEuLklRX05JXzFZUl9BTk5fR1JPV1RILklRX0NRLjYvMzAvMjAyNC5MLi5VU0QuSAUAAAAAAAAACAAAABQoSW52YWxpZCBJZGVudGlmaWVyKXfRUCx8JN4Ie967ED4l3ggiQ0lRLi5JUV9FQklUREEuLjYvMzAvMjAyNC5MLi5VU0QuSAUAAAAAAAAACAAAABQoSW52YWxpZCBJZGVudGlmaWVyKXfRUCx8JN4IX2d5MHwk3ggjQ0lRLi5JUV9OSS5JUV9DUS42LzMwLzIwMjQuTC4uVVNELkgFAAAAAAAAAAgAAAAUKEludmFsaWQgSWRlbnRpZmllcil30VAsfCTeCKIsvBA+Jd4IL0NJUS4uSVFfVE9UQUxfUkVWRU5VRS5JUV9MVE0uNi8zMC8yMDI0LkwuLlVTRC5IBQAAAAAAAAAIAAAAFChJbnZhbGlkIElkZW50aWZpZXIpd9FQLHwk3gi5erwQPiXeCDlDSVEuLklRX1RPVEFMX1JFVl8xWVJfQU5OX0dST1dUSC5JUV9DUS42LzMwLzIwMjQuTC4uVVNELkgFAAAAAAAAAAgAAAAUKEludmFsaWQgSWRlbnRpZmllcil30VAsfCTeCLtTvBA+Jd4IJENJUS4uSVFfTkkuSVFfTFRNLjYvMzAv</t>
  </si>
  <si>
    <t>MjAyNC5MLi5VU0QuSAUAAAAAAAAACAAAABQoSW52YWxpZCBJZGVudGlmaWVyKXfRUCx8JN4IjAW8ED4l3ggtQ0lRLi5JUV9OSV8xWVJfQU5OX0dST1dUSC4uNi8zMC8yMDI0LkwuLlVTRC5IBQAAAAAAAAAIAAAAFChJbnZhbGlkIElkZW50aWZpZXIpd9FQLHwk3ghfZ3kwfCTeCC5DSVEuLklRX1RPVEFMX1JFVkVOVUUuSVFfQ1EuNi8zMC8yMDI0LkwuLlVTRC5IBQAAAAAAAAAIAAAAFChJbnZhbGlkIElkZW50aWZpZXIpd9FQLHwk3ggrUMcQPiXeCCNDSVEuLklRX0VCSVREQS4uMTIvMzEvMjAyMy5MLi5VU0QuSAUAAAAAAAAACAAAABQoSW52YWxpZCBJZGVudGlmaWVyKXfRUCx8JN4IPkB5MHwk3ggzQ0lRLi5JUV9OSV8xWVJfQU5OX0dST1dUSC5JUV9DUS4xMi8zMS8yMDIzLkwuLlVTRC5IBQAAAAAAAAAIAAAAFChJbnZhbGlkIElkZW50aWZpZXIpd9FQLHwk3ggpqrgQPiXeCC5DSVEuLklRX05JXzFZUl9BTk5fR1JPV1RILi4xMi8zMS8yMDIzLkwuLlVTRC5IBQAAAAAAAAAIAAAAFChJbnZhbGlkIElkZW50aWZpZXIpd9FQLHwk3gg+QHkwfCTeCDpDSVEuLklRX1RPVEFMX1JFVl8xWVJfQU5OX0dST1dUSC5JUV9DUS4xMi8zMS8yMDIzLkwuLlVTRC5IBQAAAAAAAAAIAAAAFChJbnZhbGlkIElkZW50aWZpZXIpd9FQLHwk3ghhH7kQPiXeCC9DSVEuLklRX1RPVEFMX1JFVkVOVUUuSVFfQ1EuMTIvMzEvMjAy</t>
  </si>
  <si>
    <t>My5MLi5VU0QuSAUAAAAAAAAACAAAABQoSW52YWxpZCBJZGVudGlmaWVyKXfRUCx8JN4IIynHED4l3ggkQ0lRLi5JUV9OSS5JUV9DUS4xMi8zMS8yMDIzLkwuLlVTRC5IBQAAAAAAAAAIAAAAFChJbnZhbGlkIElkZW50aWZpZXIpd9FQLHwk3ghH0bgQPiXeCDBDSVEuLklRX1RPVEFMX1JFVkVOVUUuSVFfTFRNLjEyLzMxLzIwMjMuTC4uVVNELkgFAAAAAAAAAAgAAAAUKEludmFsaWQgSWRlbnRpZmllcil30VAsfCTeCG1GuRA+Jd4IJUNJUS4uSVFfTkkuSVFfTFRNLjEyLzMxLzIwMjMuTC4uVVNELkgFAAAAAAAAAAgAAAAUKEludmFsaWQgSWRlbnRpZmllcil30VAsfCTeCEfRuBA+Jd4IOUNJUS4uSVFfVE9UQUxfUkVWXzFZUl9BTk5fR1JPV1RILklRX0NRLjYvMzAvMjAyMy5MLi5VU0QuSAUAAAAAAAAACAAAABQoSW52YWxpZCBJZGVudGlmaWVyKXfRUCx8JN4IDOu1ED4l3ggvQ0lRLi5JUV9UT1RBTF9SRVZFTlVFLklRX0xUTS42LzMwLzIwMjMuTC4uVVNELkgFAAAAAAAAAAgAAAAUKEludmFsaWQgSWRlbnRpZmllcil30VAsfCTeCCASthA+Jd4IIkNJUS4uSVFfRUJJVERBLi42LzMwLzIwMjMuTC4uVVNELkgFAAAAAAAAAAgAAAAUKEludmFsaWQgSWRlbnRpZmllcil30VAsfCTeCJgqejB8JN4ILUNJUS4uSVFfTklfMVlSX0FOTl9HUk9XVEguLjYvMzAvMjAyMy5MLi5VU0QuSAUAAAAAAAAACAAAABQoSW52</t>
  </si>
  <si>
    <t>YWxpZCBJZGVudGlmaWVyKXfRUCx8JN4ImCp6MHwk3ggyQ0lRLi5JUV9OSV8xWVJfQU5OX0dST1dUSC5JUV9DUS42LzMwLzIwMjMuTC4uVVNELkgFAAAAAAAAAAgAAAAUKEludmFsaWQgSWRlbnRpZmllcil30VAsfCTeCNx1tRA+Jd4IJENJUS4uSVFfTkkuSVFfTFRNLjYvMzAvMjAyMy5MLi5VU0QuSAUAAAAAAAAACAAAABQoSW52YWxpZCBJZGVudGlmaWVyKXfRUCx8JN4I65y1ED4l3ggjQ0lRLi5JUV9OSS5JUV9DUS42LzMwLzIwMjMuTC4uVVNELkgFAAAAAAAAAAgAAAAUKEludmFsaWQgSWRlbnRpZmllcil30VAsfCTeCOuctRA+Jd4ILkNJUS4uSVFfVE9UQUxfUkVWRU5VRS5JUV9DUS42LzMwLzIwMjMuTC4uVVNELkgFAAAAAAAAAAgAAAAUKEludmFsaWQgSWRlbnRpZmllcil30VAsfCTeCCMpxxA+Jd4IIkNJUS4uSVFfRUJJVERBLi45LzMwLzIwMjMuTC4uVVNELkgFAAAAAQAAAAgAAAAUKEludmFsaWQgSWRlbnRpZmllcil30VAsfCTeCHfRUCx8JN4IJENJUS4uSVFfTkkuSVFfTFRNLjkvMzAvMjAyMy5MLi5VU0QuSAUAAAAAAAAACAAAABQoSW52YWxpZCBJZGVudGlmaWVyKXfRUCx8JN4Ipkq3ED4l3gguQ0lRLi5JUV9UT1RBTF9SRVZFTlVFLklRX0NRLjkvMzAvMjAyMy5MLi5VU0QuSAUAAAAAAAAACAAAABQoSW52YWxpZCBJZGVudGlmaWVyKXfRUCx8JN4IIynHED4l3ggtQ0lRLi5JUV9OSV8xWVJf</t>
  </si>
  <si>
    <t>QU5OX0dST1dUSC4uOS8zMC8yMDIzLkwuLlVTRC5IBQAAAAEAAAAIAAAAFChJbnZhbGlkIElkZW50aWZpZXIpd9FQLHwk3gh30VAsfCTeCC9DSVEuLklRX1RPVEFMX1JFVkVOVUUuSVFfTFRNLjkvMzAvMjAyMy5MLi5VU0QuSAUAAAAAAAAACAAAABQoSW52YWxpZCBJZGVudGlmaWVyKXfRUCx8JN4I0b+3ED4l3gg5Q0lRLi5JUV9UT1RBTF9SRVZfMVlSX0FOTl9HUk9XVEguSVFfQ1EuOS8zMC8yMDIzLkwuLlVTRC5IBQAAAAAAAAAIAAAAFChJbnZhbGlkIElkZW50aWZpZXIpd9FQLHwk3gi6mLcQPiXeCCNDSVEuLklRX05JLklRX0NRLjkvMzAvMjAyMy5MLi5VU0QuSAUAAAAAAAAACAAAABQoSW52YWxpZCBJZGVudGlmaWVyKXfRUCx8JN4Ipkq3ED4l3ggyQ0lRLi5JUV9OSV8xWVJfQU5OX0dST1dUSC5JUV9DUS45LzMwLzIwMjMuTC4uVVNELkgFAAAAAAAAAAgAAAAUKEludmFsaWQgSWRlbnRpZmllcil30VAsfCTeCIwjtxA+Jd4IL0NJUS4uSVFfVE9UQUxfUkVWRU5VRS5JUV9MVE0uNi8zMC8yMDIyLkwuLlVTRC5IBQAAAAAAAAAIAAAAFChJbnZhbGlkIElkZW50aWZpZXIpd9FQLHwk3ghxgq8QPiXeCCJDSVEuLklRX0VCSVREQS4uNi8zMC8yMDIyLkwuLlVTRC5IBQAAAAEAAAAIAAAAFChJbnZhbGlkIElkZW50aWZpZXIpd9FQLHwk3gh30VAsfCTeCCRDSVEuLklRX05JLklRX0xUTS42LzMwLzIwMjIuTC4u</t>
  </si>
  <si>
    <t>VVNELkgFAAAAAAAAAAgAAAAUKEludmFsaWQgSWRlbnRpZmllcil30VAsfCTeCDDmrhA+Jd4ILUNJUS4uSVFfTklfMVlSX0FOTl9HUk9XVEguLjYvMzAvMjAyMi5MLi5VU0QuSAUAAAABAAAACAAAABQoSW52YWxpZCBJZGVudGlmaWVyKXfRUCx8JN4Id9FQLHwk3gguQ0lRLi5JUV9UT1RBTF9SRVZFTlVFLklRX0NRLjYvMzAvMjAyMi5MLi5VU0QuSAUAAAAAAAAACAAAABQoSW52YWxpZCBJZGVudGlmaWVyKXfRUCx8JN4ICQLHED4l3gg5Q0lRLi5JUV9UT1RBTF9SRVZfMVlSX0FOTl9HUk9XVEguSVFfQ1EuNi8zMC8yMDIyLkwuLlVTRC5IBQAAAAAAAAAIAAAAFChJbnZhbGlkIElkZW50aWZpZXIpd9FQLHwk3ghlW68QPiXeCCNDSVEuLklRX05JLklRX0NRLjYvMzAvMjAyMi5MLi5VU0QuSAUAAAAAAAAACAAAABQoSW52YWxpZCBJZGVudGlmaWVyKXfRUCx8JN4IMOauED4l3ggyQ0lRLi5JUV9OSV8xWVJfQU5OX0dST1dUSC5JUV9DUS42LzMwLzIwMjIuTC4uVVNELkgFAAAAAAAAAAgAAAAUKEludmFsaWQgSWRlbnRpZmllcil30VAsfCTeCCG/rhA+Jd4IOUNJUS4uSVFfVE9UQUxfUkVWXzFZUl9BTk5fR1JPV1RILklRX0NRLjkvMzAvMjAyNC5MLi5VU0QuSAUAAAAAAAAACAAAABQoSW52YWxpZCBJZGVudGlmaWVyKXfRUCx8JN4Iaii+ED4l3ggkQ0lRLi5JUV9OSS5JUV9MVE0uOS8zMC8yMDI0LkwuLlVTRC5I</t>
  </si>
  <si>
    <t>BQAAAAAAAAAIAAAAFChJbnZhbGlkIElkZW50aWZpZXIpd9FQLHwk3ggrjL0QPiXeCCJDSVEuLklRX0VCSVREQS4uOS8zMC8yMDI0LkwuLlVTRC5IBQAAAAAAAAAIAAAAFChJbnZhbGlkIElkZW50aWZpZXIpd9FQLHwk3ghgjnkwfCTeCC5DSVEuLklRX1RPVEFMX1JFVkVOVUUuSVFfQ1EuOS8zMC8yMDI0LkwuLlVTRC5IBQAAAAAAAAAIAAAAFChJbnZhbGlkIElkZW50aWZpZXIpd9FQLHwk3ggrUMcQPiXeCC1DSVEuLklRX05JXzFZUl9BTk5fR1JPV1RILi45LzMwLzIwMjQuTC4uVVNELkgFAAAAAAAAAAgAAAAUKEludmFsaWQgSWRlbnRpZmllcil30VAsfCTeCF9neTB8JN4IL0NJUS4uSVFfVE9UQUxfUkVWRU5VRS5JUV9MVE0uOS8zMC8yMDI0LkwuLlVTRC5IBQAAAAAAAAAIAAAAFChJbnZhbGlkIElkZW50aWZpZXIpd9FQLHwk3ghqKL4QPiXeCCNDSVEuLklRX05JLklRX0NRLjkvMzAvMjAyNC5MLi5VU0QuSAUAAAAAAAAACAAAABQoSW52YWxpZCBJZGVudGlmaWVyKXfRUCx8JN4IW9q9ED4l3ggyQ0lRLi5JUV9OSV8xWVJfQU5OX0dST1dUSC5JUV9DUS45LzMwLzIwMjQuTC4uVVNELkgFAAAAAAAAAAgAAAAUKEludmFsaWQgSWRlbnRpZmllcil30VAsfCTeCCllvRA+Jd4II0NJUS4uSVFfTkkuSVFfQ1EuMy8zMS8yMDI0LkwuLlVTRC5IBQAAAAAAAAAIAAAAFChJbnZhbGlkIElkZW50aWZpZXIpd9FQLHwk</t>
  </si>
  <si>
    <t>3gj6pboQPiXeCC9DSVEuLklRX1RPVEFMX1JFVkVOVUUuSVFfTFRNLjMvMzEvMjAyNC5MLi5VU0QuSAUAAAAAAAAACAAAABQoSW52YWxpZCBJZGVudGlmaWVyKXfRUCx8JN4IEc26ED4l3gguQ0lRLi5JUV9UT1RBTF9SRVZFTlVFLklRX0NRLjMvMzEvMjAyNC5MLi5VU0QuSAUAAAAAAAAACAAAABQoSW52YWxpZCBJZGVudGlmaWVyKXfRUCx8JN4IK1DHED4l3ggyQ0lRLi5JUV9OSV8xWVJfQU5OX0dST1dUSC5JUV9DUS4zLzMxLzIwMjQuTC4uVVNELkgFAAAAAAAAAAgAAAAUKEludmFsaWQgSWRlbnRpZmllcil30VAsfCTeCN9XuhA+Jd4IIkNJUS4uSVFfRUJJVERBLi4zLzMxLzIwMjQuTC4uVVNELkgFAAAAAAAAAAgAAAAUKEludmFsaWQgSWRlbnRpZmllcil30VAsfCTeCIsDejB8JN4IOUNJUS4uSVFfVE9UQUxfUkVWXzFZUl9BTk5fR1JPV1RILklRX0NRLjMvMzEvMjAyNC5MLi5VU0QuSAUAAAAAAAAACAAAABQoSW52YWxpZCBJZGVudGlmaWVyKXfRUCx8JN4IEc26ED4l3ggkQ0lRLi5JUV9OSS5JUV9MVE0uMy8zMS8yMDI0LkwuLlVTRC5IBQAAAAAAAAAIAAAAFChJbnZhbGlkIElkZW50aWZpZXIpd9FQLHwk3gjqfroQPiXeCC1DSVEuLklRX05JXzFZUl9BTk5fR1JPV1RILi4zLzMxLzIwMjQuTC4uVVNELkgFAAAAAAAAAAgAAAAUKEludmFsaWQgSWRlbnRpZmllcil30VAsfCTeCIsDejB8JN4IGkNJUS5e</t>
  </si>
  <si>
    <t>AAAUKEludmFsaWQgSWRlbnRpZmllcimrD5VdOyXeCF8WfBA+Jd4IOkNJUS4uSVFfVE9UQUxfUkVWXzFZUl9BTk5fR1JPV1RILklRX0xUTS42LzMwLzIwMTkuTC4uVVNELkgFAAAAAAAAAAgAAAAUKEludmFsaWQgSWRlbnRpZmllcimrD5VdOyXeCPfomhA+Jd4IOkNJUS4uSVFfVE9UQUxfUkVWXzFZUl9BTk5fR1JPV1RILklRX0xUTS45LzMwLzIwMTYuTC4uVVNELkgFAAAAAAAAAAgAAAAUKEludmFsaWQgSWRlbnRpZmllcimrD5VdOyXeCKHniBA+Jd4IOkNJUS4uSVFfVE9UQUxfUkVWXzFZUl9BTk5fR1JPV1RILklRX0xUTS4zLzMxLzIwMTYuTC4uVVNELkgFAAAAAAAAAAgAAAAUKEludmFsaWQgSWRlbnRpZmllcimrD5VdOyXeCEmzhRA+Jd4IOkNJUS4uSVFfVE9UQUxfUkVWXzFZUl9BTk5fR1JPV1RILklRX0xUTS4zLzMxLzIwMTMuTC4uVVNELkgFAAAAAAAAAAgAAAAUKEludmFsaWQgSWRlbnRpZmllcimrD5VdOyXeCIzHchA+Jd4IOkNJUS4uSVFfVE9UQUxfUkVWXzFZUl9BTk5fR1JPV1RILklRX0xUTS4zLzMxLzIwMjAuTC4uVVNELkgFAAAAAAAAAAgAAAAUKEludmFsaWQgSWRlbnRpZmllcimrD5VdOyXeCADLnxA+Jd4IO0NJUS4uSVFfVE9UQUxfUkVWXzFZUl9BTk5fR1JPV1RILklRX0xUTS4xMi8zMS8yMDEyLkwuLlVTRC5IBQAAAAAAAAAIAAAAFChJbnZhbGlkIElkZW50aWZpZXIpqw+VXTsl3gjf</t>
  </si>
  <si>
    <t>GXEQPiXeCDtDSVEuLklRX1RPVEFMX1JFVl8xWVJfQU5OX0dST1dUSC5JUV9MVE0uMTIvMzEvMjAxOC5MLi5VU0QuSAUAAAAAAAAACAAAABQoSW52YWxpZCBJZGVudGlmaWVyKasPlV07Jd4ItLSXED4l3gg6Q0lRLi5JUV9UT1RBTF9SRVZfMVlSX0FOTl9HUk9XVEguSVFfTFRNLjkvMzAvMjAxMi5MLi5VU0QuSAUAAAAAAAAACAAAABQoSW52YWxpZCBJZGVudGlmaWVyKasPlV07Jd4IT7pvED4l3gg7Q0lRLi5JUV9UT1RBTF9SRVZfMVlSX0FOTl9HUk9XVEguSVFfTFRNLjEyLzMxLzIwMTYuTC4uVVNELkgFAAAAAAAAAAgAAAAUKEludmFsaWQgSWRlbnRpZmllcimrD5VdOyXeCDluihA+Jd4IOkNJUS4uSVFfVE9UQUxfUkVWXzFZUl9BTk5fR1JPV1RILklRX0xUTS45LzMwLzIwMTMuTC4uVVNELkgFAAAAAAAAAAgAAAAUKEludmFsaWQgSWRlbnRpZmllcimrD5VdOyXeCNnUdRA+Jd4IOkNJUS4uSVFfVE9UQUxfUkVWXzFZUl9BTk5fR1JPV1RILklRX0xUTS42LzMwLzIwMTIuTC4uVVNELkgFAAAAAAAAAAgAAAAUKEludmFsaWQgSWRlbnRpZmllcimrD5VdOyXeCJ8MbhA+Jd4IOkNJUS4uSVFfVE9UQUxfUkVWXzFZUl9BTk5fR1JPV1RILklRX0xUTS42LzMwLzIwMTUuTC4uVVNELkgFAAAAAAAAAAgAAAAUKEludmFsaWQgSWRlbnRpZmllcimrD5VdOyXeCF3RgBA+Jd4IOkNJUS4uSVFfVE9UQUxfUkVWXzFZUl9B</t>
  </si>
  <si>
    <t>RC5IBQAAAAAAAAAIAAAAFChJbnZhbGlkIElkZW50aWZpZXIpqw+VXTsl3gjOgmcQPiXeCDpDSVEuLklRX1RPVEFMX1JFVl8xWVJfQU5OX0dST1dUSC5JUV9MVE0uMy8zMS8yMDEyLkwuLlVTRC5IBQAAAAAAAAAIAAAAFChJbnZhbGlkIElkZW50aWZpZXIpqw+VXTsl3gjrXmwQPiXeCDpDSVEuLklRX1RPVEFMX1JFVl8xWVJfQU5OX0dST1dUSC5JUV9MVE0uNi8zMC8yMDE0LkwuLlVTRC5IBQAAAAAAAAAIAAAAFChJbnZhbGlkIElkZW50aWZpZXIpqw+VXTsl3gjBj3oQPiXeCDpDSVEuLklRX1RPVEFMX1JFVl8xWVJfQU5OX0dST1dUSC5JUV9MVE0uMy8zMS8yMDExLkwuLlVTRC5IBQAAAAAAAAAIAAAAFChJbnZhbGlkIElkZW50aWZpZXIpqw+VXTsl3ggSrmUQPiXeCDpDSVEuLklRX1RPVEFMX1JFVl8xWVJfQU5OX0dST1dUSC5JUV9MVE0uMy8zMS8yMDEwLkwuLlVTRC5IBQAAAAAAAAAIAAAAFChJbnZhbGlkIElkZW50aWZpZXIpqw+VXTsl3gjJvl0QPiXeCDtDSVEuLklRX1RPVEFMX1JFVl8xWVJfQU5OX0dST1dUSC5JUV9MVE0uMTIvMzEvMjAxNy5MLi5VU0QuSAUAAAAAAAAACAAAABQoSW52YWxpZCBJZGVudGlmaWVyKasPlV07Jd4IASWRED4l3gg6Q0lRLi5JUV9UT1RBTF9SRVZfMVlSX0FOTl9HUk9XVEguSVFfTFRNLjkvMzAvMjAxMS5MLi5VU0QuSAUAAAAAAAAACAAAABQoSW52YWxpZCBJZGVudGlm</t>
  </si>
  <si>
    <t>AAkyNC4xNTAyMDgCAAAACTIwLjQ0MzM1OAIAAAAJMjIuMjgwODc0AgAAAAkyMS40ODU0MTICAAAACTIwLjU1NDcyMwIAAAAJMjAuMzc5NzIxAgAAAAkyMC41MDY5OTUCAAAACTIyLjc4OTk2OQIAAAAJMjMuMjUxMzM3AgAAAAkyMy42NzI5MzECAAAACTIxLjI3ODU5MwIAAAAJMjMuMjk5MDY0AgAAAAkyNC44OTI5NjICAAAACTIwLjg4MzA0MQIAAAAJMTkuOTMxNjY3AgAAAAkyMC43NDE1MTQCAAAACTIwLjYxNTcxMwIAAAAJMTguMzgyNzM3AgAAAAkxNi44NTczOTQCAAAACTE3LjIwMzM0OAIAAAAIMTcuMzI5MTUCAAAACTE4LjQ3NzA4OAIAAAAJMTcuODc5NTMxAgAAAAkxNy44NDgwODECAAAACTE5LjA2Njc4MgIAAAAJMTkuODkwOTMxAgAAAAkxNi43Mjk4MTkCAAAACTE2LjE3ODM3MQIAAAAJMTUuNTE4MTg4AgAAAAkxMy45MDI2ODECAAAACTEyLjc4NDI1MwIAAAAJMTMuODI1MDEzAgAAAAkxNS4xOTk3NDcCAAAACTE0LjA2NTc4NQIAAAAJMTIuMjc5NDA3AgAAAAkxMS45MDY1OTgCAAAACTEyLjEzOTYwNAIAAAAJMTIuNTUxMjQ3AgAAAAkxMi44OTUyNjMCAAAACTExLjM5OTA0MwIAAAAJMTAuMTQ5NjIxAgAAAAg5LjA4NTI5OeTpZCo9Jd4I5bnLGT4l3ghPQ0lRUkFOR0VWLkJQLklRX0NMT1NFUFJJQ0VfQURKLjExLzEyLzIwMjAuMTEvMTIvMjAyNS4uLkRFU0MuVy5JUV9DTE9TRVBSSUNFX0FESgQA</t>
  </si>
  <si>
    <t>MTcCAAAACTE5LjMxMTYzNgIAAAAJMTguMDkzMjg2AgAAAAkxNy4xMDU5MTICAAAACTE2LjI0NzEwMwIAAAAIMTcuMzQ3OTQCAAAACTE4LjYzNjE1NAIAAAAIMTguOTQwNjQCAAAACTE5LjA0OTk0MwIAAAAIMTYuMDIwNjkCAAAACTE2LjQ0MjI4NwIAAAAJMTYuOTczMTg3AgAAAAcxNy4xOTk2AgAAAAkxNy4zODY5NzcCAAAACTE2LjQ3MzUxNwIAAAAJMTUuMjE2NTMzAgAAAAkxNC42Nzc4MjXk6WQqPSXeCOW5yxk+Jd4IUENJUVJBTkdFVi5FT0cuSVFfQ0xPU0VQUklDRV9BREouMTEvMTIvMjAyMC4xMS8xMi8yMDI1Li4uREVTQy5XLklRX0NMT1NFUFJJQ0VfQURKBAAAAFwdBAAFAQAAAgAAAAYxMDUuNDECAAAABjEwNS44NAIAAAAGMTA2LjM4AgAAAAYxMDYuMjICAAAACjEwNy4wNDIyMDECAAAACjEwOS43NzU5NTICAAAACjExNi4xOTQzMjQCAAAACjExNC44OTY3ODMCAAAACjExNy4wMzYyNDECAAAACjExNi44MDg0MjgCAAAACjEyMy42MzI5MDECAAAACjExOS45NTgxODUCAAAACjExNy44NTgzNDcCAAAACTExNS4xNzQxMgIAAAAKMTE1LjQ5MTA3NwIAAAAKMTE3LjI2NDA1MwIAAAAKMTE2LjU2MDgwNgIAAAAKMTIwLjg2OTYzNQIAAAAKMTIwLjk3NzY5NQIAAAAKMTE4LjY2OTE0OAIAAAAKMTIzLjEwOTQxNwIAAAAKMTIzLjA3MDEyMwIAAAAKMTEyLjAzODIxNAIAAAAKMTA2LjY1NDg3OQIAAAAKMTA4</t>
  </si>
  <si>
    <t>MDgwMDMCAAAACTM1LjY2MjQzOQIAAAAJMzMuNTI1MzY05OlkKj0l3gjlucsZPiXeCFBDSVFSQU5HRVYuQ1ZYLklRX0NMT1NFUFJJQ0VfQURKLjExLzEyLzIwMjAuMTEvMTIvMjAyNS4uLkRFU0MuVy5JUV9DTE9TRVBSSUNFX0FESgQAAADKgAEABQEAAAIAAAAGMTU1LjAyAgAAAAYxNTcuNzICAAAABjE1NS41NgIAAAAGMTUzLjA4AgAAAAUxNDguOQIAAAAGMTUzLjU1AgAAAAYxNjAuMTYCAAAABjE1Ni4yMQIAAAAGMTU3LjExAgAAAAYxNTMuNjYCAAAABTE2MC42AgAAAAYxNTguMTgCAAAACjE1NC44MjY0NTgCAAAACjE1My4zMDM0MTMCAAAACjE0OS43MzMxNTcCAAAACjE1My4xMzUyODUCAAAACTE0OC4zODgxMwIAAAAJMTUzLjYwMDExAgAAAAoxNDYuNzM2NTE2AgAAAAkxNDIuMjA2OTQCAAAACjE0Ny45MDM1MjUCAAAACDE0NC4zMDM2AgAAAAoxMzguNjY2MzU0AgAAAAoxMzUuMTk0OTk3AgAAAAoxMzUuMDM2NzU5AgAAAAoxMzguODQ0MzcyAgAAAAkxMzUuMzE3MDgCAAAACjEzNS4zMjY4NTECAAAACjEzNS41NTE1ODICAAAACjEzNC43MTEyODUCAAAACjEzMi41MjI2MDUCAAAACjEzOS45OTczMzcCAAAACjE2Mi4yODQ3NDICAAAACjE2MC45NzU0NDICAAAACjE1My40MjI1NDMCAAAACjE1Mi43NTgxMjICAAAACjE1NC45ODU4ODUCAAAACjE1My4zMjQ4MzQCAAAACjE1MS43ODEwMzMCAAAACjE0Ny40</t>
  </si>
  <si>
    <t>AgAAAAk4Mi45NzIzMzYCAAAACTgyLjc3MDkwNgIAAAAJODcuMzQ1MDQ0AgAAAAk4OS4wMjM2MjYCAAAACTkwLjA1NTk1NQIAAAAJODYuNDcyMTgxAgAAAAk5MC41Njc5MjICAAAACDkxLjAyMTE0AgAAAAk4Ny4xMTAwNDICAAAACTg3LjM4NzAwOAIAAAAJOTAuNzY2MTY3AgAAAAk5MS4yMjIxOTUCAAAACTg1LjQ1OTY1OAIAAAAJODQuMTk5MzYzAgAAAAk4NS4zNjg0NTMCAAAACTg1LjMzNTI4NwIAAAAJODcuNjgxNzU5AgAAAAk4OS4xMTYxNzQCAAAACTg1LjcxNjY5MgIAAAAJOTIuNDk5MDczAgAAAAg5MC4zNzY0NwIAAAAJODIuOTE0MTkzAgAAAAk3OS40MzE3OTcCAAAACTc1LjY2NzQ5MgIAAAAJNzIuOTc3NjM3AgAAAAk2OS42NTgyNDICAAAACTc0Ljk5NzA3MgIAAAAJNzUuMjkxNDAzAgAAAAk3NC40NjU2NDICAAAACTY5LjA0NTA1NAIAAAAJNjkuNzY0NTI4AgAAAAk3MS4yODUyMzcCAAAACTc1LjU4NTczNAIAAAAJNzYuMjY0MzI5AgAAAAk3NC42NTM2ODcCAAAACTcwLjE0MDYxOAIAAAAJNjYuODk5NzAz5OlkKj0l3gjlucsZPiXeCEhDSVFSQU5HRVYuXkhHLklRX0NMT1NFUFJJQ0UuMTEvMTIvMjAyMC4xMS8xMi8yMDI1Li4uREVTQy5XLklRX0NMT1NFUFJJQ0UEAAAAZoE1AwUBAAACAAAABTQuOTU3AgAAAAU1LjA4OQIAAAAGNS4xMjI1AgAAAAY0Ljk2OTUCAAAABTQuODk0AgAAAAU1LjEwOQIA</t>
  </si>
  <si>
    <t>LjQ2MzUCAAAABjQuMzg3NQIAAAAGNC4yOTA1AgAAAAU0LjI4NAIAAAAGNC4yNjY1AgAAAAY0LjI4MzUCAAAABjQuNDA3NQIAAAAGNC40NDk1AgAAAAU0LjM0MwIAAAAFNC4zNjgCAAAABTQuNDk4AgAAAAY0LjcyOTUCAAAABjQuMjc1NQIAAAAGNC4xODg1AgAAAAU0LjI4NAIAAAAGNC4yNDI1AgAAAAU0LjQ0OAIAAAAGNC4zMjU1AgAAAAY0LjMxODUCAAAABTQuMTM3AgAAAAY0LjM5MTUCAAAABTQuMzQ4AgAAAAY0LjQ4MjUCAAAAAzQuNAIAAAAFNC4zMjMCAAAABjQuMzQ1NQIAAAAFNC4yNzYCAAAABTQuMjkyAgAAAAU0LjE1NwIAAAAGNC41Mzc1AgAAAAU0LjUyOQIAAAAGNC42Nzc1AgAAAAU0LjQ4MQIAAAAGNC42NTQ1AgAAAAY0Ljc0ODUCAAAABTQuNDY4AgAAAAU0LjMzNgIAAAAFNC4xNjgCAAAABDQuMDQCAAAABjMuOTkwNQIAAAAFNC4wNjgCAAAABTQuMTEzAgAAAAQ0LjE0AgAAAAY0LjA3NTUCAAAABjQuMDkyNQIAAAAFNC4wNzQCAAAABTMuNzg4AgAAAAUzLjYyNgIAAAAFMy41NTYCAAAABTMuNjI2AgAAAAUzLjYwMgIAAAAGMy42NzM1AgAAAAUzLjUxOQIAAAAGMy41NTg1AgAAAAYzLjYyNzUCAAAABjMuNTIzNQIAAAAFMy41MTQCAAAABjMuMzk5NQIAAAAFMy4yOTECAAAABTMuMTc45OlkKj0l3gjlucsZPiXeCFBDSVFSQU5HRVYuWE9NLklRX0NMT1NFUFJJQ0VfQURKLjExLzEyLzIwMjAuMTEv</t>
  </si>
  <si>
    <t>NDkuNjg3MTU4AgAAAAg1MS4yNDcyNgIAAAAJNTEuODkxMTg2AgAAAAg0Ny41NzczMQIAAAAJNDYuMTg5MjIzAgAAAAg0Ny4wOTUyMgIAAAAINDYuNDM4NTgCAAAACTQ3LjcwMTk4OQIAAAAINDcuOTY3OTcCAAAACTQ2Ljk1MzkxOAIAAAAJNTEuNTA4ODM5AgAAAAk1MC42NDQ0MDECAAAACTQ1LjE5MTc5NQIAAAAJNDMuNTI5NDE1AgAAAAk0MS45OTE3MTQCAAAACTQwLjgyNDY0MgIAAAAJMzYuNjQ4MTg3AgAAAAkzOC43NjUwMjECAAAACTM5LjE0MDk4MwIAAAAIMzcuMTU0OTICAAAACTMzLjY4OTUyNAIAAAAJMzQuMDAwMTAyAgAAAAkzNC45MjM2NjMCAAAACTM1Ljc5ODE4NQIAAAAJMzQuMDY1NDg3AgAAAAkzMi44NDc2OTUCAAAACTMwLjE5MTQzNwIAAAAIMjkuNDg4NTXk6WQqPSXeCOW5yxk+Jd4IRUNJUVJBTkdFLkNPUC5JUV9QUklDRURBVEUuMTEvMTIvMjAyMC4xMS8xMi8yMDI1Li4uREVTQy5XLklRX1BSSUNFREFURQMAAABPhgQABQEAAAAAAAADAAAAAAAAAAUiQ09QIgNDT1ABAAAADiJJUV9QUklDRURBVEUiDElRX1BSSUNFREFURQIAAAALIjExLzcvMjAyNSIJMTEvNy8yMDI1AAAAAAMAAAAAAAAABSJDT1AiA0NPUAEAAAAOIklRX1BSSUNFREFURSIMSVFfUFJJQ0VEQVRFAgAAAAwiMTAvMzEvMjAyNSIKMTAvMzEvMjAyNQAAAAADAAAAAAAAAAUiQ09QIgNDT1ABAAAADiJJUV9QUklDRURBVEUi</t>
  </si>
  <si>
    <t>NTICAAAABTQ4LjIzAgAAAAU0OS4yNAIAAAAFNDYuNzUCAAAABTQ2LjI2AgAAAAU0NS41MwIAAAAFNDIuNDICAAAABDQwLjTnN2UqPSXeCOW5yxk+Jd4IUENJUVJBTkdFVi5DT1AuSVFfQ0xPU0VQUklDRV9BREouMTEvMTIvMjAyMC4xMS8xMi8yMDI1Li4uREVTQy5XLklRX0NMT1NFUFJJQ0VfQURKBAAAAE+GBAAFAQAAAgAAAAU4Ni44MwIAAAAFODguODYCAAAABTg4LjAzAgAAAAU4Ni40OAIAAAAFODcuNjQCAAAABTk0LjE2AgAAAAU5OC40OAIAAAAFOTEuOTICAAAABTkyLjQzAgAAAAU5Mi45NQIAAAAFOTguOTcCAAAABTk2Ljc4AgAAAAU5NC41NQIAAAAJOTMuMTQxNjE5AgAAAAk5Mi4wMDEwMjgCAAAACTk0LjE3MzEwOQIAAAAJOTAuODkwMTkyAgAAAAk5NC44Mjc3MDkCAAAABzkyLjkxMzUCAAAACDg5LjQzMjIyAgAAAAk5My45MTUyMzcCAAAACTk2LjE2NjY2MwIAAAAJODYuNTA2MzU3AgAAAAk4NC42NTE2NTcCAAAACTg0LjQ5Mjk2NwIAAAAIOTAuOTAwMTECAAAACTg3LjEyMzY2OQIAAAAJODkuODk2OTkzAgAAAAk5MC4yMDE4NjICAAAACTg3LjUwNzIxNAIAAAAJODQuOTYwMDgzAgAAAAk4NC44NjE3MzkCAAAACjEwMC42NzU1ODUCAAAACjEwMC4yMzMwMzMCAAAACTk3LjMxMjE5MgIAAAAJODkuMTI5OTA0AgAAAAk5Ny41MDg4ODICAAAACTk2LjMxODkwOQIAAAAJOTQuNjY2NzE2AgAAAAg5NS45</t>
  </si>
  <si>
    <t>NzUCAAAACTQ5LjMyMzM4OQIAAAAJNTEuNDE1MzI1AgAAAAk1MS4zMTI0NDMCAAAACTQ3Ljc4ODczMQIAAAAJNDcuNzExNTY5AgAAAAk0OC40NTc0NjUCAAAACTQ4LjU3NjczMwIAAAAJNDMuNTA2Mzc3AgAAAAk0Mi4yOTgzMzkCAAAACTQzLjQ2Mzg0MQIAAAAJNDMuNTgyOTQzAgAAAAk0NS45NTY0ODICAAAACTQ2LjgyNDIyOAIAAAAJNDQuNzQ4NDQ0AgAAAAk1MC4zNTQ3NjECAAAACTQ5LjYzMTYzOQIAAAAJNDQuMjQ2NTEzAgAAAAk0MS4xOTIzODkCAAAACTQwLjEyMDQ2OAIAAAAJMzcuNDQ1NTYxAgAAAAkzMy43NDQ4NDECAAAACTM1Ljk4NzE5MQIAAAAJMzguMDM1NjU0AgAAAAkzNy42ODE1OTgCAAAACTMzLjcxMTEyMQIAAAAJMzMuMjg5NjI3AgAAAAgzNC41NDU2OAIAAAAJMzYuNjUzMTUyAgAAAAkzNy4zMTkxMTMCAAAACDM2LjA2MzA2AgAAAAkzMy40MjQ1MDUCAAAACTI5LjgwODA4M+c3ZSo9Jd4I2ZLLGT4l3ghQQ0lRUkFOR0VWLklRVDQ2MTU2NTE2LklRX0NMT1NFUFJJQ0UuMTEvMTIvMjAyMC4xMS8xMi8yMDI1Li4uREVTQy5XLklRX0NMT1NFUFJJQ0UEAAAAm7goAAUBAAACAAAAEDEyODczLjY4NDYzNDgzMjMCAAAAEDEzMDg1LjA5Nzg1NTYxNDECAAAAEDEyOTkxLjQ0MzE5MjQyMzICAAAADzEyNzQ2LjM5NzE2OTMwOAIAAAAQMTI1MzIuMTM3MDQ0MTEzNAIAAAAQMTI4NDIuMjAxODM3OTky</t>
  </si>
  <si>
    <t>AgAAABA3NzMwLjExMTcyMDQyOTUxAgAAABA3NjM0LjQxNTU3ODA1ODc2AgAAABA3NjMxLjc5MTk4NzE2MTczAgAAABA3NjQwLjY3NTMxODYzMjQ4AgAAABA3NTM2LjM5NDYwMTU2MTk0AgAAABA3MzM1LjI5Mjc0OTA3ODE4AgAAABA3MjUxLjYzNjAwNzA0NTY3AgAAABA3MTM5LjAwNjMzNTI4NDA2AgAAABA3MTkyLjk5MDY4OTg1MDU1AgAAABA3MDA1LjcxMjI2Mjk2NzQ2AgAAABA2OTQ4LjA5ODA5MzU4MTU3AgAAABA3MTIwLjQ0MzU1NTI1NDM1AgAAABA3MTY5Ljc4MzAyNzY1MzY2AgAAABA3MDc5Ljk4NjIxMTI3NTAzAgAAABA2NzY0LjU3ODg4MTMwMjM3AgAAABA2OTk1LjExMjQ0MzgxOTczAgAAABA2ODYxLjE0NzM3Njg1OTA3AgAAABA2OTYzLjE3NjQxNjAyNzc3AgAAABA2ODM1LjcyNTQzODY3NTA1AgAAABA2NzM4LjM1OTM1MTA5MjE2AgAAABA2NzQ4LjgzMjYxNDQyNjI2AgAAABA2NjYzLjc0NzM1OTI5OTA2AgAAABA2NzI3LjgwNjg4OTMzMjY2AgAAABA2NjE0LjgzNzg4NzQ5MzI3AgAAABA2NDY2LjczNDQ1NzkzNTQ3AgAAABA2NTE1LjAxNDYxNDAxODA55zdlKj0l3gjZkssZPiXeCE5DSVFSQU5HRVYuXlNQNTAwLTEwLklRX0NMT1NFUFJJQ0UuMTEvMTIvMjAyMC4xMS8xMi8yMDI1Li4uREVTQy5XLklRX0NMT1NFUFJJQ0UEAAAATsMoAAUBAAACAAAAEDY4NC43MTg0NjYyMTQyNTQCAAAAEDY3</t>
  </si>
  <si>
    <t>ODkwODcCAAAAEDQxMy40NzE3NDE3ODcwNjcCAAAAEDQxNS44NDc5NjY0NzQ0NzMCAAAAEDM4OS44MTY1ODc5Mzk4MTECAAAAEDM4OS45MDc5ODMyMTY3MTMCAAAAEDQwMS4yODkyNzUzNzY4NzICAAAAEDQwNC42NTEzNzM4MzIyMTgCAAAAEDM3MS42MDA2ODI0OTM2ODkCAAAAEDM1OC43Mzc1MjEyMTkwNzkCAAAAEDM2NS4xODg2Mjk5OTI1MjkCAAAAEDM2NC4zNTA0MDEyMDc2MzQCAAAAEDM3OS43MTE0MDk3MTE4MzICAAAAEDM4MS4xODE1OTMzODEwNTkCAAAAEDM3MC4xMTE1NDA2NjEwNDgCAAAAEDQwMC44MTgwNzg5MTU1NjQCAAAAEDM5Ni41MzcyNzAwMjk1MjgCAAAAEDM2MC4xOTAwNjYxMzMzNTICAAAAEDM0NS4yMjU3NTExMjA3ODkCAAAAEDMzNC45OTQ4MTU4OTI1MDECAAAAEDMyMS4wOTgzODEwMTAzODgCAAAAEDI5Ni41MTUzMzIyMTU3MTQCAAAADzMxNy41NDA2MjEwNDM3OQIAAAAQMzIyLjU4NDc1MDcwNjU1OQIAAAAQMzEyLjc3OTU3NjcyODc3NgIAAAAQMjg2LjE0MTQwNDU0OTQ5NwIAAAAQMjg3LjM4MTU4MTgwMzQzNwIAAAAQMjkzLjMzMzUzMDMzMDc0OQIAAAAQMzA2LjM4MDIxMDYzMzAyNgIAAAAQMzAyLjkzNjEyMzIzOTUwOAIAAAAQMjg5Ljk4NjQ3NDU3OTQzNAIAAAAQMjY3LjI0MjYxNzQ1NTY5NAIAAAAQMjU0LjU1MTQ4ODg4Njg5Muc3ZSo9Jd4I2ZLLGT4l3ggiQ0lRLlhPTS5J</t>
  </si>
  <si>
    <t>RV9BREoCAAAADCIxMS8yNy8yMDIwIgoxMS8yNy8yMDIwAAAAAAMAAAAAAAAABSJYT00iA1hPTQEAAAATIklRX0NMT1NFUFJJQ0VfQURKIhFJUV9DTE9TRVBSSUNFX0FESgIAAAAMIjExLzIwLzIwMjAiCjExLzIwLzIwMjAAAAAAAwAAAAAAAAAFIlhPTSIDWE9NAQAAABMiSVFfQ0xPU0VQUklDRV9BREoiEUlRX0NMT1NFUFJJQ0VfQURKAgAAAAwiMTEvMTMvMjAyMCIKMTEvMTMvMjAyMHlYsmE9Jd4IeViyYT0l3gg6Q0lRLi5JUV9SRVRVUk5fSU5WRVNURURfQ0FQSVRBTC5JUV9MVE0uMTIvMzEvMjAwOS5MLi5VU0QuSAMAAABPhgQAPAAAAAAAAAADAAAAAAAAAAUiQ09QIgNDT1ABAAAADiJJUV9QUklDRURBVEUiDElRX1BSSUNFREFURQIAAAAMIjEwLzMxLzIwMjUiCjEwLzMxLzIwMjUAAAAAAwAAAAAAAAAFIkNPUCIDQ09QAQAAAA4iSVFfUFJJQ0VEQVRFIgxJUV9QUklDRURBVEUCAAAACyI5LzMwLzIwMjUiCTkvMzAvMjAyNQAAAAADAAAAAAAAAAUiQ09QIgNDT1ABAAAADiJJUV9QUklDRURBVEUiDElRX1BSSUNFREFURQIAAAALIjgvMjkvMjAyNSIJOC8yOS8yMDI1AAAAAAMAAAAAAAAABSJDT1AiA0NPUAEAAAAOIklRX1BSSUNFREFURSIMSVFfUFJJQ0VEQVRFAgAAAAsiNy8zMS8yMDI1Igk3LzMxLzIwMjUAAAAAAwAAAAAAAAAFIkNPUCIDQ09QAQAAAA4iSVFfUFJJQ0VEQVRFIgxJUV9QUklDRURBVEUC</t>
  </si>
  <si>
    <t>AAAACyI2LzMwLzIwMjUiCTYvMzAvMjAyNQAAAAADAAAAAAAAAAUiQ09QIgNDT1ABAAAADiJJUV9QUklDRURBVEUiDElRX1BSSUNFREFURQIAAAALIjUvMzAvMjAyNSIJNS8zMC8yMDI1AAAAAAMAAAAAAAAABSJDT1AiA0NPUAEAAAAOIklRX1BSSUNFREFURSIMSVFfUFJJQ0VEQVRFAgAAAAsiNC8zMC8yMDI1Igk0LzMwLzIwMjUAAAAAAwAAAAAAAAAFIkNPUCIDQ09QAQAAAA4iSVFfUFJJQ0VEQVRFIgxJUV9QUklDRURBVEUCAAAACyIzLzMxLzIwMjUiCTMvMzEvMjAyNQAAAAADAAAAAAAAAAUiQ09QIgNDT1ABAAAADiJJUV9QUklDRURBVEUiDElRX1BSSUNFREFURQIAAAALIjIvMjgvMjAyNSIJMi8yOC8yMDI1AAAAAAMAAAAAAAAABSJDT1AiA0NPUAEAAAAOIklRX1BSSUNFREFURSIMSVFfUFJJQ0VEQVRFAgAAAAsiMS8zMS8yMDI1IgkxLzMxLzIwMjUAAAAAAwAAAAAAAAAFIkNPUCIDQ09QAQAAAA4iSVFfUFJJQ0VEQVRFIgxJUV9QUklDRURBVEUCAAAADCIxMi8zMS8yMDI0IgoxMi8zMS8yMDI0AAAAAAMAAAAAAAAABSJDT1AiA0NPUAEAAAAOIklRX1BSSUNFREFURSIMSVFfUFJJQ0VEQVRFAgAAAAwiMTEvMjkvMjAyNCIKMTEvMjkvMjAyNAAAAAADAAAAAAAAAAUiQ09QIgNDT1ABAAAADiJJUV9QUklDRURBVEUiDElRX1BSSUNFREFURQIAAAAMIjEwLzMxLzIwMjQiCjEwLzMxLzIwMjQAAAAAAwAAAAAA</t>
  </si>
  <si>
    <t>AAAFIkNPUCIDQ09QAQAAAA4iSVFfUFJJQ0VEQVRFIgxJUV9QUklDRURBVEUCAAAACyI5LzMwLzIwMjQiCTkvMzAvMjAyNAAAAAADAAAAAAAAAAUiQ09QIgNDT1ABAAAADiJJUV9QUklDRURBVEUiDElRX1BSSUNFREFURQIAAAALIjgvMzAvMjAyNCIJOC8zMC8yMDI0AAAAAAMAAAAAAAAABSJDT1AiA0NPUAEAAAAOIklRX1BSSUNFREFURSIMSVFfUFJJQ0VEQVRFAgAAAAsiNy8zMS8yMDI0Igk3LzMxLzIwMjQAAAAAAwAAAAAAAAAFIkNPUCIDQ09QAQAAAA4iSVFfUFJJQ0VEQVRFIgxJUV9QUklDRURBVEUCAAAACyI2LzI4LzIwMjQiCTYvMjgvMjAyNAAAAAADAAAAAAAAAAUiQ09QIgNDT1ABAAAADiJJUV9QUklDRURBVEUiDElRX1BSSUNFREFURQIAAAALIjUvMzEvMjAyNCIJNS8zMS8yMDI0AAAAAAMAAAAAAAAABSJDT1AiA0NPUAEAAAAOIklRX1BSSUNFREFURSIMSVFfUFJJQ0VEQVRFAgAAAAsiNC8zMC8yMDI0Igk0LzMwLzIwMjQAAAAAAwAAAAAAAAAFIkNPUCIDQ09QAQAAAA4iSVFfUFJJQ0VEQVRFIgxJUV9QUklDRURBVEUCAAAACyIzLzI4LzIwMjQiCTMvMjgvMjAyNAAAAAADAAAAAAAAAAUiQ09QIgNDT1ABAAAADiJJUV9QUklDRURBVEUiDElRX1BSSUNFREFURQIAAAALIjIvMjkvMjAyNCIJMi8yOS8yMDI0AAAAAAMAAAAAAAAABSJDT1AiA0NPUAEAAAAOIklRX1BSSUNFREFURSIMSVFfUFJJQ0VE</t>
  </si>
  <si>
    <t>QVRFAgAAAAsiMS8zMS8yMDI0IgkxLzMxLzIwMjQAAAAAAwAAAAAAAAAFIkNPUCIDQ09QAQAAAA4iSVFfUFJJQ0VEQVRFIgxJUV9QUklDRURBVEUCAAAADCIxMi8yOS8yMDIzIgoxMi8yOS8yMDIzAAAAAAMAAAAAAAAABSJDT1AiA0NPUAEAAAAOIklRX1BSSUNFREFURSIMSVFfUFJJQ0VEQVRFAgAAAAwiMTEvMzAvMjAyMyIKMTEvMzAvMjAyMwAAAAADAAAAAAAAAAUiQ09QIgNDT1ABAAAADiJJUV9QUklDRURBVEUiDElRX1BSSUNFREFURQIAAAAMIjEwLzMxLzIwMjMiCjEwLzMxLzIwMjMAAAAAAwAAAAAAAAAFIkNPUCIDQ09QAQAAAA4iSVFfUFJJQ0VEQVRFIgxJUV9QUklDRURBVEUCAAAACyI5LzI5LzIwMjMiCTkvMjkvMjAyMwAAAAADAAAAAAAAAAUiQ09QIgNDT1ABAAAADiJJUV9QUklDRURBVEUiDElRX1BSSUNFREFURQIAAAALIjgvMzEvMjAyMyIJOC8zMS8yMDIzAAAAAAMAAAAAAAAABSJDT1AiA0NPUAEAAAAOIklRX1BSSUNFREFURSIMSVFfUFJJQ0VEQVRFAgAAAAsiNy8zMS8yMDIzIgk3LzMxLzIwMjMAAAAAAwAAAAAAAAAFIkNPUCIDQ09QAQAAAA4iSVFfUFJJQ0VEQVRFIgxJUV9QUklDRURBVEUCAAAACyI2LzMwLzIwMjMiCTYvMzAvMjAyMwAAAAADAAAAAAAAAAUiQ09QIgNDT1ABAAAADiJJUV9QUklDRURBVEUiDElRX1BSSUNFREFURQIAAAALIjUvMzEvMjAyMyIJNS8zMS8yMDIzAAAAAAMA</t>
  </si>
  <si>
    <t>AAAAAAAABSJDT1AiA0NPUAEAAAAOIklRX1BSSUNFREFURSIMSVFfUFJJQ0VEQVRFAgAAAAsiNC8yOC8yMDIzIgk0LzI4LzIwMjMAAAAAAwAAAAAAAAAFIkNPUCIDQ09QAQAAAA4iSVFfUFJJQ0VEQVRFIgxJUV9QUklDRURBVEUCAAAACyIzLzMxLzIwMjMiCTMvMzEvMjAyMwAAAAADAAAAAAAAAAUiQ09QIgNDT1ABAAAADiJJUV9QUklDRURBVEUiDElRX1BSSUNFREFURQIAAAALIjIvMjgvMjAyMyIJMi8yOC8yMDIzAAAAAAMAAAAAAAAABSJDT1AiA0NPUAEAAAAOIklRX1BSSUNFREFURSIMSVFfUFJJQ0VEQVRFAgAAAAsiMS8zMS8yMDIzIgkxLzMxLzIwMjMAAAAAAwAAAAAAAAAFIkNPUCIDQ09QAQAAAA4iSVFfUFJJQ0VEQVRFIgxJUV9QUklDRURBVEUCAAAADCIxMi8zMC8yMDIyIgoxMi8zMC8yMDIyAAAAAAMAAAAAAAAABSJDT1AiA0NPUAEAAAAOIklRX1BSSUNFREFURSIMSVFfUFJJQ0VEQVRFAgAAAAwiMTEvMzAvMjAyMiIKMTEvMzAvMjAyMgAAAAADAAAAAAAAAAUiQ09QIgNDT1ABAAAADiJJUV9QUklDRURBVEUiDElRX1BSSUNFREFURQIAAAAMIjEwLzMxLzIwMjIiCjEwLzMxLzIwMjIAAAAAAwAAAAAAAAAFIkNPUCIDQ09QAQAAAA4iSVFfUFJJQ0VEQVRFIgxJUV9QUklDRURBVEUCAAAACyI5LzMwLzIwMjIiCTkvMzAvMjAyMgAAAAADAAAAAAAAAAUiQ09QIgNDT1ABAAAADiJJUV9QUklDRURBVEUi</t>
  </si>
  <si>
    <t>DElRX1BSSUNFREFURQIAAAALIjgvMzEvMjAyMiIJOC8zMS8yMDIyAAAAAAMAAAAAAAAABSJDT1AiA0NPUAEAAAAOIklRX1BSSUNFREFURSIMSVFfUFJJQ0VEQVRFAgAAAAsiNy8yOS8yMDIyIgk3LzI5LzIwMjIAAAAAAwAAAAAAAAAFIkNPUCIDQ09QAQAAAA4iSVFfUFJJQ0VEQVRFIgxJUV9QUklDRURBVEUCAAAACyI2LzMwLzIwMjIiCTYvMzAvMjAyMgAAAAADAAAAAAAAAAUiQ09QIgNDT1ABAAAADiJJUV9QUklDRURBVEUiDElRX1BSSUNFREFURQIAAAALIjUvMzEvMjAyMiIJNS8zMS8yMDIyAAAAAAMAAAAAAAAABSJDT1AiA0NPUAEAAAAOIklRX1BSSUNFREFURSIMSVFfUFJJQ0VEQVRFAgAAAAsiNC8yOS8yMDIyIgk0LzI5LzIwMjIAAAAAAwAAAAAAAAAFIkNPUCIDQ09QAQAAAA4iSVFfUFJJQ0VEQVRFIgxJUV9QUklDRURBVEUCAAAACyIzLzMxLzIwMjIiCTMvMzEvMjAyMgAAAAADAAAAAAAAAAUiQ09QIgNDT1ABAAAADiJJUV9QUklDRURBVEUiDElRX1BSSUNFREFURQIAAAALIjIvMjgvMjAyMiIJMi8yOC8yMDIyAAAAAAMAAAAAAAAABSJDT1AiA0NPUAEAAAAOIklRX1BSSUNFREFURSIMSVFfUFJJQ0VEQVRFAgAAAAsiMS8zMS8yMDIyIgkxLzMxLzIwMjIAAAAAAwAAAAAAAAAFIkNPUCIDQ09QAQAAAA4iSVFfUFJJQ0VEQVRFIgxJUV9QUklDRURBVEUCAAAADCIxMi8zMS8yMDIxIgoxMi8zMS8yMDIx</t>
  </si>
  <si>
    <t>AAAAAAMAAAAAAAAABSJDT1AiA0NPUAEAAAAOIklRX1BSSUNFREFURSIMSVFfUFJJQ0VEQVRFAgAAAAwiMTEvMzAvMjAyMSIKMTEvMzAvMjAyMQAAAAADAAAAAAAAAAUiQ09QIgNDT1ABAAAADiJJUV9QUklDRURBVEUiDElRX1BSSUNFREFURQIAAAAMIjEwLzI5LzIwMjEiCjEwLzI5LzIwMjEAAAAAAwAAAAAAAAAFIkNPUCIDQ09QAQAAAA4iSVFfUFJJQ0VEQVRFIgxJUV9QUklDRURBVEUCAAAACyI5LzMwLzIwMjEiCTkvMzAvMjAyMQAAAAADAAAAAAAAAAUiQ09QIgNDT1ABAAAADiJJUV9QUklDRURBVEUiDElRX1BSSUNFREFURQIAAAALIjgvMzEvMjAyMSIJOC8zMS8yMDIxAAAAAAMAAAAAAAAABSJDT1AiA0NPUAEAAAAOIklRX1BSSUNFREFURSIMSVFfUFJJQ0VEQVRFAgAAAAsiNy8zMC8yMDIxIgk3LzMwLzIwMjEAAAAAAwAAAAAAAAAFIkNPUCIDQ09QAQAAAA4iSVFfUFJJQ0VEQVRFIgxJUV9QUklDRURBVEUCAAAACyI2LzMwLzIwMjEiCTYvMzAvMjAyMQAAAAADAAAAAAAAAAUiQ09QIgNDT1ABAAAADiJJUV9QUklDRURBVEUiDElRX1BSSUNFREFURQIAAAALIjUvMjgvMjAyMSIJNS8yOC8yMDIxAAAAAAMAAAAAAAAABSJDT1AiA0NPUAEAAAAOIklRX1BSSUNFREFURSIMSVFfUFJJQ0VEQVRFAgAAAAsiNC8zMC8yMDIxIgk0LzMwLzIwMjEAAAAAAwAAAAAAAAAFIkNPUCIDQ09QAQAAAA4iSVFfUFJJQ0VE</t>
  </si>
  <si>
    <t>X0FOTl9HUk9XVEguSVFfTFRNLjEyLzMxLzIwMDkuTC4uVVNELkgEAAAAQjMGADwAAAACAAAACjExMy4zNjg0MTECAAAACjExMS43NzIzNzECAAAACjExMy4yOTkwMTgCAAAACjEwOS42NTE2NDUCAAAACjEwNS44ODAwMzcCAAAACjEwMC40Nzc5OTQCAAAACjEwMi44MDE4NjQCAAAACTExNS43NDU3NwIAAAAKMTA4LjM0OTI1MgIAAAAKMTAzLjA0ODAwMQIAAAAKMTAzLjc2MTgwNAIAAAAKMTEzLjc4Mzk3NwIAAAAJMTExLjcyNzY3AgAAAAoxMTIuMTQ4NjM0AgAAAAoxMTIuODM3NDg0AgAAAAoxMTIuNTUzMjE0AgAAAAoxMDkuMjU5ODUzAgAAAAoxMTEuMjkwOTE3AgAAAAkxMTEuMzQ1MTECAAAACTEwOS40MzM5NwIAAAAJOTguNDAwMTk0AgAAAAk5NS44OTkwNjICAAAACTkzLjI1OTI5NgIAAAAJOTUuODMzNzY3AgAAAAk5Ny44NDAwMzQCAAAACjEwOC42ODIzOTICAAAACjEwMi43NzU5NDECAAAACTk4LjMxODg4NAIAAAAJOTguMzI4MDUyAgAAAAk5My42Nzk4MTcCAAAACjEwNy41NjIxMzMCAAAACTk5LjY3MjY2OAIAAAAJOTkuODk5ODk5AgAAAAkxMDQuNjM5MTUCAAAACTk5LjQ4ODgyMgIAAAAKMTAwLjQyNjg4NQIAAAAJOTkuMTUwNjQ2AgAAAAc3OC4xMjMzAgAAAAk4NS41MzIwODQCAAAACTg1Ljg5NjQ5OQIAAAAJNzUuODkxNjM1AgAAAAk4NS4wNzIzNjECAAAACTc0Ljc4MDAzNgIAAAAJNzIuNDQ2</t>
  </si>
  <si>
    <t>NzI0AgAAAAk2OC43ODg4NjECAAAACTY1LjkwMDQxOQIAAAAJNTMuMDg2NDQ5AgAAAAk1MS45MTUyMzMCAAAACTU1LjE5MDM1NQIAAAAJNTAuMzUzNjAxAgAAAAk0Ni42NzI1MzICAAAACTQ4LjU0ODcwNAIAAAAINTMuMTk1MjgCAAAACTQ5LjIyMzM0MwIAAAAINDcuNTc3MzECAAAACTQ2LjQwNTMzMwIAAAAJNDUuMTkxNzk1AgAAAAkzNi42NDgxODcCAAAACTMzLjY4OTUyNAIAAAAJMzEuMTY0MDM2TdVRED4l3ghN1VEQPiXeCDlDSVEuLklRX1JFVFVSTl9JTlZFU1RFRF9DQVBJVEFMLklRX0NRLjEyLzMxLzIwMDkuTC4uVVNELkgEAAAAU4A1AzwAAAACAAAABTYwLjk4AgAAAAU2MS45NgIAAAAFNjQuMDECAAAABTY5LjI2AgAAAAU2NS4xMQIAAAAFNjAuNzkCAAAABTU4LjIxAgAAAAU3MS40OAIAAAAFNjkuNzYCAAAABTcyLjUzAgAAAAU3MS43MgIAAAACNjgCAAAABTY5LjI2AgAAAAU2OC4xNwIAAAAFNzMuNTUCAAAABTc3LjkxAgAAAAU4MS41NAIAAAAFNzYuOTkCAAAABTgxLjkzAgAAAAU4My4xNwIAAAAFNzguMjYCAAAABTc1Ljg1AgAAAAU3MS42NQIAAAAFNzUuOTYCAAAABTgxLjAyAgAAAAU5MC43OQIAAAAFODMuNjMCAAAABDgxLjgCAAAABTcwLjY0AgAAAAU2OC4wOQIAAAAFNzYuNzgCAAAABTc1LjY3AgAAAAU3Ny4wNQIAAAAFNzguODcCAAAABTgwLjI2AgAAAAU4MC41NQIAAAAFODYuNTMCAAAA</t>
  </si>
  <si>
    <t>BTc4LjcyAgAAAAU4OS41NQIAAAAFOTguNjICAAAABjEwNS43NgIAAAAGMTE0LjY3AgAAAAYxMDQuNjkCAAAABjEwMC4yOAIAAAAFOTUuNzICAAAABTg4LjE1AgAAAAU3NS4yMQIAAAAFNjYuMTgCAAAABTgzLjU3AgAAAAU3NS4wMwIAAAAENjguNQIAAAAFNzMuOTUCAAAABTczLjQ3AgAAAAU2Ni4zMgIAAAAFNjMuNTgCAAAABTU5LjE2AgAAAAQ2MS41AgAAAAQ1Mi4yAgAAAAU0OC41MgIAAAAFNDUuMzRN1VEQPiXeCE3VURA+Jd4IM0NJUS4uSVFfTklfMVlSX0FOTl9HUk9XVEguSVFfQ1EuMTIvMzEvMjAwOS5MLi5VU0QuSAQAAACbuCgAPAAAAAIAAAAQMTMwODUuMDk3ODU1NjE0MQIAAAAQMTI3ODguNDYyOTA3OTMzNgIAAAAQMTIzNDIuMzI2NDYyNTAxOAIAAAAQMTIxMDEuMzkwNDg1Mzk1NQIAAAAQMTE4MzguNDU3OTQ2MDkyNgIAAAAQMTEyNjkuNTc5NDUxOTkyMwIAAAAQMTA2MDYuNDg1MDgyNzE2NQIAAAAQMTA2ODEuNjIwNTU3NzI2MgIAAAAQMTEzMjMuNzI4NjI4ODA3OAIAAAAQMTE0NzcuNTk3NTAyMjQwMwIAAAAQMTExNjkuMzQ2NjU3NzM3MgIAAAAPMTE0NDYuMTYzNTE0MzQ3AgAAAA8xMDgxNS44MDM2MDQwOTYCAAAAEDEwOTE3LjUyNzI5MTEzNDYCAAAAEDEwNjkyLjg3NzIzMTIwMjYCAAAAEDEwNDQ0LjAwMDI5MjcyMTECAAAAEDEwMzIxLjAwNTMxODAxODcCAAAAEDk5NjYuOTkyMDI3OTQz</t>
  </si>
  <si>
    <t>MTYCAAAAEDk1MDAuMzc5NDU3MDg5MDYCAAAAEDk5MDcuMzMyMDg2MTc0NTYCAAAAEDk2MDEuNzI4MTUzMjc0NDMCAAAAEDkxMTkuMzc2ODc0MjcwMzUCAAAADzg5NzEuMDcxNjg4NzU0NgIAAAAQODU4NC4xODE3MTk2NjMwNgIAAAAQNzg3MC40Nzg5MTY3MzY0NwIAAAAQODA0MS44NzM2NDI0Njg5OAIAAAAQODQ0Ny4yNTk5MjIwNDI3NQIAAAAQODU4OC42MzExNTA4MTA3MwIAAAAOODMyMy42OTU5MDQ4OTkCAAAAEDc4MTAuNzU0MTE3MTY1MDMCAAAAEDc3ODEuMjg5NTA1NDk5MzgCAAAAEDc2NjMuODkwNDg3MDc1NzQCAAAAEDczOTYuMDQyMTYyNzc2ODUCAAAAEDc1ODUuMDA5ODkwNjE0MjECAAAAEDcxMzguNzY1MTY5MzYwNDUCAAAAEDc1NzguNDgyMTc2NDE0NjgCAAAAEDcxODEuNzMyOTMwMDAwNjUCAAAAEDY2NDUuODY4MDc1NDA4NjECAAAAEDczMjMuMTcwMTMyODY5NDMCAAAAEDc2MzguNDgyMTQwNTI2MjQCAAAAEDY5OTUuNzMzOTI0ODQwODECAAAAEDc2MjguNTcyMjU0MjQ2NDYCAAAAEDc2MTguNjY3OTUyMzc0ODYCAAAAEDgzNDguNTczNzUwMzE0NzcCAAAADzgwNTIuODUwNzc0MjMyOQIAAAAQODMwNS4wNTI1NzEyNDM4NAIAAAAQODc2MC41OTMzOTU4NzMxOQIAAAAQODM4Ny43MTY1MDY1MTYwNgIAAAAPODQ0OS44MjQ5NDQ3ODQ5AgAAABA3ODk4LjYxMDg5MTY5NjQyAgAAABA4Mjg2LjY1</t>
  </si>
  <si>
    <t>NjcwMzk5Njg0AgAAABA4MDQ1LjQ0OTMxMDc3MjkzAgAAAA83ODYxLjA4MTA3ODc0NzcCAAAAEDc2ODQuMzAyNTQzOTg5OTQCAAAAEDc2MzQuNDE1NTc4MDU4NzYCAAAAEDcyNDkuNTY2MjI0MzMxMzYCAAAAEDY5NDguMDk4MDkzNTgxNTcCAAAAEDY3NjQuNTc4ODgxMzAyMzcCAAAAEDY4MzUuNzI1NDM4Njc1MDUCAAAADzY1ODUuMTYxMzM0OTczNE3VURA+Jd4IAcNbED4l3ggkQ0lRLi5JUV9OSS5JUV9MVE0uOS8zMC8yMDIxLkwuLlVTRC5IBQAAAAEAAAAIAAAAFChJbnZhbGlkIElkZW50aWZpZXIp3+taET4l3gjf61oRPiXeCDJDSVEuLklRX05JXzFZUl9BTk5fR1JPV1RILklRX0NRLjkvMzAvMjAyMS5MLi5VU0QuSAUAAAABAAAACAAAABQoSW52YWxpZCBJZGVudGlmaWVyKd/rWhE+Jd4I3+taET4l3ggjQ0lRLi5JUV9OSS5JUV9DUS45LzMwLzIwMjEuTC4uVVNELkgFAAAAAQAAAAgAAAAUKEludmFsaWQgSWRlbnRpZmllcinf61oRPiXeCN/rWhE+Jd4IOUNJUS4uSVFfVE9UQUxfUkVWXzFZUl9BTk5fR1JPV1RILklRX0NRLjkvMzAvMjAyMS5MLi5VU0QuSAUAAAABAAAACAAAABQoSW52YWxpZCBJZGVudGlmaWVyKd/rWhE+Jd4I3+taET4l3ggvQ0lRLi5JUV9UT1RBTF9SRVZFTlVFLklRX0xUTS45LzMwLzIwMjEuTC4uVVNELkgFAAAAAQAAAAgAAAAUKEludmFsaWQgSWRlbnRpZmllcinf61oRPiXeCN/r</t>
  </si>
  <si>
    <t>WhE+Jd4ILkNJUS4uSVFfVE9UQUxfUkVWRU5VRS5JUV9DUS45LzMwLzIwMjEuTC4uVVNELkgFAAAAAQAAAAgAAAAUKEludmFsaWQgSWRlbnRpZmllcin4OVsRPiXeCPg5WxE+Jd4IOkNJUS4uSVFfUkVUVVJOX0lOVkVTVEVEX0NBUElUQUwuSVFfTFRNLjEyLzMxLzIwMjEuTC4uVVNELkgFAAAAAQAAAAgAAAAUKEludmFsaWQgSWRlbnRpZmllcinf61oRPiXeCN/rWhE+Jd4IKUNJUS4uSVFfRUJJVERBLklRX0xUTS4xMi8zMS8yMDIwLkwuLlVTRC5IBQAAAAEAAAAIAAAAFChJbnZhbGlkIElkZW50aWZpZXIp3+taET4l3gjf61oRPiXeCDlDSVEuLklRX1JFVFVSTl9JTlZFU1RFRF9DQVBJVEFMLklRX0NRLjEyLzMxLzIwMjEuTC4uVVNELkgFAAAAAQAAAAgAAAAUKEludmFsaWQgSWRlbnRpZmllcinf61oRPiXeCN/rWhE+Jd4IKENJUS4uSVFfRUJJVERBLklRX0NRLjEyLzMxLzIwMjAuTC4uVVNELkgFAAAAAQAAAAgAAAAUKEludmFsaWQgSWRlbnRpZmllcinf61oRPiXeCN/rWhE+Jd4INENJUS4uSVFfTklfMVlSX0FOTl9HUk9XVEguSVFfTFRNLjEyLzMxLzIwMjEuTC4uVVNELkgFAAAAAQAAAAgAAAAUKEludmFsaWQgSWRlbnRpZmllcinf61oRPiXeCN/rWhE+Jd4IM0NJUS4uSVFfTklfMVlSX0FOTl9HUk9XVEguSVFfQ1EuMTIvMzEvMjAyMS5MLi5VU0QuSAUAAAABAAAACAAAABQoSW52YWxpZCBJZGVudGlm</t>
  </si>
  <si>
    <t>aWVyKf0SWxE+Jd4I/RJbET4l3gglQ0lRLi5JUV9OSS5JUV9MVE0uMTIvMzEvMjAyMS5MLi5VU0QuSAUAAAABAAAACAAAABQoSW52YWxpZCBJZGVudGlmaWVyKf0SWxE+Jd4I/RJbET4l3ggkQ0lRLi5JUV9OSS5JUV9DUS4xMi8zMS8yMDIxLkwuLlVTRC5IBQAAAAEAAAAIAAAAFChJbnZhbGlkIElkZW50aWZpZXIp/RJbET4l3gj9ElsRPiXeCDpDSVEuLklRX1RPVEFMX1JFVl8xWVJfQU5OX0dST1dUSC5JUV9DUS4xMi8zMS8yMDIxLkwuLlVTRC5IBQAAAAEAAAAIAAAAFChJbnZhbGlkIElkZW50aWZpZXIp/RJbET4l3gj9ElsRPiXeCDBDSVEuLklRX1RPVEFMX1JFVkVOVUUuSVFfTFRNLjEyLzMxLzIwMjEuTC4uVVNELkgFAAAAAQAAAAgAAAAUKEludmFsaWQgSWRlbnRpZmllcin9ElsRPiXeCP0SWxE+Jd4IL0NJUS4uSVFfVE9UQUxfUkVWRU5VRS5JUV9DUS4xMi8zMS8yMDIxLkwuLlVTRC5IBQAAAAEAAAAIAAAAFChJbnZhbGlkIElkZW50aWZpZXIp+DlbET4l3gj4OVsRPiXeCDlDSVEuLklRX1JFVFVSTl9JTlZFU1RFRF9DQVBJVEFMLklRX0xUTS4zLzMxLzIwMjIuTC4uVVNELkgFAAAAAQAAAAgAAAAUKEludmFsaWQgSWRlbnRpZmllcin9ElsRPiXeCP0SWxE+Jd4IKENJUS4uSVFfRUJJVERBLklRX0xUTS4zLzMxLzIwMjEuTC4uVVNELkgFAAAAAQAAAAgAAAAUKEludmFsaWQgSWRlbnRpZmllcin9ElsR</t>
  </si>
  <si>
    <t>PiXeCP0SWxE+Jd4IOENJUS4uSVFfUkVUVVJOX0lOVkVTVEVEX0NBUElUQUwuSVFfQ1EuMy8zMS8yMDIyLkwuLlVTRC5IBQAAAAEAAAAIAAAAFChJbnZhbGlkIElkZW50aWZpZXIp/RJbET4l3gj9ElsRPiXeCCdDSVEuLklRX0VCSVREQS5JUV9DUS4zLzMxLzIwMjEuTC4uVVNELkgFAAAAAQAAAAgAAAAUKEludmFsaWQgSWRlbnRpZmllcin9ElsRPiXeCP0SWxE+Jd4IM0NJUS4uSVFfTklfMVlSX0FOTl9HUk9XVEguSVFfTFRNLjMvMzEvMjAyMi5MLi5VU0QuSAUAAAABAAAACAAAABQoSW52YWxpZCBJZGVudGlmaWVyKf0SWxE+Jd4I/RJbET4l3ggyQ0lRLi5JUV9OSV8xWVJfQU5OX0dST1dUSC5JUV9DUS4zLzMxLzIwMjIuTC4uVVNELkgFAAAAAQAAAAgAAAAUKEludmFsaWQgSWRlbnRpZmllcin9ElsRPiXeCP0SWxE+Jd4IJENJUS4uSVFfTkkuSVFfTFRNLjMvMzEvMjAyMi5MLi5VU0QuSAUAAAABAAAACAAAABQoSW52YWxpZCBJZGVudGlmaWVyKf0SWxE+Jd4I/RJbET4l3ggjQ0lRLi5JUV9OSS5JUV9DUS4zLzMxLzIwMjIuTC4uVVNELkgFAAAAAQAAAAgAAAAUKEludmFsaWQgSWRlbnRpZmllcin9ElsRPiXeCP0SWxE+Jd4IOUNJUS4uSVFfVE9UQUxfUkVWXzFZUl9BTk5fR1JPV1RILklRX0NRLjMvMzEvMjAyMi5MLi5VU0QuSAUAAAABAAAACAAAABQoSW52YWxpZCBJZGVudGlmaWVyKf0SWxE+Jd4I/RJb</t>
  </si>
  <si>
    <t>ET4l3ggvQ0lRLi5JUV9UT1RBTF9SRVZFTlVFLklRX0xUTS4zLzMxLzIwMjIuTC4uVVNELkgFAAAAAQAAAAgAAAAUKEludmFsaWQgSWRlbnRpZmllcin9ElsRPiXeCP0SWxE+Jd4ILkNJUS4uSVFfVE9UQUxfUkVWRU5VRS5JUV9DUS4zLzMxLzIwMjIuTC4uVVNELkgFAAAAAQAAAAgAAAAUKEludmFsaWQgSWRlbnRpZmllcin4OVsRPiXeCPg5WxE+Jd4IKENJUS4uSVFfRUJJVERBLklRX0xUTS42LzMwLzIwMjEuTC4uVVNELkgFAAAAAQAAAAgAAAAUKEludmFsaWQgSWRlbnRpZmllcin9ElsRPiXeCP0SWxE+Jd4IJ0NJUS4uSVFfRUJJVERBLklRX0NRLjYvMzAvMjAyMS5MLi5VU0QuSAUAAAABAAAACAAAABQoSW52YWxpZCBJZGVudGlmaWVyKf0SWxE+Jd4I/RJbET4l3ggzQ0lRLi5JUV9OSV8xWVJfQU5OX0dST1dUSC5JUV9MVE0uNi8zMC8yMDIyLkwuLlVTRC5IBQAAAAEAAAAIAAAAFChJbnZhbGlkIElkZW50aWZpZXIp/RJbET4l3gj9ElsRPiXeCDlDSVEuLklRX1JFVFVSTl9JTlZFU1RFRF9DQVBJVEFMLklRX0xUTS45LzMwLzIwMjIuTC4uVVNELkgFAAAAAQAAAAgAAAAUKEludmFsaWQgSWRlbnRpZmllcin9ElsRPiXeCP0SWxE+Jd4IKENJUS4uSVFfRUJJVERBLklRX0xUTS45LzMwLzIwMjEuTC4uVVNELkgFAAAAAQAAAAgAAAAUKEludmFsaWQgSWRlbnRpZmllcin9ElsRPiXeCP0SWxE+Jd4IOENJUS4u</t>
  </si>
  <si>
    <t>SVFfUkVUVVJOX0lOVkVTVEVEX0NBUElUQUwuSVFfQ1EuOS8zMC8yMDIyLkwuLlVTRC5IBQAAAAEAAAAIAAAAFChJbnZhbGlkIElkZW50aWZpZXIp/RJbET4l3gj9ElsRPiXeCCdDSVEuLklRX0VCSVREQS5JUV9DUS45LzMwLzIwMjEuTC4uVVNELkgFAAAAAQAAAAgAAAAUKEludmFsaWQgSWRlbnRpZmllcin9ElsRPiXeCP0SWxE+Jd4IM0NJUS4uSVFfTklfMVlSX0FOTl9HUk9XVEguSVFfTFRNLjkvMzAvMjAyMi5MLi5VU0QuSAUAAAABAAAACAAAABQoSW52YWxpZCBJZGVudGlmaWVyKf0SWxE+Jd4I/RJbET4l3ggyQ0lRLi5JUV9OSV8xWVJfQU5OX0dST1dUSC5JUV9DUS45LzMwLzIwMjIuTC4uVVNELkgFAAAAAQAAAAgAAAAUKEludmFsaWQgSWRlbnRpZmllcin9ElsRPiXeCP0SWxE+Jd4IJENJUS4uSVFfTkkuSVFfTFRNLjkvMzAvMjAyMi5MLi5VU0QuSAUAAAABAAAACAAAABQoSW52YWxpZCBJZGVudGlmaWVyKf0SWxE+Jd4I/RJbET4l3ggjQ0lRLi5JUV9OSS5JUV9DUS45LzMwLzIwMjIuTC4uVVNELkgFAAAAAQAAAAgAAAAUKEludmFsaWQgSWRlbnRpZmllcin9ElsRPiXeCP0SWxE+Jd4IOUNJUS4uSVFfVE9UQUxfUkVWXzFZUl9BTk5fR1JPV1RILklRX0NRLjkvMzAvMjAyMi5MLi5VU0QuSAUAAAABAAAACAAAABQoSW52YWxpZCBJZGVudGlmaWVyKf0SWxE+Jd4I/RJbET4l3ggvQ0lRLi5JUV9UT1RB</t>
  </si>
  <si>
    <t>TF9SRVZFTlVFLklRX0xUTS45LzMwLzIwMjIuTC4uVVNELkgFAAAAAQAAAAgAAAAUKEludmFsaWQgSWRlbnRpZmllcin9ElsRPiXeCP0SWxE+Jd4ILkNJUS4uSVFfVE9UQUxfUkVWRU5VRS5JUV9DUS45LzMwLzIwMjIuTC4uVVNELkgFAAAAAQAAAAgAAAAUKEludmFsaWQgSWRlbnRpZmllcin4OVsRPiXeCPg5WxE+Jd4IOkNJUS4uSVFfUkVUVVJOX0lOVkVTVEVEX0NBUElUQUwuSVFfTFRNLjEyLzMxLzIwMjIuTC4uVVNELkgFAAAAAQAAAAgAAAAUKEludmFsaWQgSWRlbnRpZmllcin9ElsRPiXeCP0SWxE+Jd4IKUNJUS4uSVFfRUJJVERBLklRX0xUTS4xMi8zMS8yMDIxLkwuLlVTRC5IBQAAAAEAAAAIAAAAFChJbnZhbGlkIElkZW50aWZpZXIp/RJbET4l3gj9ElsRPiXeCDlDSVEuLklRX1JFVFVSTl9JTlZFU1RFRF9DQVBJVEFMLklRX0NRLjEyLzMxLzIwMjIuTC4uVVNELkgFAAAAAQAAAAgAAAAUKEludmFsaWQgSWRlbnRpZmllcin9ElsRPiXeCP0SWxE+Jd4IKENJUS4uSVFfRUJJVERBLklRX0NRLjEyLzMxLzIwMjEuTC4uVVNELkgFAAAAAQAAAAgAAAAUKEludmFsaWQgSWRlbnRpZmllcin9ElsRPiXeCP0SWxE+Jd4INENJUS4uSVFfTklfMVlSX0FOTl9HUk9XVEguSVFfTFRNLjEyLzMxLzIwMjIuTC4uVVNELkgFAAAAAQAAAAgAAAAUKEludmFsaWQgSWRlbnRpZmllcin9ElsRPiXeCP0SWxE+Jd4IM0NJ</t>
  </si>
  <si>
    <t>US4uSVFfTklfMVlSX0FOTl9HUk9XVEguSVFfQ1EuMTIvMzEvMjAyMi5MLi5VU0QuSAUAAAABAAAACAAAABQoSW52YWxpZCBJZGVudGlmaWVyKf0SWxE+Jd4I/RJbET4l3gglQ0lRLi5JUV9OSS5JUV9MVE0uMTIvMzEvMjAyMi5MLi5VU0QuSAUAAAABAAAACAAAABQoSW52YWxpZCBJZGVudGlmaWVyKf0SWxE+Jd4I/RJbET4l3ggkQ0lRLi5JUV9OSS5JUV9DUS4xMi8zMS8yMDIyLkwuLlVTRC5IBQAAAAEAAAAIAAAAFChJbnZhbGlkIElkZW50aWZpZXIp/RJbET4l3gj9ElsRPiXeCDpDSVEuLklRX1RPVEFMX1JFVl8xWVJfQU5OX0dST1dUSC5JUV9DUS4xMi8zMS8yMDIyLkwuLlVTRC5IBQAAAAEAAAAIAAAAFChJbnZhbGlkIElkZW50aWZpZXIp/RJbET4l3gj9ElsRPiXeCDBDSVEuLklRX1RPVEFMX1JFVkVOVUUuSVFfTFRNLjEyLzMxLzIwMjIuTC4uVVNELkgFAAAAAQAAAAgAAAAUKEludmFsaWQgSWRlbnRpZmllcin9ElsRPiXeCP0SWxE+Jd4IL0NJUS4uSVFfVE9UQUxfUkVWRU5VRS5JUV9DUS4xMi8zMS8yMDIyLkwuLlVTRC5IBQAAAAEAAAAIAAAAFChJbnZhbGlkIElkZW50aWZpZXIp+DlbET4l3gj4OVsRPiXeCDlDSVEuLklRX1JFVFVSTl9JTlZFU1RFRF9DQVBJVEFMLklRX0xUTS4zLzMxLzIwMjMuTC4uVVNELkgFAAAAAQAAAAgAAAAUKEludmFsaWQgSWRlbnRpZmllcin9ElsRPiXeCP0SWxE+Jd4I</t>
  </si>
  <si>
    <t>KENJUS4uSVFfRUJJVERBLklRX0xUTS4zLzMxLzIwMjIuTC4uVVNELkgFAAAAAQAAAAgAAAAUKEludmFsaWQgSWRlbnRpZmllcin9ElsRPiXeCP0SWxE+Jd4IOENJUS4uSVFfUkVUVVJOX0lOVkVTVEVEX0NBUElUQUwuSVFfQ1EuMy8zMS8yMDIzLkwuLlVTRC5IBQAAAAEAAAAIAAAAFChJbnZhbGlkIElkZW50aWZpZXIp/RJbET4l3gj9ElsRPiXeCCdDSVEuLklRX0VCSVREQS5JUV9DUS4zLzMxLzIwMjIuTC4uVVNELkgFAAAAAQAAAAgAAAAUKEludmFsaWQgSWRlbnRpZmllcin9ElsRPiXeCP0SWxE+Jd4IM0NJUS4uSVFfTklfMVlSX0FOTl9HUk9XVEguSVFfTFRNLjMvMzEvMjAyMy5MLi5VU0QuSAUAAAABAAAACAAAABQoSW52YWxpZCBJZGVudGlmaWVyKf0SWxE+Jd4I/RJbET4l3ggyQ0lRLi5JUV9OSV8xWVJfQU5OX0dST1dUSC5JUV9DUS4zLzMxLzIwMjMuTC4uVVNELkgFAAAAAQAAAAgAAAAUKEludmFsaWQgSWRlbnRpZmllcin9ElsRPiXeCP0SWxE+Jd4IJENJUS4uSVFfTkkuSVFfTFRNLjMvMzEvMjAyMy5MLi5VU0QuSAUAAAABAAAACAAAABQoSW52YWxpZCBJZGVudGlmaWVyKf0SWxE+Jd4I/RJbET4l3ggjQ0lRLi5JUV9OSS5JUV9DUS4zLzMxLzIwMjMuTC4uVVNELkgFAAAAAQAAAAgAAAAUKEludmFsaWQgSWRlbnRpZmllcin9ElsRPiXeCP0SWxE+Jd4IOUNJUS4uSVFfVE9UQUxfUkVWXzFZUl9B</t>
  </si>
  <si>
    <t>Tk5fR1JPV1RILklRX0NRLjMvMzEvMjAyMy5MLi5VU0QuSAUAAAABAAAACAAAABQoSW52YWxpZCBJZGVudGlmaWVyKf0SWxE+Jd4I/RJbET4l3ggvQ0lRLi5JUV9UT1RBTF9SRVZFTlVFLklRX0xUTS4zLzMxLzIwMjMuTC4uVVNELkgFAAAAAQAAAAgAAAAUKEludmFsaWQgSWRlbnRpZmllcin9ElsRPiXeCP0SWxE+Jd4ILkNJUS4uSVFfVE9UQUxfUkVWRU5VRS5JUV9DUS4zLzMxLzIwMjMuTC4uVVNELkgFAAAAAQAAAAgAAAAUKEludmFsaWQgSWRlbnRpZmllcin4OVsRPiXeCPg5WxE+Jd4IKENJUS4uSVFfRUJJVERBLklRX0xUTS42LzMwLzIwMjIuTC4uVVNELkgFAAAAAQAAAAgAAAAUKEludmFsaWQgSWRlbnRpZmllcin9ElsRPiXeCP0SWxE+Jd4IJ0NJUS4uSVFfRUJJVERBLklRX0NRLjYvMzAvMjAyMi5MLi5VU0QuSAUAAAABAAAACAAAABQoSW52YWxpZCBJZGVudGlmaWVyKf0SWxE+Jd4I/RJbET4l3ggzQ0lRLi5JUV9OSV8xWVJfQU5OX0dST1dUSC5JUV9MVE0uNi8zMC8yMDIzLkwuLlVTRC5IBQAAAAEAAAAIAAAAFChJbnZhbGlkIElkZW50aWZpZXIp/RJbET4l3gj9ElsRPiXeCChDSVEuLklRX0VCSVREQS5JUV9MVE0uOS8zMC8yMDIyLkwuLlVTRC5IBQAAAAEAAAAIAAAAFChJbnZhbGlkIElkZW50aWZpZXIp/RJbET4l3gj9ElsRPiXeCCdDSVEuLklRX0VCSVREQS5JUV9DUS45LzMwLzIwMjIuTC4u</t>
  </si>
  <si>
    <t>VVNELkgFAAAAAQAAAAgAAAAUKEludmFsaWQgSWRlbnRpZmllcin9ElsRPiXeCP0SWxE+Jd4IM0NJUS4uSVFfTklfMVlSX0FOTl9HUk9XVEguSVFfTFRNLjkvMzAvMjAyMy5MLi5VU0QuSAUAAAABAAAACAAAABQoSW52YWxpZCBJZGVudGlmaWVyKf0SWxE+Jd4I/RJbET4l3ggpQ0lRLi5JUV9FQklUREEuSVFfTFRNLjEyLzMxLzIwMjIuTC4uVVNELkgFAAAAAQAAAAgAAAAUKEludmFsaWQgSWRlbnRpZmllcin9ElsRPiXeCP0SWxE+Jd4IKENJUS4uSVFfRUJJVERBLklRX0NRLjEyLzMxLzIwMjIuTC4uVVNELkgFAAAAAQAAAAgAAAAUKEludmFsaWQgSWRlbnRpZmllcin9ElsRPiXeCP0SWxE+Jd4INENJUS4uSVFfTklfMVlSX0FOTl9HUk9XVEguSVFfTFRNLjEyLzMxLzIwMjMuTC4uVVNELkgFAAAAAQAAAAgAAAAUKEludmFsaWQgSWRlbnRpZmllcin9ElsRPiXeCP0SWxE+Jd4IJ0NJUS4uSVFfRUJJVERBLklRX0NRLjMvMzEvMjAyMy5MLi5VU0QuSAUAAAABAAAACAAAABQoSW52YWxpZCBJZGVudGlmaWVyKf0SWxE+Jd4I/RJbET4l3ggoQ0lRLi5JUV9FQklUREEuSVFfTFRNLjMvMzEvMjAyMy5MLi5VU0QuSAUAAAABAAAACAAAABQoSW52YWxpZCBJZGVudGlmaWVyKf0SWxE+Jd4I/RJbET4l3ggzQ0lRLi5JUV9OSV8xWVJfQU5OX0dST1dUSC5JUV9MVE0uMy8zMS8yMDI0LkwuLlVTRC5IBQAAAAEAAAAIAAAA</t>
  </si>
  <si>
    <t>FChJbnZhbGlkIElkZW50aWZpZXIp+DlbET4l3gj4OVsRPiXeCChDSVEuLklRX0VCSVREQS5JUV9MVE0uNi8zMC8yMDIzLkwuLlVTRC5IBQAAAAEAAAAIAAAAFChJbnZhbGlkIElkZW50aWZpZXIp+DlbET4l3gj4OVsRPiXeCDNDSVEuLklRX05JXzFZUl9BTk5fR1JPV1RILklRX0xUTS42LzMwLzIwMjQuTC4uVVNELkgFAAAAAQAAAAgAAAAUKEludmFsaWQgSWRlbnRpZmllcin4OVsRPiXeCPg5WxE+Jd4IJ0NJUS4uSVFfRUJJVERBLklRX0NRLjYvMzAvMjAyMy5MLi5VU0QuSAUAAAABAAAACAAAABQoSW52YWxpZCBJZGVudGlmaWVyKfg5WxE+Jd4I+DlbET4l3ggoQ0lRLi5JUV9FQklUREEuSVFfTFRNLjkvMzAvMjAyMy5MLi5VU0QuSAUAAAABAAAACAAAABQoSW52YWxpZCBJZGVudGlmaWVyKfg5WxE+Jd4I+DlbET4l3ggnQ0lRLi5JUV9FQklUREEuSVFfQ1EuOS8zMC8yMDIzLkwuLlVTRC5IBQAAAAEAAAAIAAAAFChJbnZhbGlkIElkZW50aWZpZXIp+DlbET4l3gj4OVsRPiXeCDNDSVEuLklRX05JXzFZUl9BTk5fR1JPV1RILklRX0xUTS45LzMwLzIwMjQuTC4uVVNELkgFAAAAAQAAAAgAAAAUKEludmFsaWQgSWRlbnRpZmllcin4OVsRPiXeCPg5WxE+Jd4IKUNJUS4uSVFfRUJJVERBLklRX0xUTS4xMi8zMS8yMDIzLkwuLlVTRC5IBQAAAAEAAAAIAAAAFChJbnZhbGlkIElkZW50aWZpZXIp+DlbET4l3gj4</t>
  </si>
  <si>
    <t>OVsRPiXeCChDSVEuLklRX0VCSVREQS5JUV9DUS4xMi8zMS8yMDIzLkwuLlVTRC5IBQAAAAEAAAAIAAAAFChJbnZhbGlkIElkZW50aWZpZXIp+DlbET4l3gj4OVsRPiXeCClDSVEuLklRX0VCSVREQS5JUV9MVE0uMTIvMzEvMjAyNC5MLi5VU0QuSAUAAAABAAAACAAAABQoSW52YWxpZCBJZGVudGlmaWVyKfg5WxE+Jd4I+DlbET4l3gg0Q0lRLi5JUV9OSV8xWVJfQU5OX0dST1dUSC5JUV9MVE0uMTIvMzEvMjAyNC5MLi5VU0QuSAUAAAABAAAACAAAABQoSW52YWxpZCBJZGVudGlmaWVyKfg5WxE+Jd4I+DlbET4l3ggoQ0lRLi5JUV9FQklUREEuSVFfQ1EuMTIvMzEvMjAyNC5MLi5VU0QuSAUAAAABAAAACAAAABQoSW52YWxpZCBJZGVudGlmaWVyKfg5WxE+Jd4I+DlbET4l3ggoQ0lRLi5JUV9FQklUREEuSVFfTFRNLjMvMzEvMjAyNC5MLi5VU0QuSAUAAAABAAAACAAAABQoSW52YWxpZCBJZGVudGlmaWVyKfg5WxE+Jd4I+DlbET4l3ggnQ0lRLi5JUV9FQklUREEuSVFfQ1EuMy8zMS8yMDI0LkwuLlVTRC5IBQAAAAEAAAAIAAAAFChJbnZhbGlkIElkZW50aWZpZXIp+DlbET4l3gj4OVsRPiXeCCdDSVEuLklRX0VCSVREQS5JUV9DUS4zLzMxLzIwMjUuTC4uVVNELkgFAAAAAQAAAAgAAAAUKEludmFsaWQgSWRlbnRpZmllcin4OVsRPiXeCPg5WxE+Jd4IKENJUS4uSVFfRUJJVERBLklRX0xUTS4zLzMxLzIwMjUu</t>
  </si>
  <si>
    <t>TC4uVVNELkgFAAAAAQAAAAgAAAAUKEludmFsaWQgSWRlbnRpZmllcin4OVsRPiXeCPg5WxE+Jd4IM0NJUS4uSVFfTklfMVlSX0FOTl9HUk9XVEguSVFfTFRNLjMvMzEvMjAyNS5MLi5VU0QuSAUAAAABAAAACAAAABQoSW52YWxpZCBJZGVudGlmaWVyKfg5WxE+Jd4I+DlbET4l3ggoQ0lRLi5JUV9FQklUREEuSVFfTFRNLjYvMzAvMjAyNC5MLi5VU0QuSAUAAAABAAAACAAAABQoSW52YWxpZCBJZGVudGlmaWVyKfg5WxE+Jd4I+DlbET4l3ggoQ0lRLi5JUV9FQklUREEuSVFfTFRNLjYvMzAvMjAyNS5MLi5VU0QuSAUAAAABAAAACAAAABQoSW52YWxpZCBJZGVudGlmaWVyKfg5WxE+Jd4I+DlbET4l3ggnQ0lRLi5JUV9FQklUREEuSVFfQ1EuNi8zMC8yMDI0LkwuLlVTRC5IBQAAAAEAAAAIAAAAFChJbnZhbGlkIElkZW50aWZpZXIp+DlbET4l3gj4OVsRPiXeCCdDSVEuLklRX0VCSVREQS5JUV9DUS42LzMwLzIwMjUuTC4uVVNELkgFAAAAAQAAAAgAAAAUKEludmFsaWQgSWRlbnRpZmllcin4OVsRPiXeCPg5WxE+Jd4IM0NJUS4uSVFfTklfMVlSX0FOTl9HUk9XVEguSVFfTFRNLjYvMzAvMjAyNS5MLi5VU0QuSAUAAAABAAAACAAAABQoSW52YWxpZCBJZGVudGlmaWVyKfg5WxE+Jd4I+DlbET4l3ggnQ0lRLi5JUV9FQklUREEuSVFfQ1EuOS8zMC8yMDI0LkwuLlVTRC5IBQAAAAEAAAAIAAAAFChJbnZhbGlkIElk</t>
  </si>
  <si>
    <t>ZW50aWZpZXIp+DlbET4l3gj4OVsRPiXeCChDSVEuLklRX0VCSVREQS5JUV9MVE0uOS8zMC8yMDI0LkwuLlVTRC5IBQAAAAEAAAAIAAAAFChJbnZhbGlkIElkZW50aWZpZXIp+DlbET4l3gj4OVsRPiXeCChDSVEuLklRX0VCSVREQS5JUV9MVE0uOS8zMC8yMDI1LkwuLlVTRC5IBQAAAAEAAAAIAAAAFChJbnZhbGlkIElkZW50aWZpZXIp+DlbET4l3gj4OVsRPiXeCCdDSVEuLklRX0VCSVREQS5JUV9DUS45LzMwLzIwMjUuTC4uVVNELkgFAAAAAQAAAAgAAAAUKEludmFsaWQgSWRlbnRpZmllcin4OVsRPiXeCPg5WxE+Jd4IM0NJUS4uSVFfTklfMVlSX0FOTl9HUk9XVEguSVFfTFRNLjkvMzAvMjAyNS5MLi5VU0QuSAUAAAABAAAACAAAABQoSW52YWxpZCBJZGVudGlmaWVyKfg5WxE+Jd4I+DlbET4l3ggvQ0lRLi5JUV9UT1RBTF9SRVZFTlVFLklRX0NRLjEyLzMxLzIwMTAuTC4uVVNELkgFAAAAAQAAAAgAAAAUKEludmFsaWQgSWRlbnRpZmllcin4OVsRPiXeCPg5WxE+Jd4ILkNJUS4uSVFfVE9UQUxfUkVWRU5VRS5JUV9DUS42LzMwLzIwMTAuTC4uVVNELkgFAAAAAQAAAAgAAAAUKEludmFsaWQgSWRlbnRpZmllcin4OVsRPiXeCPg5WxE+Jd4IL0NJUS4uSVFfVE9UQUxfUkVWRU5VRS5JUV9DUS4xMi8zMS8yMDA5LkwuLlVTRC5IBQAAAAEAAAAIAAAAFChJbnZhbGlkIElkZW50aWZpZXIp+DlbET4l3gj4OVsR</t>
  </si>
  <si>
    <t>PiXeCC5DSVEuLklRX1RPVEFMX1JFVkVOVUUuSVFfQ1EuMy8zMS8yMDEyLkwuLlVTRC5IBQAAAAEAAAAIAAAAFChJbnZhbGlkIElkZW50aWZpZXIp+DlbET4l3gj4OVsRPiXeCC9DSVEuLklRX1RPVEFMX1JFVkVOVUUuSVFfQ1EuMTIvMzEvMjAxMS5MLi5VU0QuSAUAAAABAAAACAAAABQoSW52YWxpZCBJZGVudGlmaWVyKfg5WxE+Jd4I+DlbET4l3gguQ0lRLi5JUV9UT1RBTF9SRVZFTlVFLklRX0NRLjkvMzAvMjAxMS5MLi5VU0QuSAUAAAABAAAACAAAABQoSW52YWxpZCBJZGVudGlmaWVyKfg5WxE+Jd4I+DlbET4l3gguQ0lRLi5JUV9UT1RBTF9SRVZFTlVFLklRX0NRLjYvMzAvMjAxMS5MLi5VU0QuSAUAAAABAAAACAAAABQoSW52YWxpZCBJZGVudGlmaWVyKfg5WxE+Jd4I+DlbET4l3gguQ0lRLi5JUV9UT1RBTF9SRVZFTlVFLklRX0NRLjMvMzEvMjAxMS5MLi5VU0QuSAUAAAABAAAACAAAABQoSW52YWxpZCBJZGVudGlmaWVyKfg5WxE+Jd4I+DlbET4l3gguQ0lRLi5JUV9UT1RBTF9SRVZFTlVFLklRX0NRLjYvMzAvMjAxMy5MLi5VU0QuSAUAAAABAAAACAAAABQoSW52YWxpZCBJZGVudGlmaWVyKfg5WxE+Jd4I+DlbET4l3gguQ0lRLi5JUV9UT1RBTF9SRVZFTlVFLklRX0NRLjMvMzEvMjAxMy5MLi5VU0QuSAUAAAABAAAACAAAABQoSW52YWxpZCBJZGVudGlmaWVyKfg5WxE+Jd4I+DlbET4l3ggvQ0lR</t>
  </si>
  <si>
    <t>Li5JUV9UT1RBTF9SRVZFTlVFLklRX0NRLjEyLzMxLzIwMTIuTC4uVVNELkgFAAAAAQAAAAgAAAAUKEludmFsaWQgSWRlbnRpZmllcin4OVsRPiXeCPg5WxE+Jd4ILkNJUS4uSVFfVE9UQUxfUkVWRU5VRS5JUV9DUS45LzMwLzIwMTIuTC4uVVNELkgFAAAAAQAAAAgAAAAUKEludmFsaWQgSWRlbnRpZmllcin4OVsRPiXeCPg5WxE+Jd4ILkNJUS4uSVFfVE9UQUxfUkVWRU5VRS5JUV9DUS42LzMwLzIwMTIuTC4uVVNELkgFAAAAAQAAAAgAAAAUKEludmFsaWQgSWRlbnRpZmllcin4OVsRPiXeCPg5WxE+Jd4ILkNJUS4uSVFfVE9UQUxfUkVWRU5VRS5JUV9DUS42LzMwLzIwMTQuTC4uVVNELkgFAAAAAQAAAAgAAAAUKEludmFsaWQgSWRlbnRpZmllcin4OVsRPiXeCPg5WxE+Jd4ILkNJUS4uSVFfVE9UQUxfUkVWRU5VRS5JUV9DUS4zLzMxLzIwMTQuTC4uVVNELkgFAAAAAQAAAAgAAAAUKEludmFsaWQgSWRlbnRpZmllcin4OVsRPiXeCPg5WxE+Jd4IL0NJUS4uSVFfVE9UQUxfUkVWRU5VRS5JUV9DUS4xMi8zMS8yMDEzLkwuLlVTRC5IBQAAAAEAAAAIAAAAFChJbnZhbGlkIElkZW50aWZpZXIp+DlbET4l3gj4OVsRPiXeCC5DSVEuLklRX1RPVEFMX1JFVkVOVUUuSVFfQ1EuOS8zMC8yMDEzLkwuLlVTRC5IBQAAAAEAAAAIAAAAFChJbnZhbGlkIElkZW50aWZpZXIp+DlbET4l3gj4OVsRPiXeCC5DSVEuLklRX1RP</t>
  </si>
  <si>
    <t>VEFMX1JFVkVOVUUuSVFfQ1EuOS8zMC8yMDE1LkwuLlVTRC5IBQAAAAEAAAAIAAAAFChJbnZhbGlkIElkZW50aWZpZXIp+DlbET4l3gj4OVsRPiXeCC5DSVEuLklRX1RPVEFMX1JFVkVOVUUuSVFfQ1EuNi8zMC8yMDE1LkwuLlVTRC5IBQAAAAEAAAAIAAAAFChJbnZhbGlkIElkZW50aWZpZXIp+DlbET4l3gj4OVsRPiXeCC5DSVEuLklRX1RPVEFMX1JFVkVOVUUuSVFfQ1EuMy8zMS8yMDE1LkwuLlVTRC5IBQAAAAEAAAAIAAAAFChJbnZhbGlkIElkZW50aWZpZXIp+DlbET4l3gj4OVsRPiXeCC9DSVEuLklRX1RPVEFMX1JFVkVOVUUuSVFfQ1EuMTIvMzEvMjAxNC5MLi5VU0QuSAUAAAABAAAACAAAABQoSW52YWxpZCBJZGVudGlmaWVyKfg5WxE+Jd4I+DlbET4l3gguQ0lRLi5JUV9UT1RBTF9SRVZFTlVFLklRX0NRLjkvMzAvMjAxNC5MLi5VU0QuSAUAAAABAAAACAAAABQoSW52YWxpZCBJZGVudGlmaWVyKfg5WxE+Jd4I+DlbET4l3ggvQ0lRLi5JUV9UT1RBTF9SRVZFTlVFLklRX0NRLjEyLzMxLzIwMTYuTC4uVVNELkgFAAAAAQAAAAgAAAAUKEludmFsaWQgSWRlbnRpZmllcin4OVsRPiXeCPg5WxE+Jd4ILkNJUS4uSVFfVE9UQUxfUkVWRU5VRS5JUV9DUS45LzMwLzIwMTYuTC4uVVNELkgFAAAAAQAAAAgAAAAUKEludmFsaWQgSWRlbnRpZmllcin4OVsRPiXeCPg5WxE+Jd4ILkNJUS4uSVFfVE9UQUxfUkVW</t>
  </si>
  <si>
    <t>RU5VRS5JUV9DUS42LzMwLzIwMTYuTC4uVVNELkgFAAAAAQAAAAgAAAAUKEludmFsaWQgSWRlbnRpZmllcin4OVsRPiXeCPg5WxE+Jd4ILkNJUS4uSVFfVE9UQUxfUkVWRU5VRS5JUV9DUS4zLzMxLzIwMTYuTC4uVVNELkgFAAAAAQAAAAgAAAAUKEludmFsaWQgSWRlbnRpZmllcin4OVsRPiXeCPg5WxE+Jd4IL0NJUS4uSVFfVE9UQUxfUkVWRU5VRS5JUV9DUS4xMi8zMS8yMDE1LkwuLlVTRC5IBQAAAAEAAAAIAAAAFChJbnZhbGlkIElkZW50aWZpZXIp+DlbET4l3gj4OVsRPiXeCC9DSVEuLklRX1RPVEFMX1JFVkVOVUUuSVFfQ1EuMTIvMzEvMjAxNy5MLi5VU0QuSAUAAAABAAAACAAAABQoSW52YWxpZCBJZGVudGlmaWVyKfg5WxE+Jd4I+DlbET4l3gguQ0lRLi5JUV9UT1RBTF9SRVZFTlVFLklRX0NRLjkvMzAvMjAxNy5MLi5VU0QuSAUAAAABAAAACAAAABQoSW52YWxpZCBJZGVudGlmaWVyKfg5WxE+Jd4I+DlbET4l3gguQ0lRLi5JUV9UT1RBTF9SRVZFTlVFLklRX0NRLjYvMzAvMjAxNy5MLi5VU0QuSAUAAAABAAAACAAAABQoSW52YWxpZCBJZGVudGlmaWVyKfg5WxE+Jd4I+DlbET4l3gguQ0lRLi5JUV9UT1RBTF9SRVZFTlVFLklRX0NRLjMvMzEvMjAxNy5MLi5VU0QuSAUAAAABAAAACAAAABQoSW52YWxpZCBJZGVudGlmaWVyKfg5WxE+Jd4I+DlbET4l3gguQ0lRLi5JUV9UT1RBTF9SRVZFTlVFLklR</t>
  </si>
  <si>
    <t>X0NRLjMvMzEvMjAxOS5MLi5VU0QuSAUAAAABAAAACAAAABQoSW52YWxpZCBJZGVudGlmaWVyKfg5WxE+Jd4I+DlbET4l3ggvQ0lRLi5JUV9UT1RBTF9SRVZFTlVFLklRX0NRLjEyLzMxLzIwMTguTC4uVVNELkgFAAAAAQAAAAgAAAAUKEludmFsaWQgSWRlbnRpZmllcin4OVsRPiXeCPg5WxE+Jd4ILkNJUS4uSVFfVE9UQUxfUkVWRU5VRS5JUV9DUS45LzMwLzIwMTguTC4uVVNELkgFAAAAAQAAAAgAAAAUKEludmFsaWQgSWRlbnRpZmllcin4OVsRPiXeCPg5WxE+Jd4ILkNJUS4uSVFfVE9UQUxfUkVWRU5VRS5JUV9DUS42LzMwLzIwMTguTC4uVVNELkgFAAAAAQAAAAgAAAAUKEludmFsaWQgSWRlbnRpZmllcin4OVsRPiXeCPg5WxE+Jd4ILkNJUS4uSVFfVE9UQUxfUkVWRU5VRS5JUV9DUS4zLzMxLzIwMTguTC4uVVNELkgFAAAAAQAAAAgAAAAUKEludmFsaWQgSWRlbnRpZmllcin4OVsRPiXeCPg5WxE+Jd4ILkNJUS4uSVFfVE9UQUxfUkVWRU5VRS5JUV9DUS42LzMwLzIwMjAuTC4uVVNELkgFAAAAAQAAAAgAAAAUKEludmFsaWQgSWRlbnRpZmllcin4OVsRPiXeCPg5WxE+Jd4ILkNJUS4uSVFfVE9UQUxfUkVWRU5VRS5JUV9DUS4zLzMxLzIwMjAuTC4uVVNELkgFAAAAAQAAAAgAAAAUKEludmFsaWQgSWRlbnRpZmllcin4OVsRPiXeCPg5WxE+Jd4IL0NJUS4uSVFfVE9UQUxfUkVWRU5VRS5JUV9DUS4xMi8z</t>
  </si>
  <si>
    <t>MS8yMDE5LkwuLlVTRC5IBQAAAAEAAAAIAAAAFChJbnZhbGlkIElkZW50aWZpZXIp+DlbET4l3gj4OVsRPiXeCC5DSVEuLklRX1RPVEFMX1JFVkVOVUUuSVFfQ1EuOS8zMC8yMDE5LkwuLlVTRC5IBQAAAAEAAAAIAAAAFChJbnZhbGlkIElkZW50aWZpZXIp+DlbET4l3gj4OVsRPiXeCC5DSVEuLklRX1RPVEFMX1JFVkVOVUUuSVFfQ1EuNi8zMC8yMDE5LkwuLlVTRC5IBQAAAAEAAAAIAAAAFChJbnZhbGlkIElkZW50aWZpZXIp+DlbET4l3gj4OVsRPiXeCC5DSVEuLklRX1RPVEFMX1JFVkVOVUUuSVFfQ1EuNi8zMC8yMDIxLkwuLlVTRC5IBQAAAAEAAAAIAAAAFChJbnZhbGlkIElkZW50aWZpZXIp+DlbET4l3gj4OVsRPiXeCC5DSVEuLklRX1RPVEFMX1JFVkVOVUUuSVFfQ1EuMy8zMS8yMDIxLkwuLlVTRC5IBQAAAAEAAAAIAAAAFChJbnZhbGlkIElkZW50aWZpZXIp+DlbET4l3gj4OVsRPiXeCC9DSVEuLklRX1RPVEFMX1JFVkVOVUUuSVFfQ1EuMTIvMzEvMjAyMC5MLi5VU0QuSAUAAAABAAAACAAAABQoSW52YWxpZCBJZGVudGlmaWVyKfg5WxE+Jd4I+DlbET4l3gguQ0lRLi5JUV9UT1RBTF9SRVZFTlVFLklRX0NRLjkvMzAvMjAyMC5MLi5VU0QuSAUAAAABAAAACAAAABQoSW52YWxpZCBJZGVudGlmaWVyKfg5WxE+Jd4I+DlbET4l3gguQ0lRLi5JUV9UT1RBTF9SRVZFTlVFLklRX0NRLjMvMzEvMjAxMC5M</t>
  </si>
  <si>
    <t>Li5VU0QuSAUAAAABAAAACAAAABQoSW52YWxpZCBJZGVudGlmaWVyKfg5WxE+Jd4I+DlbET4l3ghFQ0lRUkFOR0UuQ09QLklRX1BSSUNFREFURS4xMS8xMi8yMDIwLjExLzEyLzIwMjUuLi5ERVNDLk0uSVFfUFJJQ0VEQVRFAwAAAE+GBAA8AAAAAAAAAAMAAAAAAAAABSJDT1AiA0NPUAEAAAAOIklRX1BSSUNFREFURSIMSVFfUFJJQ0VEQVRFAgAAAAwiMTAvMzEvMjAyNSIKMTAvMzEvMjAyNQAAAAADAAAAAAAAAAUiQ09QIgNDT1ABAAAADiJJUV9QUklDRURBVEUiDElRX1BSSUNFREFURQIAAAALIjkvMzAvMjAyNSIJOS8zMC8yMDI1AAAAAAMAAAAAAAAABSJDT1AiA0NPUAEAAAAOIklRX1BSSUNFREFURSIMSVFfUFJJQ0VEQVRFAgAAAAsiOC8yOS8yMDI1Igk4LzI5LzIwMjUAAAAAAwAAAAAAAAAFIkNPUCIDQ09QAQAAAA4iSVFfUFJJQ0VEQVRFIgxJUV9QUklDRURBVEUCAAAACyI3LzMxLzIwMjUiCTcvMzEvMjAyNQAAAAADAAAAAAAAAAUiQ09QIgNDT1ABAAAADiJJUV9QUklDRURBVEUiDElRX1BSSUNFREFURQIAAAALIjYvMzAvMjAyNSIJNi8zMC8yMDI1AAAAAAMAAAAAAAAABSJDT1AiA0NPUAEAAAAOIklRX1BSSUNFREFURSIMSVFfUFJJQ0VEQVRFAgAAAAsiNS8zMC8yMDI1Igk1LzMwLzIwMjUAAAAAAwAAAAAAAAAFIkNPUCIDQ09QAQAAAA4iSVFfUFJJQ0VEQVRFIgxJUV9QUklDRURBVEUCAAAACyI0</t>
  </si>
  <si>
    <t>LzMwLzIwMjUiCTQvMzAvMjAyNQAAAAADAAAAAAAAAAUiQ09QIgNDT1ABAAAADiJJUV9QUklDRURBVEUiDElRX1BSSUNFREFURQIAAAALIjMvMzEvMjAyNSIJMy8zMS8yMDI1AAAAAAMAAAAAAAAABSJDT1AiA0NPUAEAAAAOIklRX1BSSUNFREFURSIMSVFfUFJJQ0VEQVRFAgAAAAsiMi8yOC8yMDI1IgkyLzI4LzIwMjUAAAAAAwAAAAAAAAAFIkNPUCIDQ09QAQAAAA4iSVFfUFJJQ0VEQVRFIgxJUV9QUklDRURBVEUCAAAACyIxLzMxLzIwMjUiCTEvMzEvMjAyNQAAAAADAAAAAAAAAAUiQ09QIgNDT1ABAAAADiJJUV9QUklDRURBVEUiDElRX1BSSUNFREFURQIAAAAMIjEyLzMxLzIwMjQiCjEyLzMxLzIwMjQAAAAAAwAAAAAAAAAFIkNPUCIDQ09QAQAAAA4iSVFfUFJJQ0VEQVRFIgxJUV9QUklDRURBVEUCAAAADCIxMS8yOS8yMDI0IgoxMS8yOS8yMDI0AAAAAAMAAAAAAAAABSJDT1AiA0NPUAEAAAAOIklRX1BSSUNFREFURSIMSVFfUFJJQ0VEQVRFAgAAAAwiMTAvMzEvMjAyNCIKMTAvMzEvMjAyNAAAAAADAAAAAAAAAAUiQ09QIgNDT1ABAAAADiJJUV9QUklDRURBVEUiDElRX1BSSUNFREFURQIAAAALIjkvMzAvMjAyNCIJOS8zMC8yMDI0AAAAAAMAAAAAAAAABSJDT1AiA0NPUAEAAAAOIklRX1BSSUNFREFURSIMSVFfUFJJQ0VEQVRFAgAAAAsiOC8zMC8yMDI0Igk4LzMwLzIwMjQAAAAAAwAAAAAAAAAFIkNP</t>
  </si>
  <si>
    <t>UCIDQ09QAQAAAA4iSVFfUFJJQ0VEQVRFIgxJUV9QUklDRURBVEUCAAAACyI3LzMxLzIwMjQiCTcvMzEvMjAyNAAAAAADAAAAAAAAAAUiQ09QIgNDT1ABAAAADiJJUV9QUklDRURBVEUiDElRX1BSSUNFREFURQIAAAALIjYvMjgvMjAyNCIJNi8yOC8yMDI0AAAAAAMAAAAAAAAABSJDT1AiA0NPUAEAAAAOIklRX1BSSUNFREFURSIMSVFfUFJJQ0VEQVRFAgAAAAsiNS8zMS8yMDI0Igk1LzMxLzIwMjQAAAAAAwAAAAAAAAAFIkNPUCIDQ09QAQAAAA4iSVFfUFJJQ0VEQVRFIgxJUV9QUklDRURBVEUCAAAACyI0LzMwLzIwMjQiCTQvMzAvMjAyNAAAAAADAAAAAAAAAAUiQ09QIgNDT1ABAAAADiJJUV9QUklDRURBVEUiDElRX1BSSUNFREFURQIAAAALIjMvMjgvMjAyNCIJMy8yOC8yMDI0AAAAAAMAAAAAAAAABSJDT1AiA0NPUAEAAAAOIklRX1BSSUNFREFURSIMSVFfUFJJQ0VEQVRFAgAAAAsiMi8yOS8yMDI0IgkyLzI5LzIwMjQAAAAAAwAAAAAAAAAFIkNPUCIDQ09QAQAAAA4iSVFfUFJJQ0VEQVRFIgxJUV9QUklDRURBVEUCAAAACyIxLzMxLzIwMjQiCTEvMzEvMjAyNAAAAAADAAAAAAAAAAUiQ09QIgNDT1ABAAAADiJJUV9QUklDRURBVEUiDElRX1BSSUNFREFURQIAAAAMIjEyLzI5LzIwMjMiCjEyLzI5LzIwMjMAAAAAAwAAAAAAAAAFIkNPUCIDQ09QAQAAAA4iSVFfUFJJQ0VEQVRFIgxJUV9QUklDRURBVEUC</t>
  </si>
  <si>
    <t>AAAADCIxMS8zMC8yMDIzIgoxMS8zMC8yMDIzAAAAAAMAAAAAAAAABSJDT1AiA0NPUAEAAAAOIklRX1BSSUNFREFURSIMSVFfUFJJQ0VEQVRFAgAAAAwiMTAvMzEvMjAyMyIKMTAvMzEvMjAyMwAAAAADAAAAAAAAAAUiQ09QIgNDT1ABAAAADiJJUV9QUklDRURBVEUiDElRX1BSSUNFREFURQIAAAALIjkvMjkvMjAyMyIJOS8yOS8yMDIzAAAAAAMAAAAAAAAABSJDT1AiA0NPUAEAAAAOIklRX1BSSUNFREFURSIMSVFfUFJJQ0VEQVRFAgAAAAsiOC8zMS8yMDIzIgk4LzMxLzIwMjMAAAAAAwAAAAAAAAAFIkNPUCIDQ09QAQAAAA4iSVFfUFJJQ0VEQVRFIgxJUV9QUklDRURBVEUCAAAACyI3LzMxLzIwMjMiCTcvMzEvMjAyMwAAAAADAAAAAAAAAAUiQ09QIgNDT1ABAAAADiJJUV9QUklDRURBVEUiDElRX1BSSUNFREFURQIAAAALIjYvMzAvMjAyMyIJNi8zMC8yMDIzAAAAAAMAAAAAAAAABSJDT1AiA0NPUAEAAAAOIklRX1BSSUNFREFURSIMSVFfUFJJQ0VEQVRFAgAAAAsiNS8zMS8yMDIzIgk1LzMxLzIwMjMAAAAAAwAAAAAAAAAFIkNPUCIDQ09QAQAAAA4iSVFfUFJJQ0VEQVRFIgxJUV9QUklDRURBVEUCAAAACyI0LzI4LzIwMjMiCTQvMjgvMjAyMwAAAAADAAAAAAAAAAUiQ09QIgNDT1ABAAAADiJJUV9QUklDRURBVEUiDElRX1BSSUNFREFURQIAAAALIjMvMzEvMjAyMyIJMy8zMS8yMDIzAAAAAAMAAAAAAAAA</t>
  </si>
  <si>
    <t>BSJDT1AiA0NPUAEAAAAOIklRX1BSSUNFREFURSIMSVFfUFJJQ0VEQVRFAgAAAAsiMi8yOC8yMDIzIgkyLzI4LzIwMjMAAAAAAwAAAAAAAAAFIkNPUCIDQ09QAQAAAA4iSVFfUFJJQ0VEQVRFIgxJUV9QUklDRURBVEUCAAAACyIxLzMxLzIwMjMiCTEvMzEvMjAyMwAAAAADAAAAAAAAAAUiQ09QIgNDT1ABAAAADiJJUV9QUklDRURBVEUiDElRX1BSSUNFREFURQIAAAAMIjEyLzMwLzIwMjIiCjEyLzMwLzIwMjIAAAAAAwAAAAAAAAAFIkNPUCIDQ09QAQAAAA4iSVFfUFJJQ0VEQVRFIgxJUV9QUklDRURBVEUCAAAADCIxMS8zMC8yMDIyIgoxMS8zMC8yMDIyAAAAAAMAAAAAAAAABSJDT1AiA0NPUAEAAAAOIklRX1BSSUNFREFURSIMSVFfUFJJQ0VEQVRFAgAAAAwiMTAvMzEvMjAyMiIKMTAvMzEvMjAyMgAAAAADAAAAAAAAAAUiQ09QIgNDT1ABAAAADiJJUV9QUklDRURBVEUiDElRX1BSSUNFREFURQIAAAALIjkvMzAvMjAyMiIJOS8zMC8yMDIyAAAAAAMAAAAAAAAABSJDT1AiA0NPUAEAAAAOIklRX1BSSUNFREFURSIMSVFfUFJJQ0VEQVRFAgAAAAsiOC8zMS8yMDIyIgk4LzMxLzIwMjIAAAAAAwAAAAAAAAAFIkNPUCIDQ09QAQAAAA4iSVFfUFJJQ0VEQVRFIgxJUV9QUklDRURBVEUCAAAACyI3LzI5LzIwMjIiCTcvMjkvMjAyMgAAAAADAAAAAAAAAAUiQ09QIgNDT1ABAAAADiJJUV9QUklDRURBVEUiDElRX1BS</t>
  </si>
  <si>
    <t>SUNFREFURQIAAAALIjYvMzAvMjAyMiIJNi8zMC8yMDIyAAAAAAMAAAAAAAAABSJDT1AiA0NPUAEAAAAOIklRX1BSSUNFREFURSIMSVFfUFJJQ0VEQVRFAgAAAAsiNS8zMS8yMDIyIgk1LzMxLzIwMjIAAAAAAwAAAAAAAAAFIkNPUCIDQ09QAQAAAA4iSVFfUFJJQ0VEQVRFIgxJUV9QUklDRURBVEUCAAAACyI0LzI5LzIwMjIiCTQvMjkvMjAyMgAAAAADAAAAAAAAAAUiQ09QIgNDT1ABAAAADiJJUV9QUklDRURBVEUiDElRX1BSSUNFREFURQIAAAALIjMvMzEvMjAyMiIJMy8zMS8yMDIyAAAAAAMAAAAAAAAABSJDT1AiA0NPUAEAAAAOIklRX1BSSUNFREFURSIMSVFfUFJJQ0VEQVRFAgAAAAsiMi8yOC8yMDIyIgkyLzI4LzIwMjIAAAAAAwAAAAAAAAAFIkNPUCIDQ09QAQAAAA4iSVFfUFJJQ0VEQVRFIgxJUV9QUklDRURBVEUCAAAACyIxLzMxLzIwMjIiCTEvMzEvMjAyMgAAAAADAAAAAAAAAAUiQ09QIgNDT1ABAAAADiJJUV9QUklDRURBVEUiDElRX1BSSUNFREFURQIAAAAMIjEyLzMxLzIwMjEiCjEyLzMxLzIwMjEAAAAAAwAAAAAAAAAFIkNPUCIDQ09QAQAAAA4iSVFfUFJJQ0VEQVRFIgxJUV9QUklDRURBVEUCAAAADCIxMS8zMC8yMDIxIgoxMS8zMC8yMDIxAAAAAAMAAAAAAAAABSJDT1AiA0NPUAEAAAAOIklRX1BSSUNFREFURSIMSVFfUFJJQ0VEQVRFAgAAAAwiMTAvMjkvMjAyMSIKMTAvMjkvMjAyMQAA</t>
  </si>
  <si>
    <t>AAADAAAAAAAAAAUiQ09QIgNDT1ABAAAADiJJUV9QUklDRURBVEUiDElRX1BSSUNFREFURQIAAAALIjkvMzAvMjAyMSIJOS8zMC8yMDIxAAAAAAMAAAAAAAAABSJDT1AiA0NPUAEAAAAOIklRX1BSSUNFREFURSIMSVFfUFJJQ0VEQVRFAgAAAAsiOC8zMS8yMDIxIgk4LzMxLzIwMjEAAAAAAwAAAAAAAAAFIkNPUCIDQ09QAQAAAA4iSVFfUFJJQ0VEQVRFIgxJUV9QUklDRURBVEUCAAAACyI3LzMwLzIwMjEiCTcvMzAvMjAyMQAAAAADAAAAAAAAAAUiQ09QIgNDT1ABAAAADiJJUV9QUklDRURBVEUiDElRX1BSSUNFREFURQIAAAALIjYvMzAvMjAyMSIJNi8zMC8yMDIxAAAAAAMAAAAAAAAABSJDT1AiA0NPUAEAAAAOIklRX1BSSUNFREFURSIMSVFfUFJJQ0VEQVRFAgAAAAsiNS8yOC8yMDIxIgk1LzI4LzIwMjEAAAAAAwAAAAAAAAAFIkNPUCIDQ09QAQAAAA4iSVFfUFJJQ0VEQVRFIgxJUV9QUklDRURBVEUCAAAACyI0LzMwLzIwMjEiCTQvMzAvMjAyMQAAAAADAAAAAAAAAAUiQ09QIgNDT1ABAAAADiJJUV9QUklDRURBVEUiDElRX1BSSUNFREFURQIAAAALIjMvMzEvMjAyMSIJMy8zMS8yMDIxAAAAAAMAAAAAAAAABSJDT1AiA0NPUAEAAAAOIklRX1BSSUNFREFURSIMSVFfUFJJQ0VEQVRFAgAAAAsiMi8yNi8yMDIxIgkyLzI2LzIwMjEAAAAAAwAAAAAAAAAFIkNPUCIDQ09QAQAAAA4iSVFfUFJJQ0VEQVRFIgxJ</t>
  </si>
  <si>
    <t>Mi44MDE4NjQCAAAACTExNS43NDU3NwIAAAAKMTA4LjM0OTI1MgIAAAAKMTAzLjA0ODAwMQIAAAAKMTAzLjc2MTgwNAIAAAAKMTEzLjc4Mzk3NwIAAAAJMTExLjcyNzY3AgAAAAoxMTIuMTQ4NjM0AgAAAAoxMTIuODM3NDg0AgAAAAoxMTIuNTUzMjE0AgAAAAoxMDkuMjU5ODUzAgAAAAoxMTEuMjkwOTE3AgAAAAkxMTEuMzQ1MTECAAAACTEwOS40MzM5NwIAAAAJOTguNDAwMTk0AgAAAAk5NS44OTkwNjICAAAACTkzLjI1OTI5NgIAAAAJOTUuODMzNzY3AgAAAAk5Ny44NDAwMzQCAAAACjEwOC42ODIzOTICAAAACjEwMi43NzU5NDECAAAACTk4LjMxODg4NAIAAAAJOTguMzI4MDUyAgAAAAk5My42Nzk4MTcCAAAACjEwNy41NjIxMzMCAAAACTk5LjY3MjY2OAIAAAAJOTkuODk5ODk5AgAAAAkxMDQuNjM5MTUCAAAACTk5LjQ4ODgyMgIAAAAKMTAwLjQyNjg4NQIAAAAJOTkuMTUwNjQ2AgAAAAc3OC4xMjMzAgAAAAk4NS41MzIwODQCAAAACTg1Ljg5NjQ5OQIAAAAJNzUuODkxNjM1AgAAAAk4NS4wNzIzNjECAAAACTc0Ljc4MDAzNgIAAAAJNzIuNDQ2NzI0AgAAAAk2OC43ODg4NjECAAAACTY1LjkwMDQxOQIAAAAJNTMuMDg2NDQ5AgAAAAk1MS45MTUyMzMCAAAACTU1LjE5MDM1NQIAAAAJNTAuMzUzNjAxAgAAAAk0Ni42NzI1MzICAAAACTQ4LjU0ODcwNAIAAAAINTMuMTk1MjgCAAAACTQ5LjIyMzM0MwIAAAAI</t>
  </si>
  <si>
    <t>NzM2ODYxNDg5NzU0AgAAABA2ODIuODIyMjUwMTY3NDIzAgAAABA2ODYuMzkzNjU4MjQ5Njg5AgAAABA2NjYuOTA3NDUwNzE4MjI5AgAAABA2NDguNjgxMjM1NzExODA1AgAAABA2MTkuMzQwMzA1NzQ2OTc4AgAAABA2MTcuNDY4Nzg5MTUwNzk3AgAAAA83MTUuNzUxMjExNzcxNjgCAAAAEDY4OS44ODEwNzYwMDg5MDYCAAAAEDY2Ny45NTM4MDQyNTMwMTECAAAADzY1NC44NDYzMTc4NDMzMgIAAAAQNzI0LjA1NTk2MjY4NTY5MwIAAAAQNjgxLjI1MjA3MzgwMzI4OAIAAAAQNjc2LjQ3MzEyNzg3NTE2NgIAAAAQNjk1Ljg2MTMwMTcxMzE2MgIAAAAQNzEyLjQxODEwODA1NjQwOQIAAAAQNjk4LjIzMjA3MjI2MzcxMQIAAAAQNzA4LjA0NDcwMjQ3NTgyMgIAAAAQNzE0Ljk0OTUzNDc0MzYxNQIAAAAQNzIxLjI0MjI2Nzc4NTA4MgIAAAAQNjUzLjE0NDUxMjYwMDU1NQIAAAAQNjM2LjczMDYwNjY1MDg3NgIAAAAQNjQwLjA0ODA1MzY5OTUwNgIAAAAQNjQxLjI4MzUyMzg3OTA4MQIAAAAQNjUyLjAxMzA0NTI0NDA5NQIAAAAQNjk0LjE5MTM2MjE3Njc4MgIAAAAQNjc3LjQ5MDc2MzM1MTYzNwIAAAAQNjY4Ljk4MTg4OTMwMTU2OQIAAAAQNjIzLjU1NzA1MzI1MTI2MwIAAAAQNTg1LjY2MjQ3Nzg3NDIyMgIAAAAQNjU1LjE5NjE0MDE0NTExMgIAAAAQNjM0LjkwMTAwNzc2MDc1MgIAAAAQNjM4LjAxMDkxNjc0MzA4</t>
  </si>
  <si>
    <t>EDEzMDg1LjA5Nzg1NTYxNDECAAAAEDEyNzg4LjQ2MjkwNzkzMzYCAAAAEDEyMzQyLjMyNjQ2MjUwMTgCAAAAEDEyMTAxLjM5MDQ4NTM5NTUCAAAAEDExODM4LjQ1Nzk0NjA5MjYCAAAAEDExMjY5LjU3OTQ1MTk5MjMCAAAAEDEwNjA2LjQ4NTA4MjcxNjUCAAAAEDEwNjgxLjYyMDU1NzcyNjICAAAAEDExMzIzLjcyODYyODgwNzgCAAAAEDExNDc3LjU5NzUwMjI0MDMCAAAAEDExMTY5LjM0NjY1NzczNzICAAAADzExNDQ2LjE2MzUxNDM0NwIAAAAPMTA4MTUuODAzNjA0MDk2AgAAABAxMDkxNy41MjcyOTExMzQ2AgAAABAxMDY5Mi44NzcyMzEyMDI2AgAAABAxMDQ0NC4wMDAyOTI3MjExAgAAABAxMDMyMS4wMDUzMTgwMTg3AgAAABA5OTY2Ljk5MjAyNzk0MzE2AgAAABA5NTAwLjM3OTQ1NzA4OTA2AgAAABA5OTA3LjMzMjA4NjE3NDU2AgAAABA5NjAxLjcyODE1MzI3NDQzAgAAABA5MTE5LjM3Njg3NDI3MDM1AgAAAA84OTcxLjA3MTY4ODc1NDYCAAAAEDg1ODQuMTgxNzE5NjYzMDYCAAAAEDc4NzAuNDc4OTE2NzM2NDcCAAAAEDgwNDEuODczNjQyNDY4OTgCAAAAEDg0NDcuMjU5OTIyMDQyNzUCAAAAEDg1ODguNjMxMTUwODEwNzMCAAAADjgzMjMuNjk1OTA0ODk5AgAAABA3ODEwLjc1NDExNzE2NTAzAgAAABA3NzgxLjI4OTUwNTQ5OTM4AgAAABA3NjYzLjg5MDQ4NzA3NTc0AgAAABA3Mzk2LjA0MjE2Mjc3</t>
  </si>
  <si>
    <t>U1RFRF9DQVBJVEFMLklRX0xUTS4uTC4uVVNELkgBAAAADhEEAAIAAAAGOC44MjM3AJXYEix8JN4IAvDhKT0l3ggzQ0lRLlhPTS5JUV9SRVRVUk5fSU5WRVNURURfQ0FQSVRBTC5JUV9MVE0uLkwuLlVTRC5IAQAAAEIzBgACAAAABjQuMDQyMgCV2BIsfCTeCBcr4ik9Jd4IM0NJUS5FT0cuSVFfUkVUVVJOX0lOVkVTVEVEX0NBUElUQUwuSVFfTFRNLi5MLi5VU0QuSAEAAABcHQQAAgAAAAU5LjQ1OQCV2BIsfCTeCBcr4ik9Jd4IMENJUS5DT1AuSVFfTklfMVlSX0FOTl9HUk9XVEguLjkvMzAvMjAyMi5MLi5VU0QuSAEAAABPhgQAAgAAAAgyODUuODU0NwEIAAAABQAAAAExAQAAAAstMjAyMTQ3NzMyNgMAAAADMTYwAgAAAAQ0MTk5BAAAAAEwBwAAAAk5LzMwLzIwMjIIAAAACTkvMzAvMjAyMgkAAAABMJXYEix8JN4IWSDaMT8l3ggwQ0lRLlhPTS5JUV9OSV8xWVJfQU5OX0dST1dUSC4uOS8zMC8yMDIyLkwuLlVTRC5IAQAAAEIzBgADAAAAAk5NAQgAAAAFAAAAATEBAAAACy0yMDIxODY3OTA4AwAAAAMxNjACAAAABDQxOTkEAAAAATAHAAAACTkvMzAvMjAyMggAAAAJOS8zMC8yMDIyCQAAAAEwldgSLHwk3ghZINoxPyXeCDBDSVEuQ1ZYLklRX05JXzFZUl9BTk5fR1JPV1RILi45LzMwLzIwMjIuTC4uVVNELkgBAAAAyoABAAIAAAAIMjQ0Ljk0NjkBCAAAAAUAAAABMQEAAAALLTIwMjE0MDkwMDgDAAAAAzE2MAIA</t>
  </si>
  <si>
    <t>AAAENDE5OQQAAAABMAcAAAAJOS8zMC8yMDIyCAAAAAk5LzMwLzIwMjIJAAAAATCV2BIsfCTeCFkg2jE/Jd4IMENJUS5FT0cuSVFfTklfMVlSX0FOTl9HUk9XVEguLjkvMzAvMjAyMi5MLi5VU0QuSAEAAABcHQQAAgAAAAgxNDcuNTc5NQEIAAAABQAAAAExAQAAAAstMjAyMTM3NTAzMQMAAAADMTYwAgAAAAQ0MTk5BAAAAAEwBwAAAAk5LzMwLzIwMjIIAAAACTkvMzAvMjAyMgkAAAABMJXYEix8JN4I/TPaMT8l3ggwQ0lRLkRWTi5JUV9OSV8xWVJfQU5OX0dST1dUSC4uOS8zMC8yMDIyLkwuLlVTRC5IAQAAAA4RBAACAAAACDQyNC40ODEzAQgAAAAFAAAAATEBAAAACy0yMDIwNDU4MTI0AwAAAAMxNjACAAAABDQxOTkEAAAAATAHAAAACTkvMzAvMjAyMggAAAAJOS8zMC8yMDIyCQAAAAEwldgSLHwk3ghZINoxPyXeCC9DSVEuQlAuSVFfTklfMVlSX0FOTl9HUk9XVEguLjkvMzAvMjAyMi5MLi5VU0QuSAEAAADiBAYAAwAAAAJOTQEIAAAABQAAAAExAQAAAAstMjAyMjMxNzM1MQMAAAADMTYwAgAAAAQ0MTk5BAAAAAEwBwAAAAk5LzMwLzIwMjIIAAAACTkvMzAvMjAyMgkAAAABMJXYEix8JN4IWSDaMT8l3ggwQ0lRLkNPUC5JUV9OSV8xWVJfQU5OX0dST1dUSC4uOS8zMC8yMDIxLkwuLlVTRC5IAQAAAE+GBAADAAAAAk5NAQgAAAAFAAAAATEBAAAACy0yMDcxOTMzMzgxAwAAAAMxNjACAAAABDQxOTkEAAAAATAH</t>
  </si>
  <si>
    <t>AAAACTkvMzAvMjAyMQgAAAAJOS8zMC8yMDIxCQAAAAEwldgSLHwk3gig3NwxPyXeCCVDSVEuQ09QLklRX0VCSVREQS4uOS8zMC8yMDIxLkwuLlVTRC5IAQAAAE+GBAACAAAABTE0NTg2AQgAAAAFAAAAATEBAAAACy0yMDcxOTMzMzgxAwAAAAMxNjACAAAABDQwNTEEAAAAATAHAAAACTkvMzAvMjAyMQgAAAAJOS8zMC8yMDIxCQAAAAEwldgSLHwk3giAjtwxPyXeCDBDSVEuRU9HLklRX05JXzFZUl9BTk5fR1JPV1RILi45LzMwLzIwMjEuTC4uVVNELkgBAAAAXB0EAAMAAAACTk0BCAAAAAUAAAABMQEAAAALLTIwNzIxNzE3MzYDAAAAAzE2MAIAAAAENDE5OQQAAAABMAcAAAAJOS8zMC8yMDIxCAAAAAk5LzMwLzIwMjEJAAAAATCV2BIsfCTeCKDc3DE/Jd4IL0NJUS5CUC5JUV9OSV8xWVJfQU5OX0dST1dUSC4uOS8zMC8yMDIxLkwuLlVTRC5IAQAAAOIEBgADAAAAAk5NAQgAAAAFAAAAATEBAAAACy0yMDcyNjMyMDA1AwAAAAMxNjACAAAABDQxOTkEAAAAATAHAAAACTkvMzAvMjAyMQgAAAAJOS8zMC8yMDIxCQAAAAEwldgSLHwk3gig3NwxPyXeCCVDSVEuRU9HLklRX0VCSVREQS4uOS8zMC8yMDIxLkwuLlVTRC5IAQAAAFwdBAACAAAABDc5NDYBCAAAAAUAAAABMQEAAAALLTIwNzIxNzE3MzYDAAAAAzE2MAIAAAAENDA1MQQAAAABMAcAAAAJOS8zMC8yMDIxCAAAAAk5LzMwLzIwMjEJAAAAATCV2BIsfCTeCICO</t>
  </si>
  <si>
    <t>3DE/Jd4IJUNJUS5YT00uSVFfRUJJVERBLi45LzMwLzIwMjEuTC4uVVNELkgBAAAAQjMGAAIAAAAFMzQ2NzcBCAAAAAUAAAABMQEAAAALLTIwNzIzMzcxODgDAAAAAzE2MAIAAAAENDA1MQQAAAABMAcAAAAJOS8zMC8yMDIxCAAAAAk5LzMwLzIwMjEJAAAAATCV2BIsfCTeCICO3DE/Jd4IJUNJUS5DVlguSVFfRUJJVERBLi45LzMwLzIwMjEuTC4uVVNELkgBAAAAyoABAAIAAAAFMjc2ODUBCAAAAAUAAAABMQEAAAALLTIwNzIxMjIwNDADAAAAAzE2MAIAAAAENDA1MQQAAAABMAcAAAAJOS8zMC8yMDIxCAAAAAk5LzMwLzIwMjEJAAAAATCV2BIsfCTeCICO3DE/Jd4IMENJUS5EVk4uSVFfTklfMVlSX0FOTl9HUk9XVEguLjkvMzAvMjAyMS5MLi5VU0QuSAEAAAAOEQQAAwAAAAJOTQEIAAAABQAAAAExAQAAAAstMjA3MjM2MjI2OAMAAAADMTYwAgAAAAQ0MTk5BAAAAAEwBwAAAAk5LzMwLzIwMjEIAAAACTkvMzAvMjAyMQkAAAABMJXYEix8JN4IoNzcMT8l3gglQ0lRLkRWTi5JUV9FQklUREEuLjkvMzAvMjAyMS5MLi5VU0QuSAEAAAAOEQQAAgAAAAQzNTA3AQgAAAAFAAAAATEBAAAACy0yMDcyMzYyMjY4AwAAAAMxNjACAAAABDQwNTEEAAAAATAHAAAACTkvMzAvMjAyMQgAAAAJOS8zMC8yMDIxCQAAAAEwldgSLHwk3giAjtwxPyXeCDBDSVEuWE9NLklRX05JXzFZUl9BTk5fR1JPV1RILi45LzMwLzIwMjEuTC4u</t>
  </si>
  <si>
    <t>VVNELkgBAAAAQjMGAAMAAAACTk0BCAAAAAUAAAABMQEAAAALLTIwNzIzMzcxODgDAAAAAzE2MAIAAAAENDE5OQQAAAABMAcAAAAJOS8zMC8yMDIxCAAAAAk5LzMwLzIwMjEJAAAAATCV2BIsfCTeCKDc3DE/Jd4IMENJUS5DVlguSVFfTklfMVlSX0FOTl9HUk9XVEguLjkvMzAvMjAyMS5MLi5VU0QuSAEAAADKgAEAAwAAAAJOTQEIAAAABQAAAAExAQAAAAstMjA3MjEyMjA0MAMAAAADMTYwAgAAAAQ0MTk5BAAAAAEwBwAAAAk5LzMwLzIwMjEIAAAACTkvMzAvMjAyMQkAAAABMJXYEix8JN4IoNzcMT8l3ggkQ0lRLkJQLklRX0VCSVREQS4uOS8zMC8yMDIxLkwuLlVTRC5IAQAAAOIEBgACAAAABTE3OTg5AQgAAAAFAAAAATEBAAAACy0yMDcyNjMyMDA1AwAAAAMxNjACAAAABDQwNTEEAAAAATAHAAAACTkvMzAvMjAyMQgAAAAJOS8zMC8yMDIxCQAAAAEwldgSLHwk3giAjtwxPyXeCC9DSVEuQlAuSVFfTklfMVlSX0FOTl9HUk9XVEguLjYvMzAvMjAyMS5MLi5VU0QuSAEAAADiBAYAAwAAAAJOTQEIAAAABQAAAAExAQAAAAstMjA4NzE4MzMzMAMAAAADMTYwAgAAAAQ0MTk5BAAAAAEwBwAAAAk2LzMwLzIwMjEIAAAACTYvMzAvMjAyMQkAAAABMJXYEix8JN4IldgSLHwk3ggwQ0lRLkVPRy5JUV9OSV8xWVJfQU5OX0dST1dUSC4uNi8zMC8yMDIxLkwuLlVTRC5IAQAAAFwdBAACAAAACDQzNC4zNDg3AQgAAAAFAAAA</t>
  </si>
  <si>
    <t>SVEuQ09QLklRX0VCSVREQS4uNi8zMC8yMDIxLkwuLlVTRC5IAQAAAE+GBAACAAAABTEwMzkxAQgAAAAFAAAAATEBAAAACy0yMDg2NDIwNTgyAwAAAAMxNjACAAAABDQwNTEEAAAAATAHAAAACTYvMzAvMjAyMQgAAAAJNi8zMC8yMDIxCQAAAAEwldgSLHwk3ggwfajKPCXeCDBDSVEuQ09QLklRX05JXzFZUl9BTk5fR1JPV1RILi42LzMwLzIwMjEuTC4uVVNELkgBAAAAT4YEAAIAAAAILTE5LjQxNjcBCAAAAAUAAAABMQEAAAALLTIwODY0MjA1ODIDAAAAAzE2MAIAAAAENDE5OQQAAAABMAcAAAAJNi8zMC8yMDIxCAAAAAk2LzMwLzIwMjEJAAAAATCV2BIsfCTeCJXYEix8JN4IMUNJUS5DT1AuSVFfTklfMVlSX0FOTl9HUk9XVEguLjEyLzMxLzIwMjEuTC4uVVNELkgBAAAAT4YEAAMAAAACTk0BCAAAAAUAAAABMQEAAAALLTIwMTAxMjUwNzgDAAAAAzE2MAIAAAAENDE5OQQAAAABMAcAAAAKMTIvMzEvMjAyMQgAAAAKMTIvMzEvMjAyMQkAAAABMJXYEix8JN4IL2PeMT8l3ggwQ0lRLkJQLklRX05JXzFZUl9BTk5fR1JPV1RILi4xMi8zMS8yMDIxLkwuLlVTRC5IAQAAAOIEBgADAAAAAk5NAQgAAAAFAAAAATEBAAAACy0yMDA2NzgwODcwAwAAAAMxNjACAAAABDQxOTkEAAAAATAHAAAACjEyLzMxLzIwMjEIAAAACjEyLzMxLzIwMjEJAAAAATCV2BIsfCTeCC9j3jE/Jd4IMUNJUS5FT0cuSVFfTklfMVlSX0FOTl9H</t>
  </si>
  <si>
    <t>Uk9XVEguLjEyLzMxLzIwMjEuTC4uVVNELkgBAAAAXB0EAAMAAAACTk0BCAAAAAUAAAABMQEAAAALLTIwMDkyMzcyMzgDAAAAAzE2MAIAAAAENDE5OQQAAAABMAcAAAAKMTIvMzEvMjAyMQgAAAAKMTIvMzEvMjAyMQkAAAABMJXYEix8JN4IL2PeMT8l3ggxQ0lRLkNWWC5JUV9OSV8xWVJfQU5OX0dST1dUSC4uMTIvMzEvMjAyMS5MLi5VU0QuSAEAAADKgAEAAwAAAAJOTQEIAAAABQAAAAExAQAAAAstMjAwODU1NzUxMwMAAAADMTYwAgAAAAQ0MTk5BAAAAAEwBwAAAAoxMi8zMS8yMDIxCAAAAAoxMi8zMS8yMDIxCQAAAAEwldgSLHwk3ggvY94xPyXeCDFDSVEuWE9NLklRX05JXzFZUl9BTk5fR1JPV1RILi4xMi8zMS8yMDIxLkwuLlVTRC5IAQAAAEIzBgADAAAAAk5NAQgAAAAFAAAAATEBAAAACy0yMDA3ODMyNzA5AwAAAAMxNjACAAAABDQxOTkEAAAAATAHAAAACjEyLzMxLzIwMjEIAAAACjEyLzMxLzIwMjEJAAAAATCV2BIsfCTeCC9j3jE/Jd4IMUNJUS5EVk4uSVFfTklfMVlSX0FOTl9HUk9XVEguLjEyLzMxLzIwMjEuTC4uVVNELkgBAAAADhEEAAMAAAACTk0BCAAAAAUAAAABMQEAAAALLTIwMDgyMjIxOTcDAAAAAzE2MAIAAAAENDE5OQQAAAABMAcAAAAKMTIvMzEvMjAyMQgAAAAKMTIvMzEvMjAyMQkAAAABMJXYEix8JN4IL2PeMT8l3ggcQ0lRLkNPUC5JUV9FQklUREEuLi5MLi5VU0QuSAEAAABPhgQA</t>
  </si>
  <si>
    <t>yMLfMT8l3gglQ0lRLlhPTS5JUV9FQklUREEuLjkvMzAvMjAyMC5MLi5VU0QuSAEAAABCMwYAAgAAAAUxOTE0OAEIAAAABQAAAAExAQAAAAstMjEyMzkyNzIyMwMAAAADMTYwAgAAAAQ0MDUxBAAAAAEwBwAAAAk5LzMwLzIwMjAIAAAACTkvMzAvMjAyMAkAAAABMJXYEix8JN4IyMLfMT8l3gglQ0lRLkNWWC5JUV9FQklUREEuLjkvMzAvMjAyMC5MLi5VU0QuSAEAAADKgAEAAgAAAAUxNTc2MQEIAAAABQAAAAExAQAAAAstMjEyMzYwNDI2OQMAAAADMTYwAgAAAAQ0MDUxBAAAAAEwBwAAAAk5LzMwLzIwMjAIAAAACTkvMzAvMjAyMAkAAAABMJXYEix8JN4IyMLfMT8l3ggkQ0lRLkJQLklRX0VCSVREQS4uOS8zMC8yMDIwLkwuLlVTRC5IAQAAAOIEBgACAAAABTE3NzE3AQgAAAAFAAAAATEBAAAACy0yMTI0MzE1ODUwAwAAAAMxNjACAAAABDQwNTEEAAAAATAHAAAACTkvMzAvMjAyMAgAAAAJOS8zMC8yMDIwCQAAAAEwldgSLHwk3gjIwt8xPyXeCCVDSVEuRFZOLklRX0VCSVREQS4uOS8zMC8yMDIwLkwuLlVTRC5IAQAAAA4RBAACAAAABDE1MjUBCAAAAAUAAAABMQEAAAALLTIxMjM4NTcyODIDAAAAAzE2MAIAAAAENDA1MQQAAAABMAcAAAAJOS8zMC8yMDIwCAAAAAk5LzMwLzIwMjAJAAAAATCV2BIsfCTeCMjC3zE/Jd4IJUNJUS5FT0cuSVFfRUJJVERBLi45LzMwLzIwMjAuTC4uVVNELkgBAAAAXB0EAAIAAAAI</t>
  </si>
  <si>
    <t>NTcxNi44OTIBCAAAAAUAAAABMQEAAAALLTIxMjM4MzE3NjgDAAAAAzE2MAIAAAAENDA1MQQAAAABMAcAAAAJOS8zMC8yMDIwCAAAAAk5LzMwLzIwMjAJAAAAATCV2BIsfCTeCDW5nso8Jd4IJkNJUS5YT00uSVFfRUJJVERBLi4xMi8zMS8yMDIwLkwuLlVTRC5IAQAAAEIzBgACAAAABTE3MDE2AQgAAAAFAAAAATEBAAAACy0yMDU5OTE1MjE1AwAAAAMxNjACAAAABDQwNTEEAAAAATAHAAAACjEyLzMxLzIwMjAIAAAACjEyLzMxLzIwMjAJAAAAATCV2BIsfCTeCBeG4DE/Jd4IJkNJUS5DVlguSVFfRUJJVERBLi4xMi8zMS8yMDIwLkwuLlVTRC5IAQAAAMqAAQACAAAABTEzMTMxAQgAAAAFAAAAATEBAAAACy0yMDU5NzY4MjI4AwAAAAMxNjACAAAABDQwNTEEAAAAATAHAAAACjEyLzMxLzIwMjAIAAAACjEyLzMxLzIwMjAJAAAAATCV2BIsfCTeCBeG4DE/Jd4IJkNJUS5FT0cuSVFfRUJJVERBLi4xMi8zMS8yMDIwLkwuLlVTRC5IAQAAAFwdBAACAAAABDUwMDMBCAAAAAUAAAABMQEAAAALLTIwNTk4NDEzNDcDAAAAAzE2MAIAAAAENDA1MQQAAAABMAcAAAAKMTIvMzEvMjAyMAgAAAAKMTIvMzEvMjAyMAkAAAABMJXYEix8JN4IX/Koyjwl3ggmQ0lRLkNPUC5JUV9FQklUREEuLjEyLzMxLzIwMjAuTC4uVVNELkgBAAAAT4YEAAIAAAAENDgwMAEIAAAABQAAAAExAQAAAAstMjA2MDYxMTg3MgMAAAADMTYwAgAAAAQ0</t>
  </si>
  <si>
    <t>MDUxBAAAAAEwBwAAAAoxMi8zMS8yMDIwCAAAAAoxMi8zMS8yMDIwCQAAAAEwldgSLHwk3ggXhuAxPyXeCCVDSVEuQlAuSVFfRUJJVERBLi4xMi8zMS8yMDIwLkwuLlVTRC5IAQAAAOIEBgACAAAABTE0NDQxAQgAAAAFAAAAATEBAAAACy0yMDU3NTE5NjI1AwAAAAMxNjACAAAABDQwNTEEAAAAATAHAAAACjEyLzMxLzIwMjAIAAAACjEyLzMxLzIwMjAJAAAAATCV2BIsfCTeCBeG4DE/Jd4IJkNJUS5EVk4uSVFfRUJJVERBLi4xMi8zMS8yMDIwLkwuLlVTRC5IAQAAAA4RBAACAAAABDEzOTMBCAAAAAUAAAABMQEAAAALLTIwNjA5NDEzOTYDAAAAAzE2MAIAAAAENDA1MQQAAAABMAcAAAAKMTIvMzEvMjAyMAgAAAAKMTIvMzEvMjAyMAkAAAABMJXYEix8JN4IF4bgMT8l3gglQ0lRLkNWWC5JUV9FQklUREEuLjYvMzAvMjAyMC5MLi5VU0QuSAEAAADKgAEAAgAAAAUxOTM0MgEIAAAABQAAAAExAQAAAAstMjEzOTc5NzMzNAMAAAADMTYwAgAAAAQ0MDUxBAAAAAEwBwAAAAk2LzMwLzIwMjAIAAAACTYvMzAvMjAyMAkAAAABMJXYEix8JN4IPzOmyjwl3gglQ0lRLlhPTS5JUV9FQklUREEuLjYvMzAvMjAyMC5MLi5VU0QuSAEAAABCMwYAAgAAAAUyNDQyNwEIAAAABQAAAAExAQAAAAstMjE0MDA3MDk1MAMAAAADMTYwAgAAAAQ0MDUxBAAAAAEwBwAAAAk2LzMwLzIwMjAIAAAACTYvMzAvMjAyMAkAAAABMJXYEix8JN4I</t>
  </si>
  <si>
    <t>X0NMT1NFUFJJQ0VfQURKBQAAAAEAAAAIAAAAEihJbnZhbGlkIEVuZCBEYXRlKVaDUCx8JN4IVoNQLHwk3ghGQ0lRUkFOR0VWLkNWWC5JUV9DTE9TRVBSSUNFX0FESi4uMTEvMTQvMjAyNS4uLkRFU0MuTS5JUV9DTE9TRVBSSUNFX0FESgUAAAABAAAACAAAABIoSW52YWxpZCBFbmQgRGF0ZSlWg1AsfCTeCFaDUCx8JN4IFUNJUS4uLklRX0NRLi5MLi5VU0QuSAUAAAAAAAAACAAAABQoSW52YWxpZCBJZGVudGlmaWVyKXfRUCx8JN4ImhbMMT8l3ggWQ0lRLi4uSVFfTFRNLi5MLi5VU0QuSAUAAAAAAAAACAAAABQoSW52YWxpZCBJZGVudGlmaWVyKXfRUCx8JN4Iiu/LMT8l3ggfQ0lRLi4uSVFfTFRNLjMvMzEvMjAyNS5MLi5VU0QuSAUAAAAAAAAACAAAABQoSW52YWxpZCBJZGVudGlmaWVyKT6qUCx8JN4IFsDPMT8l3ggeQ0lRLi4uSVFfQ1EuMy8zMS8yMDI1LkwuLlVTRC5IBQAAAAAAAAAIAAAAFChJbnZhbGlkIElkZW50aWZpZXIpd9FQLHwk3ggv588xPyXeCCBDSVEuLi5JUV9MVE0uMTIvMzEvMjAyNC5MLi5VU0QuSAUAAAAAAAAACAAAABQoSW52YWxpZCBJZGVudGlmaWVyKXfRUCx8JN4ITcTNMT8l3ggfQ0lRLi4uSVFfTFRNLjYvMzAvMjAyNS5MLi5VU0QuSAUAAAAAAAAACAAAABQoSW52YWxpZCBJZGVudGlmaWVyKT6qUCx8JN4I4rvRMT8l3ggfQ0lRLi4uSVFfQ1EuMTIvMzEvMjAyNC5MLi5VU0QuSAUA</t>
  </si>
  <si>
    <t>AAAAAAAACAAAABQoSW52YWxpZCBJZGVudGlmaWVyKT6qUCx8JN4IU+vNMT8l3ggeQ0lRLi4uSVFfQ1EuNi8zMC8yMDI1LkwuLlVTRC5IBQAAAAAAAAAIAAAAFChJbnZhbGlkIElkZW50aWZpZXIpd9FQLHwk3gjz4tExPyXeCB9DSVEuLi5JUV9MVE0uOS8zMC8yMDI1LkwuLlVTRC5IBQAAAAAAAAAIAAAAFChJbnZhbGlkIElkZW50aWZpZXIpd9FQLHwk3gi8t9MxPyXeCB5DSVEuLi5JUV9DUS45LzMwLzIwMjUuTC4uVVNELkgFAAAAAAAAAAgAAAAUKEludmFsaWQgSWRlbnRpZmllcil30VAsfCTeCLy30zE/Jd4IOENJUS4uSVFfUkVUVVJOX0lOVkVTVEVEX0NBUElUQUwuSVFfQ1EuOS8zMC8yMDI1LkwuLlVTRC5IBQAAAAAAAAAIAAAAFChJbnZhbGlkIElkZW50aWZpZXIpd9FQLHwk3gjxQsQQPiXeCDlDSVEuLklRX1JFVFVSTl9JTlZFU1RFRF9DQVBJVEFMLklRX0xUTS45LzMwLzIwMjUuTC4uVVNELkgFAAAAAAAAAAgAAAAUKEludmFsaWQgSWRlbnRpZmllcil30VAsfCTeCPFCxBA+Jd4IOkNJUS4uSVFfUkVUVVJOX0lOVkVTVEVEX0NBUElUQUwuSVFfTFRNLjEyLzMxLzIwMjQuTC4uVVNELkgFAAAAAAAAAAgAAAAUKEludmFsaWQgSWRlbnRpZmllcil30VAsfCTeCJV2vhA+Jd4IOENJUS4uSVFfUkVUVVJOX0lOVkVTVEVEX0NBUElUQUwuSVFfQ1EuMy8zMS8yMDI1LkwuLlVTRC5IBQAAAAAAAAAIAAAAFChJ</t>
  </si>
  <si>
    <t>LzMxLzIwMTkuTC4uVVNELkgFAAAAAAAAAAgAAAAUKEludmFsaWQgSWRlbnRpZmllcimrD5VdOyXeCGNimRA+Jd4IO0NJUS4uSVFfVE9UQUxfUkVWXzFZUl9BTk5fR1JPV1RILklRX0xUTS4xMi8zMS8yMDA5LkwuLlVTRC5IBQAAAAAAAAAIAAAAFChJbnZhbGlkIElkZW50aWZpZXIpqw+VXTsl3ggvOFwQPiXeCDpDSVEuLklRX1RPVEFMX1JFVl8xWVJfQU5OX0dST1dUSC5JUV9MVE0uNi8zMC8yMDEwLkwuLlVTRC5IBQAAAAAAAAAIAAAAFChJbnZhbGlkIElkZW50aWZpZXIpqw+VXTsl3gg4GmEQPiXeCDtDSVEuLklRX1RPVEFMX1JFVl8xWVJfQU5OX0dST1dUSC5JUV9MVE0uMTIvMzEvMjAyMi5MLi5VU0QuSAUAAAAAAAAACAAAABQoSW52YWxpZCBJZGVudGlmaWVyKasPlV07Jd4Iq4+yED4l3ggQQ0lRLi4uLi5MLi5VU0QuSAUAAAAAAAAACAAAABQoSW52YWxpZCBJZGVudGlmaWVyKTakIY87Jd4I9MTWMT8l3ggaQ0lRLi4uLjEyLzMxLzIwMjQuTC4uVVNELkgFAAAAAAAAAAgAAAAUKEludmFsaWQgSWRlbnRpZmllcikQfSGPOyXeCPTE1jE/Jd4IGUNJUS4uLi4zLzMxLzIwMjUuTC4uVVNELkgFAAAAAAAAAAgAAAAUKEludmFsaWQgSWRlbnRpZmllcikQfSGPOyXeCOid1jE/Jd4IGUNJUS4uLi42LzMwLzIwMjUuTC4uVVNELkgFAAAAAAAAAAgAAAAUKEludmFsaWQgSWRlbnRpZmllcikQfSGPOyXeCBjs1jE/</t>
  </si>
  <si>
    <t>Jd4IGUNJUS4uLi45LzMwLzIwMjUuTC4uVVNELkgFAAAAAAAAAAgAAAAUKEludmFsaWQgSWRlbnRpZmllcikQfSGPOyXeCPTE1jE/Jd4IJUNJUS5EVk4uSVFfRUJJVERBLi42LzMwLzIwMjMuTC4uVVNELkgBAAAADhEEAAIAAAAEODgyNgEIAAAABQAAAAExAQAAAAstMTk3MDM5ODA4MgMAAAADMTYwAgAAAAQ0MDUxBAAAAAEwBwAAAAk2LzMwLzIwMjMIAAAACTYvMzAvMjAyMwkAAAABMO3Nxo47Jd4I9TfgMT8l3ggkQ0lRLkJQLklRX0VCSVREQS4uNi8zMC8yMDIzLkwuLlVTRC5IAQAAAOIEBgACAAAABTUxMDg5AQgAAAAFAAAAATEBAAAACy0xOTcwODgzNDA2AwAAAAMxNjACAAAABDQwNTEEAAAAATAHAAAACTYvMzAvMjAyMwgAAAAJNi8zMC8yMDIzCQAAAAEw7c3Gjjsl3gj1N+AxPyXeCCVDSVEuRU9HLklRX0VCSVREQS4uNi8zMC8yMDIzLkwuLlVTRC5IAQAAAFwdBAACAAAABTE0Nzc1AQgAAAAFAAAAATEBAAAACy0xOTg1NTAwMzIzAwAAAAMxNjACAAAABDQwNTEEAAAAATAHAAAACTYvMzAvMjAyMwgAAAAJNi8zMC8yMDIzCQAAAAEw7c3Gjjsl3gj+/qLKPCXeCCVDSVEuQ1ZYLklRX0VCSVREQS4uNi8zMC8yMDIzLkwuLlVTRC5IAQAAAMqAAQACAAAABTUxNDYzAQgAAAAFAAAAATEBAAAACy0xOTcwMTE0MjU3AwAAAAMxNjACAAAABDQwNTEEAAAAATAHAAAACTYvMzAvMjAyMwgAAAAJNi8zMC8yMDIzCQAA</t>
  </si>
  <si>
    <t>AAEw7c3Gjjsl3gj1N+AxPyXeCCVDSVEuWE9NLklRX0VCSVREQS4uNi8zMC8yMDIzLkwuLlVTRC5IAQAAAEIzBgACAAAABTc2OTI5AQgAAAAFAAAAATEBAAAACy0xOTE5MjM0NjcxAwAAAAMxNjACAAAABDQwNTEEAAAAATAHAAAACTYvMzAvMjAyMwgAAAAJNi8zMC8yMDIzCQAAAAEw7c3Gjjsl3gj1N+AxPyXeCCVDSVEuQ09QLklRX0VCSVREQS4uNi8zMC8yMDIzLkwuLlVTRC5IAQAAAE+GBAACAAAABTI4NjI5AQgAAAAFAAAAATEBAAAACy0xOTg1NDMyOTQwAwAAAAMxNjACAAAABDQwNTEEAAAAATAHAAAACTYvMzAvMjAyMwgAAAAJNi8zMC8yMDIzCQAAAAEw7c3Gjjsl3gj1N+AxPyXeCCZDSVEuRU9HLklRX0VCSVREQS4uMTIvMzEvMjAyMi5MLi5VU0QuSAEAAABcHQQAAgAAAAUxMzc5MQEIAAAABQAAAAExAQAAAAstMTk1Nzk2Njg1NgMAAAADMTYwAgAAAAQ0MDUxBAAAAAEwBwAAAAoxMi8zMS8yMDIyCAAAAAoxMi8zMS8yMDIyCQAAAAEw7c3Gjjsl3gi/BNwxPyXeCCZDSVEuQ1ZYLklRX0VCSVREQS4uMTIvMzEvMjAyMi5MLi5VU0QuSAEAAADKgAEAAgAAAAU1NzQ0NwEIAAAABQAAAAExAQAAAAstMTk1ODc1ODAzMQMAAAADMTYwAgAAAAQ0MDUxBAAAAAEwBwAAAAoxMi8zMS8yMDIyCAAAAAoxMi8zMS8yMDIyCQAAAAEw7c3Gjjsl3gi/BNwxPyXeCCZDSVEuWE9NLklRX0VCSVREQS4uMTIvMzEvMjAyMi5M</t>
  </si>
  <si>
    <t>Li5VU0QuSAEAAABCMwYAAgAAAAU4OTY0OAEIAAAABQAAAAExAQAAAAstMTk1ODk1MzU5OAMAAAADMTYwAgAAAAQ0MDUxBAAAAAEwBwAAAAoxMi8zMS8yMDIyCAAAAAoxMi8zMS8yMDIyCQAAAAEw7c3Gjjsl3gi/BNwxPyXeCCZDSVEuQ09QLklRX0VCSVREQS4uMTIvMzEvMjAyMi5MLi5VU0QuSAEAAABPhgQAAgAAAAUzNDkxNgEIAAAABQAAAAExAQAAAAstMTk1OTIwMjE3OAMAAAADMTYwAgAAAAQ0MDUxBAAAAAEwBwAAAAoxMi8zMS8yMDIyCAAAAAoxMi8zMS8yMDIyCQAAAAEw7c3Gjjsl3gi/BNwxPyXeCCVDSVEuQlAuSVFfRUJJVERBLi4xMi8zMS8yMDIyLkwuLlVTRC5IAQAAAOIEBgACAAAABTU1NTQ5AQgAAAAFAAAAATEBAAAACy0xOTU2NzkwOTA3AwAAAAMxNjACAAAABDQwNTEEAAAAATAHAAAACjEyLzMxLzIwMjIIAAAACjEyLzMxLzIwMjIJAAAAATDtzcaOOyXeCL8E3DE/Jd4IJkNJUS5EVk4uSVFfRUJJVERBLi4xMi8zMS8yMDIyLkwuLlVTRC5IAQAAAA4RBAACAAAABTEwMjg4AQgAAAAFAAAAATEBAAAACy0xOTU5MDI4ODYwAwAAAAMxNjACAAAABDQwNTEEAAAAATAHAAAACjEyLzMxLzIwMjIIAAAACjEyLzMxLzIwMjIJAAAAATDtzcaOOyXeCL8E3DE/Jd4IJUNJUS5DT1AuSVFfRUJJVERBLi4zLzMxLzIwMjQuTC4uVVNELkgBAAAAT4YEAAIAAAAFMjQyODcBCAAAAAUAAAABMQEAAAALLTE5NDQ5</t>
  </si>
  <si>
    <t>NDYyMDYDAAAAAzE2MAIAAAAENDA1MQQAAAABMAcAAAAJMy8zMS8yMDI0CAAAAAkzLzMxLzIwMjQJAAAAATDtzcaOOyXeCL2Z2DE/Jd4IJUNJUS5EVk4uSVFfRUJJVERBLi4zLzMxLzIwMjQuTC4uVVNELkgBAAAADhEEAAIAAAAENzE0MAEIAAAABQAAAAExAQAAAAstMTkzMjg4MjU4OQMAAAADMTYwAgAAAAQ0MDUxBAAAAAEwBwAAAAkzLzMxLzIwMjQIAAAACTMvMzEvMjAyNAkAAAABMO3Nxo47Jd4IvZnYMT8l3ggkQ0lRLkJQLklRX0VCSVREQS4uMy8zMS8yMDI0LkwuLlVTRC5IAQAAAOIEBgACAAAABTM4MDE5AQgAAAAFAAAAATEBAAAACy0xOTQ3OTA4MDYxAwAAAAMxNjACAAAABDQwNTEEAAAAATAHAAAACTMvMzEvMjAyNAgAAAAJMy8zMS8yMDI0CQAAAAEw7c3Gjjsl3gi9mdgxPyXeCCVDSVEuRU9HLklRX0VCSVREQS4uMy8zMS8yMDI0LkwuLlVTRC5IAQAAAFwdBAACAAAABTEzMjA1AQgAAAAFAAAAATEBAAAACy0xOTQ2OTg2NDYwAwAAAAMxNjACAAAABDQwNTEEAAAAATAHAAAACTMvMzEvMjAyNAgAAAAJMy8zMS8yMDI0CQAAAAEw7c3Gjjsl3gi9mdgxPyXeCCVDSVEuQ1ZYLklRX0VCSVREQS4uMy8zMS8yMDI0LkwuLlVTRC5IAQAAAMqAAQACAAAABTQxMjQ4AQgAAAAFAAAAATEBAAAACy0xOTMyNTkwNDU3AwAAAAMxNjACAAAABDQwNTEEAAAAATAHAAAACTMvMzEvMjAyNAgAAAAJMy8zMS8yMDI0CQAA</t>
  </si>
  <si>
    <t>AAEw7c3Gjjsl3gjMwNgxPyXeCCVDSVEuWE9NLklRX0VCSVREQS4uMy8zMS8yMDI0LkwuLlVTRC5IAQAAAEIzBgACAAAABTYyMjYxAQgAAAAFAAAAATEBAAAACy0xOTQ2MTU3OTIyAwAAAAMxNjACAAAABDQwNTEEAAAAATAHAAAACTMvMzEvMjAyNAgAAAAJMy8zMS8yMDI0CQAAAAEw7c3Gjjsl3gjMwNgxPyXeCCZDSVEuQ09QLklRX0VCSVREQS4uMTIvMzEvMjAyMy5MLi5VU0QuSAEAAABPhgQAAgAAAAUyNDc1MwEIAAAABQAAAAExAQAAAAstMTk1OTIwMjE3NQMAAAADMTYwAgAAAAQ0MDUxBAAAAAEwBwAAAAoxMi8zMS8yMDIzCAAAAAoxMi8zMS8yMDIzCQAAAAEw7c3Gjjsl3giibNsxPyXeCCZDSVEuWE9NLklRX0VCSVREQS4uMTIvMzEvMjAyMy5MLi5VU0QuSAEAAABCMwYAAgAAAAU2NjM1NgEIAAAABQAAAAExAQAAAAstMTk1ODk1MzYxMAMAAAADMTYwAgAAAAQ0MDUxBAAAAAEwBwAAAAoxMi8zMS8yMDIzCAAAAAoxMi8zMS8yMDIzCQAAAAEw7c3Gjjsl3giibNsxPyXeCCZDSVEuRFZOLklRX0VCSVREQS4uMTIvMzEvMjAyMy5MLi5VU0QuSAEAAAAOEQQAAgAAAAQ3NDg0AQgAAAAFAAAAATEBAAAACy0xOTU5MDI4ODY0AwAAAAMxNjACAAAABDQwNTEEAAAAATAHAAAACjEyLzMxLzIwMjMIAAAACjEyLzMxLzIwMjMJAAAAATDtzcaOOyXeCKJs2zE/Jd4IJUNJUS5CUC5JUV9FQklUREEuLjEyLzMxLzIwMjMu</t>
  </si>
  <si>
    <t>TC4uVVNELkgBAAAA4gQGAAIAAAAFNDQxNTgBCAAAAAUAAAABMQEAAAALLTE5NTY3OTA4OTEDAAAAAzE2MAIAAAAENDA1MQQAAAABMAcAAAAKMTIvMzEvMjAyMwgAAAAKMTIvMzEvMjAyMwkAAAABMO3Nxo47Jd4IomzbMT8l3ggmQ0lRLkVPRy5JUV9FQklUREEuLjEyLzMxLzIwMjMuTC4uVVNELkgBAAAAXB0EAAIAAAAFMTMyMDIBCAAAAAUAAAABMQEAAAALLTE5NTc5NjY4NTMDAAAAAzE2MAIAAAAENDA1MQQAAAABMAcAAAAKMTIvMzEvMjAyMwgAAAAKMTIvMzEvMjAyMwkAAAABMO3Nxo47Jd4IomzbMT8l3ggmQ0lRLkNWWC5JUV9FQklUREEuLjEyLzMxLzIwMjMuTC4uVVNELkgBAAAAyoABAAIAAAAFNDIxNzcBCAAAAAUAAAABMQEAAAALLTE5NTg3NTc3OTUDAAAAAzE2MAIAAAAENDA1MQQAAAABMAcAAAAKMTIvMzEvMjAyMwgAAAAKMTIvMzEvMjAyMwkAAAABMO3Nxo47Jd4IomzbMT8l3ggkQ0lRLkJQLklRX0VCSVREQS4uMy8zMS8yMDIzLkwuLlVTRC5IAQAAAOIEBgACAAAABTU4NTcyAQgAAAAFAAAAATEBAAAACy0xOTk2MzY3NjU3AwAAAAMxNjACAAAABDQwNTEEAAAAATAHAAAACTMvMzEvMjAyMwgAAAAJMy8zMS8yMDIzCQAAAAEw7c3Gjjsl3gjuDtkxPyXeCCVDSVEuRU9HLklRX0VCSVREQS4uMy8zMS8yMDIzLkwuLlVTRC5IAQAAAFwdBAACAAAABTE1NzAzAQgAAAAFAAAAATEBAAAACy0xOTk3MTY3</t>
  </si>
  <si>
    <t>Mzc2AwAAAAMxNjACAAAABDQwNTEEAAAAATAHAAAACTMvMzEvMjAyMwgAAAAJMy8zMS8yMDIzCQAAAAEw7c3Gjjsl3gjuDtkxPyXeCCVDSVEuQ1ZYLklRX0VCSVREQS4uMy8zMS8yMDIzLkwuLlVTRC5IAQAAAMqAAQACAAAABTU4NzI2AQgAAAAFAAAAATEBAAAACy0xOTg0NTczNzgyAwAAAAMxNjACAAAABDQwNTEEAAAAATAHAAAACTMvMzEvMjAyMwgAAAAJMy8zMS8yMDIzCQAAAAEw7c3Gjjsl3gjuDtkxPyXeCCVDSVEuWE9NLklRX0VCSVREQS4uMy8zMS8yMDIzLkwuLlVTRC5IAQAAAEIzBgACAAAABTkzOTMwAQgAAAAFAAAAATEBAAAACy0xOTk4MDU1OTgwAwAAAAMxNjACAAAABDQwNTEEAAAAATAHAAAACTMvMzEvMjAyMwgAAAAJMy8zMS8yMDIzCQAAAAEw7c3Gjjsl3gjuDtkxPyXeCCVDSVEuQ09QLklRX0VCSVREQS4uMy8zMS8yMDIzLkwuLlVTRC5IAQAAAE+GBAACAAAABTMyNjQxAQgAAAAFAAAAATEBAAAACy0xOTg1NDMyODUzAwAAAAMxNjACAAAABDQwNTEEAAAAATAHAAAACTMvMzEvMjAyMwgAAAAJMy8zMS8yMDIzCQAAAAEw7c3Gjjsl3gjuDtkxPyXeCCVDSVEuRFZOLklRX0VCSVREQS4uMy8zMS8yMDIzLkwuLlVTRC5IAQAAAA4RBAACAAAABTEwMzM2AQgAAAAFAAAAATEBAAAACy0xOTg0MjIxNzc1AwAAAAMxNjACAAAABDQwNTEEAAAAATAHAAAACTMvMzEvMjAyMwgAAAAJMy8zMS8yMDIzCQAA</t>
  </si>
  <si>
    <t>AAEw7c3Gjjsl3gjuDtkxPyXeCCVDSVEuRFZOLklRX0VCSVREQS4uNi8zMC8yMDI0LkwuLlVTRC5IAQAAAA4RBAACAAAABDc0NzEBCAAAAAUAAAABMQEAAAALLTE5MTgwMjczMTMDAAAAAzE2MAIAAAAENDA1MQQAAAABMAcAAAAJNi8zMC8yMDI0CAAAAAk2LzMwLzIwMjQJAAAAATDtzcaOOyXeCKNL2DE/Jd4IJENJUS5CUC5JUV9FQklUREEuLjYvMzAvMjAyNC5MLi5VU0QuSAEAAADiBAYAAgAAAAUzNjMzNQEIAAAABQAAAAExAQAAAAstMTkxODYxNzYzMAMAAAADMTYwAgAAAAQ0MDUxBAAAAAEwBwAAAAk2LzMwLzIwMjQIAAAACTYvMzAvMjAyNAkAAAABMO3Nxo47Jd4Io0vYMT8l3gglQ0lRLkVPRy5JUV9FQklUREEuLjYvMzAvMjAyNC5MLi5VU0QuSAEAAABcHQQAAgAAAAUxMzUwMAEIAAAABQAAAAExAQAAAAstMTkzMjcxMTYzNAMAAAADMTYwAgAAAAQ0MDUxBAAAAAEwBwAAAAk2LzMwLzIwMjQIAAAACTYvMzAvMjAyNAkAAAABMO3Nxo47Jd4Io0vYMT8l3gglQ0lRLkNWWC5JUV9FQklUREEuLjYvMzAvMjAyNC5MLi5VU0QuSAEAAADKgAEAAgAAAAU0MDkwMQEIAAAABQAAAAExAQAAAAstMTkxODA5NDYzNAMAAAADMTYwAgAAAAQ0MDUxBAAAAAEwBwAAAAk2LzMwLzIwMjQIAAAACTYvMzAvMjAyNAkAAAABMO3Nxo47Jd4Io0vYMT8l3gglQ0lRLlhPTS5JUV9FQklUREEuLjYvMzAvMjAyNC5MLi5VU0QuSAEA</t>
  </si>
  <si>
    <t>AABCMwYAAgAAAAU2NTQyMQEIAAAABQAAAAExAQAAAAstMTkzMzQ0MzM2NAMAAAADMTYwAgAAAAQ0MDUxBAAAAAEwBwAAAAk2LzMwLzIwMjQIAAAACTYvMzAvMjAyNAkAAAABMO3Nxo47Jd4Io0vYMT8l3gglQ0lRLkNPUC5JUV9FQklUREEuLjYvMzAvMjAyNC5MLi5VU0QuSAEAAABPhgQAAgAAAAUyNTAxOQEIAAAABQAAAAExAQAAAAstMTkzMjg1ODM0OQMAAAADMTYwAgAAAAQ0MDUxBAAAAAEwBwAAAAk2LzMwLzIwMjQIAAAACTYvMzAvMjAyNAkAAAABMO3Nxo47Jd4Io0vYMT8l3ggkQ0lRLkJQLklRX0VCSVREQS4uOS8zMC8yMDI0LkwuLlVTRC5IAQAAAOIEBgACAAAABTMxNjkzAQgAAAAFAAAAATEBAAAACy0xOTE4NjQ2NzE0AwAAAAMxNjACAAAABDQwNTEEAAAAATAHAAAACTkvMzAvMjAyNAgAAAAJOS8zMC8yMDI0CQAAAAEw7c3Gjjsl3ghi0NoxPyXeCCVDSVEuRU9HLklRX0VCSVREQS4uOS8zMC8yMDI0LkwuLlVTRC5IAQAAAFwdBAACAAAABTEzMTY4AQgAAAAFAAAAATEBAAAACy0xOTE4MTY5MzMxAwAAAAMxNjACAAAABDQwNTEEAAAAATAHAAAACTkvMzAvMjAyNAgAAAAJOS8zMC8yMDI0CQAAAAEw7c3Gjjsl3ghi0NoxPyXeCCVDSVEuQ1ZYLklRX0VCSVREQS4uOS8zMC8yMDI0LkwuLlVTRC5IAQAAAMqAAQACAAAABTM4OTQzAQgAAAAFAAAAATEBAAAACy0xOTE4MDk2MzYzAwAAAAMxNjACAAAABDQw</t>
  </si>
  <si>
    <t>NTEEAAAAATAHAAAACTkvMzAvMjAyNAgAAAAJOS8zMC8yMDI0CQAAAAEw7c3Gjjsl3ghi0NoxPyXeCCVDSVEuWE9NLklRX0VCSVREQS4uOS8zMC8yMDI0LkwuLlVTRC5IAQAAAEIzBgACAAAABTY2NTk1AQgAAAAFAAAAATEBAAAACy0xOTE4NjU1MDA5AwAAAAMxNjACAAAABDQwNTEEAAAAATAHAAAACTkvMzAvMjAyNAgAAAAJOS8zMC8yMDI0CQAAAAEw7c3Gjjsl3ghi0NoxPyXeCCVDSVEuQ09QLklRX0VCSVREQS4uOS8zMC8yMDI0LkwuLlVTRC5IAQAAAE+GBAACAAAABTI0NDQ2AQgAAAAFAAAAATEBAAAACy0xOTE4MDQ1NDQxAwAAAAMxNjACAAAABDQwNTEEAAAAATAHAAAACTkvMzAvMjAyNAgAAAAJOS8zMC8yMDI0CQAAAAEw7c3Gjjsl3ghz99oxPyXeCCVDSVEuRFZOLklRX0VCSVREQS4uOS8zMC8yMDI0LkwuLlVTRC5IAQAAAA4RBAACAAAABDc2MTIBCAAAAAUAAAABMQEAAAALLTE5MTgwMjc0NTUDAAAAAzE2MAIAAAAENDA1MQQAAAABMAcAAAAJOS8zMC8yMDI0CAAAAAk5LzMwLzIwMjQJAAAAATDtzcaOOyXeCHP32jE/Jd4IJUNJUS5YT00uSVFfRUJJVERBLi42LzMwLzIwMjIuTC4uVVNELkgBAAAAQjMGAAIAAAAFNzQzMDgBCAAAAAUAAAABMQEAAAALLTIwMzYxNjU2ODkDAAAAAzE2MAIAAAAENDA1MQQAAAABMAcAAAAJNi8zMC8yMDIyCAAAAAk2LzMwLzIwMjIJAAAAATDtzcaOOyXeCICX4TE/Jd4I</t>
  </si>
  <si>
    <t>JUNJUS5DT1AuSVFfRUJJVERBLi42LzMwLzIwMjIuTC4uVVNELkgBAAAAT4YEAAIAAAAFMzAzMTMBCAAAAAUAAAABMQEAAAALLTIwMjE0NzQ4NTkDAAAAAzE2MAIAAAAENDA1MQQAAAABMAcAAAAJNi8zMC8yMDIyCAAAAAk2LzMwLzIwMjIJAAAAATDtzcaOOyXeCICX4TE/Jd4IJUNJUS5DVlguSVFfRUJJVERBLi42LzMwLzIwMjIuTC4uVVNELkgBAAAAyoABAAIAAAAFNDc5MzYBCAAAAAUAAAABMQEAAAALLTIwMjE0MDg0MzEDAAAAAzE2MAIAAAAENDA1MQQAAAABMAcAAAAJNi8zMC8yMDIyCAAAAAk2LzMwLzIwMjIJAAAAATDtzcaOOyXeCICX4TE/Jd4IJUNJUS5EVk4uSVFfRUJJVERBLi42LzMwLzIwMjIuTC4uVVNELkgBAAAADhEEAAIAAAAEODkxNQEIAAAABQAAAAExAQAAAAstMjAyMDQ1Nzc1NAMAAAADMTYwAgAAAAQ0MDUxBAAAAAEwBwAAAAk2LzMwLzIwMjIIAAAACTYvMzAvMjAyMgkAAAABMO3Nxo47Jd4IgJfhMT8l3ggkQ0lRLkJQLklRX0VCSVREQS4uNi8zMC8yMDIyLkwuLlVTRC5IAQAAAOIEBgACAAAABTM2ODg0AQgAAAAFAAAAATEBAAAACy0yMDM2MzMzOTg0AwAAAAMxNjACAAAABDQwNTEEAAAAATAHAAAACTYvMzAvMjAyMggAAAAJNi8zMC8yMDIyCQAAAAEw7c3Gjjsl3giAl+ExPyXeCCVDSVEuRU9HLklRX0VCSVREQS4uNi8zMC8yMDIyLkwuLlVTRC5IAQAAAFwdBAACAAAABTExMzcwAQgA</t>
  </si>
  <si>
    <t>AAAFAAAAATEBAAAACy0yMDM1NzU0MzQ4AwAAAAMxNjACAAAABDQwNTEEAAAAATAHAAAACTYvMzAvMjAyMggAAAAJNi8zMC8yMDIyCQAAAAEw7c3Gjjsl3gjwb6XKPCXeCCZDSVEuQ09QLklRX0VCSVREQS4uMTIvMzEvMjAyMS5MLi5VU0QuSAEAAABPhgQAAgAAAAUyMDI3NAEIAAAABQAAAAExAQAAAAstMjAxMDEyNTA3OAMAAAADMTYwAgAAAAQ0MDUxBAAAAAEwBwAAAAoxMi8zMS8yMDIxCAAAAAoxMi8zMS8yMDIxCQAAAAEw7c3Gjjsl3ggrPN4xPyXeCCZDSVEuRFZOLklRX0VCSVREQS4uMTIvMzEvMjAyMS5MLi5VU0QuSAEAAAAOEQQAAgAAAAQ1NTAzAQgAAAAFAAAAATEBAAAACy0yMDA4MjIyMTk3AwAAAAMxNjACAAAABDQwNTEEAAAAATAHAAAACjEyLzMxLzIwMjEIAAAACjEyLzMxLzIwMjEJAAAAATDtzcaOOyXeCCs83jE/Jd4IJUNJUS5CUC5JUV9FQklUREEuLjEyLzMxLzIwMjEuTC4uVVNELkgBAAAA4gQGAAIAAAAFMjUxNTgBCAAAAAUAAAABMQEAAAALLTIwMDY3ODA4NzADAAAAAzE2MAIAAAAENDA1MQQAAAABMAcAAAAKMTIvMzEvMjAyMQgAAAAKMTIvMzEvMjAyMQkAAAABMO3Nxo47Jd4IKzzeMT8l3ggmQ0lRLkVPRy5JUV9FQklUREEuLjEyLzMxLzIwMjEuTC4uVVNELkgBAAAAXB0EAAIAAAAFMTAxMDMBCAAAAAUAAAABMQEAAAALLTIwMDkyMzcyMzgDAAAAAzE2MAIAAAAENDA1MQQAAAABMAcA</t>
  </si>
  <si>
    <t>AAAKMTIvMzEvMjAyMQgAAAAKMTIvMzEvMjAyMQkAAAABMO3Nxo47Jd4IKzzeMT8l3ggmQ0lRLkNWWC5JUV9FQklUREEuLjEyLzMxLzIwMjEuTC4uVVNELkgBAAAAyoABAAIAAAAFMzM2MzIBCAAAAAUAAAABMQEAAAALLTIwMDg1NTc1MTMDAAAAAzE2MAIAAAAENDA1MQQAAAABMAcAAAAKMTIvMzEvMjAyMQgAAAAKMTIvMzEvMjAyMQkAAAABMO3Nxo47Jd4IKzzeMT8l3ggmQ0lRLlhPTS5JUV9FQklUREEuLjEyLzMxLzIwMjEuTC4uVVNELkgBAAAAQjMGAAIAAAAFNDQyODgBCAAAAAUAAAABMQEAAAALLTIwMDc4MzI3MDkDAAAAAzE2MAIAAAAENDA1MQQAAAABMAcAAAAKMTIvMzEvMjAyMQgAAAAKMTIvMzEvMjAyMQkAAAABMO3Nxo47Jd4IKzzeMT8l3ghQQ0lRUkFOR0VWLlhPTS5JUV9DTE9TRVBSSUNFX0FESi4xMS8xMy8yMDIwLjExLzEzLzIwMjUuLi5ERVNDLlcuSVFfQ0xPU0VQUklDRV9BREoEAAAAQjMGAAUBAAACAAAACjExNi4yMDM2MTMCAAAACjExMy4zNjg0MTECAAAACjExNC4zODk0ODECAAAACjExMS4yNjY3OTQCAAAACjEwOS43Njk4ODYCAAAACjExMi4yNzc5NDkCAAAACjExNi4yMDM2MTMCAAAACjExMS44NDE3NjQCAAAACjExMS4xODc0ODcCAAAACjEwOC4yODI4OTMCAAAACjExMy4yOTkwMTgCAAAACjExMC4zMTUxMTcCAAAACTEwNS41NjY2NQIAAAAKMTA0Ljg5Nzg0OAIAAAAKMTA3LjY4</t>
  </si>
  <si>
    <t>X0FESi4uMTEvMTIvMjAyNS4uLkRFU0MuVy5JUV9DTE9TRVBSSUNFX0FESgUAAAABAAAACAAAABIoSW52YWxpZCBFbmQgRGF0ZSnZwmQqPSXeCNnCZCo9Jd4IRkNJUVJBTkdFVi5EVk4uSVFfQ0xPU0VQUklDRV9BREouLjExLzEyLzIwMjUuLi5ERVNDLlcuSVFfQ0xPU0VQUklDRV9BREoFAAAAAQAAAAgAAAASKEludmFsaWQgRW5kIERhdGUp2cJkKj0l3gjZwmQqPSXeCCVDSVEuRFZOLklRX0VCSVREQS4uOS8zMC8yMDIzLkwuLlVTRC5IAQAAAA4RBAACAAAABDc1MTEBCAAAAAUAAAABMQEAAAALLTE5NzAzOTg3MTkDAAAAAzE2MAIAAAAENDA1MQQAAAABMAcAAAAJOS8zMC8yMDIzCAAAAAk5LzMwLzIwMjMJAAAAATDk6WQqPSXeCAxd2TE/Jd4IJUNJUS5DT1AuSVFfRUJJVERBLi45LzMwLzIwMjMuTC4uVVNELkgBAAAAT4YEAAIAAAAFMjU0ODIBCAAAAAUAAAABMQEAAAALLTE5NzEwNDY3MDMDAAAAAzE2MAIAAAAENDA1MQQAAAABMAcAAAAJOS8zMC8yMDIzCAAAAAk5LzMwLzIwMjMJAAAAATDk6WQqPSXeCAxd2TE/Jd4IJUNJUS5DVlguSVFfRUJJVERBLi45LzMwLzIwMjMuTC4uVVNELkgBAAAAyoABAAIAAAAFNDYyOTkBCAAAAAUAAAABMQEAAAALLTE5NzAxMTYyMzYDAAAAAzE2MAIAAAAENDA1MQQAAAABMAcAAAAJOS8zMC8yMDIzCAAAAAk5LzMwLzIwMjMJAAAAATDk6WQqPSXeCAxd2TE/Jd4IJENJUS5C</t>
  </si>
  <si>
    <t>UC5JUV9FQklUREEuLjkvMzAvMjAyMy5MLi5VU0QuSAEAAADiBAYAAgAAAAU1OTk1NgEIAAAABQAAAAExAQAAAAstMTk3MTkyNjE2NwMAAAADMTYwAgAAAAQ0MDUxBAAAAAEwBwAAAAk5LzMwLzIwMjMIAAAACTkvMzAvMjAyMwkAAAABMOTpZCo9Jd4IDF3ZMT8l3gglQ0lRLlhPTS5JUV9FQklUREEuLjkvMzAvMjAyMy5MLi5VU0QuSAEAAABCMwYAAgAAAAU1OTAzNwEIAAAABQAAAAExAQAAAAstMTk3MDY0MTY0MQMAAAADMTYwAgAAAAQ0MDUxBAAAAAEwBwAAAAk5LzMwLzIwMjMIAAAACTkvMzAvMjAyMwkAAAABMOTpZCo9Jd4IDF3ZMT8l3gglQ0lRLkVPRy5JUV9FQklUREEuLjkvMzAvMjAyMy5MLi5VU0QuSAEAAABcHQQAAgAAAAUxMzU2NAEIAAAABQAAAAExAQAAAAstMTk3MDIzMzM4MQMAAAADMTYwAgAAAAQ0MDUxBAAAAAEwBwAAAAk5LzMwLzIwMjMIAAAACTkvMzAvMjAyMwkAAAABMOTpZCo9Jd4IDF3ZMT8l3gglQ0lRLkVPRy5JUV9FQklUREEuLjkvMzAvMjAyMi5MLi5VU0QuSAEAAABcHQQAAgAAAAUxMzU3NgEIAAAABQAAAAExAQAAAAstMjAyMTM3NTAzMQMAAAADMTYwAgAAAAQ0MDUxBAAAAAEwBwAAAAk5LzMwLzIwMjIIAAAACTkvMzAvMjAyMgkAAAABMOTpZCo9Jd4ILavZMT8l3gglQ0lRLkRWTi5JUV9FQklUREEuLjkvMzAvMjAyMi5MLi5VU0QuSAEAAAAOEQQAAgAAAAUxMDM4MQEIAAAABQAA</t>
  </si>
  <si>
    <t>AAExAQAAAAstMjAyMDQ1ODEyNAMAAAADMTYwAgAAAAQ0MDUxBAAAAAEwBwAAAAk5LzMwLzIwMjIIAAAACTkvMzAvMjAyMgkAAAABMOTpZCo9Jd4IOdLZMT8l3ggkQ0lRLkJQLklRX0VCSVREQS4uOS8zMC8yMDIyLkwuLlVTRC5IAQAAAOIEBgACAAAABTM4MDg4AQgAAAAFAAAAATEBAAAACy0yMDIyMzE3MzUxAwAAAAMxNjACAAAABDQwNTEEAAAAATAHAAAACTkvMzAvMjAyMggAAAAJOS8zMC8yMDIyCQAAAAEw5OlkKj0l3gg50tkxPyXeCCVDSVEuQ09QLklRX0VCSVREQS4uOS8zMC8yMDIyLkwuLlVTRC5IAQAAAE+GBAACAAAABTM0MzY1AQgAAAAFAAAAATEBAAAACy0yMDIxNDc3MzI2AwAAAAMxNjACAAAABDQwNTEEAAAAATAHAAAACTkvMzAvMjAyMggAAAAJOS8zMC8yMDIyCQAAAAEw5OlkKj0l3gg50tkxPyXeCCVDSVEuWE9NLklRX0VCSVREQS4uOS8zMC8yMDIyLkwuLlVTRC5IAQAAAEIzBgACAAAABTk1MTUzAQgAAAAFAAAAATEBAAAACy0yMDIxODY3OTA4AwAAAAMxNjACAAAABDQwNTEEAAAAATAHAAAACTkvMzAvMjAyMggAAAAJOS8zMC8yMDIyCQAAAAEw5OlkKj0l3gg50tkxPyXeCCVDSVEuQ1ZYLklRX0VCSVREQS4uOS8zMC8yMDIyLkwuLlVTRC5IAQAAAMqAAQACAAAABTU0MzMyAQgAAAAFAAAAATEBAAAACy0yMDIxNDA5MDA4AwAAAAMxNjACAAAABDQwNTEEAAAAATAHAAAACTkvMzAvMjAyMggA</t>
  </si>
  <si>
    <t>AAAJOS8zMC8yMDIyCQAAAAEw5OlkKj0l3gg50tkxPyXeCCRDSVEuQlAuSVFfRUJJVERBLi45LzMwLzIwMTkuTC4uVVNELkgBAAAA4gQGAAIAAAAFMzI1OTgBCAAAAAUAAAABMQEAAAAKMjA2NjMyMzkxMwMAAAADMTYwAgAAAAQ0MDUxBAAAAAEwBwAAAAk5LzMwLzIwMTkIAAAACTkvMzAvMjAxOQkAAAABMOTpZCo9Jd4I0AziMT8l3gglQ0lRLkRWTi5JUV9FQklUREEuLjkvMzAvMjAxOS5MLi5VU0QuSAEAAAAOEQQAAgAAAAQyOTg4AQgAAAAFAAAAATEBAAAACjIwNjczNDIyNzkDAAAAAzE2MAIAAAAENDA1MQQAAAABMAcAAAAJOS8zMC8yMDE5CAAAAAk5LzMwLzIwMTkJAAAAATDk6WQqPSXeCNAM4jE/Jd4IJUNJUS5DT1AuSVFfRUJJVERBLi45LzMwLzIwMTkuTC4uVVNELkgBAAAAT4YEAAIAAAAFMTQ1MDgBCAAAAAUAAAABMQEAAAAKMjA2ODE0NTkzMQMAAAADMTYwAgAAAAQ0MDUxBAAAAAEwBwAAAAk5LzMwLzIwMTkIAAAACTkvMzAvMjAxOQkAAAABMOTpZCo9Jd4I0AziMT8l3gglQ0lRLkNWWC5JUV9FQklUREEuLjkvMzAvMjAxOS5MLi5VU0QuSAEAAADKgAEAAgAAAAUzMTEzMwEIAAAABQAAAAExAQAAAAoyMDY4NTM4ODg0AwAAAAMxNjACAAAABDQwNTEEAAAAATAHAAAACTkvMzAvMjAxOQgAAAAJOS8zMC8yMDE5CQAAAAEw5OlkKj0l3gjQDOIxPyXeCCVDSVEuRU9HLklRX0VCSVREQS4uOS8zMC8yMDE5</t>
  </si>
  <si>
    <t>LkwuLlVTRC5IAQAAAFwdBAACAAAACDc3NjcuMzkyAQgAAAAFAAAAATEBAAAACjIwNjg0MzEwNTYDAAAAAzE2MAIAAAAENDA1MQQAAAABMAcAAAAJOS8zMC8yMDE5CAAAAAk5LzMwLzIwMTkJAAAAATDk6WQqPSXeCOTpZCo9Jd4IJUNJUS5YT00uSVFfRUJJVERBLi45LzMwLzIwMTkuTC4uVVNELkgBAAAAQjMGAAIAAAAFMzM4MDQBCAAAAAUAAAABMQEAAAAKMjA2ODI3MzE3MAMAAAADMTYwAgAAAAQ0MDUxBAAAAAEwBwAAAAk5LzMwLzIwMTkIAAAACTkvMzAvMjAxOQkAAAABMOTpZCo9Jd4I0AziMT8l3gglQ0lRLkNPUC5JUV9FQklUREEuLjkvMzAvMjAxOC5MLi5VU0QuSAEAAABPhgQAAgAAAAUxNDg1MgEIAAAABQAAAAExAQAAAAoxOTg5OTAxODM0AwAAAAMxNjACAAAABDQwNTEEAAAAATAHAAAACTkvMzAvMjAxOAgAAAAJOS8zMC8yMDE4CQAAAAEw5OlkKj0l3gjk6WQqPSXeCCRDSVEuQlAuSVFfRUJJVERBLi45LzMwLzIwMTguTC4uVVNELkgBAAAA4gQGAAIAAAAFMzE4NTEBCAAAAAUAAAABMQEAAAAKMTk4OTIzODkyNgMAAAADMTYwAgAAAAQ0MDUxBAAAAAEwBwAAAAk5LzMwLzIwMTgIAAAACTkvMzAvMjAxOAkAAAABMOTpZCo9Jd4I5OlkKj0l3gglQ0lRLkRWTi5JUV9FQklUREEuLjkvMzAvMjAxOC5MLi5VU0QuSAEAAAAOEQQAAgAAAAQxODMyAQgAAAAFAAAAATEBAAAACjE5OTA4MTg0NjkDAAAAAzE2</t>
  </si>
  <si>
    <t>MjIDAAAAAzE2MAIAAAAENDA1MQQAAAABMAcAAAAJMy8zMS8yMDE5CAAAAAkzLzMxLzIwMTkJAAAAATDk6WQqPSXeCJpN3zE/Jd4IJUNJUS5DVlguSVFfRUJJVERBLi4zLzMxLzIwMTkuTC4uVVNELkgBAAAAyoABAAIAAAAFMzMxODEBCAAAAAUAAAABMQEAAAAKMjAzMzcyODM0MwMAAAADMTYwAgAAAAQ0MDUxBAAAAAEwBwAAAAkzLzMxLzIwMTkIAAAACTMvMzEvMjAxOQkAAAABMOTpZCo9Jd4Imk3fMT8l3gglQ0lRLkNPUC5JUV9FQklUREEuLjMvMzEvMjAxOS5MLi5VU0QuSAEAAABPhgQAAgAAAAUxNTc4MwEIAAAABQAAAAExAQAAAAoyMDMzNDY2NzAzAwAAAAMxNjACAAAABDQwNTEEAAAAATAHAAAACTMvMzEvMjAxOQgAAAAJMy8zMS8yMDE5CQAAAAEw5OlkKj0l3giaTd8xPyXeCCVDSVEuRFZOLklRX0VCSVREQS4uMy8zMS8yMDE5LkwuLlVTRC5IAQAAAA4RBAACAAAABDIzMTABCAAAAAUAAAABMQEAAAAKMjA0OTAwNDgwNwMAAAADMTYwAgAAAAQ0MDUxBAAAAAEwBwAAAAkzLzMxLzIwMTkIAAAACTMvMzEvMjAxOQkAAAABMOTpZCo9Jd4IsXTfMT8l3ggkQ0lRLkJQLklRX0VCSVREQS4uMy8zMS8yMDE5LkwuLlVTRC5IAQAAAOIEBgACAAAABTMzNjY3AQgAAAAFAAAAATEBAAAACjIwMzEwNzU0NTMDAAAAAzE2MAIAAAAENDA1MQQAAAABMAcAAAAJMy8zMS8yMDE5CAAAAAkzLzMxLzIwMTkJAAAAATDk6WQq</t>
  </si>
  <si>
    <t>PSXeCJpN3zE/Jd4IJUNJUS5FT0cuSVFfRUJJVERBLi4zLzMxLzIwMTkuTC4uVVNELkgBAAAAXB0EAAIAAAAIODEzMC40MTcBCAAAAAUAAAABMQEAAAAKMjAzNDAyMDA5NAMAAAADMTYwAgAAAAQ0MDUxBAAAAAEwBwAAAAkzLzMxLzIwMTkIAAAACTMvMzEvMjAxOQkAAAABMOTpZCo9Jd4I5OlkKj0l3gglQ0lRLkVPRy5JUV9FQklUREEuLjMvMzEvMjAxOC5MLi5VU0QuSAEAAABcHQQAAgAAAAg1NDgzLjE1NQEIAAAABQAAAAExAQAAAAoxOTU5MTU3Njc0AwAAAAMxNjACAAAABDQwNTEEAAAAATAHAAAACTMvMzEvMjAxOAgAAAAJMy8zMS8yMDE4CQAAAAEw5OlkKj0l3gjk6WQqPSXeCCRDSVEuQlAuSVFfRUJJVERBLi4zLzMxLzIwMTguTC4uVVNELkgBAAAA4gQGAAIAAAAFMjcyMDQBCAAAAAUAAAABMQEAAAAKMTk1NzkyOTIyMAMAAAADMTYwAgAAAAQ0MDUxBAAAAAEwBwAAAAkzLzMxLzIwMTgIAAAACTMvMzEvMjAxOAkAAAABMOTpZCo9Jd4ICtDiMT8l3gglQ0lRLkNWWC5JUV9FQklUREEuLjMvMzEvMjAxOC5MLi5VU0QuSAEAAADKgAEAAgAAAAUyNDExNgEIAAAABQAAAAExAQAAAAoxOTU5NDkwODE4AwAAAAMxNjACAAAABDQwNTEEAAAAATAHAAAACTMvMzEvMjAxOAgAAAAJMy8zMS8yMDE4CQAAAAEw5OlkKj0l3ggK0OIxPyXeCCVDSVEuQ09QLklRX0VCSVREQS4uMy8zMS8yMDE4LkwuLlVTRC5IAQAAAE+G</t>
  </si>
  <si>
    <t>BAACAAAABTEwOTQyAQgAAAAFAAAAATEBAAAACjE5NTk0Nzg5MTkDAAAAAzE2MAIAAAAENDA1MQQAAAABMAcAAAAJMy8zMS8yMDE4CAAAAAkzLzMxLzIwMTgJAAAAATDk6WQqPSXeCArQ4jE/Jd4IJUNJUS5YT00uSVFfRUJJVERBLi4zLzMxLzIwMTguTC4uVVNELkgBAAAAQjMGAAIAAAAFMzI3MjABCAAAAAUAAAABMQEAAAAKMTk1OTUwMTUwMgMAAAADMTYwAgAAAAQ0MDUxBAAAAAEwBwAAAAkzLzMxLzIwMTgIAAAACTMvMzEvMjAxOAkAAAABMOTpZCo9Jd4ICtDiMT8l3gglQ0lRLkRWTi5JUV9FQklUREEuLjMvMzEvMjAxOC5MLi5VU0QuSAEAAAAOEQQAAgAAAAQyMjE0AQgAAAAFAAAAATEBAAAACjE5NzQ2OTgzNzkDAAAAAzE2MAIAAAAENDA1MQQAAAABMAcAAAAJMy8zMS8yMDE4CAAAAAkzLzMxLzIwMTgJAAAAATDk6WQqPSXeCArQ4jE/Jd4IJUNJUS5DT1AuSVFfRUJJVERBLi4zLzMxLzIwMjIuTC4uVVNELkgBAAAAT4YEAAIAAAAFMjU1NjkBCAAAAAUAAAABMQEAAAALLTIwNDcyNTA2NjMDAAAAAzE2MAIAAAAENDA1MQQAAAABMAcAAAAJMy8zMS8yMDIyCAAAAAkzLzMxLzIwMjIJAAAAATDk6WQqPSXeCC5b2jE/Jd4IJUNJUS5YT00uSVFfRUJJVERBLi4zLzMxLzIwMjIuTC4uVVNELkgBAAAAQjMGAAIAAAAFNTM4OTUBCAAAAAUAAAABMQEAAAALLTIwNDc4OTA1NTcDAAAAAzE2MAIAAAAENDA1MQQAAAAB</t>
  </si>
  <si>
    <t>MAcAAAAJMy8zMS8yMDIyCAAAAAkzLzMxLzIwMjIJAAAAATDk6WQqPSXeCC5b2jE/Jd4IJUNJUS5FT0cuSVFfRUJJVERBLi4zLzMxLzIwMjIuTC4uVVNELkgBAAAAXB0EAAIAAAAEOTY0MAEIAAAABQAAAAExAQAAAAstMjA0NzQ3MzYwMAMAAAADMTYwAgAAAAQ0MDUxBAAAAAEwBwAAAAkzLzMxLzIwMjIIAAAACTMvMzEvMjAyMgkAAAABMOTpZCo9Jd4I/TPaMT8l3gglQ0lRLkRWTi5JUV9FQklUREEuLjMvMzEvMjAyMi5MLi5VU0QuSAEAAAAOEQQAAgAAAAQ2NjczAQgAAAAFAAAAATEBAAAACy0yMDM1ODcxMzU4AwAAAAMxNjACAAAABDQwNTEEAAAAATAHAAAACTMvMzEvMjAyMggAAAAJMy8zMS8yMDIyCQAAAAEw5OlkKj0l3gguW9oxPyXeCCVDSVEuQ1ZYLklRX0VCSVREQS4uMy8zMS8yMDIyLkwuLlVTRC5IAQAAAMqAAQACAAAABTM4MjU2AQgAAAAFAAAAATEBAAAACy0yMDM1NzA2NzY0AwAAAAMxNjACAAAABDQwNTEEAAAAATAHAAAACTMvMzEvMjAyMggAAAAJMy8zMS8yMDIyCQAAAAEw5OlkKj0l3gguW9oxPyXeCCRDSVEuQlAuSVFfRUJJVERBLi4zLzMxLzIwMjIuTC4uVVNELkgBAAAA4gQGAAIAAAAFMjUyODABCAAAAAUAAAABMQEAAAALLTIwNDgxNTEyMjADAAAAAzE2MAIAAAAENDA1MQQAAAABMAcAAAAJMy8zMS8yMDIyCAAAAAkzLzMxLzIwMjIJAAAAATDk6WQqPSXeCC5b2jE/Jd4IJUNJUS5FT0cu</t>
  </si>
  <si>
    <t>SVFfRUJJVERBLi4zLzMxLzIwMjEuTC4uVVNELkgBAAAAXB0EAAIAAAAENDI3MAEIAAAABQAAAAExAQAAAAstMjA5ODQ5ODM2MQMAAAADMTYwAgAAAAQ0MDUxBAAAAAEwBwAAAAkzLzMxLzIwMjEIAAAACTMvMzEvMjAyMQkAAAABMOTpZCo9Jd4IpgPdMT8l3ggkQ0lRLkJQLklRX0VCSVREQS4uMy8zMS8yMDIxLkwuLlVTRC5IAQAAAOIEBgACAAAABTE5Njc3AQgAAAAFAAAAATEBAAAACy0yMDk5MTk2ODM5AwAAAAMxNjACAAAABDQwNTEEAAAAATAHAAAACTMvMzEvMjAyMQgAAAAJMy8zMS8yMDIxCQAAAAEw5OlkKj0l3gimA90xPyXeCCVDSVEuWE9NLklRX0VCSVREQS4uMy8zMS8yMDIxLkwuLlVTRC5IAQAAAEIzBgACAAAABTE4OTEyAQgAAAAFAAAAATEBAAAACy0yMDk4NjI4NTkwAwAAAAMxNjACAAAABDQwNTEEAAAAATAHAAAACTMvMzEvMjAyMQgAAAAJMy8zMS8yMDIxCQAAAAEw5OlkKj0l3gimA90xPyXeCCVDSVEuQ1ZYLklRX0VCSVREQS4uMy8zMS8yMDIxLkwuLlVTRC5IAQAAAMqAAQACAAAABTEyMDc1AQgAAAAFAAAAATEBAAAACy0yMDk4NTYzNDgwAwAAAAMxNjACAAAABDQwNTEEAAAAATAHAAAACTMvMzEvMjAyMQgAAAAJMy8zMS8yMDIxCQAAAAEw5OlkKj0l3gimA90xPyXeCCVDSVEuRFZOLklRX0VCSVREQS4uMy8zMS8yMDIxLkwuLlVTRC5IAQAAAA4RBAACAAAAAzkyNQEIAAAABQAAAAExAQAA</t>
  </si>
  <si>
    <t>AAstMjA4Njg5ODgyMAMAAAADMTYwAgAAAAQ0MDUxBAAAAAEwBwAAAAkzLzMxLzIwMjEIAAAACTMvMzEvMjAyMQkAAAABMOTpZCo9Jd4IpgPdMT8l3gglQ0lRLkNPUC5JUV9FQklUREEuLjMvMzEvMjAyMS5MLi5VU0QuSAEAAABPhgQAAgAAAAQ1OTI5AQgAAAAFAAAAATEBAAAACy0yMDk4NDY2ODAwAwAAAAMxNjACAAAABDQwNTEEAAAAATAHAAAACTMvMzEvMjAyMQgAAAAJMy8zMS8yMDIxCQAAAAEw5OlkKj0l3gimA90xPyXeCCVDSVEuRU9HLklRX0VCSVREQS4uMy8zMS8yMDIwLkwuLlVTRC5IAQAAAFwdBAACAAAACDg2OTguMDM3AQgAAAAFAAAAATEBAAAACjIwOTYwNTA1OTADAAAAAzE2MAIAAAAENDA1MQQAAAABMAcAAAAJMy8zMS8yMDIwCAAAAAkzLzMxLzIwMjAJAAAAATDk6WQqPSXeCOGf3TE/Jd4IJUNJUS5DT1AuSVFfRUJJVERBLi4zLzMxLzIwMjAuTC4uVVNELkgBAAAAT4YEAAIAAAAFMTIwNzMBCAAAAAUAAAABMQEAAAAKMjA5NjM3ODQ2NgMAAAADMTYwAgAAAAQ0MDUxBAAAAAEwBwAAAAkzLzMxLzIwMjAIAAAACTMvMzEvMjAyMAkAAAABMOTpZCo9Jd4I4Z/dMT8l3gglQ0lRLlhPTS5JUV9FQklUREEuLjMvMzEvMjAyMC5MLi5VU0QuSAEAAABCMwYAAgAAAAUyODQ0NgEIAAAABQAAAAExAQAAAAoyMDk1Njk4NTYyAwAAAAMxNjACAAAABDQwNTEEAAAAATAHAAAACTMvMzEvMjAyMAgAAAAJMy8z</t>
  </si>
  <si>
    <t>MS8yMDIwCQAAAAEw5OlkKj0l3gjhn90xPyXeCCVDSVEuQ1ZYLklRX0VCSVREQS4uMy8zMS8yMDIwLkwuLlVTRC5IAQAAAMqAAQACAAAABTI4NTU4AQgAAAAFAAAAATEBAAAACjIwOTYwODYxNzQDAAAAAzE2MAIAAAAENDA1MQQAAAABMAcAAAAJMy8zMS8yMDIwCAAAAAkzLzMxLzIwMjAJAAAAATDk6WQqPSXeCOGf3TE/Jd4IJUNJUS5EVk4uSVFfRUJJVERBLi4zLzMxLzIwMjAuTC4uVVNELkgBAAAADhEEAAIAAAAEMjkxNwEIAAAABQAAAAExAQAAAAstMjE0MDAyNDA1NQMAAAADMTYwAgAAAAQ0MDUxBAAAAAEwBwAAAAkzLzMxLzIwMjAIAAAACTMvMzEvMjAyMAkAAAABMOTpZCo9Jd4I7cbdMT8l3ggkQ0lRLkJQLklRX0VCSVREQS4uMy8zMS8yMDIwLkwuLlVTRC5IAQAAAOIEBgACAAAABTIzOTg4AQgAAAAFAAAAATEBAAAACjIwOTIxMzgwMzIDAAAAAzE2MAIAAAAENDA1MQQAAAABMAcAAAAJMy8zMS8yMDIwCAAAAAkzLzMxLzIwMjAJAAAAATDk6WQqPSXeCOGf3TE/Jd4IJUNJUS5YT00uSVFfRUJJVERBLi4zLzMxLzIwMTQuTC4uVVNELkgBAAAAQjMGAAIAAAAFNTY3NjIBCAAAAAUAAAABMQEAAAAKMTczMjk4NDM0MAMAAAADMTYwAgAAAAQ0MDUxBAAAAAEwBwAAAAkzLzMxLzIwMTQIAAAACTMvMzEvMjAxNAkAAAABMOTpZCo9Jd4I5OlkKj0l3gglQ0lRLkVPRy5JUV9FQklUREEuLjMvMzEvMjAxNC5MLi5V</t>
  </si>
  <si>
    <t>Ni5MLi5VU0QuSAEAAADKgAEAAgAAAAUxMzE3OQEIAAAABQAAAAExAQAAAAoxODYzODY3NzA2AwAAAAMxNjACAAAABDQwNTEEAAAAATAHAAAACTkvMzAvMjAxNggAAAAJOS8zMC8yMDE2CQAAAAEw5OlkKj0l3gjk6WQqPSXeCCZDSVEuWE9NLklRX0VCSVREQS4uMTIvMzEvMjAxOS5MLi5VU0QuSAEAAABCMwYAAgAAAAUzNDQ0MwEIAAAABQAAAAExAQAAAAstMjExMTA3MzgyMAMAAAADMTYwAgAAAAQ0MDUxBAAAAAEwBwAAAAoxMi8zMS8yMDE5CAAAAAoxMi8zMS8yMDE5CQAAAAEw5OlkKj0l3gjdWuIxPyXeCCZDSVEuQ1ZYLklRX0VCSVREQS4uMTIvMzEvMjAxOS5MLi5VU0QuSAEAAADKgAEAAgAAAAUyOTAyNAEIAAAABQAAAAExAQAAAAstMjExMDg4MjgyNgMAAAADMTYwAgAAAAQ0MDUxBAAAAAEwBwAAAAoxMi8zMS8yMDE5CAAAAAoxMi8zMS8yMDE5CQAAAAEw5OlkKj0l3gjdWuIxPyXeCCZDSVEuQ09QLklRX0VCSVREQS4uMTIvMzEvMjAxOS5MLi5VU0QuSAEAAABPhgQAAgAAAAUxMzc0NgEIAAAABQAAAAExAQAAAAstMjExMTY0MzMyOQMAAAADMTYwAgAAAAQ0MDUxBAAAAAEwBwAAAAoxMi8zMS8yMDE5CAAAAAoxMi8zMS8yMDE5CQAAAAEw5OlkKj0l3gjdWuIxPyXeCCVDSVEuQlAuSVFfRUJJVERBLi4xMi8zMS8yMDE5LkwuLlVTRC5IAQAAAOIEBgACAAAABTM0MDczAQgAAAAFAAAAATEBAAAACy0yMTA3</t>
  </si>
  <si>
    <t>NzUzMjI0AwAAAAMxNjACAAAABDQwNTEEAAAAATAHAAAACjEyLzMxLzIwMTkIAAAACjEyLzMxLzIwMTkJAAAAATDk6WQqPSXeCN1a4jE/Jd4IJkNJUS5EVk4uSVFfRUJJVERBLi4xMi8zMS8yMDE5LkwuLlVTRC5IAQAAAA4RBAACAAAABDE3MTMBCAAAAAUAAAABMQEAAAALLTIxMTIxMDA0MzYDAAAAAzE2MAIAAAAENDA1MQQAAAABMAcAAAAKMTIvMzEvMjAxOQgAAAAKMTIvMzEvMjAxOQkAAAABMOTpZCo9Jd4I3VriMT8l3ggmQ0lRLkVPRy5JUV9FQklUREEuLjEyLzMxLzIwMTkuTC4uVVNELkgBAAAAXB0EAAIAAAAENzg0MwEIAAAABQAAAAExAQAAAAstMjExMDU5MTIwMwMAAAADMTYwAgAAAAQ0MDUxBAAAAAEwBwAAAAoxMi8zMS8yMDE5CAAAAAoxMi8zMS8yMDE5CQAAAAEw5OlkKj0l3gjk6WQqPSXeCClDSVEuRFZOLklRX1RPVEFMX1JFVkVOVUUuSVFfTFRNLi5MLi5VU0QuSAEAAAAOEQQAAgAAAAUxNjU1NAEIAAAABQAAAAExAQAAAAstMTkxODAyNzQzNQMAAAADMTYwAgAAAAIyOAQAAAABMAcAAAAKMTEvMTYvMjAyNQgAAAAJOS8zMC8yMDI1CQAAAAEw5OlkKj0l3gjk6WQqPSXeCCxDSVEuQlAuSVFfTklfMVlSX0FOTl9HUk9XVEguSVFfTFRNLi5MLi5VU0QuSAEAAADiBAYAAgAAAActNDQuMDA2AQgAAAAFAAAAATEBAAAACy0xOTE4NjQ2NzEzAwAAAAMxNjACAAAABDQxOTkEAAAAATAHAAAACjExLzE2</t>
  </si>
  <si>
    <t>uECRMj8l3ghGQ0lRUkFOR0VWLkNPUC5JUV9DTE9TRVBSSUNFX0FESi4uMTEvMTIvMjAyNS4uLkRFU0MuTS5JUV9DTE9TRVBSSUNFX0FESgUAAAABAAAACAAAABIoSW52YWxpZCBFbmQgRGF0ZSm4QJEyPyXeCLhAkTI/Jd4IRkNJUVJBTkdFVi5YT00uSVFfQ0xPU0VQUklDRV9BREouLjExLzEyLzIwMjUuLi5ERVNDLk0uSVFfQ0xPU0VQUklDRV9BREoFAAAAAQAAAAgAAAASKEludmFsaWQgRW5kIERhdGUpuECRMj8l3gi4QJEyPyXeCEZDSVFSQU5HRVYuQ1ZYLklRX0NMT1NFUFJJQ0VfQURKLi4xMS8xMi8yMDI1Li4uREVTQy5NLklRX0NMT1NFUFJJQ0VfQURKBQAAAAEAAAAIAAAAEihJbnZhbGlkIEVuZCBEYXRlKbhAkTI/Jd4IuECRMj8l3ghGQ0lRUkFOR0VWLkVPRy5JUV9DTE9TRVBSSUNFX0FESi4uMTEvMTIvMjAyNS4uLkRFU0MuTS5JUV9DTE9TRVBSSUNFX0FESgUAAAABAAAACAAAABIoSW52YWxpZCBFbmQgRGF0ZSm4QJEyPyXeCLhAkTI/Jd4IRUNJUVJBTkdFVi5CUC5JUV9DTE9TRVBSSUNFX0FESi4uMTEvMTIvMjAyNS4uLkRFU0MuTS5JUV9DTE9TRVBSSUNFX0FESgUAAAABAAAACAAAABIoSW52YWxpZCBFbmQgRGF0ZSm4QJEyPyXeCLhAkTI/Jd4IRkNJUVJBTkdFVi5EVk4uSVFfQ0xPU0VQUklDRV9BREouLjExLzEyLzIwMjUuLi5ERVNDLk0uSVFfQ0xPU0VQUklDRV9BREoFAAAAAQAAAAgAAAAS</t>
  </si>
  <si>
    <t>KEludmFsaWQgRW5kIERhdGUpuECRMj8l3gi4QJEyPyXeCD5DSVFSQU5HRVYuXkNMLklRX0NMT1NFUFJJQ0UuLjExLzEyLzIwMjUuLi5ERVNDLk0uSVFfQ0xPU0VQUklDRQUAAAABAAAACAAAABIoSW52YWxpZCBFbmQgRGF0ZSm4QJEyPyXeCLhAkTI/Jd4IPkNJUVJBTkdFVi5eSEcuSVFfQ0xPU0VQUklDRS4uMTEvMTIvMjAyNS4uLkRFU0MuTS5JUV9DTE9TRVBSSUNFBQAAAAEAAAAIAAAAEihJbnZhbGlkIEVuZCBEYXRlKbhAkTI/Jd4IuECRMj8l3ghEQ0lRUkFOR0VWLl5TUDUwMC0xMC5JUV9DTE9TRVBSSUNFLi4xMS8xMi8yMDI1Li4uREVTQy5NLklRX0NMT1NFUFJJQ0UFAAAAAQAAAAgAAAASKEludmFsaWQgRW5kIERhdGUpuECRMj8l3gi4QJEyPyXeCEZDSVFSQU5HRVYuSVFUNDYxNTY1MTYuSVFfQ0xPU0VQUklDRS4uMTEvMTIvMjAyNS4uLkRFU0MuTS5JUV9DTE9TRVBSSUNFBQAAAAEAAAAIAAAAEihJbnZhbGlkIEVuZCBEYXRlKbhAkTI/Jd4IuECRMj8l3gg0Q0lRLi5JUV9UT1RBTF9SRVZfMVlSX0FOTl9HUk9XVEguLjYvMzAvMjAyNC5MLi5VU0QuSAUAAAABAAAACAAAABQoSW52YWxpZCBJZGVudGlmaWVyKbhAkTI/Jd4IuECRMj8l3gg0Q0lRLi5JUV9UT1RBTF9SRVZfMVlSX0FOTl9HUk9XVEguLjMvMzEvMjAyNC5MLi5VU0QuSAUAAAABAAAACAAAABQoSW52YWxpZCBJZGVudGlmaWVyKbhAkTI/</t>
  </si>
  <si>
    <t>Jd4IuECRMj8l3gg0Q0lRLi5JUV9UT1RBTF9SRVZfMVlSX0FOTl9HUk9XVEguLjkvMzAvMjAyNC5MLi5VU0QuSAUAAAABAAAACAAAABQoSW52YWxpZCBJZGVudGlmaWVyKbhAkTI/Jd4IuECRMj8l3gg1Q0lRLi5JUV9UT1RBTF9SRVZfMVlSX0FOTl9HUk9XVEguLjEyLzMxLzIwMjMuTC4uVVNELkgFAAAAAQAAAAgAAAAUKEludmFsaWQgSWRlbnRpZmllcim4QJEyPyXeCLhAkTI/Jd4IN0NJUS5EVk4uSVFfVE9UQUxfUkVWXzFZUl9BTk5fR1JPV1RILi42LzMwLzIwMjQuTC4uVVNELkgBAAAADhEEAAIAAAAHLTguMjE5NAEIAAAABQAAAAExAQAAAAstMTkxODAyNzMxMwMAAAADMTYwAgAAAAQ0MTk0BAAAAAEwBwAAAAk2LzMwLzIwMjQIAAAACTYvMzAvMjAyNAkAAAABMLhAkTI/Jd4IuECRMj8l3gg2Q0lRLkJQLklRX1RPVEFMX1JFVl8xWVJfQU5OX0dST1dUSC4uNi8zMC8yMDI0LkwuLlVTRC5IAQAAAOIEBgACAAAACC0xMi4xMzQ2AQgAAAAFAAAAATEBAAAACy0xOTE4NjE3NjMwAwAAAAMxNjACAAAABDQxOTQEAAAAATAHAAAACTYvMzAvMjAyNAgAAAAJNi8zMC8yMDI0CQAAAAEwuECRMj8l3gi4QJEyPyXeCDdDSVEuRU9HLklRX1RPVEFMX1JFVl8xWVJfQU5OX0dST1dUSC4uNi8zMC8yMDI0LkwuLlVTRC5IAQAAAFwdBAACAAAABy00LjQ0MDEBCAAAAAUAAAABMQEAAAALLTE5MzI3MTE2MzQDAAAAAzE2MAIA</t>
  </si>
  <si>
    <t>AAAENDE5NAQAAAABMAcAAAAJNi8zMC8yMDI0CAAAAAk2LzMwLzIwMjQJAAAAATC4QJEyPyXeCLhAkTI/Jd4IN0NJUS5DVlguSVFfVE9UQUxfUkVWXzFZUl9BTk5fR1JPV1RILi42LzMwLzIwMjQuTC4uVVNELkgBAAAAyoABAAIAAAAGLTkuMDgzAQgAAAAFAAAAATEBAAAACy0xOTE4MDk0NjM0AwAAAAMxNjACAAAABDQxOTQEAAAAATAHAAAACTYvMzAvMjAyNAgAAAAJNi8zMC8yMDI0CQAAAAEwuECRMj8l3gi4QJEyPyXeCDdDSVEuWE9NLklRX1RPVEFMX1JFVl8xWVJfQU5OX0dST1dUSC4uNi8zMC8yMDI0LkwuLlVTRC5IAQAAAEIzBgACAAAABi02LjMwMgEIAAAABQAAAAExAQAAAAstMTkzMzQ0MzM2NAMAAAADMTYwAgAAAAQ0MTk0BAAAAAEwBwAAAAk2LzMwLzIwMjQIAAAACTYvMzAvMjAyNAkAAAABMLhAkTI/Jd4IuECRMj8l3ggvQ0lRLkJQLklRX05JXzFZUl9BTk5fR1JPV1RILi42LzMwLzIwMjQuTC4uVVNELkgBAAAA4gQGAAIAAAAILTYwLjUyMDIBCAAAAAUAAAABMQEAAAALLTE5MTg2MTc2MzADAAAAAzE2MAIAAAAENDE5OQQAAAABMAcAAAAJNi8zMC8yMDI0CAAAAAk2LzMwLzIwMjQJAAAAATC4QJEyPyXeCLhAkTI/Jd4IMENJUS5FT0cuSVFfTklfMVlSX0FOTl9HUk9XVEguLjYvMzAvMjAyNC5MLi5VU0QuSAEAAABcHQQAAgAAAAgtMTMuODk2OQEIAAAABQAAAAExAQAAAAstMTkzMjcxMTYzNAMA</t>
  </si>
  <si>
    <t>AAADMTYwAgAAAAQ0MTk5BAAAAAEwBwAAAAk2LzMwLzIwMjQIAAAACTYvMzAvMjAyNAkAAAABMLhAkTI/Jd4IuECRMj8l3ggwQ0lRLkNWWC5JUV9OSV8xWVJfQU5OX0dST1dUSC4uNi8zMC8yMDI0LkwuLlVTRC5IAQAAAMqAAQACAAAACC0zNy45NDc1AQgAAAAFAAAAATEBAAAACy0xOTE4MDk0NjM0AwAAAAMxNjACAAAABDQxOTkEAAAAATAHAAAACTYvMzAvMjAyNAgAAAAJNi8zMC8yMDI0CQAAAAEwuECRMj8l3gi4QJEyPyXeCDBDSVEuWE9NLklRX05JXzFZUl9BTk5fR1JPV1RILi42LzMwLzIwMjQuTC4uVVNELkgBAAAAQjMGAAIAAAAILTMzLjk1MjEBCAAAAAUAAAABMQEAAAALLTE5MzM0NDMzNjQDAAAAAzE2MAIAAAAENDE5OQQAAAABMAcAAAAJNi8zMC8yMDI0CAAAAAk2LzMwLzIwMjQJAAAAATC4QJEyPyXeCLhAkTI/Jd4IMENJUS5DT1AuSVFfTklfMVlSX0FOTl9HUk9XVEguLjYvMzAvMjAyNC5MLi5VU0QuSAEAAABPhgQAAgAAAAYtMTcuMzUBCAAAAAUAAAABMQEAAAALLTE5MzI4NTgzNDkDAAAAAzE2MAIAAAAENDE5OQQAAAABMAcAAAAJNi8zMC8yMDI0CAAAAAk2LzMwLzIwMjQJAAAAATC4QJEyPyXeCLhAkTI/Jd4IMENJUS5EVk4uSVFfTklfMVlSX0FOTl9HUk9XVEguLjYvMzAvMjAyNC5MLi5VU0QuSAEAAAAOEQQAAgAAAAgtMjYuNzIxMQEIAAAABQAAAAExAQAAAAstMTkxODAyNzMxMwMAAAAD</t>
  </si>
  <si>
    <t>MTYwAgAAAAQ0MTk5BAAAAAEwBwAAAAk2LzMwLzIwMjQIAAAACTYvMzAvMjAyNAkAAAABMLhAkTI/Jd4IuECRMj8l3gg3Q0lRLkRWTi5JUV9UT1RBTF9SRVZfMVlSX0FOTl9HUk9XVEguLjMvMzEvMjAyNC5MLi5VU0QuSAEAAAAOEQQAAgAAAAgtMjEuMzQwNwEIAAAABQAAAAExAQAAAAstMTkzMjg4MjU4OQMAAAADMTYwAgAAAAQ0MTk0BAAAAAEwBwAAAAkzLzMxLzIwMjQIAAAACTMvMzEvMjAyNAkAAAABMLhAkTI/Jd4IuECRMj8l3gg2Q0lRLkJQLklRX1RPVEFMX1JFVl8xWVJfQU5OX0dST1dUSC4uMy8zMS8yMDI0LkwuLlVTRC5IAQAAAOIEBgACAAAACC0xOC4yNjc5AQgAAAAFAAAAATEBAAAACy0xOTQ3OTA4MDYxAwAAAAMxNjACAAAABDQxOTQEAAAAATAHAAAACTMvMzEvMjAyNAgAAAAJMy8zMS8yMDI0CQAAAAEwuECRMj8l3gi4QJEyPyXeCDdDSVEuRU9HLklRX1RPVEFMX1JFVl8xWVJfQU5OX0dST1dUSC4uMy8zMS8yMDI0LkwuLlVTRC5IAQAAAFwdBAACAAAACC0xNy4yMjQyAQgAAAAFAAAAATEBAAAACy0xOTQ2OTg2NDYwAwAAAAMxNjACAAAABDQxOTQEAAAAATAHAAAACTMvMzEvMjAyNAgAAAAJMy8zMS8yMDI0CQAAAAEwuECRMj8l3gi4QJEyPyXeCDdDSVEuQ1ZYLklRX1RPVEFMX1JFVl8xWVJfQU5OX0dST1dUSC4uMy8zMS8yMDI0LkwuLlVTRC5IAQAAAMqAAQACAAAACC0xNy4zNjA1AQgAAAAF</t>
  </si>
  <si>
    <t>AAAAATEBAAAACy0xOTMyNTkwNDU3AwAAAAMxNjACAAAABDQxOTQEAAAAATAHAAAACTMvMzEvMjAyNAgAAAAJMy8zMS8yMDI0CQAAAAEwuECRMj8l3gi4QJEyPyXeCDdDSVEuWE9NLklRX1RPVEFMX1JFVl8xWVJfQU5OX0dST1dUSC4uMy8zMS8yMDI0LkwuLlVTRC5IAQAAAEIzBgACAAAACC0xNi4yMzMyAQgAAAAFAAAAATEBAAAACy0xOTQ2MTU3OTIyAwAAAAMxNjACAAAABDQxOTQEAAAAATAHAAAACTMvMzEvMjAyNAgAAAAJMy8zMS8yMDI0CQAAAAEwuECRMj8l3gi4QJEyPyXeCDBDSVEuRU9HLklRX05JXzFZUl9BTk5fR1JPV1RILi4zLzMxLzIwMjQuTC4uVVNELkgBAAAAXB0EAAIAAAAILTIxLjYzNTUBCAAAAAUAAAABMQEAAAALLTE5NDY5ODY0NjADAAAAAzE2MAIAAAAENDE5OQQAAAABMAcAAAAJMy8zMS8yMDI0CAAAAAkzLzMxLzIwMjQJAAAAATC4QJEyPyXeCLhAkTI/Jd4IMENJUS5DVlguSVFfTklfMVlSX0FOTl9HUk9XVEguLjMvMzEvMjAyNC5MLi5VU0QuSAEAAADKgAEAAgAAAAgtNDMuMjc1NgEIAAAABQAAAAExAQAAAAstMTkzMjU5MDQ1NwMAAAADMTYwAgAAAAQ0MTk5BAAAAAEwBwAAAAkzLzMxLzIwMjQIAAAACTMvMzEvMjAyNAkAAAABMLhAkTI/Jd4IuECRMj8l3ggwQ0lRLlhPTS5JUV9OSV8xWVJfQU5OX0dST1dUSC4uMy8zMS8yMDI0LkwuLlVTRC5IAQAAAEIzBgACAAAABy00Ni44MzEB</t>
  </si>
  <si>
    <t>CAAAAAUAAAABMQEAAAALLTE5NDYxNTc5MjIDAAAAAzE2MAIAAAAENDE5OQQAAAABMAcAAAAJMy8zMS8yMDI0CAAAAAkzLzMxLzIwMjQJAAAAATC4QJEyPyXeCLhAkTI/Jd4IMENJUS5DT1AuSVFfTklfMVlSX0FOTl9HUk9XVEguLjMvMzEvMjAyNC5MLi5VU0QuSAEAAABPhgQAAgAAAAgtMzMuMTYwOAEIAAAABQAAAAExAQAAAAstMTk0NDk0NjIwNgMAAAADMTYwAgAAAAQ0MTk5BAAAAAEwBwAAAAkzLzMxLzIwMjQIAAAACTMvMzEvMjAyNAkAAAABMLhAkTI/Jd4IuECRMj8l3ggwQ0lRLkRWTi5JUV9OSV8xWVJfQU5OX0dST1dUSC4uMy8zMS8yMDI0LkwuLlVTRC5IAQAAAA4RBAACAAAACC00NC4zOTQ3AQgAAAAFAAAAATEBAAAACy0xOTMyODgyNTg5AwAAAAMxNjACAAAABDQxOTkEAAAAATAHAAAACTMvMzEvMjAyNAgAAAAJMy8zMS8yMDI0CQAAAAEwuECRMj8l3gi4QJEyPyXeCC9DSVEuQlAuSVFfTklfMVlSX0FOTl9HUk9XVEguLjMvMzEvMjAyNC5MLi5VU0QuSAEAAADiBAYAAgAAAAgtNjQuNDQ5NgEIAAAABQAAAAExAQAAAAstMTk0NzkwODA2MQMAAAADMTYwAgAAAAQ0MTk5BAAAAAEwBwAAAAkzLzMxLzIwMjQIAAAACTMvMzEvMjAyNAkAAAABMLhAkTI/Jd4IuECRMj8l3gg3Q0lRLkRWTi5JUV9UT1RBTF9SRVZfMVlSX0FOTl9HUk9XVEguLjMvMzEvMjAyMy5MLi5VU0QuSAEAAAAOEQQAAgAAAAcyMy41</t>
  </si>
  <si>
    <t>NTc2AQgAAAAFAAAAATEBAAAACy0xOTg0MjIxNzc1AwAAAAMxNjACAAAABDQxOTQEAAAAATAHAAAACTMvMzEvMjAyMwgAAAAJMy8zMS8yMDIzCQAAAAEwuECRMj8l3gi4QJEyPyXeCDZDSVEuQlAuSVFfVE9UQUxfUkVWXzFZUl9BTk5fR1JPV1RILi4zLzMxLzIwMjMuTC4uVVNELkgBAAAA4gQGAAIAAAAHNDMuNjY0MQEIAAAABQAAAAExAQAAAAstMTk5NjM2NzY1NwMAAAADMTYwAgAAAAQ0MTk0BAAAAAEwBwAAAAkzLzMxLzIwMjMIAAAACTMvMzEvMjAyMwkAAAABMLhAkTI/Jd4IuECRMj8l3gg3Q0lRLkVPRy5JUV9UT1RBTF9SRVZfMVlSX0FOTl9HUk9XVEguLjMvMzEvMjAyMy5MLi5VU0QuSAEAAABcHQQAAgAAAAcyNi40Mjc0AQgAAAAFAAAAATEBAAAACy0xOTk3MTY3Mzc2AwAAAAMxNjACAAAABDQxOTQEAAAAATAHAAAACTMvMzEvMjAyMwgAAAAJMy8zMS8yMDIzCQAAAAEwuECRMj8l3gi4QJEyPyXeCDdDSVEuQ1ZYLklRX1RPVEFMX1JFVl8xWVJfQU5OX0dST1dUSC4uMy8zMS8yMDIzLkwuLlVTRC5IAQAAAMqAAQACAAAABzMyLjcwMTkBCAAAAAUAAAABMQEAAAALLTE5ODQ1NzM3ODIDAAAAAzE2MAIAAAAENDE5NAQAAAABMAcAAAAJMy8zMS8yMDIzCAAAAAkzLzMxLzIwMjMJAAAAATC4QJEyPyXeCLhAkTI/Jd4IN0NJUS5YT00uSVFfVE9UQUxfUkVWXzFZUl9BTk5fR1JPV1RILi4zLzMxLzIwMjMuTC4u</t>
  </si>
  <si>
    <t>VVNELkgBAAAAQjMGAAIAAAAHMjguNDk3OAEIAAAABQAAAAExAQAAAAstMTk5ODA1NTk4MAMAAAADMTYwAgAAAAQ0MTk0BAAAAAEwBwAAAAkzLzMxLzIwMjMIAAAACTMvMzEvMjAyMwkAAAABMLhAkTI/Jd4IuECRMj8l3ggwQ0lRLkNWWC5JUV9OSV8xWVJfQU5OX0dST1dUSC4uMy8zMS8yMDIzLkwuLlVTRC5IAQAAAMqAAQACAAAABjc0LjQ3NwEIAAAABQAAAAExAQAAAAstMTk4NDU3Mzc4MgMAAAADMTYwAgAAAAQ0MTk5BAAAAAEwBwAAAAkzLzMxLzIwMjMIAAAACTMvMzEvMjAyMwkAAAABMLhAkTI/Jd4IuECRMj8l3ggwQ0lRLlhPTS5JUV9OSV8xWVJfQU5OX0dST1dUSC4uMy8zMS8yMDIzLkwuLlVTRC5IAQAAAEIzBgACAAAACDEzOS4yMDEyAQgAAAAFAAAAATEBAAAACy0xOTk4MDU1OTgwAwAAAAMxNjACAAAABDQxOTkEAAAAATAHAAAACTMvMzEvMjAyMwgAAAAJMy8zMS8yMDIzCQAAAAEwuECRMj8l3gi4QJEyPyXeCDBDSVEuQ09QLklRX05JXzFZUl9BTk5fR1JPV1RILi4zLzMxLzIwMjMuTC4uVVNELkgBAAAAT4YEAAIAAAAHMjMuMjE4NwEIAAAABQAAAAExAQAAAAstMTk4NTQzMjg1MwMAAAADMTYwAgAAAAQ0MTk5BAAAAAEwBwAAAAkzLzMxLzIwMjMIAAAACTMvMzEvMjAyMwkAAAABMLhAkTI/Jd4IuECRMj8l3ggwQ0lRLkRWTi5JUV9OSV8xWVJfQU5OX0dST1dUSC4uMy8zMS8yMDIzLkwuLlVTRC5I</t>
  </si>
  <si>
    <t>AQAAAA4RBAACAAAABzY3Ljc2MjYBCAAAAAUAAAABMQEAAAALLTE5ODQyMjE3NzUDAAAAAzE2MAIAAAAENDE5OQQAAAABMAcAAAAJMy8zMS8yMDIzCAAAAAkzLzMxLzIwMjMJAAAAATC4QJEyPyXeCLhAkTI/Jd4IL0NJUS5CUC5JUV9OSV8xWVJfQU5OX0dST1dUSC4uMy8zMS8yMDIzLkwuLlVTRC5IAQAAAOIEBgADAAAAAk5NAQgAAAAFAAAAATEBAAAACy0xOTk2MzY3NjU3AwAAAAMxNjACAAAABDQxOTkEAAAAATAHAAAACTMvMzEvMjAyMwgAAAAJMy8zMS8yMDIzCQAAAAEwuECRMj8l3gi4QJEyPyXeCDBDSVEuRU9HLklRX05JXzFZUl9BTk5fR1JPV1RILi4zLzMxLzIwMjMuTC4uVVNELkgBAAAAXB0EAAIAAAAIMTE0LjU3NjEBCAAAAAUAAAABMQEAAAALLTE5OTcxNjczNzYDAAAAAzE2MAIAAAAENDE5OQQAAAABMAcAAAAJMy8zMS8yMDIzCAAAAAkzLzMxLzIwMjMJAAAAATC4QJEyPyXeCLhAkTI/Jd4IN0NJUS5EVk4uSVFfVE9UQUxfUkVWXzFZUl9BTk5fR1JPV1RILi45LzMwLzIwMjMuTC4uVVNELkgBAAAADhEEAAIAAAAILTIwLjUyMTcBCAAAAAUAAAABMQEAAAALLTE5NzAzOTg3MTkDAAAAAzE2MAIAAAAENDE5NAQAAAABMAcAAAAJOS8zMC8yMDIzCAAAAAk5LzMwLzIwMjMJAAAAATC4QJEyPyXeCLhAkTI/Jd4INkNJUS5CUC5JUV9UT1RBTF9SRVZfMVlSX0FOTl9HUk9XVEguLjkvMzAvMjAyMy5MLi5V</t>
  </si>
  <si>
    <t>U0QuSAEAAADiBAYAAgAAAAYyLjQ5OTYBCAAAAAUAAAABMQEAAAALLTE5NzE5MjYxNjcDAAAAAzE2MAIAAAAENDE5NAQAAAABMAcAAAAJOS8zMC8yMDIzCAAAAAk5LzMwLzIwMjMJAAAAATC4QJEyPyXeCLhAkTI/Jd4IN0NJUS5FT0cuSVFfVE9UQUxfUkVWXzFZUl9BTk5fR1JPV1RILi45LzMwLzIwMjMuTC4uVVNELkgBAAAAXB0EAAIAAAAILTE4LjI3ODYBCAAAAAUAAAABMQEAAAALLTE5NzAyMzMzODEDAAAAAzE2MAIAAAAENDE5NAQAAAABMAcAAAAJOS8zMC8yMDIzCAAAAAk5LzMwLzIwMjMJAAAAATC4QJEyPyXeCLhAkTI/Jd4IN0NJUS5DVlguSVFfVE9UQUxfUkVWXzFZUl9BTk5fR1JPV1RILi45LzMwLzIwMjMuTC4uVVNELkgBAAAAyoABAAIAAAAHLTEwLjgxNgEIAAAABQAAAAExAQAAAAstMTk3MDExNjIzNgMAAAADMTYwAgAAAAQ0MTk0BAAAAAEwBwAAAAk5LzMwLzIwMjMIAAAACTkvMzAvMjAyMwkAAAABMLhAkTI/Jd4IuECRMj8l3gg3Q0lRLlhPTS5JUV9UT1RBTF9SRVZfMVlSX0FOTl9HUk9XVEguLjkvMzAvMjAyMy5MLi5VU0QuSAEAAABCMwYAAgAAAAgtMTEuMTQwNgEIAAAABQAAAAExAQAAAAstMTk3MDY0MTY0MQMAAAADMTYwAgAAAAQ0MTk0BAAAAAEwBwAAAAk5LzMwLzIwMjMIAAAACTkvMzAvMjAyMwkAAAABMLhAkTI/Jd4IuECRMj8l3ggwQ0lRLkNWWC5JUV9OSV8xWVJfQU5OX0dST1dU</t>
  </si>
  <si>
    <t>SC4uOS8zMC8yMDIzLkwuLlVTRC5IAQAAAMqAAQACAAAACC0yNS40NzQ5AQgAAAAFAAAAATEBAAAACy0xOTcwMTE2MjM2AwAAAAMxNjACAAAABDQxOTkEAAAAATAHAAAACTkvMzAvMjAyMwgAAAAJOS8zMC8yMDIzCQAAAAEwuECRMj8l3gi4QJEyPyXeCDBDSVEuWE9NLklRX05JXzFZUl9BTk5fR1JPV1RILi45LzMwLzIwMjMuTC4uVVNELkgBAAAAQjMGAAIAAAAILTIwLjY5MDQBCAAAAAUAAAABMQEAAAALLTE5NzA2NDE2NDEDAAAAAzE2MAIAAAAENDE5OQQAAAABMAcAAAAJOS8zMC8yMDIzCAAAAAk5LzMwLzIwMjMJAAAAATC4QJEyPyXeCLhAkTI/Jd4IMENJUS5DT1AuSVFfTklfMVlSX0FOTl9HUk9XVEguLjkvMzAvMjAyMy5MLi5VU0QuSAEAAABPhgQAAgAAAAgtMzcuOTgzMgEIAAAABQAAAAExAQAAAAstMTk3MTA0NjcwMwMAAAADMTYwAgAAAAQ0MTk5BAAAAAEwBwAAAAk5LzMwLzIwMjMIAAAACTkvMzAvMjAyMwkAAAABMLhAkTI/Jd4IuECRMj8l3ggwQ0lRLkRWTi5JUV9OSV8xWVJfQU5OX0dST1dUSC4uOS8zMC8yMDIzLkwuLlVTRC5IAQAAAA4RBAACAAAACC0zOS45MzY4AQgAAAAFAAAAATEBAAAACy0xOTcwMzk4NzE5AwAAAAMxNjACAAAABDQxOTkEAAAAATAHAAAACTkvMzAvMjAyMwgAAAAJOS8zMC8yMDIzCQAAAAEwuECRMj8l3gi4QJEyPyXeCC9DSVEuQlAuSVFfTklfMVlSX0FOTl9HUk9XVEgu</t>
  </si>
  <si>
    <t>LjkvMzAvMjAyMy5MLi5VU0QuSAEAAADiBAYAAwAAAAJOTQEIAAAABQAAAAExAQAAAAstMTk3MTkyNjE2NwMAAAADMTYwAgAAAAQ0MTk5BAAAAAEwBwAAAAk5LzMwLzIwMjMIAAAACTkvMzAvMjAyMwkAAAABMLhAkTI/Jd4IuECRMj8l3ggwQ0lRLkVPRy5JUV9OSV8xWVJfQU5OX0dST1dUSC4uOS8zMC8yMDIzLkwuLlVTRC5IAQAAAFwdBAACAAAABjUuNTcxMQEIAAAABQAAAAExAQAAAAstMTk3MDIzMzM4MQMAAAADMTYwAgAAAAQ0MTk5BAAAAAEwBwAAAAk5LzMwLzIwMjMIAAAACTkvMzAvMjAyMwkAAAABMLhAkTI/Jd4IuECRMj8l3gg3Q0lRLkRWTi5JUV9UT1RBTF9SRVZfMVlSX0FOTl9HUk9XVEguLjkvMzAvMjAyMi5MLi5VU0QuSAEAAAAOEQQAAgAAAAc4MC4zOTk1AQgAAAAFAAAAATEBAAAACy0yMDIwNDU4MTI0AwAAAAMxNjACAAAABDQxOTQEAAAAATAHAAAACTkvMzAvMjAyMggAAAAJOS8zMC8yMDIyCQAAAAEwuECRMj8l3gi4QJEyPyXeCDZDSVEuQlAuSVFfVE9UQUxfUkVWXzFZUl9BTk5fR1JPV1RILi45LzMwLzIwMjIuTC4uVVNELkgBAAAA4gQGAAIAAAAHNjQuOTgyMgEIAAAABQAAAAExAQAAAAstMjAyMjMxNzM1MQMAAAADMTYwAgAAAAQ0MTk0BAAAAAEwBwAAAAk5LzMwLzIwMjIIAAAACTkvMzAvMjAyMgkAAAABMLhAkTI/Jd4IuECRMj8l3gg3Q0lRLkVPRy5JUV9UT1RBTF9SRVZfMVlSX0FO</t>
  </si>
  <si>
    <t>Tl9HUk9XVEguLjkvMzAvMjAyMi5MLi5VU0QuSAEAAABcHQQAAgAAAAc3My40MzA0AQgAAAAFAAAAATEBAAAACy0yMDIxMzc1MDMxAwAAAAMxNjACAAAABDQxOTQEAAAAATAHAAAACTkvMzAvMjAyMggAAAAJOS8zMC8yMDIyCQAAAAEwuECRMj8l3gi4QJEyPyXeCDdDSVEuQ1ZYLklRX1RPVEFMX1JFVl8xWVJfQU5OX0dST1dUSC4uOS8zMC8yMDIyLkwuLlVTRC5IAQAAAMqAAQACAAAABzY5LjY3MTIBCAAAAAUAAAABMQEAAAALLTIwMjE0MDkwMDgDAAAAAzE2MAIAAAAENDE5NAQAAAABMAcAAAAJOS8zMC8yMDIyCAAAAAk5LzMwLzIwMjIJAAAAATC4QJEyPyXeCLhAkTI/Jd4IN0NJUS5YT00uSVFfVE9UQUxfUkVWXzFZUl9BTk5fR1JPV1RILi45LzMwLzIwMjIuTC4uVVNELkgBAAAAQjMGAAIAAAAHNjEuMDcyOAEIAAAABQAAAAExAQAAAAstMjAyMTg2NzkwOAMAAAADMTYwAgAAAAQ0MTk0BAAAAAEwBwAAAAk5LzMwLzIwMjIIAAAACTkvMzAvMjAyMgkAAAABMLhAkTI/Jd4IuECRMj8l3gg3Q0lRLkRWTi5JUV9UT1RBTF9SRVZfMVlSX0FOTl9HUk9XVEguLjMvMzEvMjAyMi5MLi5VU0QuSAEAAAAOEQQAAgAAAAgxNjcuNDI1NAEIAAAABQAAAAExAQAAAAstMjAzNTg3MTM1OAMAAAADMTYwAgAAAAQ0MTk0BAAAAAEwBwAAAAkzLzMxLzIwMjIIAAAACTMvMzEvMjAyMgkAAAABMLhAkTI/Jd4IuECRMj8l3gg2Q0lR</t>
  </si>
  <si>
    <t>LkJQLklRX1RPVEFMX1JFVl8xWVJfQU5OX0dST1dUSC4uMy8zMS8yMDIyLkwuLlVTRC5IAQAAAOIEBgACAAAABzU2LjgzMDUBCAAAAAUAAAABMQEAAAALLTIwNDgxNTEyMjADAAAAAzE2MAIAAAAENDE5NAQAAAABMAcAAAAJMy8zMS8yMDIyCAAAAAkzLzMxLzIwMjIJAAAAATC4QJEyPyXeCLhAkTI/Jd4IN0NJUS5FT0cuSVFfVE9UQUxfUkVWXzFZUl9BTk5fR1JPV1RILi4zLzMxLzIwMjIuTC4uVVNELkgBAAAAXB0EAAIAAAAIMTE0LjA2OTQBCAAAAAUAAAABMQEAAAALLTIwNDc0NzM2MDADAAAAAzE2MAIAAAAENDE5NAQAAAABMAcAAAAJMy8zMS8yMDIyCAAAAAkzLzMxLzIwMjIJAAAAATC4QJEyPyXeCLhAkTI/Jd4IN0NJUS5DVlguSVFfVE9UQUxfUkVWXzFZUl9BTk5fR1JPV1RILi4zLzMxLzIwMjIuTC4uVVNELkgBAAAAyoABAAIAAAAHODQuMTkyNwEIAAAABQAAAAExAQAAAAstMjAzNTcwNjc2NAMAAAADMTYwAgAAAAQ0MTk0BAAAAAEwBwAAAAkzLzMxLzIwMjIIAAAACTMvMzEvMjAyMgkAAAABMLhAkTI/Jd4IuECRMj8l3gg3Q0lRLlhPTS5JUV9UT1RBTF9SRVZfMVlSX0FOTl9HUk9XVEguLjMvMzEvMjAyMi5MLi5VU0QuSAEAAABCMwYAAgAAAAY2OS44NTgBCAAAAAUAAAABMQEAAAALLTIwNDc4OTA1NTcDAAAAAzE2MAIAAAAENDE5NAQAAAABMAcAAAAJMy8zMS8yMDIyCAAAAAkzLzMxLzIwMjIJAAAA</t>
  </si>
  <si>
    <t>ATC4QJEyPyXeCLhAkTI/Jd4IMENJUS5DVlguSVFfTklfMVlSX0FOTl9HUk9XVEguLjMvMzEvMjAyMi5MLi5VU0QuSAEAAADKgAEAAwAAAAJOTQEIAAAABQAAAAExAQAAAAstMjAzNTcwNjc2NAMAAAADMTYwAgAAAAQ0MTk5BAAAAAEwBwAAAAkzLzMxLzIwMjIIAAAACTMvMzEvMjAyMgkAAAABMLhAkTI/Jd4IuECRMj8l3ggwQ0lRLlhPTS5JUV9OSV8xWVJfQU5OX0dST1dUSC4uMy8zMS8yMDIyLkwuLlVTRC5IAQAAAEIzBgADAAAAAk5NAQgAAAAFAAAAATEBAAAACy0yMDQ3ODkwNTU3AwAAAAMxNjACAAAABDQxOTkEAAAAATAHAAAACTMvMzEvMjAyMggAAAAJMy8zMS8yMDIyCQAAAAEwuECRMj8l3gi4QJEyPyXeCDBDSVEuQ09QLklRX05JXzFZUl9BTk5fR1JPV1RILi4zLzMxLzIwMjIuTC4uVVNELkgBAAAAT4YEAAIAAAAFNjQxODABCAAAAAUAAAABMQEAAAALLTIwNDcyNTA2NjMDAAAAAzE2MAIAAAAENDE5OQQAAAABMAcAAAAJMy8zMS8yMDIyCAAAAAkzLzMxLzIwMjIJAAAAATC4QJEyPyXeCLhAkTI/Jd4IMENJUS5EVk4uSVFfTklfMVlSX0FOTl9HUk9XVEguLjMvMzEvMjAyMi5MLi5VU0QuSAEAAAAOEQQAAwAAAAJOTQEIAAAABQAAAAExAQAAAAstMjAzNTg3MTM1OAMAAAADMTYwAgAAAAQ0MTk5BAAAAAEwBwAAAAkzLzMxLzIwMjIIAAAACTMvMzEvMjAyMgkAAAABMLhAkTI/Jd4IuECRMj8l3ggvQ0lR</t>
  </si>
  <si>
    <t>LkJQLklRX05JXzFZUl9BTk5fR1JPV1RILi4zLzMxLzIwMjIuTC4uVVNELkgBAAAA4gQGAAMAAAACTk0BCAAAAAUAAAABMQEAAAALLTIwNDgxNTEyMjADAAAAAzE2MAIAAAAENDE5OQQAAAABMAcAAAAJMy8zMS8yMDIyCAAAAAkzLzMxLzIwMjIJAAAAATC4QJEyPyXeCLhAkTI/Jd4IMENJUS5FT0cuSVFfTklfMVlSX0FOTl9HUk9XVEguLjMvMzEvMjAyMi5MLi5VU0QuSAEAAABcHQQAAgAAAAk2OTU5LjY3NzQBCAAAAAUAAAABMQEAAAALLTIwNDc0NzM2MDADAAAAAzE2MAIAAAAENDE5OQQAAAABMAcAAAAJMy8zMS8yMDIyCAAAAAkzLzMxLzIwMjIJAAAAATC4QJEyPyXeCLhAkTI/Jd4IN0NJUS5YT00uSVFfVE9UQUxfUkVWXzFZUl9BTk5fR1JPV1RILi45LzMwLzIwMjQuTC4uVVNELkgBAAAAQjMGAAIAAAAHLTEuNDI4NQEIAAAABQAAAAExAQAAAAstMTkxODY1NTAwOQMAAAADMTYwAgAAAAQ0MTk0BAAAAAEwBwAAAAk5LzMwLzIwMjQIAAAACTkvMzAvMjAyNAkAAAABMLhAkTI/Jd4IuECRMj8l3gg3Q0lRLkRWTi5JUV9UT1RBTF9SRVZfMVlSX0FOTl9HUk9XVEguLjkvMzAvMjAyNC5MLi5VU0QuSAEAAAAOEQQAAgAAAActMi42ODU5AQgAAAAFAAAAATEBAAAACy0xOTE4MDI3NDU1AwAAAAMxNjACAAAABDQxOTQEAAAAATAHAAAACTkvMzAvMjAyNAgAAAAJOS8zMC8yMDI0CQAAAAEwuECRMj8l3gi4QJEyPyXe</t>
  </si>
  <si>
    <t>CDZDSVEuQlAuSVFfVE9UQUxfUkVWXzFZUl9BTk5fR1JPV1RILi45LzMwLzIwMjQuTC4uVVNELkgBAAAA4gQGAAIAAAAHLTE0LjMzOQEIAAAABQAAAAExAQAAAAstMTkxODY0NjcxNAMAAAADMTYwAgAAAAQ0MTk0BAAAAAEwBwAAAAk5LzMwLzIwMjQIAAAACTkvMzAvMjAyNAkAAAABMLhAkTI/Jd4IuECRMj8l3gg3Q0lRLkVPRy5JUV9UT1RBTF9SRVZfMVlSX0FOTl9HUk9XVEguLjkvMzAvMjAyNC5MLi5VU0QuSAEAAABcHQQAAgAAAAYwLjU3NzQBCAAAAAUAAAABMQEAAAALLTE5MTgxNjkzMzEDAAAAAzE2MAIAAAAENDE5NAQAAAABMAcAAAAJOS8zMC8yMDI0CAAAAAk5LzMwLzIwMjQJAAAAATC4QJEyPyXeCLhAkTI/Jd4IN0NJUS5DVlguSVFfVE9UQUxfUkVWXzFZUl9BTk5fR1JPV1RILi45LzMwLzIwMjQuTC4uVVNELkgBAAAAyoABAAIAAAAHLTUuNjAyMgEIAAAABQAAAAExAQAAAAstMTkxODA5NjM2MwMAAAADMTYwAgAAAAQ0MTk0BAAAAAEwBwAAAAk5LzMwLzIwMjQIAAAACTkvMzAvMjAyNAkAAAABMLhAkTI/Jd4IuECRMj8l3ggwQ0lRLkRWTi5JUV9OSV8xWVJfQU5OX0dST1dUSC4uOS8zMC8yMDI0LkwuLlVTRC5IAQAAAA4RBAACAAAACC0xMC4zMjY3AQgAAAAFAAAAATEBAAAACy0xOTE4MDI3NDU1AwAAAAMxNjACAAAABDQxOTkEAAAAATAHAAAACTkvMzAvMjAyNAgAAAAJOS8zMC8yMDI0CQAAAAEw</t>
  </si>
  <si>
    <t>uECRMj8l3gi4QJEyPyXeCC9DSVEuQlAuSVFfTklfMVlSX0FOTl9HUk9XVEguLjkvMzAvMjAyNC5MLi5VU0QuSAEAAADiBAYAAgAAAAgtODkuNDM5NQEIAAAABQAAAAExAQAAAAstMTkxODY0NjcxNAMAAAADMTYwAgAAAAQ0MTk5BAAAAAEwBwAAAAk5LzMwLzIwMjQIAAAACTkvMzAvMjAyNAkAAAABMLhAkTI/Jd4IuECRMj8l3ggwQ0lRLkVPRy5JUV9OSV8xWVJfQU5OX0dST1dUSC4uOS8zMC8yMDI0LkwuLlVTRC5IAQAAAFwdBAACAAAABy05LjQyNTQBCAAAAAUAAAABMQEAAAALLTE5MTgxNjkzMzEDAAAAAzE2MAIAAAAENDE5OQQAAAABMAcAAAAJOS8zMC8yMDI0CAAAAAk5LzMwLzIwMjQJAAAAATC4QJEyPyXeCLhAkTI/Jd4IMENJUS5DVlguSVFfTklfMVlSX0FOTl9HUk9XVEguLjkvMzAvMjAyNC5MLi5VU0QuSAEAAADKgAEAAgAAAAgtMzQuNDg5MwEIAAAABQAAAAExAQAAAAstMTkxODA5NjM2MwMAAAADMTYwAgAAAAQ0MTk5BAAAAAEwBwAAAAk5LzMwLzIwMjQIAAAACTkvMzAvMjAyNAkAAAABMLhAkTI/Jd4IuECRMj8l3ggwQ0lRLlhPTS5JUV9OSV8xWVJfQU5OX0dST1dUSC4uOS8zMC8yMDI0LkwuLlVTRC5IAQAAAEIzBgACAAAACC0xOC4wNjQ3AQgAAAAFAAAAATEBAAAACy0xOTE4NjU1MDA5AwAAAAMxNjACAAAABDQxOTkEAAAAATAHAAAACTkvMzAvMjAyNAgAAAAJOS8zMC8yMDI0CQAAAAEwuECR</t>
  </si>
  <si>
    <t>Mj8l3gi4QJEyPyXeCDBDSVEuQ09QLklRX05JXzFZUl9BTk5fR1JPV1RILi45LzMwLzIwMjQuTC4uVVNELkgBAAAAT4YEAAIAAAAILTExLjE4ODUBCAAAAAUAAAABMQEAAAALLTE5MTgwNDU0NDEDAAAAAzE2MAIAAAAENDE5OQQAAAABMAcAAAAJOS8zMC8yMDI0CAAAAAk5LzMwLzIwMjQJAAAAATC4QJEyPyXeCLhAkTI/Jd4IOENJUS5EVk4uSVFfVE9UQUxfUkVWXzFZUl9BTk5fR1JPV1RILi4xMi8zMS8yMDIzLkwuLlVTRC5IAQAAAA4RBAACAAAACC0yNy4yMzU2AQgAAAAFAAAAATEBAAAACy0xOTU5MDI4ODY0AwAAAAMxNjACAAAABDQxOTQEAAAAATAHAAAACjEyLzMxLzIwMjMIAAAACjEyLzMxLzIwMjMJAAAAATC4QJEyPyXeCLhAkTI/Jd4IN0NJUS5CUC5JUV9UT1RBTF9SRVZfMVlSX0FOTl9HUk9XVEguLjEyLzMxLzIwMjMuTC4uVVNELkgBAAAA4gQGAAIAAAAILTEyLjg0ODMBCAAAAAUAAAABMQEAAAALLTE5NTY3OTA4OTEDAAAAAzE2MAIAAAAENDE5NAQAAAABMAcAAAAKMTIvMzEvMjAyMwgAAAAKMTIvMzEvMjAyMwkAAAABMLhAkTI/Jd4IuECRMj8l3gg4Q0lRLkVPRy5JUV9UT1RBTF9SRVZfMVlSX0FOTl9HUk9XVEguLjEyLzMxLzIwMjMuTC4uVVNELkgBAAAAXB0EAAIAAAAILTIxLjQwMTYBCAAAAAUAAAABMQEAAAALLTE5NTc5NjY4NTMDAAAAAzE2MAIAAAAENDE5NAQAAAABMAcAAAAKMTIvMzEv</t>
  </si>
  <si>
    <t>MjAyMwgAAAAKMTIvMzEvMjAyMwkAAAABMLhAkTI/Jd4IuECRMj8l3gg4Q0lRLkNWWC5JUV9UT1RBTF9SRVZfMVlSX0FOTl9HUk9XVEguLjEyLzMxLzIwMjMuTC4uVVNELkgBAAAAyoABAAIAAAAILTE3LjQyODcBCAAAAAUAAAABMQEAAAALLTE5NTg3NTc3OTUDAAAAAzE2MAIAAAAENDE5NAQAAAABMAcAAAAKMTIvMzEvMjAyMwgAAAAKMTIvMzEvMjAyMwkAAAABMLhAkTI/Jd4IuECRMj8l3gg4Q0lRLlhPTS5JUV9UT1RBTF9SRVZfMVlSX0FOTl9HUk9XVEguLjEyLzMxLzIwMjMuTC4uVVNELkgBAAAAQjMGAAIAAAAILTE1Ljk4ODYBCAAAAAUAAAABMQEAAAALLTE5NTg5NTM2MTADAAAAAzE2MAIAAAAENDE5NAQAAAABMAcAAAAKMTIvMzEvMjAyMwgAAAAKMTIvMzEvMjAyMwkAAAABMLhAkTI/Jd4IuECRMj8l3ggxQ0lRLkNWWC5JUV9OSV8xWVJfQU5OX0dST1dUSC4uMTIvMzEvMjAyMy5MLi5VU0QuSAEAAADKgAEAAgAAAAgtMzkuNzQ2MwEIAAAABQAAAAExAQAAAAstMTk1ODc1Nzc5NQMAAAADMTYwAgAAAAQ0MTk5BAAAAAEwBwAAAAoxMi8zMS8yMDIzCAAAAAoxMi8zMS8yMDIzCQAAAAEwuECRMj8l3gi4QJEyPyXeCDFDSVEuWE9NLklRX05JXzFZUl9BTk5fR1JPV1RILi4xMi8zMS8yMDIzLkwuLlVTRC5IAQAAAEIzBgACAAAACC0zNS4zOTY1AQgAAAAFAAAAATEBAAAACy0xOTU4OTUzNjEwAwAAAAMxNjAC</t>
  </si>
  <si>
    <t>AAAABDQxOTkEAAAAATAHAAAACjEyLzMxLzIwMjMIAAAACjEyLzMxLzIwMjMJAAAAATC4QJEyPyXeCLhAkTI/Jd4IMUNJUS5DT1AuSVFfTklfMVlSX0FOTl9HUk9XVEguLjEyLzMxLzIwMjMuTC4uVVNELkgBAAAAT4YEAAIAAAAILTQxLjM0MzcBCAAAAAUAAAABMQEAAAALLTE5NTkyMDIxNzUDAAAAAzE2MAIAAAAENDE5OQQAAAABMAcAAAAKMTIvMzEvMjAyMwgAAAAKMTIvMzEvMjAyMwkAAAABMLhAkTI/Jd4IuECRMj8l3ggxQ0lRLkRWTi5JUV9OSV8xWVJfQU5OX0dST1dUSC4uMTIvMzEvMjAyMy5MLi5VU0QuSAEAAAAOEQQAAgAAAAgtMzcuNzA1OAEIAAAABQAAAAExAQAAAAstMTk1OTAyODg2NAMAAAADMTYwAgAAAAQ0MTk5BAAAAAEwBwAAAAoxMi8zMS8yMDIzCAAAAAoxMi8zMS8yMDIzCQAAAAEwuECRMj8l3gi4QJEyPyXeCDBDSVEuQlAuSVFfTklfMVlSX0FOTl9HUk9XVEguLjEyLzMxLzIwMjMuTC4uVVNELkgBAAAA4gQGAAMAAAACTk0BCAAAAAUAAAABMQEAAAALLTE5NTY3OTA4OTEDAAAAAzE2MAIAAAAENDE5OQQAAAABMAcAAAAKMTIvMzEvMjAyMwgAAAAKMTIvMzEvMjAyMwkAAAABMLhAkTI/Jd4IuECRMj8l3ggxQ0lRLkVPRy5JUV9OSV8xWVJfQU5OX0dST1dUSC4uMTIvMzEvMjAyMy5MLi5VU0QuSAEAAABcHQQAAgAAAActMi4xMjY2AQgAAAAFAAAAATEBAAAACy0xOTU3OTY2ODUzAwAAAAMx</t>
  </si>
  <si>
    <t>NjACAAAABDQxOTkEAAAAATAHAAAACjEyLzMxLzIwMjMIAAAACjEyLzMxLzIwMjMJAAAAATC4QJEyPyXeCLhAkTI/Jd4IOENJUS5EVk4uSVFfVE9UQUxfUkVWXzFZUl9BTk5fR1JPV1RILi4xMi8zMS8yMDIyLkwuLlVTRC5IAQAAAA4RBAACAAAABzQ0LjE5NjMBCAAAAAUAAAABMQEAAAALLTE5NTkwMjg4NjADAAAAAzE2MAIAAAAENDE5NAQAAAABMAcAAAAKMTIvMzEvMjAyMggAAAAKMTIvMzEvMjAyMgkAAAABMLhAkTI/Jd4IuECRMj8l3gg3Q0lRLkJQLklRX1RPVEFMX1JFVl8xWVJfQU5OX0dST1dUSC4uMTIvMzEvMjAyMi5MLi5VU0QuSAEAAADiBAYAAgAAAAc1Mi44MjU4AQgAAAAFAAAAATEBAAAACy0xOTU2NzkwOTA3AwAAAAMxNjACAAAABDQxOTQEAAAAATAHAAAACjEyLzMxLzIwMjIIAAAACjEyLzMxLzIwMjIJAAAAATC4QJEyPyXeCLhAkTI/Jd4IOENJUS5FT0cuSVFfVE9UQUxfUkVWXzFZUl9BTk5fR1JPV1RILi4xMi8zMS8yMDIyLkwuLlVTRC5IAQAAAFwdBAACAAAABzQ5LjcxOTMBCAAAAAUAAAABMQEAAAALLTE5NTc5NjY4NTYDAAAAAzE2MAIAAAAENDE5NAQAAAABMAcAAAAKMTIvMzEvMjAyMggAAAAKMTIvMzEvMjAyMgkAAAABMLhAkTI/Jd4IuECRMj8l3gg4Q0lRLkNWWC5JUV9UT1RBTF9SRVZfMVlSX0FOTl9HUk9XVEguLjEyLzMxLzIwMjIuTC4uVVNELkgBAAAAyoABAAIAAAAHNTIuMTM4</t>
  </si>
  <si>
    <t>MQEIAAAABQAAAAExAQAAAAstMTk1ODc1ODAzMQMAAAADMTYwAgAAAAQ0MTk0BAAAAAEwBwAAAAoxMi8zMS8yMDIyCAAAAAoxMi8zMS8yMDIyCQAAAAEwuECRMj8l3gi4QJEyPyXeCDhDSVEuWE9NLklRX1RPVEFMX1JFVl8xWVJfQU5OX0dST1dUSC4uMTIvMzEvMjAyMi5MLi5VU0QuSAEAAABCMwYAAgAAAAc0NC41OTczAQgAAAAFAAAAATEBAAAACy0xOTU4OTUzNTk4AwAAAAMxNjACAAAABDQxOTQEAAAAATAHAAAACjEyLzMxLzIwMjIIAAAACjEyLzMxLzIwMjIJAAAAATC4QJEyPyXeCLhAkTI/Jd4IMUNJUS5DVlguSVFfTklfMVlSX0FOTl9HUk9XVEguLjEyLzMxLzIwMjIuTC4uVVNELkgBAAAAyoABAAIAAAAHMTI2Ljk3NgEIAAAABQAAAAExAQAAAAstMTk1ODc1ODAzMQMAAAADMTYwAgAAAAQ0MTk5BAAAAAEwBwAAAAoxMi8zMS8yMDIyCAAAAAoxMi8zMS8yMDIyCQAAAAEwuECRMj8l3gi4QJEyPyXeCDFDSVEuWE9NLklRX05JXzFZUl9BTk5fR1JPV1RILi4xMi8zMS8yMDIyLkwuLlVTRC5IAQAAAEIzBgACAAAABzE0MS45MjcBCAAAAAUAAAABMQEAAAALLTE5NTg5NTM1OTgDAAAAAzE2MAIAAAAENDE5OQQAAAABMAcAAAAKMTIvMzEvMjAyMggAAAAKMTIvMzEvMjAyMgkAAAABMLhAkTI/Jd4IuECRMj8l3ggxQ0lRLkNPUC5JUV9OSV8xWVJfQU5OX0dST1dUSC4uMTIvMzEvMjAyMi5MLi5VU0QuSAEAAABP</t>
  </si>
  <si>
    <t>hgQAAgAAAAgxMzEuMjE2NwEIAAAABQAAAAExAQAAAAstMTk1OTIwMjE3OAMAAAADMTYwAgAAAAQ0MTk5BAAAAAEwBwAAAAoxMi8zMS8yMDIyCAAAAAoxMi8zMS8yMDIyCQAAAAEwuECRMj8l3gi4QJEyPyXeCDFDSVEuRFZOLklRX05JXzFZUl9BTk5fR1JPV1RILi4xMi8zMS8yMDIyLkwuLlVTRC5IAQAAAA4RBAACAAAACDExMy44Mjg2AQgAAAAFAAAAATEBAAAACy0xOTU5MDI4ODYwAwAAAAMxNjACAAAABDQxOTkEAAAAATAHAAAACjEyLzMxLzIwMjIIAAAACjEyLzMxLzIwMjIJAAAAATC4QJEyPyXeCLhAkTI/Jd4IMENJUS5CUC5JUV9OSV8xWVJfQU5OX0dST1dUSC4uMTIvMzEvMjAyMi5MLi5VU0QuSAEAAADiBAYAAwAAAAJOTQEIAAAABQAAAAExAQAAAAstMTk1Njc5MDkwNwMAAAADMTYwAgAAAAQ0MTk5BAAAAAEwBwAAAAoxMi8zMS8yMDIyCAAAAAoxMi8zMS8yMDIyCQAAAAEwuECRMj8l3gi4QJEyPyXeCDFDSVEuRU9HLklRX05JXzFZUl9BTk5fR1JPV1RILi4xMi8zMS8yMDIyLkwuLlVTRC5IAQAAAFwdBAACAAAABzY2LjM1OTMBCAAAAAUAAAABMQEAAAALLTE5NTc5NjY4NTYDAAAAAzE2MAIAAAAENDE5OQQAAAABMAcAAAAKMTIvMzEvMjAyMggAAAAKMTIvMzEvMjAyMgkAAAABMLhAkTI/Jd4IuECRMj8l3gg3Q0lRLkRWTi5JUV9UT1RBTF9SRVZfMVlSX0FOTl9HUk9XVEguLjkvMzAvMjAyMS5MLi5V</t>
  </si>
  <si>
    <t>U0QuSAEAAAAOEQQAAgAAAAgxMTcuNDM1NwEIAAAABQAAAAExAQAAAAstMjA3MjM2MjI2OAMAAAADMTYwAgAAAAQ0MTk0BAAAAAEwBwAAAAk5LzMwLzIwMjEIAAAACTkvMzAvMjAyMQkAAAABMLhAkTI/Jd4IuECRMj8l3gg2Q0lRLkJQLklRX1RPVEFMX1JFVl8xWVJfQU5OX0dST1dUSC4uOS8zMC8yMDIxLkwuLlVTRC5IAQAAAOIEBgACAAAABy0xMC4yMjcBCAAAAAUAAAABMQEAAAALLTIwNzI2MzIwMDUDAAAAAzE2MAIAAAAENDE5NAQAAAABMAcAAAAJOS8zMC8yMDIxCAAAAAk5LzMwLzIwMjEJAAAAATC4QJEyPyXeCLhAkTI/Jd4IN0NJUS5FT0cuSVFfVE9UQUxfUkVWXzFZUl9BTk5fR1JPV1RILi45LzMwLzIwMjEuTC4uVVNELkgBAAAAXB0EAAIAAAAHNDguMjA3NwEIAAAABQAAAAExAQAAAAstMjA3MjE3MTczNgMAAAADMTYwAgAAAAQ0MTk0BAAAAAEwBwAAAAk5LzMwLzIwMjEIAAAACTkvMzAvMjAyMQkAAAABMLhAkTI/Jd4IuECRMj8l3gg3Q0lRLkNWWC5JUV9UT1RBTF9SRVZfMVlSX0FOTl9HUk9XVEguLjkvMzAvMjAyMS5MLi5VU0QuSAEAAADKgAEAAgAAAAczOS4xOTE1AQgAAAAFAAAAATEBAAAACy0yMDcyMTIyMDQwAwAAAAMxNjACAAAABDQxOTQEAAAAATAHAAAACTkvMzAvMjAyMQgAAAAJOS8zMC8yMDIxCQAAAAEwuECRMj8l3gi4QJEyPyXeCDdDSVEuWE9NLklRX1RPVEFMX1JFVl8xWVJfQU5O</t>
  </si>
  <si>
    <t>X0dST1dUSC4uOS8zMC8yMDIxLkwuLlVTRC5IAQAAAEIzBgACAAAABzIzLjY5OTUBCAAAAAUAAAABMQEAAAALLTIwNzIzMzcxODgDAAAAAzE2MAIAAAAENDE5NAQAAAABMAcAAAAJOS8zMC8yMDIxCAAAAAk5LzMwLzIwMjEJAAAAATC4QJEyPyXeCLhAkTI/Jd4IN0NJUS5EVk4uSVFfVE9UQUxfUkVWXzFZUl9BTk5fR1JPV1RILi4zLzMxLzIwMjEuTC4uVVNELkgBAAAADhEEAAIAAAAHLTkuMDM4NwEIAAAABQAAAAExAQAAAAstMjA4Njg5ODgyMAMAAAADMTYwAgAAAAQ0MTk0BAAAAAEwBwAAAAkzLzMxLzIwMjEIAAAACTMvMzEvMjAyMQkAAAABMLhAkTI/Jd4IuECRMj8l3gg2Q0lRLkJQLklRX1RPVEFMX1JFVl8xWVJfQU5OX0dST1dUSC4uMy8zMS8yMDIxLkwuLlVTRC5IAQAAAOIEBgACAAAACC01NC44OTI0AQgAAAAFAAAAATEBAAAACy0yMDk5MTk2ODM5AwAAAAMxNjACAAAABDQxOTQEAAAAATAHAAAACTMvMzEvMjAyMQgAAAAJMy8zMS8yMDIxCQAAAAEwuECRMj8l3gi4QJEyPyXeCDdDSVEuRU9HLklRX1RPVEFMX1JFVl8xWVJfQU5OX0dST1dUSC4uMy8zMS8yMDIxLkwuLlVTRC5IAQAAAFwdBAACAAAABy0zNi4yOTEBCAAAAAUAAAABMQEAAAALLTIwOTg0OTgzNjEDAAAAAzE2MAIAAAAENDE5NAQAAAABMAcAAAAJMy8zMS8yMDIxCAAAAAkzLzMxLzIwMjEJAAAAATC4QJEyPyXeCLhAkTI/Jd4IN0NJUS5D</t>
  </si>
  <si>
    <t>VlguSVFfVE9UQUxfUkVWXzFZUl9BTk5fR1JPV1RILi4zLzMxLzIwMjEuTC4uVVNELkgBAAAAyoABAAIAAAAILTI1LjE5MDEBCAAAAAUAAAABMQEAAAALLTIwOTg1NjM0ODADAAAAAzE2MAIAAAAENDE5NAQAAAABMAcAAAAJMy8zMS8yMDIxCAAAAAkzLzMxLzIwMjEJAAAAATC4QJEyPyXeCLhAkTI/Jd4IN0NJUS5YT00uSVFfVE9UQUxfUkVWXzFZUl9BTk5fR1JPV1RILi4zLzMxLzIwMjEuTC4uVVNELkgBAAAAQjMGAAIAAAAHLTI2Ljk1NQEIAAAABQAAAAExAQAAAAstMjA5ODYyODU5MAMAAAADMTYwAgAAAAQ0MTk0BAAAAAEwBwAAAAkzLzMxLzIwMjEIAAAACTMvMzEvMjAyMQkAAAABMLhAkTI/Jd4IuECRMj8l3ggwQ0lRLkNWWC5JUV9OSV8xWVJfQU5OX0dST1dUSC4uMy8zMS8yMDIxLkwuLlVTRC5IAQAAAMqAAQADAAAAAk5NAQgAAAAFAAAAATEBAAAACy0yMDk4NTYzNDgwAwAAAAMxNjACAAAABDQxOTkEAAAAATAHAAAACTMvMzEvMjAyMQgAAAAJMy8zMS8yMDIxCQAAAAEwuECRMj8l3gi4QJEyPyXeCDBDSVEuWE9NLklRX05JXzFZUl9BTk5fR1JPV1RILi4zLzMxLzIwMjEuTC4uVVNELkgBAAAAQjMGAAMAAAACTk0BCAAAAAUAAAABMQEAAAALLTIwOTg2Mjg1OTADAAAAAzE2MAIAAAAENDE5OQQAAAABMAcAAAAJMy8zMS8yMDIxCAAAAAkzLzMxLzIwMjEJAAAAATC4QJEyPyXeCLhAkTI/Jd4IMENJUS5D</t>
  </si>
  <si>
    <t>T1AuSVFfTklfMVlSX0FOTl9HUk9XVEguLjMvMzEvMjAyMS5MLi5VU0QuSAEAAABPhgQAAgAAAAgtOTkuNDQ3MQEIAAAABQAAAAExAQAAAAstMjA5ODQ2NjgwMAMAAAADMTYwAgAAAAQ0MTk5BAAAAAEwBwAAAAkzLzMxLzIwMjEIAAAACTMvMzEvMjAyMQkAAAABMLhAkTI/Jd4IuECRMj8l3ggwQ0lRLkRWTi5JUV9OSV8xWVJfQU5OX0dST1dUSC4uMy8zMS8yMDIxLkwuLlVTRC5IAQAAAA4RBAADAAAAAk5NAQgAAAAFAAAAATEBAAAACy0yMDg2ODk4ODIwAwAAAAMxNjACAAAABDQxOTkEAAAAATAHAAAACTMvMzEvMjAyMQgAAAAJMy8zMS8yMDIxCQAAAAEwuECRMj8l3gi4QJEyPyXeCC9DSVEuQlAuSVFfTklfMVlSX0FOTl9HUk9XVEguLjMvMzEvMjAyMS5MLi5VU0QuSAEAAADiBAYAAwAAAAJOTQEIAAAABQAAAAExAQAAAAstMjA5OTE5NjgzOQMAAAADMTYwAgAAAAQ0MTk5BAAAAAEwBwAAAAkzLzMxLzIwMjEIAAAACTMvMzEvMjAyMQkAAAABMLhAkTI/Jd4IuECRMj8l3ggwQ0lRLkVPRy5JUV9OSV8xWVJfQU5OX0dST1dUSC4uMy8zMS8yMDIxLkwuLlVTRC5IAQAAAFwdBAACAAAACC05Ny4wNjA5AQgAAAAFAAAAATEBAAAACy0yMDk4NDk4MzYxAwAAAAMxNjACAAAABDQxOTkEAAAAATAHAAAACTMvMzEvMjAyMQgAAAAJMy8zMS8yMDIxCQAAAAEwuECRMj8l3gi4QJEyPyXeCDdDSVEuRFZOLklRX1RPVEFMX1JF</t>
  </si>
  <si>
    <t>Vl8xWVJfQU5OX0dST1dUSC4uMy8zMS8yMDIwLkwuLlVTRC5IAQAAAA4RBAACAAAACC0yNy45ODgyAQgAAAAFAAAAATEBAAAACy0yMTQwMDI0MDU1AwAAAAMxNjACAAAABDQxOTQEAAAAATAHAAAACTMvMzEvMjAyMAgAAAAJMy8zMS8yMDIwCQAAAAEwuECRMj8l3gi4QJEyPyXeCDZDSVEuQlAuSVFfVE9UQUxfUkVWXzFZUl9BTk5fR1JPV1RILi4zLzMxLzIwMjAuTC4uVVNELkgBAAAA4gQGAAIAAAAILTE4LjAyODcBCAAAAAUAAAABMQEAAAAKMjA5MjEzODAzMgMAAAADMTYwAgAAAAQ0MTk0BAAAAAEwBwAAAAkzLzMxLzIwMjAIAAAACTMvMzEvMjAyMAkAAAABMLhAkTI/Jd4IuECRMj8l3gg3Q0lRLkVPRy5JUV9UT1RBTF9SRVZfMVlSX0FOTl9HUk9XVEguLjMvMzEvMjAyMC5MLi5VU0QuSAEAAABcHQQAAgAAAActNi4yNzg1AQgAAAAFAAAAATEBAAAACjIwOTYwNTA1OTADAAAAAzE2MAIAAAAENDE5NAQAAAABMAcAAAAJMy8zMS8yMDIwCAAAAAkzLzMxLzIwMjAJAAAAATC4QJEyPyXeCLhAkTI/Jd4IN0NJUS5DVlguSVFfVE9UQUxfUkVWXzFZUl9BTk5fR1JPV1RILi4zLzMxLzIwMjAuTC4uVVNELkgBAAAAyoABAAIAAAAILTE0LjUxOTUBCAAAAAUAAAABMQEAAAAKMjA5NjA4NjE3NAMAAAADMTYwAgAAAAQ0MTk0BAAAAAEwBwAAAAkzLzMxLzIwMjAIAAAACTMvMzEvMjAyMAkAAAABMLhAkTI/Jd4IuECRMj8l</t>
  </si>
  <si>
    <t>3gg3Q0lRLlhPTS5JUV9UT1RBTF9SRVZfMVlSX0FOTl9HUk9XVEguLjMvMzEvMjAyMC5MLi5VU0QuSAEAAABCMwYAAgAAAActOS42MjU0AQgAAAAFAAAAATEBAAAACjIwOTU2OTg1NjIDAAAAAzE2MAIAAAAENDE5NAQAAAABMAcAAAAJMy8zMS8yMDIwCAAAAAkzLzMxLzIwMjAJAAAAATC4QJEyPyXeCLhAkTI/Jd4IMENJUS5DVlguSVFfTklfMVlSX0FOTl9HUk9XVEguLjMvMzEvMjAyMC5MLi5VU0QuSAEAAADKgAEAAgAAAAgtNzEuOTk4NgEIAAAABQAAAAExAQAAAAoyMDk2MDg2MTc0AwAAAAMxNjACAAAABDQxOTkEAAAAATAHAAAACTMvMzEvMjAyMAgAAAAJMy8zMS8yMDIwCQAAAAEwuECRMj8l3gi4QJEyPyXeCDBDSVEuWE9NLklRX05JXzFZUl9BTk5fR1JPV1RILi4zLzMxLzIwMjAuTC4uVVNELkgBAAAAQjMGAAIAAAAILTM4LjYxOTMBCAAAAAUAAAABMQEAAAAKMjA5NTY5ODU2MgMAAAADMTYwAgAAAAQ0MTk5BAAAAAEwBwAAAAkzLzMxLzIwMjAIAAAACTMvMzEvMjAyMAkAAAABMLhAkTI/Jd4IuECRMj8l3ggwQ0lRLkNPUC5JUV9OSV8xWVJfQU5OX0dST1dUSC4uMy8zMS8yMDIwLkwuLlVTRC5IAQAAAE+GBAACAAAACC00OS43Nzc5AQgAAAAFAAAAATEBAAAACjIwOTYzNzg0NjYDAAAAAzE2MAIAAAAENDE5OQQAAAABMAcAAAAJMy8zMS8yMDIwCAAAAAkzLzMxLzIwMjAJAAAAATC4QJEyPyXeCLhAkTI/</t>
  </si>
  <si>
    <t>Jd4IMENJUS5EVk4uSVFfTklfMVlSX0FOTl9HUk9XVEguLjMvMzEvMjAyMC5MLi5VU0QuSAEAAAAOEQQAAwAAAAJOTQEIAAAABQAAAAExAQAAAAstMjE0MDAyNDA1NQMAAAADMTYwAgAAAAQ0MTk5BAAAAAEwBwAAAAkzLzMxLzIwMjAIAAAACTMvMzEvMjAyMAkAAAABMLhAkTI/Jd4IuECRMj8l3ggvQ0lRLkJQLklRX05JXzFZUl9BTk5fR1JPV1RILi4zLzMxLzIwMjAuTC4uVVNELkgBAAAA4gQGAAMAAAACTk0BCAAAAAUAAAABMQEAAAAKMjA5MjEzODAzMgMAAAADMTYwAgAAAAQ0MTk5BAAAAAEwBwAAAAkzLzMxLzIwMjAIAAAACTMvMzEvMjAyMAkAAAABMLhAkTI/Jd4IuECRMj8l3ggwQ0lRLkVPRy5JUV9OSV8xWVJfQU5OX0dST1dUSC4uMy8zMS8yMDIwLkwuLlVTRC5IAQAAAFwdBAACAAAACC0zOC4yNDQ4AQgAAAAFAAAAATEBAAAACjIwOTYwNTA1OTADAAAAAzE2MAIAAAAENDE5OQQAAAABMAcAAAAJMy8zMS8yMDIwCAAAAAkzLzMxLzIwMjAJAAAAATC4QJEyPyXeCLhAkTI/Jd4IOENJUS5EVk4uSVFfVE9UQUxfUkVWXzFZUl9BTk5fR1JPV1RILi4xMi8zMS8yMDIxLkwuLlVTRC5IAQAAAA4RBAACAAAACDE5NC4yNDM1AQgAAAAFAAAAATEBAAAACy0yMDA4MjIyMTk3AwAAAAMxNjACAAAABDQxOTQEAAAAATAHAAAACjEyLzMxLzIwMjEIAAAACjEyLzMxLzIwMjEJAAAAATC4QJEyPyXeCLhAkTI/Jd4IN0NJ</t>
  </si>
  <si>
    <t>US5CUC5JUV9UT1RBTF9SRVZfMVlSX0FOTl9HUk9XVEguLjEyLzMxLzIwMjEuTC4uVVNELkgBAAAA4gQGAAIAAAAHNDguMDM0NAEIAAAABQAAAAExAQAAAAstMjAwNjc4MDg3MAMAAAADMTYwAgAAAAQ0MTk0BAAAAAEwBwAAAAoxMi8zMS8yMDIxCAAAAAoxMi8zMS8yMDIxCQAAAAEwuECRMj8l3gi4QJEyPyXeCDhDSVEuRU9HLklRX1RPVEFMX1JFVl8xWVJfQU5OX0dST1dUSC4uMTIvMzEvMjAyMS5MLi5VU0QuSAEAAABcHQQAAgAAAAc5OS4wODM5AQgAAAAFAAAAATEBAAAACy0yMDA5MjM3MjM4AwAAAAMxNjACAAAABDQxOTQEAAAAATAHAAAACjEyLzMxLzIwMjEIAAAACjEyLzMxLzIwMjEJAAAAATC4QJEyPyXeCLhAkTI/Jd4IOENJUS5DVlguSVFfVE9UQUxfUkVWXzFZUl9BTk5fR1JPV1RILi4xMi8zMS8yMDIxLkwuLlVTRC5IAQAAAMqAAQACAAAABzY0Ljk1NjEBCAAAAAUAAAABMQEAAAALLTIwMDg1NTc1MTMDAAAAAzE2MAIAAAAENDE5NAQAAAABMAcAAAAKMTIvMzEvMjAyMQgAAAAKMTIvMzEvMjAyMQkAAAABMLhAkTI/Jd4IuECRMj8l3gg4Q0lRLlhPTS5JUV9UT1RBTF9SRVZfMVlSX0FOTl9HUk9XVEguLjEyLzMxLzIwMjEuTC4uVVNELkgBAAAAQjMGAAIAAAAHNTQuMTUxNgEIAAAABQAAAAExAQAAAAstMjAwNzgzMjcwOQMAAAADMTYwAgAAAAQ0MTk0BAAAAAEwBwAAAAoxMi8zMS8yMDIxCAAAAAox</t>
  </si>
  <si>
    <t>Mi8zMS8yMDIxCQAAAAEwuECRMj8l3gi4QJEyPyXeCDBDSVEuQ1ZYLklRX05JXzFZUl9BTk5fR1JPV1RILi4zLzMxLzIwMTkuTC4uVVNELkgBAAAAyoABAAIAAAAHMzYuMjkxOQEIAAAABQAAAAExAQAAAAoyMDMzNzI4MzQzAwAAAAMxNjACAAAABDQxOTkEAAAAATAHAAAACTMvMzEvMjAxOQgAAAAJMy8zMS8yMDE5CQAAAAEwuECRMj8l3gi4QJEyPyXeCDBDSVEuWE9NLklRX05JXzFZUl9BTk5fR1JPV1RILi4zLzMxLzIwMTkuTC4uVVNELkgBAAAAQjMGAAIAAAAHLTguODk0NAEIAAAABQAAAAExAQAAAAoyMDMzNzQ0MjIyAwAAAAMxNjACAAAABDQxOTkEAAAAATAHAAAACTMvMzEvMjAxOQgAAAAJMy8zMS8yMDE5CQAAAAEwuECRMj8l3gi4QJEyPyXeCDBDSVEuQ09QLklRX05JXzFZUl9BTk5fR1JPV1RILi4zLzMxLzIwMTkuTC4uVVNELkgBAAAAT4YEAAMAAAACTk0BCAAAAAUAAAABMQEAAAAKMjAzMzQ2NjcwMwMAAAADMTYwAgAAAAQ0MTk5BAAAAAEwBwAAAAkzLzMxLzIwMTkIAAAACTMvMzEvMjAxOQkAAAABMLhAkTI/Jd4IuECRMj8l3ggwQ0lRLkRWTi5JUV9OSV8xWVJfQU5OX0dST1dUSC4uMy8zMS8yMDE5LkwuLlVTRC5IAQAAAA4RBAACAAAACDYzOS42OTg0AQgAAAAFAAAAATEBAAAACjIwNDkwMDQ4MDcDAAAAAzE2MAIAAAAENDE5OQQAAAABMAcAAAAJMy8zMS8yMDE5CAAAAAkzLzMxLzIwMTkJAAAA</t>
  </si>
  <si>
    <t>ATC4QJEyPyXeCLhAkTI/Jd4IL0NJUS5CUC5JUV9OSV8xWVJfQU5OX0dST1dUSC4uMy8zMS8yMDE5LkwuLlVTRC5IAQAAAOIEBgACAAAACDEyMy4zNjEzAQgAAAAFAAAAATEBAAAACjIwMzEwNzU0NTMDAAAAAzE2MAIAAAAENDE5OQQAAAABMAcAAAAJMy8zMS8yMDE5CAAAAAkzLzMxLzIwMTkJAAAAATC4QJEyPyXeCLhAkTI/Jd4IMENJUS5FT0cuSVFfTklfMVlSX0FOTl9HUk9XVEguLjMvMzEvMjAxOS5MLi5VU0QuSAEAAABcHQQAAgAAAAY2Ljk5MTgBCAAAAAUAAAABMQEAAAAKMjAzNDAyMDA5NAMAAAADMTYwAgAAAAQ0MTk5BAAAAAEwBwAAAAkzLzMxLzIwMTkIAAAACTMvMzEvMjAxOQkAAAABMLhAkTI/Jd4IuECRMj8l3ggwQ0lRLkNWWC5JUV9OSV8xWVJfQU5OX0dST1dUSC4uOS8zMC8yMDIwLkwuLlVTRC5IAQAAAMqAAQADAAAAAk5NAQgAAAAFAAAAATEBAAAACy0yMTIzNjA0MjY5AwAAAAMxNjACAAAABDQxOTkEAAAAATAHAAAACTkvMzAvMjAyMAgAAAAJOS8zMC8yMDIwCQAAAAEwuECRMj8l3gi4QJEyPyXeCDBDSVEuWE9NLklRX05JXzFZUl9BTk5fR1JPV1RILi45LzMwLzIwMjAuTC4uVVNELkgBAAAAQjMGAAIAAAAILTc3LjMzNzkBCAAAAAUAAAABMQEAAAALLTIxMjM5MjcyMjMDAAAAAzE2MAIAAAAENDE5OQQAAAABMAcAAAAJOS8zMC8yMDIwCAAAAAk5LzMwLzIwMjAJAAAAATC4QJEyPyXeCLhA</t>
  </si>
  <si>
    <t>kTI/Jd4IMENJUS5DT1AuSVFfTklfMVlSX0FOTl9HUk9XVEguLjkvMzAvMjAyMC5MLi5VU0QuSAEAAABPhgQAAwAAAAJOTQEIAAAABQAAAAExAQAAAAstMjEyMzU3NTk3OAMAAAADMTYwAgAAAAQ0MTk5BAAAAAEwBwAAAAk5LzMwLzIwMjAIAAAACTkvMzAvMjAyMAkAAAABMLhAkTI/Jd4IuECRMj8l3ggwQ0lRLkRWTi5JUV9OSV8xWVJfQU5OX0dST1dUSC4uOS8zMC8yMDIwLkwuLlVTRC5IAQAAAA4RBAADAAAAAk5NAQgAAAAFAAAAATEBAAAACy0yMTIzODU3MjgyAwAAAAMxNjACAAAABDQxOTkEAAAAATAHAAAACTkvMzAvMjAyMAgAAAAJOS8zMC8yMDIwCQAAAAEwuECRMj8l3gi4QJEyPyXeCC9DSVEuQlAuSVFfTklfMVlSX0FOTl9HUk9XVEguLjkvMzAvMjAyMC5MLi5VU0QuSAEAAADiBAYAAwAAAAJOTQEIAAAABQAAAAExAQAAAAstMjEyNDMxNTg1MAMAAAADMTYwAgAAAAQ0MTk5BAAAAAEwBwAAAAk5LzMwLzIwMjAIAAAACTkvMzAvMjAyMAkAAAABMLhAkTI/Jd4IuECRMj8l3ggwQ0lRLkVPRy5JUV9OSV8xWVJfQU5OX0dST1dUSC4uOS8zMC8yMDIwLkwuLlVTRC5IAQAAAFwdBAADAAAAAk5NAQgAAAAFAAAAATEBAAAACy0yMTIzODMxNzY4AwAAAAMxNjACAAAABDQxOTkEAAAAATAHAAAACTkvMzAvMjAyMAgAAAAJOS8zMC8yMDIwCQAAAAEwuECRMj8l3gi4QJEyPyXeCDBDSVEuQ1ZYLklRX05JXzFZUl9B</t>
  </si>
  <si>
    <t>Tk5fR1JPV1RILi42LzMwLzIwMjMuTC4uVVNELkgBAAAAyoABAAIAAAAGMy44NTkyAQgAAAAFAAAAATEBAAAACy0xOTcwMTE0MjU3AwAAAAMxNjACAAAABDQxOTkEAAAAATAHAAAACTYvMzAvMjAyMwgAAAAJNi8zMC8yMDIzCQAAAAEwuECRMj8l3gi4QJEyPyXeCDBDSVEuWE9NLklRX05JXzFZUl9BTk5fR1JPV1RILi42LzMwLzIwMjMuTC4uVVNELkgBAAAAQjMGAAIAAAAHMzIuNzg1NgEIAAAABQAAAAExAQAAAAstMTkxOTIzNDY3MQMAAAADMTYwAgAAAAQ0MTk5BAAAAAEwBwAAAAk2LzMwLzIwMjMIAAAACTYvMzAvMjAyMwkAAAABMLhAkTI/Jd4IuECRMj8l3ggwQ0lRLkNPUC5JUV9OSV8xWVJfQU5OX0dST1dUSC4uNi8zMC8yMDIzLkwuLlVTRC5IAQAAAE+GBAACAAAABy0xOC43NDMBCAAAAAUAAAABMQEAAAALLTE5ODU0MzI5NDADAAAAAzE2MAIAAAAENDE5OQQAAAABMAcAAAAJNi8zMC8yMDIzCAAAAAk2LzMwLzIwMjMJAAAAATC4QJEyPyXeCLhAkTI/Jd4IMENJUS5EVk4uSVFfTklfMVlSX0FOTl9HUk9XVEguLjYvMzAvMjAyMy5MLi5VU0QuSAEAAAAOEQQAAgAAAActOS4yMzA4AQgAAAAFAAAAATEBAAAACy0xOTcwMzk4MDgyAwAAAAMxNjACAAAABDQxOTkEAAAAATAHAAAACTYvMzAvMjAyMwgAAAAJNi8zMC8yMDIzCQAAAAEwuECRMj8l3gi4QJEyPyXeCC9DSVEuQlAuSVFfTklfMVlSX0FOTl9HUk9X</t>
  </si>
  <si>
    <t>VEguLjYvMzAvMjAyMy5MLi5VU0QuSAEAAADiBAYAAwAAAAJOTQEIAAAABQAAAAExAQAAAAstMTk3MDg4MzQwNgMAAAADMTYwAgAAAAQ0MTk5BAAAAAEwBwAAAAk2LzMwLzIwMjMIAAAACTYvMzAvMjAyMwkAAAABMLhAkTI/Jd4IuECRMj8l3ggwQ0lRLkVPRy5JUV9OSV8xWVJfQU5OX0dST1dUSC4uNi8zMC8yMDIzLkwuLlVTRC5IAQAAAFwdBAACAAAABzUyLjU0MDIBCAAAAAUAAAABMQEAAAALLTE5ODU1MDAzMjMDAAAAAzE2MAIAAAAENDE5OQQAAAABMAcAAAAJNi8zMC8yMDIzCAAAAAk2LzMwLzIwMjMJAAAAATC4QJEyPyXeCLhAkTI/Jd4IMUNJUS5DVlguSVFfTklfMVlSX0FOTl9HUk9XVEguLjEyLzMxLzIwMjAuTC4uVVNELkgBAAAAyoABAAMAAAACTk0BCAAAAAUAAAABMQEAAAALLTIwNTk3NjgyMjgDAAAAAzE2MAIAAAAENDE5OQQAAAABMAcAAAAKMTIvMzEvMjAyMAgAAAAKMTIvMzEvMjAyMAkAAAABMLhAkTI/Jd4IuECRMj8l3ggxQ0lRLlhPTS5JUV9OSV8xWVJfQU5OX0dST1dUSC4uMTIvMzEvMjAyMC5MLi5VU0QuSAEAAABCMwYAAwAAAAJOTQEIAAAABQAAAAExAQAAAAstMjA1OTkxNTIxNQMAAAADMTYwAgAAAAQ0MTk5BAAAAAEwBwAAAAoxMi8zMS8yMDIwCAAAAAoxMi8zMS8yMDIwCQAAAAEwuECRMj8l3gi4QJEyPyXeCDFDSVEuQ09QLklRX05JXzFZUl9BTk5fR1JPV1RILi4xMi8zMS8yMDIw</t>
  </si>
  <si>
    <t>LkwuLlVTRC5IAQAAAE+GBAADAAAAAk5NAQgAAAAFAAAAATEBAAAACy0yMDYwNjExODcyAwAAAAMxNjACAAAABDQxOTkEAAAAATAHAAAACjEyLzMxLzIwMjAIAAAACjEyLzMxLzIwMjAJAAAAATC4QJEyPyXeCLhAkTI/Jd4IMUNJUS5EVk4uSVFfTklfMVlSX0FOTl9HUk9XVEguLjEyLzMxLzIwMjAuTC4uVVNELkgBAAAADhEEAAMAAAACTk0BCAAAAAUAAAABMQEAAAALLTIwNjA5NDEzOTYDAAAAAzE2MAIAAAAENDE5OQQAAAABMAcAAAAKMTIvMzEvMjAyMAgAAAAKMTIvMzEvMjAyMAkAAAABMLhAkTI/Jd4IuECRMj8l3ggwQ0lRLkJQLklRX05JXzFZUl9BTk5fR1JPV1RILi4xMi8zMS8yMDIwLkwuLlVTRC5IAQAAAOIEBgADAAAAAk5NAQgAAAAFAAAAATEBAAAACy0yMDU3NTE5NjI1AwAAAAMxNjACAAAABDQxOTkEAAAAATAHAAAACjEyLzMxLzIwMjAIAAAACjEyLzMxLzIwMjAJAAAAATC4QJEyPyXeCLhAkTI/Jd4IMUNJUS5FT0cuSVFfTklfMVlSX0FOTl9HUk9XVEguLjEyLzMxLzIwMjAuTC4uVVNELkgBAAAAXB0EAAMAAAACTk0BCAAAAAUAAAABMQEAAAALLTIwNTk4NDEzNDcDAAAAAzE2MAIAAAAENDE5OQQAAAABMAcAAAAKMTIvMzEvMjAyMAgAAAAKMTIvMzEvMjAyMAkAAAABMLhAkTI/Jd4IuECRMj8l3ggkQ0lRLl5TUDUwMC0xMC5JUV9CRVRBXzVZUi4xMC8zMS8yMDI1AQAAAE7DKAADAAAAAACOxWye</t>
  </si>
  <si>
    <t>PyXeCJ8IhZ4/Jd4IHkNJUS5eSEcuSVFfQkVUQV81WVIuMTAvMzEvMjAyNQEAAABmgTUDAwAAAAAAjsVsnj8l3gifCIWePyXeCB5DSVEuXkNMLklRX0JFVEFfNVlSLjEwLzMxLzIwMjUBAAAAU4A1AwMAAAAAAI7FbJ4/Jd4InwiFnj8l3ggeQ0lRLkRWTi5JUV9CRVRBXzVZUi4xMC8zMS8yMDI1AQAAAA4RBAACAAAAETAuNjg0Mjg2NjE2MjgyMzQzAI7FbJ4/Jd4InwiFnj8l3ggdQ0lRLkJQLklRX0JFVEFfNVlSLjEwLzMxLzIwMjUBAAAA4gQGAAMAAAAAAI7FbJ4/Jd4InwiFnj8l3ggeQ0lRLkVPRy5JUV9CRVRBXzVZUi4xMC8zMS8yMDI1AQAAAFwdBAACAAAAETAuNTA0NjU4NjY2ODA5OTE3AI7FbJ4/Jd4Ily+Fnj8l3ggeQ0lRLkNWWC5JUV9CRVRBXzVZUi4xMC8zMS8yMDI1AQAAAMqAAQACAAAAETAuNjY4ODM3NjUwMTYzOTYxAI7FbJ4/Jd4Ily+Fnj8l3ggeQ0lRLlhPTS5JUV9CRVRBXzVZUi4xMC8zMS8yMDI1AQAAAEIzBgACAAAAETAuMzc4NzcxMTgwMjU3MDIxAI7FbJ4/Jd4Ily+Fnj8l3ggeQ0lRLkNPUC5JUV9CRVRBXzVZUi4xMC8zMS8yMDI1AQAAAE+GBAACAAAAETAuMzI3MDYwNjkyMTQyMzYyAI7FbJ4/Jd4Ily+Fnj8l3ggfQ0lRLl5TUFguSVFfQkVUQV81WVIuMTAvMzEvMjAyNQEAAACbuCgAAwAAAAAAjsVsnj8l3giXL4WePyXeCA==</t>
  </si>
  <si>
    <t>Items</t>
  </si>
  <si>
    <t>Mean return in 1Y</t>
  </si>
  <si>
    <t>STD Annulized</t>
  </si>
  <si>
    <t>Break Even</t>
  </si>
  <si>
    <t>Double</t>
  </si>
  <si>
    <t>Probrability</t>
  </si>
  <si>
    <t>Normal Left Cummulated probability</t>
  </si>
  <si>
    <t>doubling money</t>
  </si>
  <si>
    <t>loss</t>
  </si>
  <si>
    <t>Return lower than 50%</t>
  </si>
  <si>
    <t>BAABTAVMT0NBTAFI/////wFQsR8AABdDSVEuQ09QLklRX0NPTVBBTllfTkFNRQEAAABPhgQAAwAAAA5Db25vY29QaGlsbGlwcwCFYNmKRCXeCB8XlYtEJd4IF0NJUS5FT0cuSVFfQ09NUEFOWV9OQU1FAQAAAFwdBAADAAAAE0VPRyBSZXNvdXJjZXMsIEluYy4AhWDZikQl3ggfF5WLRCXeCBdDSVEuQ1ZYLklRX0NPTVBBTllfTkFNRQEAAADKgAEAAwAAABNDaGV2cm9uIENvcnBvcmF0aW9uAIVg2YpEJd4IHxeVi0Ql3ggXQ0lRLlhPTS5JUV9DT01QQU5ZX05BTUUBAAAAQjMGAAMAAAAXRXh4b24gTW9iaWwgQ29ycG9yYXRpb24AhWDZikQl3ggfF5WLRCXeCDFDSVEuQ09QLklRX1RPVEFMX1JFVkVOVUUuSVFfQ1EuOS8zMC8yMDI1LkwuLlVTRC5IAQAAAE+GBAACAAAABTE1Mzc2AQgAAAAFAAAAATEBAAAACy0xOTE4MDQ4MTQ1AwAAAAMxNjACAAAAAjI4BAAAAAEwBwAAAAk5LzMwLzIwMjUIAAAACTkvMzAvMjAyNQkAAAABMNr82YpEJd4IkLeTi0Ql3gguQ0lRLi5JUV9UT1RBTF9SRVZFTlVFLklRX0NRLjkvMzAvMjAxMC5MLi5VU0QuSAUAAAABAAAACAAAABQoSW52YWxpZCBJZGVudGlmaWVyKYVg2YpEJd4IhWDZikQl3ggxQ0lRLkNPUC5JUV9UT1RBTF9SRVZFTlVFLklRX0NRLjYvMzAvMjAyNS5MLi5VU0QuSAEAAABPhgQAAgAAAAUxNDMxOQEIAAAABQAAAAExAQAAAAstMTkzMjg1ODg1OQMAAAADMTYwAgAA</t>
  </si>
  <si>
    <t>AAIyOAQAAAABMAcAAAAJNi8zMC8yMDI1CAAAAAk2LzMwLzIwMjUJAAAAATDqI9qKRCXeCAB/kotEJd4IMUNJUS5DT1AuSVFfVE9UQUxfUkVWRU5VRS5JUV9DUS42LzMwLzIwMjEuTC4uVVNELkgBAAAAT4YEAAIAAAAEOTY5NQEIAAAABQAAAAExAQAAAAstMjA4NjQyMzMxNQMAAAADMTYwAgAAAAIyOAQAAAABMAcAAAAJNi8zMC8yMDIxCAAAAAk2LzMwLzIwMjEJAAAAATAJEceKRCXeCOJof4tEJd4IMUNJUS5DT1AuSVFfVE9UQUxfUkVWRU5VRS5JUV9DUS42LzMwLzIwMTcuTC4uVVNELkgBAAAAT4YEAAIAAAAENjk1OQEIAAAABQAAAAExAQAAAAoxODk4MDIyOTkwAwAAAAMxNjACAAAAAjI4BAAAAAEwBwAAAAk2LzMwLzIwMTcIAAAACTYvMzAvMjAxNwkAAAABMHp5iolEJd4Ikx1ri0Ql3ggxQ0lRLkNPUC5JUV9UT1RBTF9SRVZFTlVFLklRX0NRLjYvMzAvMjAxMy5MLi5VU0QuSAEAAABPhgQAAgAAAAUxNDA0NwEIAAAABQAAAAExAQAAAAoxNjg5NTk3OTk1AwAAAAMxNjACAAAAAjI4BAAAAAEwBwAAAAk2LzMwLzIwMTMIAAAACTYvMzAvMjAxMwkAAAABMG4riolEJd4IA1RRi0Ql3ggyQ0lRLkNPUC5JUV9UT1RBTF9SRVZFTlVFLklRX0NRLjEyLzMxLzIwMjQuTC4uVVNELkgBAAAAT4YEAAIAAAAFMTQ2NzYBCAAAAAUAAAABMQEAAAALLTE5NTkyMDIxNzMDAAAAAzE2MAIAAAACMjgEAAAAATAHAAAACjEyLzMx</t>
  </si>
  <si>
    <t>LzIwMjQIAAAACjEyLzMxLzIwMjQJAAAAATDqI9qKRCXeCOK/j4tEJd4IMUNJUS5DT1AuSVFfVE9UQUxfUkVWRU5VRS5JUV9DUS45LzMwLzIwMTYuTC4uVVNELkgBAAAAT4YEAAIAAAAENjM1NQEIAAAABQAAAAExAQAAAAoxODYzNDYwMTM4AwAAAAMxNjACAAAAAjI4BAAAAAEwBwAAAAk5LzMwLzIwMTYIAAAACTkvMzAvMjAxNgkAAAABMI2giolEJd4ImTtmi0Ql3ggxQ0lRLkNPUC5JUV9UT1RBTF9SRVZFTlVFLklRX0NRLjYvMzAvMjAyNC5MLi5VU0QuSAEAAABPhgQAAgAAAAUxNDAyMwEIAAAABQAAAAExAQAAAAstMTkzMjg1ODg4MwMAAAADMTYwAgAAAAIyOAQAAAABMAcAAAAJNi8zMC8yMDI0CAAAAAk2LzMwLzIwMjQJAAAAATDqI9qKRCXeCNgnjYtEJd4IMUNJUS5DT1AuSVFfVE9UQUxfUkVWRU5VRS5JUV9DUS42LzMwLzIwMTYuTC4uVVNELkgBAAAAT4YEAAIAAAAENTQyOAEIAAAABQAAAAExAQAAAAoxODUxMjY2NTE4AwAAAAMxNjACAAAAAjI4BAAAAAEwBwAAAAk2LzMwLzIwMTYIAAAACTYvMzAvMjAxNgkAAAABMKHHiolEJd4I+rRki0Ql3ggxQ0lRLkNPUC5JUV9UT1RBTF9SRVZFTlVFLklRX0NRLjMvMzEvMjAyMC5MLi5VU0QuSAEAAABPhgQAAgAAAAQ2MzkyAQgAAAAFAAAAATEBAAAACjIwOTYzNzc5NTYDAAAAAzE2MAIAAAACMjgEAAAAATAHAAAACTMvMzEvMjAyMAgAAAAJMy8zMS8yMDIwCQAA</t>
  </si>
  <si>
    <t>AAEwKV/HikQl3gh1dXmLRCXeCDJDSVEuQ09QLklRX1RPVEFMX1JFVkVOVUUuSVFfQ1EuMTIvMzEvMjAyMy5MLi5VU0QuSAEAAABPhgQAAgAAAAUxNTE1MAEIAAAABQAAAAExAQAAAAstMTk1OTIwMjE3NwMAAAADMTYwAgAAAAIyOAQAAAABMAcAAAAKMTIvMzEvMjAyMwgAAAAKMTIvMzEvMjAyMwkAAAABMOVK2opEJd4I+QSLi0Ql3ggyQ0lRLkNPUC5JUV9UT1RBTF9SRVZFTlVFLklRX0NRLjEyLzMxLzIwMTEuTC4uVVNELkgBAAAAT4YEAAIAAAAFMTQ5MjEBCAAAAAUAAAABMQEAAAAKMTU4ODQ1NDczMQMAAAADMTYwAgAAAAIyOAQAAAABMAcAAAAKMTIvMzEvMjAxMQgAAAAKMTIvMzEvMjAxMQkAAAABMNu9fIlEJd4I9UVKi0Ql3ggxQ0lRLkNPUC5JUV9UT1RBTF9SRVZFTlVFLklRX0NRLjkvMzAvMjAxOS5MLi5VU0QuSAEAAABPhgQAAgAAAAQ4MDQ2AQgAAAAFAAAAATEBAAAACjIwNjgxNDQ4NjcDAAAAAzE2MAIAAAACMjgEAAAAATAHAAAACTkvMzAvMjAxOQgAAAAJOS8zMC8yMDE5CQAAAAEwSIbHikQl3giDK3eLRCXeCDFDSVEuQ09QLklRX1RPVEFMX1JFVkVOVUUuSVFfQ1EuNi8zMC8yMDE5LkwuLlVTRC5IAQAAAE+GBAACAAAABDgxMjYBCAAAAAUAAAABMQEAAAAKMjA0ODA5NzI1OQMAAAADMTYwAgAAAAIyOAQAAAABMAcAAAAJNi8zMC8yMDE5CAAAAAk2LzMwLzIwMTkJAAAAATBIhseKRCXeCALzdYtE</t>
  </si>
  <si>
    <t>Jd4IMUNJUS5DT1AuSVFfVE9UQUxfUkVWRU5VRS5JUV9DUS4zLzMxLzIwMTEuTC4uVVNELkgBAAAAT4YEAAIAAAAFMTYxOTABCAAAAAUAAAABMQEAAAAKMTU1NzA1MDY5NQMAAAADMTYwAgAAAAIyOAQAAAABMAcAAAAJMy8zMS8yMDExCAAAAAkzLzMxLzIwMTEJAAAAATDn5HyJRCXeCEa3RotEJd4IMUNJUS5DT1AuSVFfVE9UQUxfUkVWRU5VRS5JUV9DUS45LzMwLzIwMTguTC4uVVNELkgBAAAAT4YEAAIAAAAEOTc0MwEIAAAABQAAAAExAQAAAAoxOTg5OTAxMjY4AwAAAAMxNjACAAAAAjI4BAAAAAEwBwAAAAk5LzMwLzIwMTgIAAAACTkvMzAvMjAxOAkAAAABMGtSiolEJd4IoJdyi0Ql3ggxQ0lRLkNPUC5JUV9UT1RBTF9SRVZFTlVFLklRX0NRLjYvMzAvMjAyMi5MLi5VU0QuSAEAAABPhgQAAgAAAAUyMTY4NQEIAAAABQAAAAExAQAAAAstMjAyMTQ3NDg2MAMAAAADMTYwAgAAAAIyOAQAAAABMAcAAAAJNi8zMC8yMDIyCAAAAAk2LzMwLzIwMjIJAAAAATD+6caKRCXeCMT8g4tEJd4IMUNJUS5DT1AuSVFfVE9UQUxfUkVWRU5VRS5JUV9DUS4zLzMxLzIwMjUuTC4uVVNELkgBAAAAT4YEAAIAAAAFMTY5MDkBCAAAAAUAAAABMQEAAAALLTE5NDQ5NDY3NjYDAAAAAzE2MAIAAAACMjgEAAAAATAHAAAACTMvMzEvMjAyNQgAAAAJMy8zMS8yMDI1CQAAAAEw6iPaikQl3gho+JCLRCXeCDFDSVEuQ09QLklRX1RPVEFM</t>
  </si>
  <si>
    <t>X1JFVkVOVUUuSVFfQ1EuMy8zMS8yMDIxLkwuLlVTRC5IAQAAAE+GBAACAAAABDk5NDgBCAAAAAUAAAABMQEAAAALLTIwOTg0NzAzMzIDAAAAAzE2MAIAAAACMjgEAAAAATAHAAAACTMvMzEvMjAyMQgAAAAJMy8zMS8yMDIxCQAAAAEwMTjHikQl3ghtV36LRCXeCDFDSVEuQ09QLklRX1RPVEFMX1JFVkVOVUUuSVFfQ1EuMy8zMS8yMDE3LkwuLlVTRC5IAQAAAE+GBAACAAAABDc3MTgBCAAAAAUAAAABMQEAAAAKMTg4NjcxNzk3NwMAAAADMTYwAgAAAAIyOAQAAAABMAcAAAAJMy8zMS8yMDE3CAAAAAkzLzMxLzIwMTcJAAAAATCNoIqJRCXeCOpvaYtEJd4IMUNJUS5DT1AuSVFfVE9UQUxfUkVWRU5VRS5JUV9DUS4zLzMxLzIwMTMuTC4uVVNELkgBAAAAT4YEAAIAAAAFMTQ1OTMBCAAAAAUAAAABMQEAAAAKMTY3NTc0MDc4OQMAAAADMTYwAgAAAAIyOAQAAAABMAcAAAAJMy8zMS8yMDEzCAAAAAkzLzMxLzIwMTMJAAAAATCYYJiJRCXeCIMbUItEJd4IMkNJUS5DT1AuSVFfVE9UQUxfUkVWRU5VRS5JUV9DUS4xMi8zMS8yMDIwLkwuLlVTRC5IAQAAAE+GBAACAAAABDU1NzcBCAAAAAUAAAABMQEAAAALLTIxMTE2NDMzMjIDAAAAAzE2MAIAAAACMjgEAAAAATAHAAAACjEyLzMxLzIwMjAIAAAACjEyLzMxLzIwMjAJAAAAATAxOMeKRCXeCOwefYtEJd4IMkNJUS5DT1AuSVFfVE9UQUxfUkVWRU5VRS5JUV9DUS4xMi8z</t>
  </si>
  <si>
    <t>MS8yMDE2LkwuLlVTRC5IAQAAAE+GBAACAAAABDY5OTABCAAAAAUAAAABMQEAAAAKMTg3NTI4MDI5NwMAAAADMTYwAgAAAAIyOAQAAAABMAcAAAAKMTIvMzEvMjAxNggAAAAKMTIvMzEvMjAxNgkAAAABMI2giolEJd4IRulni0Ql3ggyQ0lRLkNPUC5JUV9UT1RBTF9SRVZFTlVFLklRX0NRLjEyLzMxLzIwMTIuTC4uVVNELkgBAAAAT4YEAAIAAAAFMTU4ODEBCAAAAAUAAAABMQEAAAAKMTY2MDI0Nzg4OQMAAAADMTYwAgAAAAIyOAQAAAABMAcAAAAKMTIvMzEvMjAxMggAAAAKMTIvMzEvMjAxMgkAAAABMKuHmIlEJd4I+uJOi0Ql3ggxQ0lRLkNPUC5JUV9UT1RBTF9SRVZFTlVFLklRX0NRLjkvMzAvMjAyMC5MLi5VU0QuSAEAAABPhgQAAgAAAAQ0NDIxAQgAAAAFAAAAATEBAAAACy0yMTIzNTc4Mzg1AwAAAAMxNjACAAAAAjI4BAAAAAEwBwAAAAk5LzMwLzIwMjAIAAAACTkvMzAvMjAyMAkAAAABMDE4x4pEJd4IgQ18i0Ql3ggxQ0lRLkNPUC5JUV9UT1RBTF9SRVZFTlVFLklRX0NRLjkvMzAvMjAxMi5MLi5VU0QuSAEAAABPhgQAAgAAAAUxNDU5NQEIAAAABQAAAAExAQAAAAoxNjQzNDcyODk2AwAAAAMxNjACAAAAAjI4BAAAAAEwBwAAAAk5LzMwLzIwMTIIAAAACTkvMzAvMjAxMgkAAAABMKuHmIlEJd4Ij6pNi0Ql3ggxQ0lRLkNPUC5JUV9UT1RBTF9SRVZFTlVFLklRX0NRLjYvMzAvMjAyMC5MLi5VU0QuSAEA</t>
  </si>
  <si>
    <t>AABPhgQAAgAAAAQyODI2AQgAAAAFAAAAATEBAAAACy0yMTM5NzQ0MjE1AwAAAAMxNjACAAAAAjI4BAAAAAEwBwAAAAk2LzMwLzIwMjAIAAAACTYvMzAvMjAyMAkAAAABMClfx4pEJd4I8616i0Ql3ggxQ0lRLkNPUC5JUV9UT1RBTF9SRVZFTlVFLklRX0NRLjYvMzAvMjAxMi5MLi5VU0QuSAEAAABPhgQAAgAAAAUxNDI1OQEIAAAABQAAAAExAQAAAAoxNjI5MTk1MjQyAwAAAAMxNjACAAAAAjI4BAAAAAEwBwAAAAk2LzMwLzIwMTIIAAAACTYvMzAvMjAxMgkAAAABMKuHmIlEJd4I7phMi0Ql3ggxQ0lRLkNPUC5JUV9UT1RBTF9SRVZFTlVFLklRX0NRLjMvMzEvMjAyNC5MLi5VU0QuSAEAAABPhgQAAgAAAAUxNDI2OQEIAAAABQAAAAExAQAAAAstMTk0NDk0NjgwNAMAAAADMTYwAgAAAAIyOAQAAAABMAcAAAAJMy8zMS8yMDI0CAAAAAkzLzMxLzIwMjQJAAAAATDlStqKRCXeCGEWjItEJd4IMkNJUS5DT1AuSVFfVE9UQUxfUkVWRU5VRS5JUV9DUS4xMi8zMS8yMDE5LkwuLlVTRC5IAQAAAE+GBAACAAAABDc4MzYBCAAAAAUAAAABMQEAAAAKMjA4MDU3NDQ5MAMAAAADMTYwAgAAAAIyOAQAAAABMAcAAAAKMTIvMzEvMjAxOQgAAAAKMTIvMzEvMjAxOQkAAAABMClfx4pEJd4I5zx4i0Ql3ggyQ0lRLkNPUC5JUV9UT1RBTF9SRVZFTlVFLklRX0NRLjEyLzMxLzIwMTUuTC4uVVNELkgBAAAAT4YEAAIAAAAENjI2MgEI</t>
  </si>
  <si>
    <t>AAAABQAAAAExAQAAAAoxODI4Njg4MDYxAwAAAAMxNjACAAAAAjI4BAAAAAEwBwAAAAoxMi8zMS8yMDE1CAAAAAoxMi8zMS8yMDE1CQAAAAEwoceKiUQl3gidWWGLRCXeCDFDSVEuQ09QLklRX1RPVEFMX1JFVkVOVUUuSVFfQ1EuOS8zMC8yMDIzLkwuLlVTRC5IAQAAAE+GBAACAAAABTE0NjM4AQgAAAAFAAAAATEBAAAACy0xOTcxMDQ5NjQzAwAAAAMxNjACAAAAAjI4BAAAAAEwBwAAAAk5LzMwLzIwMjMIAAAACTkvMzAvMjAyMwkAAAABMOVK2opEJd4IJ8mJi0Ql3ggxQ0lRLkNPUC5JUV9UT1RBTF9SRVZFTlVFLklRX0NRLjYvMzAvMjAyMy5MLi5VU0QuSAEAAABPhgQAAgAAAAUxMjc2MwEIAAAABQAAAAExAQAAAAstMTk4NTQzNTU3MwMAAAADMTYwAgAAAAIyOAQAAAABMAcAAAAJNi8zMC8yMDIzCAAAAAk2LzMwLzIwMjMJAAAAATDlStqKRCXeCLi3iItEJd4IMUNJUS5DT1AuSVFfVE9UQUxfUkVWRU5VRS5JUV9DUS4zLzMxLzIwMTkuTC4uVVNELkgBAAAAT4YEAAIAAAAEOTMzOAEIAAAABQAAAAExAQAAAAoyMDMzNDY2MTcxAwAAAAMxNjACAAAAAjI4BAAAAAEwBwAAAAkzLzMxLzIwMTkIAAAACTMvMzEvMjAxOQkAAAABMOfkfIlEJd4Ie7p0i0Ql3ggyQ0lRLkNPUC5JUV9UT1RBTF9SRVZFTlVFLklRX0NRLjEyLzMxLzIwMjIuTC4uVVNELkgBAAAAT4YEAAIAAAAFMTkxMjgBCAAAAAUAAAABMQEAAAALLTIw</t>
  </si>
  <si>
    <t>MTAxMjUwMTIDAAAAAzE2MAIAAAACMjgEAAAAATAHAAAACjEyLzMxLzIwMjIIAAAACjEyLzMxLzIwMjIJAAAAATDzcdqKRCXeCL9thotEJd4IMUNJUS5DT1AuSVFfVE9UQUxfUkVWRU5VRS5JUV9DUS45LzMwLzIwMTAuTC4uVVNELkgBAAAAT4YEAAIAAAAFNDQ2MDcBCAAAAAUAAAABMQEAAAAKMTQ3OTc0ODY3NwMAAAADMTYwAgAAAAIyOAQAAAABMAcAAAAJOS8zMC8yMDEwCAAAAAk5LzMwLzIwMTAJAAAAATAGM32JRCXeCFZtRItEJd4IMUNJUS5DT1AuSVFfVE9UQUxfUkVWRU5VRS5JUV9DUS42LzMwLzIwMTEuTC4uVVNELkgBAAAAT4YEAAIAAAAFMTc2MzMBCAAAAAUAAAABMQEAAAAKMTU1NzAyNjI5MgMAAAADMTYwAgAAAAIyOAQAAAABMAcAAAAJNi8zMC8yMDExCAAAAAk2LzMwLzIwMTEJAAAAATDn5HyJRCXeCMfvR4tEJd4IMUNJUS5DT1AuSVFfVE9UQUxfUkVWRU5VRS5JUV9DUS4zLzMxLzIwMTYuTC4uVVNELkgBAAAAT4YEAAIAAAAENDk3MgEIAAAABQAAAAExAQAAAAoxODQwNDI1MDc5AwAAAAMxNjACAAAAAjI4BAAAAAEwBwAAAAkzLzMxLzIwMTYIAAAACTMvMzEvMjAxNgkAAAABMKHHiolEJd4IRQdji0Ql3ggxQ0lRLkNPUC5JUV9UT1RBTF9SRVZFTlVFLklRX0NRLjMvMzEvMjAyMy5MLi5VU0QuSAEAAABPhgQAAgAAAAUxNTMxMAEIAAAABQAAAAExAQAAAAstMTk4NTQzMjg1NAMAAAADMTYwAgAA</t>
  </si>
  <si>
    <t>AAIyOAQAAAABMAcAAAAJMy8zMS8yMDIzCAAAAAkzLzMxLzIwMjMJAAAAATDlStqKRCXeCCt/h4tEJd4IMUNJUS5DT1AuSVFfVE9UQUxfUkVWRU5VRS5JUV9DUS45LzMwLzIwMTQuTC4uVVNELkgBAAAAT4YEAAIAAAAFMTI5MTMBCAAAAAUAAAABMQEAAAAKMTc2MjYwMjM2NAMAAAADMTYwAgAAAAIyOAQAAAABMAcAAAAJOS8zMC8yMDE0CAAAAAk5LzMwLzIwMTQJAAAAATBQBIqJRCXeCD0cWYtEJd4IMUNJUS5DT1AuSVFfVE9UQUxfUkVWRU5VRS5JUV9DUS42LzMwLzIwMTQuTC4uVVNELkgBAAAAT4YEAAIAAAAFMTQ2OTQBCAAAAAUAAAABMQEAAAAKMTc0ODY3ODM2NwMAAAADMTYwAgAAAAIyOAQAAAABMAcAAAAJNi8zMC8yMDE0CAAAAAk2LzMwLzIwMTQJAAAAATBQBIqJRCXeCIyVV4tEJd4IMUNJUS5DT1AuSVFfVE9UQUxfUkVWRU5VRS5JUV9DUS4zLzMxLzIwMTQuTC4uVVNELkgBAAAAT4YEAAIAAAAFMTYwMzkBCAAAAAUAAAABMQEAAAAKMTczMjU3OTQyOQMAAAADMTYwAgAAAAIyOAQAAAABMAcAAAAJMy8zMS8yMDE0CAAAAAkzLzMxLzIwMTQJAAAAATBQBIqJRCXeCMmZVYtEJd4IMUNJUS5DT1AuSVFfVE9UQUxfUkVWRU5VRS5JUV9DUS4zLzMxLzIwMTAuTC4uVVNELkgBAAAAT4YEAAIAAAAFNDI1MTgBCAAAAAUAAAABMQEAAAAKMTQ1MTA3MjU1NAMAAAADMTYwAgAAAAIyOAQAAAABMAcAAAAJMy8zMS8y</t>
  </si>
  <si>
    <t>MDEwCAAAAAkzLzMxLzIwMTAJAAAAATAGM32JRCXeCG9KQotEJd4IMkNJUS5DT1AuSVFfVE9UQUxfUkVWRU5VRS5JUV9DUS4xMi8zMS8yMDIxLkwuLlVTRC5IAQAAAE+GBAACAAAABTE1NDUyAQgAAAAFAAAAATEBAAAACy0yMDYwNjExOTI4AwAAAAMxNjACAAAAAjI4BAAAAAEwBwAAAAoxMi8zMS8yMDIxCAAAAAoxMi8zMS8yMDIxCQAAAAEwCRHHikQl3gjNsoGLRCXeCDFDSVEuQ09QLklRX1RPVEFMX1JFVkVOVUUuSVFfQ1EuOS8zMC8yMDI0LkwuLlVTRC5IAQAAAE+GBAACAAAABTEzNDgyAQgAAAAFAAAAATEBAAAACy0xOTE4MDQ4MTIyAwAAAAMxNjACAAAAAjI4BAAAAAEwBwAAAAk5LzMwLzIwMjQIAAAACTkvMzAvMjAyNAkAAAABMOoj2opEJd4IQTmOi0Ql3ggyQ0lRLkNPUC5JUV9UT1RBTF9SRVZFTlVFLklRX0NRLjEyLzMxLzIwMTAuTC4uVVNELkgBAAAAT4YEAAIAAAAFNDg1NzcBCAAAAAUAAAABMQEAAAAKMTUxNzYxNzA5NAMAAAADMTYwAgAAAAIyOAQAAAABMAcAAAAKMTIvMzEvMjAxMAgAAAAKMTIvMzEvMjAxMAkAAAABMPULfYlEJd4I2KVFi0Ql3ggxQ0lRLkNPUC5JUV9UT1RBTF9SRVZFTlVFLklRX0NRLjYvMzAvMjAxMC5MLi5VU0QuSAEAAABPhgQAAgAAAAU0MzQ2MQEIAAAABQAAAAExAQAAAAoxNDY0NTU3MjY1AwAAAAMxNjACAAAAAjI4BAAAAAEwBwAAAAk2LzMwLzIwMTAIAAAACTYvMzAv</t>
  </si>
  <si>
    <t>MjAxMAkAAAABMAYzfYlEJd4I5FtDi0Ql3ggyQ0lRLkNPUC5JUV9UT1RBTF9SRVZFTlVFLklRX0NRLjEyLzMxLzIwMTMuTC4uVVNELkgBAAAAT4YEAAIAAAAFMTM3MDIBCAAAAAUAAAABMQEAAAAKMTcyMDU4NDI3MQMAAAADMTYwAgAAAAIyOAQAAAABMAcAAAAKMTIvMzEvMjAxMwgAAAAKMTIvMzEvMjAxMwkAAAABMG4riolEJd4IPxNUi0Ql3ggxQ0lRLkNPUC5JUV9UT1RBTF9SRVZFTlVFLklRX0NRLjkvMzAvMjAxMy5MLi5VU0QuSAEAAABPhgQAAgAAAAUxNDQwMQEIAAAABQAAAAExAQAAAAoxNzA0Nzg2MjQ0AwAAAAMxNjACAAAAAjI4BAAAAAEwBwAAAAk5LzMwLzIwMTMIAAAACTkvMzAvMjAxMwkAAAABMG4riolEJd4IdmVSi0Ql3ggxQ0lRLkNPUC5JUV9UT1RBTF9SRVZFTlVFLklRX0NRLjkvMzAvMjAyMi5MLi5VU0QuSAEAAABPhgQAAgAAAAUyMTU3NAEIAAAABQAAAAExAQAAAAstMjAyMTQ4Nzk1MAMAAAADMTYwAgAAAAIyOAQAAAABMAcAAAAJOS8zMC8yMDIyCAAAAAk5LzMwLzIwMjIJAAAAATD+6caKRCXeCEE1hYtEJd4IMUNJUS5DT1AuSVFfVE9UQUxfUkVWRU5VRS5JUV9DUS4zLzMxLzIwMTIuTC4uVVNELkgBAAAAT4YEAAIAAAAFMTUxNDMBCAAAAAUAAAABMQEAAAAKMTYxNDk3ODQ1MQMAAAADMTYwAgAAAAIyOAQAAAABMAcAAAAJMy8zMS8yMDEyCAAAAAkzLzMxLzIwMTIJAAAAATDbvXyJRCXe</t>
  </si>
  <si>
    <t>CAJvS4tEJd4IMUNJUS5DT1AuSVFfVE9UQUxfUkVWRU5VRS5JUV9DUS45LzMwLzIwMTEuTC4uVVNELkgBAAAAT4YEAAIAAAAFMTY5NTUBCAAAAAUAAAABMQEAAAAKMTU3Mzc0NjExMgMAAAADMTYwAgAAAAIyOAQAAAABMAcAAAAJOS8zMC8yMDExCAAAAAk5LzMwLzIwMTEJAAAAATDn5HyJRCXeCKEcSYtEJd4IMUNJUS5DT1AuSVFfVE9UQUxfUkVWRU5VRS5JUV9DUS42LzMwLzIwMTUuTC4uVVNELkgBAAAAT4YEAAIAAAAEODU1MQEIAAAABQAAAAExAQAAAAoxODAxNDQ3ODMyAwAAAAMxNjACAAAAAjI4BAAAAAEwBwAAAAk2LzMwLzIwMTUIAAAACTYvMzAvMjAxNQkAAAABMMiWfIlEJd4IO/5di0Ql3ggxQ0lRLkNPUC5JUV9UT1RBTF9SRVZFTlVFLklRX0NRLjMvMzEvMjAxNS5MLi5VU0QuSAEAAABPhgQAAgAAAAQ3OTIxAQgAAAAFAAAAATEBAAAACjE3ODkzNDQ1MTQDAAAAAzE2MAIAAAACMjgEAAAAATAHAAAACTMvMzEvMjAxNQgAAAAJMy8zMS8yMDE1CQAAAAEw2718iUQl3gidd1yLRCXeCDJDSVEuQ09QLklRX1RPVEFMX1JFVkVOVUUuSVFfQ1EuMTIvMzEvMjAxNC5MLi5VU0QuSAEAAABPhgQAAgAAAAUxMTY4OQEIAAAABQAAAAExAQAAAAoxNzc3NDQyNjc0AwAAAAMxNjACAAAAAjI4BAAAAAEwBwAAAAoxMi8zMS8yMDE0CAAAAAoxMi8zMS8yMDE0CQAAAAEw2718iUQl3gjiyVqLRCXeCDFDSVEuQ09QLklR</t>
  </si>
  <si>
    <t>X1RPVEFMX1JFVkVOVUUuSVFfQ1EuMy8zMS8yMDIyLkwuLlVTRC5IAQAAAE+GBAACAAAABTE4MTg4AQgAAAAFAAAAATEBAAAACy0yMDQ3MjUxNzQ4AwAAAAMxNjACAAAAAjI4BAAAAAEwBwAAAAkzLzMxLzIwMjIIAAAACTMvMzEvMjAyMgkAAAABMAkRx4pEJd4ITOuCi0Ql3ggyQ0lRLkNPUC5JUV9UT1RBTF9SRVZFTlVFLklRX0NRLjEyLzMxLzIwMTcuTC4uVVNELkgBAAAAT4YEAAIAAAAEODMxNwEIAAAABQAAAAExAQAAAAoxOTQ2MDA1NzQ4AwAAAAMxNjACAAAAAjI4BAAAAAEwBwAAAAoxMi8zMS8yMDE3CAAAAAoxMi8zMS8yMDE3CQAAAAEwenmKiUQl3gjoUW6LRCXeCDFDSVEuQ09QLklRX1RPVEFMX1JFVkVOVUUuSVFfQ1EuOS8zMC8yMDIxLkwuLlVTRC5IAQAAAE+GBAACAAAABTExNTY1AQgAAAAFAAAAATEBAAAACy0yMDcxOTMzNjM1AwAAAAMxNjACAAAAAjI4BAAAAAEwBwAAAAk5LzMwLzIwMjEIAAAACTkvMzAvMjAyMQkAAAABMAkRx4pEJd4IY6GAi0Ql3ggxQ0lRLkNPUC5JUV9UT1RBTF9SRVZFTlVFLklRX0NRLjkvMzAvMjAxNS5MLi5VU0QuSAEAAABPhgQAAgAAAAQ3NDg1AQgAAAAFAAAAATEBAAAACjE4MTU3NzI2ODgDAAAAAzE2MAIAAAACMjgEAAAAATAHAAAACTkvMzAvMjAxNQgAAAAJOS8zMC8yMDE1CQAAAAEwyJZ8iUQl3gj+0l+LRCXeCDJDSVEuQ09QLklRX1RPVEFMX1JFVkVOVUUuSVFf</t>
  </si>
  <si>
    <t>Q1EuMTIvMzEvMjAxOC5MLi5VU0QuSAEAAABPhgQAAgAAAAQ5OTczAQgAAAAFAAAAATEBAAAACjIwMTU2MzU4NjADAAAAAzE2MAIAAAACMjgEAAAAATAHAAAACjEyLzMxLzIwMTgIAAAACjEyLzMxLzIwMTgJAAAAATD1C32JRCXeCBGpc4tEJd4IMUNJUS5DT1AuSVFfVE9UQUxfUkVWRU5VRS5JUV9DUS42LzMwLzIwMTguTC4uVVNELkgBAAAAT4YEAAIAAAAEODc2OQEIAAAABQAAAAExAQAAAAoxOTc1MTE1ODg0AwAAAAMxNjACAAAAAjI4BAAAAAEwBwAAAAk2LzMwLzIwMTgIAAAACTYvMzAvMjAxOAkAAAABMGtSiolEJd4IJV9xi0Ql3ggyQ0lRLkNPUC5JUV9UT1RBTF9SRVZFTlVFLklRX0NRLjEyLzMxLzIwMDkuTC4uVVNELkgBAAAAT4YEAAIAAAAFNDAxMjQBCAAAAAUAAAABMQEAAAAKMTQzOTI5Mjc1NwMAAAADMTYwAgAAAAIyOAQAAAABMAcAAAAKMTIvMzEvMjAwOQgAAAAKMTIvMzEvMjAwOQkAAAABMAYzfYlEJd4IFWBBi0Ql3ggxQ0lRLkNPUC5JUV9UT1RBTF9SRVZFTlVFLklRX0NRLjkvMzAvMjAxNy5MLi5VU0QuSAEAAABPhgQAAgAAAAQ2ODg0AQgAAAAFAAAAATEBAAAACjE5MTczMTk0MTUDAAAAAzE2MAIAAAACMjgEAAAAATAHAAAACTkvMzAvMjAxNwgAAAAJOS8zMC8yMDE3CQAAAAEwenmKiUQl3ggupGyLRCXeCDFDSVEuQ09QLklRX1RPVEFMX1JFVkVOVUUuSVFfQ1EuMy8zMS8yMDE4LkwuLlVT</t>
  </si>
  <si>
    <t>RC5IAQAAAE+GBAACAAAABDkwMDYBCAAAAAUAAAABMQEAAAAKMTk1OTQ3NzI0MAMAAAADMTYwAgAAAAIyOAQAAAABMAcAAAAJMy8zMS8yMDE4CAAAAAkzLzMxLzIwMTgJAAAAATBrUoqJRCXeCLD/b4tEJd4IMUNJUS5FT0cuSVFfVE9UQUxfUkVWRU5VRS5JUV9DUS42LzMwLzIwMTEuTC4uVVNELkgBAAAAXB0EAAIAAAAIMjIxNi44NTgBCAAAAAUAAAABMQEAAAAKMTU1NzI2NDk2OQMAAAADMTYwAgAAAAIyOAQAAAABMAcAAAAJNi8zMC8yMDExCAAAAAk2LzMwLzIwMTEJAAAAATDn5HyJRCXeCBO+R4tEJd4IMUNJUS5DVlguSVFfVE9UQUxfUkVWRU5VRS5JUV9DUS4zLzMxLzIwMTIuTC4uVVNELkgBAAAAyoABAAIAAAAFNTcxMDkBCAAAAAUAAAABMQEAAAAKMTYxNTMwMjM5MAMAAAADMTYwAgAAAAIyOAQAAAABMAcAAAAJMy8zMS8yMDEyCAAAAAkzLzMxLzIwMTIJAAAAATDa/NmKRCXeCJC3k4tEJd4IMkNJUS5YT00uSVFfVE9UQUxfUkVWRU5VRS5JUV9DUS4xMi8zMS8yMDEyLkwuLlVTRC5IAQAAAEIzBgACAAAABjEwMTQwOQEIAAAABQAAAAExAQAAAAoxNjYwNDczOTE3AwAAAAMxNjACAAAAAjI4BAAAAAEwBwAAAAoxMi8zMS8yMDEyCAAAAAoxMi8zMS8yMDEyCQAAAAEwq4eYiUQl3gjru06LRCXeCDFDSVEuRU9HLklRX1RPVEFMX1JFVkVOVUUuSVFfQ1EuNi8zMC8yMDE1LkwuLlVTRC5IAQAAAFwdBAACAAAA</t>
  </si>
  <si>
    <t>CDI1MjMuNzU4AQgAAAAFAAAAATEBAAAACjE4MDE3ODI0ODUDAAAAAzE2MAIAAAACMjgEAAAAATAHAAAACTYvMzAvMjAxNQgAAAAJNi8zMC8yMDE1CQAAAAEwyJZ8iUQl3ggesF2LRCXeCDFDSVEuQ1ZYLklRX1RPVEFMX1JFVkVOVUUuSVFfQ1EuMy8zMS8yMDE2LkwuLlVTRC5IAQAAAMqAAQACAAAABTIxNDE4AQgAAAAFAAAAATEBAAAACjE4NDAzOTA1MTQDAAAAAzE2MAIAAAACMjgEAAAAATAHAAAACTMvMzEvMjAxNggAAAAJMy8zMS8yMDE2CQAAAAEw2vzZikQl3gi2LJSLRCXeCDJDSVEuWE9NLklRX1RPVEFMX1JFVkVOVUUuSVFfQ1EuMTIvMzEvMjAxNi5MLi5VU0QuSAEAAABCMwYAAgAAAAU1NTcxMwEIAAAABQAAAAExAQAAAAoxODc3MjMzNjE2AwAAAAMxNjACAAAAAjI4BAAAAAEwBwAAAAoxMi8zMS8yMDE2CAAAAAoxMi8zMS8yMDE2CQAAAAEwjaCKiUQl3ggnm2eLRCXeCDFDSVEuRU9HLklRX1RPVEFMX1JFVkVOVUUuSVFfQ1EuNi8zMC8yMDE5LkwuLlVTRC5IAQAAAFwdBAACAAAACDQ1MTIuMzIxAQgAAAAFAAAAATEBAAAACjIwNDg2Mjc0ODcDAAAAAzE2MAIAAAACMjgEAAAAATAHAAAACTYvMzAvMjAxOQgAAAAJNi8zMC8yMDE5CQAAAAEwSIbHikQl3gjpy3WLRCXeCDFDSVEuQ1ZYLklRX1RPVEFMX1JFVkVOVUUuSVFfQ1EuMy8zMS8yMDIwLkwuLlVTRC5IAQAAAMqAAQACAAAABTI5NzA1AQgAAAAF</t>
  </si>
  <si>
    <t>AAAAATEBAAAACjIwOTYwODU5MjIDAAAAAzE2MAIAAAACMjgEAAAAATAHAAAACTMvMzEvMjAyMAgAAAAJMy8zMS8yMDIwCQAAAAEw2vzZikQl3gjCU5SLRCXeCDJDSVEuWE9NLklRX1RPVEFMX1JFVkVOVUUuSVFfQ1EuMTIvMzEvMjAyMC5MLi5VU0QuSAEAAABCMwYAAgAAAAU0NjIwMwEIAAAABQAAAAExAQAAAAstMjExMTA3MzgxNgMAAAADMTYwAgAAAAIyOAQAAAABMAcAAAAKMTIvMzEvMjAyMAgAAAAKMTIvMzEvMjAyMAkAAAABMDE4x4pEJd4I4Pd8i0Ql3ggxQ0lRLkVPRy5JUV9UT1RBTF9SRVZFTlVFLklRX0NRLjYvMzAvMjAyMy5MLi5VU0QuSAEAAABcHQQAAgAAAAQ1NDgxAQgAAAAFAAAAATEBAAAACy0xOTg1NTAzMTEwAwAAAAMxNjACAAAAAjI4BAAAAAEwBwAAAAk2LzMwLzIwMjMIAAAACTYvMzAvMjAyMwkAAAABMOVK2opEJd4Io5CIi0Ql3ggxQ0lRLkNWWC5JUV9UT1RBTF9SRVZFTlVFLklRX0NRLjMvMzEvMjAyNC5MLi5VU0QuSAEAAADKgAEAAgAAAAU0NzIxNQEIAAAABQAAAAExAQAAAAstMTkzMjU5MDQ1OQMAAAADMTYwAgAAAAIyOAQAAAABMAcAAAAJMy8zMS8yMDI0CAAAAAkzLzMxLzIwMjQJAAAAATDa/NmKRCXeCPfIlItEJd4IMkNJUS5YT00uSVFfVE9UQUxfUkVWRU5VRS5JUV9DUS4xMi8zMS8yMDI0LkwuLlVTRC5IAQAAAEIzBgACAAAABTgyMzc5AQgAAAAFAAAAATEBAAAACy0xOTU4</t>
  </si>
  <si>
    <t>OTUzNjMxAwAAAAMxNjACAAAAAjI4BAAAAAEwBwAAAAoxMi8zMS8yMDI0CAAAAAoxMi8zMS8yMDI0CQAAAAEw6iPaikQl3gjiv4+LRCXeCDFDSVEuRU9HLklRX1RPVEFMX1JFVkVOVUUuSVFfQ1EuOS8zMC8yMDEwLkwuLlVTRC5IAQAAAFwdBAACAAAACDE0NTYuMjY4AQgAAAAFAAAAATEBAAAACjE0Nzk3NDgwMjkDAAAAAzE2MAIAAAACMjgEAAAAATAHAAAACTkvMzAvMjAxMAgAAAAJOS8zMC8yMDEwCQAAAAEwBjN9iUQl3ghHRkSLRCXeCDFDSVEuQ1ZYLklRX1RPVEFMX1JFVkVOVUUuSVFfQ1EuNi8zMC8yMDExLkwuLlVTRC5IAQAAAMqAAQACAAAABTY0NDA3AQgAAAAFAAAAATEBAAAACjE1NTczOTY3NTMDAAAAAzE2MAIAAAACMjgEAAAAATAHAAAACTYvMzAvMjAxMQgAAAAJNi8zMC8yMDExCQAAAAEw2vzZikQl3giZ3pOLRCXeCDFDSVEuWE9NLklRX1RPVEFMX1JFVkVOVUUuSVFfQ1EuMy8zMS8yMDEyLkwuLlVTRC5IAQAAAEIzBgACAAAABjExMDY5NgEIAAAABQAAAAExAQAAAAoxNjE1MDQ3ODQzAwAAAAMxNjACAAAAAjI4BAAAAAEwBwAAAAkzLzMxLzIwMTIIAAAACTMvMzEvMjAxMgkAAAABMNu9fIlEJd4IrzNLi0Ql3ggxQ0lRLkVPRy5JUV9UT1RBTF9SRVZFTlVFLklRX0NRLjkvMzAvMjAxNC5MLi5VU0QuSAEAAABcHQQAAgAAAAg0NTg5LjE0NQEIAAAABQAAAAExAQAAAAoxNzYzMjYzNzM1AwAAAAMx</t>
  </si>
  <si>
    <t>NjACAAAAAjI4BAAAAAEwBwAAAAk5LzMwLzIwMTQIAAAACTkvMzAvMjAxNAkAAAABMFAEiolEJd4IGs5Yi0Ql3ggxQ0lRLkNWWC5JUV9UT1RBTF9SRVZFTlVFLklRX0NRLjYvMzAvMjAxNS5MLi5VU0QuSAEAAADKgAEAAgAAAAUzNDg2NAEIAAAABQAAAAExAQAAAAoxODAxODk1MTkyAwAAAAMxNjACAAAAAjI4BAAAAAEwBwAAAAk2LzMwLzIwMTUIAAAACTYvMzAvMjAxNQkAAAABMNr82YpEJd4IpgWUi0Ql3ggxQ0lRLlhPTS5JUV9UT1RBTF9SRVZFTlVFLklRX0NRLjMvMzEvMjAxNi5MLi5VU0QuSAEAAABCMwYAAgAAAAU0MjI5MAEIAAAABQAAAAExAQAAAAoxODg2NDc2ODAyAwAAAAMxNjACAAAAAjI4BAAAAAEwBwAAAAkzLzMxLzIwMTYIAAAACTMvMzEvMjAxNgkAAAABMKHHiolEJd4II7lii0Ql3ggxQ0lRLkVPRy5JUV9UT1RBTF9SRVZFTlVFLklRX0NRLjkvMzAvMjAxOC5MLi5VU0QuSAEAAABcHQQAAgAAAAg0NzE3Ljc2MQEIAAAABQAAAAExAQAAAAoxOTkwNzMzNzA3AwAAAAMxNjACAAAAAjI4BAAAAAEwBwAAAAk5LzMwLzIwMTgIAAAACTkvMzAvMjAxOAkAAAABMGtSiolEJd4IgUlyi0Ql3ggxQ0lRLkNWWC5JUV9UT1RBTF9SRVZFTlVFLklRX0NRLjYvMzAvMjAxOS5MLi5VU0QuSAEAAADKgAEAAgAAAAUzNjMyMwEIAAAABQAAAAExAQAAAAoyMDQ4Mjk5OTAyAwAAAAMxNjACAAAAAjI4BAAAAAEwBwAA</t>
  </si>
  <si>
    <t>AAk2LzMwLzIwMTkIAAAACTYvMzAvMjAxOQkAAAABMNr82YpEJd4I13qUi0Ql3ggxQ0lRLlhPTS5JUV9UT1RBTF9SRVZFTlVFLklRX0NRLjMvMzEvMjAyMC5MLi5VU0QuSAEAAABCMwYAAgAAAAU1NTM4MwEIAAAABQAAAAExAQAAAAoyMDk1Njk3NDk1AwAAAAMxNjACAAAAAjI4BAAAAAEwBwAAAAkzLzMxLzIwMjAIAAAACTMvMzEvMjAyMAkAAAABMClfx4pEJd4IUid5i0Ql3ggxQ0lRLkVPRy5JUV9UT1RBTF9SRVZFTlVFLklRX0NRLjkvMzAvMjAyMi5MLi5VU0QuSAEAAABcHQQAAgAAAAQ3NjMyAQgAAAAFAAAAATEBAAAACy0yMDIxMzgxMDY5AwAAAAMxNjACAAAAAjI4BAAAAAEwBwAAAAk5LzMwLzIwMjIIAAAACTkvMzAvMjAyMgkAAAABMP7pxopEJd4IIueEi0Ql3ggxQ0lRLkNWWC5JUV9UT1RBTF9SRVZFTlVFLklRX0NRLjYvMzAvMjAyMy5MLi5VU0QuSAEAAADKgAEAAgAAAAU0NzUzMwEIAAAABQAAAAExAQAAAAstMTk3MDExNDI1OAMAAAADMTYwAgAAAAIyOAQAAAABMAcAAAAJNi8zMC8yMDIzCAAAAAk2LzMwLzIwMjMJAAAAATDa/NmKRCXeCOShlItEJd4IMUNJUS5YT00uSVFfVE9UQUxfUkVWRU5VRS5JUV9DUS4zLzMxLzIwMjQuTC4uVVNELkgBAAAAQjMGAAIAAAAFODA0MTEBCAAAAAUAAAABMQEAAAALLTE5NDYxNTg4MDYDAAAAAzE2MAIAAAACMjgEAAAAATAHAAAACTMvMzEvMjAyNAgAAAAJMy8z</t>
  </si>
  <si>
    <t>MS8yMDI0CQAAAAEw5UraikQl3ghhFoyLRCXeCDFDSVEuRU9HLklRX1RPVEFMX1JFVkVOVUUuSVFfQ1EuOS8zMC8yMDExLkwuLlVTRC5IAQAAAFwdBAACAAAACDIzMjAuNjEyAQgAAAAFAAAAATEBAAAACjE1NzQzOTA2MDADAAAAAzE2MAIAAAACMjgEAAAAATAHAAAACTkvMzAvMjAxMQgAAAAJOS8zMC8yMDExCQAAAAEw5+R8iUQl3ggw4UiLRCXeCDFDSVEuQ1ZYLklRX1RPVEFMX1JFVkVOVUUuSVFfQ1EuNi8zMC8yMDEyLkwuLlVTRC5IAQAAAMqAAQACAAAABTU3ODUxAQgAAAAFAAAAATEBAAAACjE2MzAwMDc1NzUDAAAAAzE2MAIAAAACMjgEAAAAATAHAAAACTYvMzAvMjAxMggAAAAJNi8zMC8yMDEyCQAAAAEw2vzZikQl3giZ3pOLRCXeCDFDSVEuWE9NLklRX1RPVEFMX1JFVkVOVUUuSVFfQ1EuMy8zMS8yMDEzLkwuLlVTRC5IAQAAAEIzBgACAAAABTk1ODg2AQgAAAAFAAAAATEBAAAACjE2NzU5NzY5NDUDAAAAAzE2MAIAAAACMjgEAAAAATAHAAAACTMvMzEvMjAxMwgAAAAJMy8zMS8yMDEzCQAAAAEwmGCYiUQl3ghlzU+LRCXeCDFDSVEuRU9HLklRX1RPVEFMX1JFVkVOVUUuSVFfQ1EuOS8zMC8yMDE1LkwuLlVTRC5IAQAAAFwdBAACAAAACDIxNDQuMzc0AQgAAAAFAAAAATEBAAAACjE4MTYwMTYxNzYDAAAAAzE2MAIAAAACMjgEAAAAATAHAAAACTkvMzAvMjAxNQgAAAAJOS8zMC8yMDE1CQAAAAEwyJZ8</t>
  </si>
  <si>
    <t>iUQl3gjThF+LRCXeCDFDSVEuQ1ZYLklRX1RPVEFMX1JFVkVOVUUuSVFfQ1EuNi8zMC8yMDE2LkwuLlVTRC5IAQAAAMqAAQACAAAABTI2MDYwAQgAAAAFAAAAATEBAAAACjE4NTE2OTE0MDkDAAAAAzE2MAIAAAACMjgEAAAAATAHAAAACTYvMzAvMjAxNggAAAAJNi8zMC8yMDE2CQAAAAEw2vzZikQl3gi2LJSLRCXeCDFDSVEuWE9NLklRX1RPVEFMX1JFVkVOVUUuSVFfQ1EuMy8zMS8yMDE3LkwuLlVTRC5IAQAAAEIzBgACAAAABTU2NDc0AQgAAAAFAAAAATEBAAAACjE4ODY0NzQ2NTkDAAAAAzE2MAIAAAACMjgEAAAAATAHAAAACTMvMzEvMjAxNwgAAAAJMy8zMS8yMDE3CQAAAAEwjaCKiUQl3gjPIWmLRCXeCDFDSVEuRU9HLklRX1RPVEFMX1JFVkVOVUUuSVFfQ1EuOS8zMC8yMDE5LkwuLlVTRC5IAQAAAFwdBAACAAAACDQyMTguMDc2AQgAAAAFAAAAATEBAAAACjIwNjg0MzEwMTkDAAAAAzE2MAIAAAACMjgEAAAAATAHAAAACTkvMzAvMjAxOQgAAAAJOS8zMC8yMDE5CQAAAAEwSIbHikQl3ghj3XaLRCXeCDFDSVEuQ1ZYLklRX1RPVEFMX1JFVkVOVUUuSVFfQ1EuNi8zMC8yMDIwLkwuLlVTRC5IAQAAAMqAAQACAAAABTE1OTI2AQgAAAAFAAAAATEBAAAACy0yMTM5Nzk5OTQxAwAAAAMxNjACAAAAAjI4BAAAAAEwBwAAAAk2LzMwLzIwMjAIAAAACTYvMzAvMjAyMAkAAAABMNr82YpEJd4IwlOUi0Ql3ggxQ0lR</t>
  </si>
  <si>
    <t>LlhPTS5JUV9UT1RBTF9SRVZFTlVFLklRX0NRLjMvMzEvMjAyMS5MLi5VU0QuSAEAAABCMwYAAgAAAAU1NzY3NAEIAAAABQAAAAExAQAAAAstMjA5ODYzMTIzOAMAAAADMTYwAgAAAAIyOAQAAAABMAcAAAAJMy8zMS8yMDIxCAAAAAkzLzMxLzIwMjEJAAAAATAxOMeKRCXeCEwJfotEJd4IMUNJUS5FT0cuSVFfVE9UQUxfUkVWRU5VRS5JUV9DUS45LzMwLzIwMjMuTC4uVVNELkgBAAAAXB0EAAIAAAAENjEzNAEIAAAABQAAAAExAQAAAAstMTk3MDIzNTA3NwMAAAADMTYwAgAAAAIyOAQAAAABMAcAAAAJOS8zMC8yMDIzCAAAAAk5LzMwLzIwMjMJAAAAATDlStqKRCXeCBKiiYtEJd4IMUNJUS5DVlguSVFfVE9UQUxfUkVWRU5VRS5JUV9DUS42LzMwLzIwMjQuTC4uVVNELkgBAAAAyoABAAIAAAAFNDk3NzgBCAAAAAUAAAABMQEAAAALLTE5MTgwOTQ2MzUDAAAAAzE2MAIAAAACMjgEAAAAATAHAAAACTYvMzAvMjAyNAgAAAAJNi8zMC8yMDI0CQAAAAEw2vzZikQl3gj3yJSLRCXeCDFDSVEuWE9NLklRX1RPVEFMX1JFVkVOVUUuSVFfQ1EuMy8zMS8yMDI1LkwuLlVTRC5IAQAAAEIzBgACAAAABTgxMDU4AQgAAAAFAAAAATEBAAAACy0xOTQ2MTU4ODA5AwAAAAMxNjACAAAAAjI4BAAAAAEwBwAAAAkzLzMxLzIwMjUIAAAACTMvMzEvMjAyNQkAAAABMOoj2opEJd4Idx+Ri0Ql3ggyQ0lRLkVPRy5JUV9UT1RBTF9SRVZF</t>
  </si>
  <si>
    <t>TlVFLklRX0NRLjEyLzMxLzIwMTAuTC4uVVNELkgBAAAAXB0EAAIAAAAIMTY4MS45NjcBCAAAAAUAAAABMQEAAAAKMTU2MjE3NjY1MQMAAAADMTYwAgAAAAIyOAQAAAABMAcAAAAKMTIvMzEvMjAxMAgAAAAKMTIvMzEvMjAxMAkAAAABMPULfYlEJd4ItldFi0Ql3ggxQ0lRLkNWWC5JUV9UT1RBTF9SRVZFTlVFLklRX0NRLjkvMzAvMjAxMS5MLi5VU0QuSAEAAADKgAEAAgAAAAU1OTI4NwEIAAAABQAAAAExAQAAAAoxNTc0NzM0NjA2AwAAAAMxNjACAAAAAjI4BAAAAAEwBwAAAAk5LzMwLzIwMTEIAAAACTkvMzAvMjAxMQkAAAABMNr82YpEJd4Imd6Ti0Ql3ggxQ0lRLlhPTS5JUV9UT1RBTF9SRVZFTlVFLklRX0NRLjYvMzAvMjAxMi5MLi5VU0QuSAEAAABCMwYAAgAAAAYxMDQxNDMBCAAAAAUAAAABMQEAAAAKMTY0MzQ4Mzk3MgMAAAADMTYwAgAAAAIyOAQAAAABMAcAAAAJNi8zMC8yMDEyCAAAAAk2LzMwLzIwMTIJAAAAATCrh5iJRCXeCLpdTItEJd4IMkNJUS5FT0cuSVFfVE9UQUxfUkVWRU5VRS5JUV9DUS4xMi8zMS8yMDE0LkwuLlVTRC5IAQAAAFwdBAACAAAACDM0NjMuNDUzAQgAAAAFAAAAATEBAAAACjE3Nzc3NTYzNTcDAAAAAzE2MAIAAAACMjgEAAAAATAHAAAACjEyLzMxLzIwMTQIAAAACjEyLzMxLzIwMTQJAAAAATDbvXyJRCXeCMp7WotEJd4IMUNJUS5DVlguSVFfVE9UQUxfUkVWRU5VRS5JUV9D</t>
  </si>
  <si>
    <t>US45LzMwLzIwMTUuTC4uVVNELkgBAAAAyoABAAIAAAAFMzA5NjcBCAAAAAUAAAABMQEAAAAKMTgxNjIzMDEwMwMAAAADMTYwAgAAAAIyOAQAAAABMAcAAAAJOS8zMC8yMDE1CAAAAAk5LzMwLzIwMTUJAAAAATDa/NmKRCXeCKYFlItEJd4IMUNJUS5YT00uSVFfVE9UQUxfUkVWRU5VRS5JUV9DUS42LzMwLzIwMTYuTC4uVVNELkgBAAAAQjMGAAIAAAAFNTE0ODYBCAAAAAUAAAABMQEAAAAKMTg3NjM5OTA5NAMAAAADMTYwAgAAAAIyOAQAAAABMAcAAAAJNi8zMC8yMDE2CAAAAAk2LzMwLzIwMTYJAAAAATChx4qJRCXeCNZmZItEJd4IMkNJUS5FT0cuSVFfVE9UQUxfUkVWRU5VRS5JUV9DUS4xMi8zMS8yMDE4LkwuLlVTRC5IAQAAAFwdBAACAAAACDQzNjIuNTM3AQgAAAAFAAAAATEBAAAACjIwMTgxNjkwMTYDAAAAAzE2MAIAAAACMjgEAAAAATAHAAAACjEyLzMxLzIwMTgIAAAACjEyLzMxLzIwMTgJAAAAATD1C32JRCXeCAOCc4tEJd4IMUNJUS5DVlguSVFfVE9UQUxfUkVWRU5VRS5JUV9DUS45LzMwLzIwMTkuTC4uVVNELkgBAAAAyoABAAIAAAAFMzQ3NzkBCAAAAAUAAAABMQEAAAAKMjA2ODUzODQwNAMAAAADMTYwAgAAAAIyOAQAAAABMAcAAAAJOS8zMC8yMDE5CAAAAAk5LzMwLzIwMTkJAAAAATDa/NmKRCXeCNd6lItEJd4IMUNJUS5YT00uSVFfVE9UQUxfUkVWRU5VRS5JUV9DUS42LzMwLzIwMjAuTC4u</t>
  </si>
  <si>
    <t>VVNELkgBAAAAQjMGAAIAAAAFMzI1MDIBCAAAAAUAAAABMQEAAAALLTIxNDAwNzIwMzkDAAAAAzE2MAIAAAACMjgEAAAAATAHAAAACTYvMzAvMjAyMAgAAAAJNi8zMC8yMDIwCQAAAAEwKV/HikQl3gjnhnqLRCXeCDJDSVEuRU9HLklRX1RPVEFMX1JFVkVOVUUuSVFfQ1EuMTIvMzEvMjAyMi5MLi5VU0QuSAEAAABcHQQAAgAAAAQ2NTEzAQgAAAAFAAAAATEBAAAACy0yMDA5MjM3MjE5AwAAAAMxNjACAAAAAjI4BAAAAAEwBwAAAAoxMi8zMS8yMDIyCAAAAAoxMi8zMS8yMDIyCQAAAAEw/unGikQl3gidH4aLRCXeCDFDSVEuQ1ZYLklRX1RPVEFMX1JFVkVOVUUuSVFfQ1EuOS8zMC8yMDIzLkwuLlVTRC5IAQAAAMqAAQACAAAABTUyNzc1AQgAAAAFAAAAATEBAAAACy0xOTcwMTIxOTM2AwAAAAMxNjACAAAAAjI4BAAAAAEwBwAAAAk5LzMwLzIwMjMIAAAACTkvMzAvMjAyMwkAAAABMNr82YpEJd4I5KGUi0Ql3ggxQ0lRLlhPTS5JUV9UT1RBTF9SRVZFTlVFLklRX0NRLjYvMzAvMjAyNC5MLi5VU0QuSAEAAABCMwYAAgAAAAU4OTk4NgEIAAAABQAAAAExAQAAAAstMTkzMzQ0NDExMwMAAAADMTYwAgAAAAIyOAQAAAABMAcAAAAJNi8zMC8yMDI0CAAAAAk2LzMwLzIwMjQJAAAAATDqI9qKRCXeCOFOjYtEJd4IMUNJUS5FT0cuSVFfVE9UQUxfUkVWRU5VRS5JUV9DUS4zLzMxLzIwMTkuTC4uVVNELkgBAAAAXB0EAAIA</t>
  </si>
  <si>
    <t>AAAINDA4My4wNTgBCAAAAAUAAAABMQEAAAAKMjAzNDAxOTUxNwMAAAADMTYwAgAAAAIyOAQAAAABMAcAAAAJMy8zMS8yMDE5CAAAAAkzLzMxLzIwMTkJAAAAATDn5HyJRCXeCGqTdItEJd4IMUNJUS5DVlguSVFfVE9UQUxfUkVWRU5VRS5JUV9DUS42LzMwLzIwMjIuTC4uVVNELkgBAAAAyoABAAIAAAAFNjYzMDUBCAAAAAUAAAABMQEAAAALLTIwMjE0MDg0MzIDAAAAAzE2MAIAAAACMjgEAAAAATAHAAAACTYvMzAvMjAyMggAAAAJNi8zMC8yMDIyCQAAAAEw2vzZikQl3gjkoZSLRCXeCDFDSVEuQ1ZYLklRX1RPVEFMX1JFVkVOVUUuSVFfQ1EuOS8zMC8yMDI0LkwuLlVTRC5IAQAAAMqAAQACAAAABTQ5NDE2AQgAAAAFAAAAATEBAAAACy0xOTE4MDk4MTM0AwAAAAMxNjACAAAAAjI4BAAAAAEwBwAAAAk5LzMwLzIwMjQIAAAACTkvMzAvMjAyNAkAAAABMNr82YpEJd4I98iUi0Ql3ggxQ0lRLkNWWC5JUV9UT1RBTF9SRVZFTlVFLklRX0NRLjkvMzAvMjAyNS5MLi5VU0QuSAEAAADKgAEAAgAAAAU0ODc0NwEIAAAABQAAAAExAQAAAAstMTkxODA5ODA1OQMAAAADMTYwAgAAAAIyOAQAAAABMAcAAAAJOS8zMC8yMDI1CAAAAAk5LzMwLzIwMjUJAAAAATDa/NmKRCXeCPfIlItEJd4IMUNJUS5YT00uSVFfVE9UQUxfUkVWRU5VRS5JUV9DUS45LzMwLzIwMTQuTC4uVVNELkgBAAAAQjMGAAIAAAAFOTU2ODcBCAAAAAUA</t>
  </si>
  <si>
    <t>AAABMQEAAAAKMTc2MjgzNzIzMgMAAAADMTYwAgAAAAIyOAQAAAABMAcAAAAJOS8zMC8yMDE0CAAAAAk5LzMwLzIwMTQJAAAAATBQBIqJRCXeCBrOWItEJd4IMkNJUS5FT0cuSVFfVE9UQUxfUkVWRU5VRS5JUV9DUS4xMi8zMS8yMDE2LkwuLlVTRC5IAQAAAFwdBAACAAAACDIzNjMuNzkyAQgAAAAFAAAAATEBAAAACjE4NzY3NTQ0OTkDAAAAAzE2MAIAAAACMjgEAAAAATAHAAAACjEyLzMxLzIwMTYIAAAACjEyLzMxLzIwMTYJAAAAATCNoIqJRCXeCCebZ4tEJd4IMUNJUS5FT0cuSVFfVE9UQUxfUkVWRU5VRS5JUV9DUS4zLzMxLzIwMTguTC4uVVNELkgBAAAAXB0EAAIAAAAIMzc1NS45MDIBCAAAAAUAAAABMQEAAAAKMTk1OTE1NjkxNwMAAAADMTYwAgAAAAIyOAQAAAABMAcAAAAJMy8zMS8yMDE4CAAAAAkzLzMxLzIwMTgJAAAAATBrUoqJRCXeCHexb4tEJd4IMUNJUS5DVlguSVFfVE9UQUxfUkVWRU5VRS5JUV9DUS42LzMwLzIwMjEuTC4uVVNELkgBAAAAyoABAAIAAAAFMzYxMTcBCAAAAAUAAAABMQEAAAALLTIwODY0OTEzMDYDAAAAAzE2MAIAAAACMjgEAAAAATAHAAAACTYvMzAvMjAyMQgAAAAJNi8zMC8yMDIxCQAAAAEw2vzZikQl3gjXepSLRCXeCDJDSVEuRU9HLklRX1RPVEFMX1JFVkVOVUUuSVFfQ1EuMTIvMzEvMjAxNS5MLi5VU0QuSAEAAABcHQQAAgAAAAgxNzk1LjQ0NwEIAAAABQAAAAExAQAA</t>
  </si>
  <si>
    <t>AAoxODI5NDUwNzM3AwAAAAMxNjACAAAAAjI4BAAAAAEwBwAAAAoxMi8zMS8yMDE1CAAAAAoxMi8zMS8yMDE1CQAAAAEwoceKiUQl3giKMmGLRCXeCDFDSVEuQ1ZYLklRX1RPVEFMX1JFVkVOVUUuSVFfQ1EuMy8zMS8yMDE5LkwuLlVTRC5IAQAAAMqAAQACAAAABTM0MTg5AQgAAAAFAAAAATEBAAAACjIwMzM3MjgyMDkDAAAAAzE2MAIAAAACMjgEAAAAATAHAAAACTMvMzEvMjAxOQgAAAAJMy8zMS8yMDE5CQAAAAEw2vzZikQl3gi2LJSLRCXeCDFDSVEuWE9NLklRX1RPVEFMX1JFVkVOVUUuSVFfQ1EuNi8zMC8yMDIyLkwuLlVTRC5IAQAAAEIzBgACAAAABjExMTk5MwEIAAAABQAAAAExAQAAAAstMjAzNjE2NjI3NAMAAAADMTYwAgAAAAIyOAQAAAABMAcAAAAJNi8zMC8yMDIyCAAAAAk2LzMwLzIwMjIJAAAAATD+6caKRCXeCK3Vg4tEJd4IMUNJUS5YT00uSVFfVE9UQUxfUkVWRU5VRS5JUV9DUS45LzMwLzIwMjMuTC4uVVNELkgBAAAAQjMGAAIAAAAFODg1NzABCAAAAAUAAAABMQEAAAALLTE5NzA3NTUzNDQDAAAAAzE2MAIAAAACMjgEAAAAATAHAAAACTkvMzAvMjAyMwgAAAAJOS8zMC8yMDIzCQAAAAEw5UraikQl3ggSoomLRCXeCDFDSVEuWE9NLklRX1RPVEFMX1JFVkVOVUUuSVFfQ1EuOS8zMC8yMDI0LkwuLlVTRC5IAQAAAEIzBgACAAAABTg3NzkyAQgAAAAFAAAAATEBAAAACy0xOTE4Njc1MzQ2AwAA</t>
  </si>
  <si>
    <t>AAMxNjACAAAAAjI4BAAAAAEwBwAAAAk5LzMwLzIwMjQIAAAACTkvMzAvMjAyNAkAAAABMOoj2opEJd4IV2COi0Ql3ggxQ0lRLlhPTS5JUV9UT1RBTF9SRVZFTlVFLklRX0NRLjkvMzAvMjAyNS5MLi5VU0QuSAEAAABCMwYAAgAAAAU4MzMzMQEIAAAABQAAAAExAQAAAAstMTkxODY3NTMzMgMAAAADMTYwAgAAAAIyOAQAAAABMAcAAAAJOS8zMC8yMDI1CAAAAAk5LzMwLzIwMjUJAAAAATDa/NmKRCXeCHaQk4tEJd4IMUNJUS5YT00uSVFfVE9UQUxfUkVWRU5VRS5JUV9DUS42LzMwLzIwMTEuTC4uVVNELkgBAAAAQjMGAAIAAAAGMTEyNzgxAQgAAAAFAAAAATEBAAAACjE1NTcwNzIyMzcDAAAAAzE2MAIAAAACMjgEAAAAATAHAAAACTYvMzAvMjAxMQgAAAAJNi8zMC8yMDExCQAAAAEw5+R8iUQl3ggTvkeLRCXeCDFDSVEuRU9HLklRX1RPVEFMX1JFVkVOVUUuSVFfQ1EuOS8zMC8yMDEzLkwuLlVTRC5IAQAAAFwdBAACAAAABjM4MjYuNgEIAAAABQAAAAExAQAAAAoxNzA0NjI5MTAyAwAAAAMxNjACAAAAAjI4BAAAAAEwBwAAAAk5LzMwLzIwMTMIAAAACTkvMzAvMjAxMwkAAAABMG4riolEJd4IbD5Si0Ql3ggyQ0lRLkNWWC5JUV9UT1RBTF9SRVZFTlVFLklRX0NRLjEyLzMxLzIwMTYuTC4uVVNELkgBAAAAyoABAAIAAAAFMjg0NDUBCAAAAAUAAAABMQEAAAAKMTg3NTY3NjI0MQMAAAADMTYwAgAAAAIyOAQAAAAB</t>
  </si>
  <si>
    <t>MAcAAAAKMTIvMzEvMjAxNggAAAAKMTIvMzEvMjAxNgkAAAABMNr82YpEJd4IpgWUi0Ql3ggxQ0lRLkNWWC5JUV9UT1RBTF9SRVZFTlVFLklRX0NRLjMvMzEvMjAxOC5MLi5VU0QuSAEAAADKgAEAAgAAAAUzNTk2OAEIAAAABQAAAAExAQAAAAoxOTU5NDg5NjAxAwAAAAMxNjACAAAAAjI4BAAAAAEwBwAAAAkzLzMxLzIwMTgIAAAACTMvMzEvMjAxOAkAAAABMNr82YpEJd4IwlOUi0Ql3ggxQ0lRLlhPTS5JUV9UT1RBTF9SRVZFTlVFLklRX0NRLjYvMzAvMjAyMS5MLi5VU0QuSAEAAABCMwYAAgAAAAU2NjMwNgEIAAAABQAAAAExAQAAAAstMjA4NjYxNTAyOQMAAAADMTYwAgAAAAIyOAQAAAABMAcAAAAJNi8zMC8yMDIxCAAAAAk2LzMwLzIwMjEJAAAAATAJEceKRCXeCNoaf4tEJd4IMUNJUS5FT0cuSVFfVE9UQUxfUkVWRU5VRS5JUV9DUS45LzMwLzIwMTIuTC4uVVNELkgBAAAAXB0EAAIAAAAIMjg4Mi44MDgBCAAAAAUAAAABMQEAAAAKMTY0MzgzODY2MgMAAAADMTYwAgAAAAIyOAQAAAABMAcAAAAJOS8zMC8yMDEyCAAAAAk5LzMwLzIwMTIJAAAAATCrh5iJRCXeCHKDTYtEJd4IMkNJUS5DVlguSVFfVE9UQUxfUkVWRU5VRS5JUV9DUS4xMi8zMS8yMDE1LkwuLlVTRC5IAQAAAMqAAQACAAAABTI2Mjk3AQgAAAAFAAAAATEBAAAACjE4MjkwODg5NTIDAAAAAzE2MAIAAAACMjgEAAAAATAHAAAACjEyLzMxLzIw</t>
  </si>
  <si>
    <t>MTUIAAAACjEyLzMxLzIwMTUJAAAAATDa/NmKRCXeCLYslItEJd4IMUNJUS5YT00uSVFfVE9UQUxfUkVWRU5VRS5JUV9DUS4zLzMxLzIwMTkuTC4uVVNELkgBAAAAQjMGAAIAAAAFNjE5MTYBCAAAAAUAAAABMQEAAAAKMjAzMzc0Mzg4MAMAAAADMTYwAgAAAAIyOAQAAAABMAcAAAAJMy8zMS8yMDE5CAAAAAkzLzMxLzIwMTkJAAAAATDn5HyJRCXeCGqTdItEJd4IMUNJUS5FT0cuSVFfVE9UQUxfUkVWRU5VRS5JUV9DUS42LzMwLzIwMjAuTC4uVVNELkgBAAAAXB0EAAIAAAAEMTIxNgEIAAAABQAAAAExAQAAAAstMjE0MDExNTMzMQMAAAADMTYwAgAAAAIyOAQAAAABMAcAAAAJNi8zMC8yMDIwCAAAAAk2LzMwLzIwMjAJAAAAATApX8eKRCXeCOeGeotEJd4IMUNJUS5FT0cuSVFfVE9UQUxfUkVWRU5VRS5JUV9DUS42LzMwLzIwMTAuTC4uVVNELkgBAAAAXB0EAAIAAAAIMTMxMi42NDYBCAAAAAUAAAABMQEAAAAKMTQ2NTAwNDU0MwMAAAADMTYwAgAAAAIyOAQAAAABMAcAAAAJNi8zMC8yMDEwCAAAAAk2LzMwLzIwMTAJAAAAATAGM32JRCXeCORbQ4tEJd4IMUNJUS5DVlguSVFfVE9UQUxfUkVWRU5VRS5JUV9DUS45LzMwLzIwMTMuTC4uVVNELkgBAAAAyoABAAIAAAAFNTQzODABCAAAAAUAAAABMQEAAAAKMTcwNTI1MDg4OAMAAAADMTYwAgAAAAIyOAQAAAABMAcAAAAJOS8zMC8yMDEzCAAAAAk5LzMwLzIwMTMJ</t>
  </si>
  <si>
    <t>AAAAATDa/NmKRCXeCKYFlItEJd4IMkNJUS5DVlguSVFfVE9UQUxfUkVWRU5VRS5JUV9DUS4xMi8zMS8yMDE0LkwuLlVTRC5IAQAAAMqAAQACAAAABTQwMTA3AQgAAAAFAAAAATEBAAAACjE3Nzc5NzM1MDcDAAAAAzE2MAIAAAACMjgEAAAAATAHAAAACjEyLzMxLzIwMTQIAAAACjEyLzMxLzIwMTQJAAAAATDa/NmKRCXeCKYFlItEJd4IMUNJUS5YT00uSVFfVE9UQUxfUkVWRU5VRS5JUV9DUS4zLzMxLzIwMTguTC4uVVNELkgBAAAAQjMGAAIAAAAFNjU0MzYBCAAAAAUAAAABMQEAAAAKMTk1OTQ5NjM5NwMAAAADMTYwAgAAAAIyOAQAAAABMAcAAAAJMy8zMS8yMDE4CAAAAAkzLzMxLzIwMTgJAAAAATBrUoqJRCXeCHexb4tEJd4IMUNJUS5DVlguSVFfVE9UQUxfUkVWRU5VRS5JUV9DUS45LzMwLzIwMjIuTC4uVVNELkgBAAAAyoABAAIAAAAFNjQyNDQBCAAAAAUAAAABMQEAAAALLTIwMjE0MTExMDADAAAAAzE2MAIAAAACMjgEAAAAATAHAAAACTkvMzAvMjAyMggAAAAJOS8zMC8yMDIyCQAAAAEw2vzZikQl3gjXepSLRCXeCDFDSVEuQ1ZYLklRX1RPVEFMX1JFVkVOVUUuSVFfQ1EuOS8zMC8yMDEyLkwuLlVTRC5IAQAAAMqAAQACAAAABTUzNDk3AQgAAAAFAAAAATEBAAAACjE2NDM4NzgyNDgDAAAAAzE2MAIAAAACMjgEAAAAATAHAAAACTkvMzAvMjAxMggAAAAJOS8zMC8yMDEyCQAAAAEw2vzZikQl3giZ3pOL</t>
  </si>
  <si>
    <t>RCXeCDJDSVEuWE9NLklRX1RPVEFMX1JFVkVOVUUuSVFfQ1EuMTIvMzEvMjAxNS5MLi5VU0QuSAEAAABCMwYAAgAAAAU1MjMyMQEIAAAABQAAAAExAQAAAAoxODI4OTA0ODg2AwAAAAMxNjACAAAAAjI4BAAAAAEwBwAAAAoxMi8zMS8yMDE1CAAAAAoxMi8zMS8yMDE1CQAAAAEwoceKiUQl3giCC2GLRCXeCDFDSVEuRU9HLklRX1RPVEFMX1JFVkVOVUUuSVFfQ1EuMy8zMS8yMDE3LkwuLlVTRC5IAQAAAFwdBAACAAAACDI1NjUuMzAzAQgAAAAFAAAAATEBAAAACjE4ODYzMjM2MzADAAAAAzE2MAIAAAACMjgEAAAAATAHAAAACTMvMzEvMjAxNwgAAAAJMy8zMS8yMDE3CQAAAAEwjaCKiUQl3gjWSGmLRCXeCDFDSVEuQ1ZYLklRX1RPVEFMX1JFVkVOVUUuSVFfQ1EuNi8zMC8yMDEwLkwuLlVTRC5IAQAAAMqAAQACAAAABTQ4ODUwAQgAAAAFAAAAATEBAAAACjE0NjQ4NDQyMTYDAAAAAzE2MAIAAAACMjgEAAAAATAHAAAACTYvMzAvMjAxMAgAAAAJNi8zMC8yMDEwCQAAAAEw2vzZikQl3giQt5OLRCXeCDFDSVEuWE9NLklRX1RPVEFMX1JFVkVOVUUuSVFfQ1EuOS8zMC8yMDEzLkwuLlVTRC5IAQAAAEIzBgACAAAABjEwMDUwOAEIAAAABQAAAAExAQAAAAoxNzA0OTEwODU5AwAAAAMxNjACAAAAAjI4BAAAAAEwBwAAAAk5LzMwLzIwMTMIAAAACTkvMzAvMjAxMwkAAAABMG4riolEJd4IbD5Si0Ql3ggyQ0lRLkVPRy5J</t>
  </si>
  <si>
    <t>UV9UT1RBTF9SRVZFTlVFLklRX0NRLjEyLzMxLzIwMDkuTC4uVVNELkgBAAAAXB0EAAIAAAAIMTIwMC4wMDkBCAAAAAUAAAABMQEAAAAKMTQzMjk4MTc5NwMAAAADMTYwAgAAAAIyOAQAAAABMAcAAAAKMTIvMzEvMjAwOQgAAAAKMTIvMzEvMjAwOQkAAAABMAYzfYlEJd4ICjlBi0Ql3ggxQ0lRLlhPTS5JUV9UT1RBTF9SRVZFTlVFLklRX0NRLjkvMzAvMjAxNS5MLi5VU0QuSAEAAABCMwYAAgAAAAU1OTg2NgEIAAAABQAAAAExAQAAAAoxODE2MjIxMTA0AwAAAAMxNjACAAAAAjI4BAAAAAEwBwAAAAk5LzMwLzIwMTUIAAAACTkvMzAvMjAxNQkAAAABMMiWfIlEJd4I04Rfi0Ql3ggxQ0lRLkVPRy5JUV9UT1RBTF9SRVZFTlVFLklRX0NRLjYvMzAvMjAyMS5MLi5VU0QuSAEAAABcHQQAAgAAAAQ0NTE1AQgAAAAFAAAAATEBAAAACy0yMDg2NTg0ODk5AwAAAAMxNjACAAAAAjI4BAAAAAEwBwAAAAk2LzMwLzIwMjEIAAAACTYvMzAvMjAyMQkAAAABMAkRx4pEJd4Iy0F/i0Ql3ggyQ0lRLlhPTS5JUV9UT1RBTF9SRVZFTlVFLklRX0NRLjEyLzMxLzIwMjIuTC4uVVNELkgBAAAAQjMGAAIAAAAFOTM3OTABCAAAAAUAAAABMQEAAAALLTIwMDc4MzI2MjQDAAAAAzE2MAIAAAACMjgEAAAAATAHAAAACjEyLzMxLzIwMjIIAAAACjEyLzMxLzIwMjIJAAAAATD+6caKRCXeCJ0fhotEJd4IMUNJUS5YT00uSVFfVE9UQUxfUkVW</t>
  </si>
  <si>
    <t>RU5VRS5JUV9DUS4zLzMxLzIwMTEuTC4uVVNELkgBAAAAQjMGAAIAAAAGMTAxMzM1AQgAAAAFAAAAATEBAAAACjE1NDUwMzAwMjIDAAAAAzE2MAIAAAACMjgEAAAAATAHAAAACTMvMzEvMjAxMQgAAAAJMy8zMS8yMDExCQAAAAEw5+R8iUQl3ggmaUaLRCXeCDJDSVEuRU9HLklRX1RPVEFMX1JFVkVOVUUuSVFfQ1EuMTIvMzEvMjAxMi5MLi5VU0QuSAEAAABcHQQAAgAAAAgzMDAwLjg2OQEIAAAABQAAAAExAQAAAAoxNjYwMDQ0MzAwAwAAAAMxNjACAAAAAjI4BAAAAAEwBwAAAAoxMi8zMS8yMDEyCAAAAAoxMi8zMS8yMDEyCQAAAAEwq4eYiUQl3gjru06LRCXeCDFDSVEuQ1ZYLklRX1RPVEFMX1JFVkVOVUUuSVFfQ1EuOS8zMC8yMDE4LkwuLlVTRC5IAQAAAMqAAQACAAAABTQyMTA1AQgAAAAFAAAAATEBAAAACjE5OTA5ODY4OTYDAAAAAzE2MAIAAAACMjgEAAAAATAHAAAACTkvMzAvMjAxOAgAAAAJOS8zMC8yMDE4CQAAAAEw2vzZikQl3gi2LJSLRCXeCDJDSVEuWE9NLklRX1RPVEFMX1JFVkVOVUUuSVFfQ1EuMTIvMzEvMjAxOS5MLi5VU0QuSAEAAABCMwYAAgAAAAU2MjI5NgEIAAAABQAAAAExAQAAAAoyMDgxNzQ2NTUxAwAAAAMxNjACAAAAAjI4BAAAAAEwBwAAAAoxMi8zMS8yMDE5CAAAAAoxMi8zMS8yMDE5CQAAAAEwKV/HikQl3gjkFXiLRCXeCDJDSVEuQ1ZYLklRX1RPVEFMX1JFVkVOVUUuSVFfQ1Eu</t>
  </si>
  <si>
    <t>MTIvMzEvMjAwOS5MLi5VU0QuSAEAAADKgAEAAgAAAAU0NTUwMgEIAAAABQAAAAExAQAAAAoxNDMyOTU5MjY0AwAAAAMxNjACAAAAAjI4BAAAAAEwBwAAAAoxMi8zMS8yMDA5CAAAAAoxMi8zMS8yMDA5CQAAAAEw2vzZikQl3giQt5OLRCXeCDFDSVEuRU9HLklRX1RPVEFMX1JFVkVOVUUuSVFfQ1EuNi8zMC8yMDE3LkwuLlVTRC5IAQAAAFwdBAACAAAACDI2MTEuOTQyAQgAAAAFAAAAATEBAAAACjE4OTg0MTQ0MTYDAAAAAzE2MAIAAAACMjgEAAAAATAHAAAACTYvMzAvMjAxNwgAAAAJNi8zMC8yMDE3CQAAAAEwenmKiUQl3ghyz2qLRCXeCDJDSVEuQ1ZYLklRX1RPVEFMX1JFVkVOVUUuSVFfQ1EuMTIvMzEvMjAxMi5MLi5VU0QuSAEAAADKgAEAAgAAAAU1NDEyMgEIAAAABQAAAAExAQAAAAoxNjU5NDIwODAzAwAAAAMxNjACAAAAAjI4BAAAAAEwBwAAAAoxMi8zMS8yMDEyCAAAAAoxMi8zMS8yMDEyCQAAAAEw2vzZikQl3giZ3pOLRCXeCDFDSVEuRU9HLklRX1RPVEFMX1JFVkVOVUUuSVFfQ1EuNi8zMC8yMDE0LkwuLlVTRC5IAQAAAFwdBAACAAAABzQ0MTIuOTcBCAAAAAUAAAABMQEAAAAKMTc0OTcyNzk5MAMAAAADMTYwAgAAAAIyOAQAAAABMAcAAAAJNi8zMC8yMDE0CAAAAAk2LzMwLzIwMTQJAAAAATBQBIqJRCXeCHJHV4tEJd4IMUNJUS5YT00uSVFfVE9UQUxfUkVWRU5VRS5JUV9DUS45LzMwLzIwMTgu</t>
  </si>
  <si>
    <t>TC4uVVNELkgBAAAAQjMGAAIAAAAFNzQxODcBCAAAAAUAAAABMQEAAAAKMTk5MDc4NzExMQMAAAADMTYwAgAAAAIyOAQAAAABMAcAAAAJOS8zMC8yMDE4CAAAAAk5LzMwLzIwMTgJAAAAATBrUoqJRCXeCIFJcotEJd4IMUNJUS5FT0cuSVFfVE9UQUxfUkVWRU5VRS5JUV9DUS45LzMwLzIwMjEuTC4uVVNELkgBAAAAXB0EAAIAAAAENTI1OAEIAAAABQAAAAExAQAAAAstMjA3MjE3MzYxMwMAAAADMTYwAgAAAAIyOAQAAAABMAcAAAAJOS8zMC8yMDIxCAAAAAk5LzMwLzIwMjEJAAAAATAJEceKRCXeCD9TgItEJd4IMUNJUS5FT0cuSVFfVE9UQUxfUkVWRU5VRS5JUV9DUS45LzMwLzIwMjUuTC4uVVNELkgBAAAAXB0EAAIAAAAENTc0OQEIAAAABQAAAAExAQAAAAstMTkxODE3MTAzNQMAAAADMTYwAgAAAAIyOAQAAAABMAcAAAAJOS8zMC8yMDI1CAAAAAk5LzMwLzIwMjUJAAAAATDa/NmKRCXeCHaQk4tEJd4IMkNJUS5YT00uSVFfVE9UQUxfUkVWRU5VRS5JUV9DUS4xMi8zMS8yMDA5LkwuLlVTRC5IAQAAAEIzBgACAAAABTgwMTA2AQgAAAAFAAAAATEBAAAACjE0MzQwOTMwNDMDAAAAAzE2MAIAAAACMjgEAAAAATAHAAAACjEyLzMxLzIwMDkIAAAACjEyLzMxLzIwMDkJAAAAATAGM32JRCXeCCuHQYtEJd4IMUNJUS5YT00uSVFfVE9UQUxfUkVWRU5VRS5JUV9DUS45LzMwLzIwMTEuTC4uVVNELkgBAAAAQjMGAAIA</t>
  </si>
  <si>
    <t>AAAGMTExOTkxAQgAAAAFAAAAATEBAAAACjE1NzQ3MzQ4MjIDAAAAAzE2MAIAAAACMjgEAAAAATAHAAAACTkvMzAvMjAxMQgAAAAJOS8zMC8yMDExCQAAAAEw5+R8iUQl3ggw4UiLRCXeCDFDSVEuQ1ZYLklRX1RPVEFMX1JFVkVOVUUuSVFfQ1EuNi8zMC8yMDE3LkwuLlVTRC5IAQAAAMqAAQACAAAABTMxMTA2AQgAAAAFAAAAATEBAAAACjE4OTgzNTM4NDUDAAAAAzE2MAIAAAACMjgEAAAAATAHAAAACTYvMzAvMjAxNwgAAAAJNi8zMC8yMDE3CQAAAAEw2vzZikQl3gi2LJSLRCXeCDFDSVEuRU9HLklRX1RPVEFMX1JFVkVOVUUuSVFfQ1EuNi8zMC8yMDI0LkwuLlVTRC5IAQAAAFwdBAACAAAABDYwNTIBCAAAAAUAAAABMQEAAAALLTE5MzI3MTI0NTgDAAAAAzE2MAIAAAACMjgEAAAAATAHAAAACTYvMzAvMjAyNAgAAAAJNi8zMC8yMDI0CQAAAAEw6iPaikQl3gjhTo2LRCXeCDFDSVEuQ1ZYLklRX1RPVEFMX1JFVkVOVUUuSVFfQ1EuNi8zMC8yMDE0LkwuLlVTRC5IAQAAAMqAAQACAAAABTUzNDYzAQgAAAAFAAAAATEBAAAACjE3NDg4NTUzNDYDAAAAAzE2MAIAAAACMjgEAAAAATAHAAAACTYvMzAvMjAxNAgAAAAJNi8zMC8yMDE0CQAAAAEw2vzZikQl3giZ3pOLRCXeCDFDSVEuQ1ZYLklRX1RPVEFMX1JFVkVOVUUuSVFfQ1EuOS8zMC8yMDIxLkwuLlVTRC5IAQAAAMqAAQACAAAABTQyNTUyAQgAAAAFAAAAATEB</t>
  </si>
  <si>
    <t>AAAACy0yMDcyMTI0MDMxAwAAAAMxNjACAAAAAjI4BAAAAAEwBwAAAAk5LzMwLzIwMjEIAAAACTkvMzAvMjAyMQkAAAABMNr82YpEJd4I5KGUi0Ql3ggxQ0lRLkVPRy5JUV9UT1RBTF9SRVZFTlVFLklRX0NRLjMvMzEvMjAxMC5MLi5VU0QuSAEAAABcHQQAAgAAAAgxMzYzLjU2NgEIAAAABQAAAAExAQAAAAoxNDUyMDk4OTg2AwAAAAMxNjACAAAAAjI4BAAAAAEwBwAAAAkzLzMxLzIwMTAIAAAACTMvMzEvMjAxMAkAAAABMAYzfYlEJd4Ib0pCi0Ql3ggxQ0lRLkVPRy5JUV9UT1RBTF9SRVZFTlVFLklRX0NRLjMvMzEvMjAxMy5MLi5VU0QuSAEAAABcHQQAAgAAAAgzMjk3LjIzNwEIAAAABQAAAAExAQAAAAoxNjc1NzQwNTA3AwAAAAMxNjACAAAAAjI4BAAAAAEwBwAAAAkzLzMxLzIwMTMIAAAACTMvMzEvMjAxMwkAAAABMJhgmIlEJd4IZc1Pi0Ql3ggxQ0lRLlhPTS5JUV9UT1RBTF9SRVZFTlVFLklRX0NRLjYvMzAvMjAxNy5MLi5VU0QuSAEAAABCMwYAAgAAAAU1NjAyNgEIAAAABQAAAAExAQAAAAoxODk4MjU1ODU3AwAAAAMxNjACAAAAAjI4BAAAAAEwBwAAAAk2LzMwLzIwMTcIAAAACTYvMzAvMjAxNwkAAAABMHp5iolEJd4Ics9qi0Ql3ggxQ0lRLkVPRy5JUV9UT1RBTF9SRVZFTlVFLklRX0NRLjMvMzEvMjAyMy5MLi5VU0QuSAEAAABcHQQAAgAAAAQ1NTk5AQgAAAAFAAAAATEBAAAACy0xOTk3MTY3NDk5</t>
  </si>
  <si>
    <t>AwAAAAMxNjACAAAAAjI4BAAAAAEwBwAAAAkzLzMxLzIwMjMIAAAACTMvMzEvMjAyMwkAAAABMOVK2opEJd4IIViHi0Ql3ggxQ0lRLlhPTS5JUV9UT1RBTF9SRVZFTlVFLklRX0NRLjYvMzAvMjAxNC5MLi5VU0QuSAEAAABCMwYAAgAAAAU5Nzg0OAEIAAAABQAAAAExAQAAAAoxNzQ4ODQ0NzgyAwAAAAMxNjACAAAAAjI4BAAAAAEwBwAAAAk2LzMwLzIwMTQIAAAACTYvMzAvMjAxNAkAAAABMFAEiolEJd4IckdXi0Ql3ggyQ0lRLkNWWC5JUV9UT1RBTF9SRVZFTlVFLklRX0NRLjEyLzMxLzIwMTguTC4uVVNELkgBAAAAyoABAAIAAAAFMzI0NzcBCAAAAAUAAAABMQEAAAAKMjAxNjM0OTkxOQMAAAADMTYwAgAAAAIyOAQAAAABMAcAAAAKMTIvMzEvMjAxOAgAAAAKMTIvMzEvMjAxOAkAAAABMNr82YpEJd4ItiyUi0Ql3ggxQ0lRLkVPRy5JUV9UT1RBTF9SRVZFTlVFLklRX0NRLjMvMzEvMjAyMC5MLi5VU0QuSAEAAABcHQQAAgAAAAQzNDk2AQgAAAAFAAAAATEBAAAACjIwOTYwNTAwNDgDAAAAAzE2MAIAAAACMjgEAAAAATAHAAAACTMvMzEvMjAyMAgAAAAJMy8zMS8yMDIwCQAAAAEwKV/HikQl3ghgTnmLRCXeCDFDSVEuWE9NLklRX1RPVEFMX1JFVkVOVUUuSVFfQ1EuOS8zMC8yMDIxLkwuLlVTRC5IAQAAAEIzBgACAAAABTcyMTE2AQgAAAAFAAAAATEBAAAACy0yMDcyMzM3NTY4AwAAAAMxNjACAAAAAjI4BAAA</t>
  </si>
  <si>
    <t>AAEwBwAAAAk5LzMwLzIwMjEIAAAACTkvMzAvMjAyMQkAAAABMAkRx4pEJd4IP1OAi0Ql3ggxQ0lRLkNWWC5JUV9UT1RBTF9SRVZFTlVFLklRX0NRLjMvMzEvMjAxMC5MLi5VU0QuSAEAAADKgAEAAgAAAAU0NDY2OQEIAAAABQAAAAExAQAAAAoxNDUxMjYyNTcwAwAAAAMxNjACAAAAAjI4BAAAAAEwBwAAAAkzLzMxLzIwMTAIAAAACTMvMzEvMjAxMAkAAAABMNr82YpEJd4I98iUi0Ql3ggxQ0lRLkNWWC5JUV9UT1RBTF9SRVZFTlVFLklRX0NRLjMvMzEvMjAxMy5MLi5VU0QuSAEAAADKgAEAAgAAAAU1MjI2MwEIAAAABQAAAAExAQAAAAoxNjc1MDE4MjU3AwAAAAMxNjACAAAAAjI4BAAAAAEwBwAAAAkzLzMxLzIwMTMIAAAACTMvMzEvMjAxMwkAAAABMNr82YpEJd4Imd6Ti0Ql3ggyQ0lRLkVPRy5JUV9UT1RBTF9SRVZFTlVFLklRX0NRLjEyLzMxLzIwMjEuTC4uVVNELkgBAAAAXB0EAAIAAAAENTkzNwEIAAAABQAAAAExAQAAAAstMjA1OTg0MTM2MQMAAAADMTYwAgAAAAIyOAQAAAABMAcAAAAKMTIvMzEvMjAyMQgAAAAKMTIvMzEvMjAyMQkAAAABMAkRx4pEJd4IwouBi0Ql3ggxQ0lRLkNWWC5JUV9UT1RBTF9SRVZFTlVFLklRX0NRLjMvMzEvMjAyMy5MLi5VU0QuSAEAAADKgAEAAgAAAAU0OTIxMQEIAAAABQAAAAExAQAAAAstMTk4NDU3MzgwNAMAAAADMTYwAgAAAAIyOAQAAAABMAcAAAAJMy8zMS8yMDIz</t>
  </si>
  <si>
    <t>CAAAAAkzLzMxLzIwMjMJAAAAATDa/NmKRCXeCOShlItEJd4IMUNJUS5FT0cuSVFfVE9UQUxfUkVWRU5VRS5JUV9DUS4zLzMxLzIwMTYuTC4uVVNELkgBAAAAXB0EAAIAAAAIMTMzOS43NjcBCAAAAAUAAAABMQEAAAAKMTg0MDk2MzE3OQMAAAADMTYwAgAAAAIyOAQAAAABMAcAAAAJMy8zMS8yMDE2CAAAAAkzLzMxLzIwMTYJAAAAATChx4qJRCXeCCO5YotEJd4IMkNJUS5YT00uSVFfVE9UQUxfUkVWRU5VRS5JUV9DUS4xMi8zMS8yMDE4LkwuLlVTRC5IAQAAAEIzBgACAAAABTY4MjUzAQgAAAAFAAAAATEBAAAACjIwMTczODExNTYDAAAAAzE2MAIAAAACMjgEAAAAATAHAAAACjEyLzMxLzIwMTgIAAAACjEyLzMxLzIwMTgJAAAAATD1C32JRCXeCAOCc4tEJd4IMUNJUS5YT00uSVFfVE9UQUxfUkVWRU5VRS5JUV9DUS4zLzMxLzIwMTAuTC4uVVNELkgBAAAAQjMGAAIAAAAFODAyMjIBCAAAAAUAAAABMQEAAAAKMTQ1MTE5NTc4MwMAAAADMTYwAgAAAAIyOAQAAAABMAcAAAAJMy8zMS8yMDEwCAAAAAkzLzMxLzIwMTAJAAAAATAGM32JRCXeCG9KQotEJd4IMkNJUS5FT0cuSVFfVE9UQUxfUkVWRU5VRS5JUV9DUS4xMi8zMS8yMDExLkwuLlVTRC5IAQAAAFwdBAACAAAACDI1NzcuNTczAQgAAAAFAAAAATEBAAAACjE1ODg4NDY0MTIDAAAAAzE2MAIAAAACMjgEAAAAATAHAAAACjEyLzMxLzIwMTEIAAAACjEyLzMx</t>
  </si>
  <si>
    <t>LzIwMTEJAAAAATDbvXyJRCXeCJgKSotEJd4IMUNJUS5DVlguSVFfVE9UQUxfUkVWRU5VRS5JUV9DUS45LzMwLzIwMTQuTC4uVVNELkgBAAAAyoABAAIAAAAFNDk3MDYBCAAAAAUAAAABMQEAAAAKMTc2MzMyOTI2NAMAAAADMTYwAgAAAAIyOAQAAAABMAcAAAAJOS8zMC8yMDE0CAAAAAk5LzMwLzIwMTQJAAAAATDa/NmKRCXeCKYFlItEJd4IMkNJUS5DVlguSVFfVE9UQUxfUkVWRU5VRS5JUV9DUS4xMi8zMS8yMDIxLkwuLlVTRC5IAQAAAMqAAQACAAAABTQ1MzIyAQgAAAAFAAAAATEBAAAACy0yMDU5NzY4MTQyAwAAAAMxNjACAAAAAjI4BAAAAAEwBwAAAAoxMi8zMS8yMDIxCAAAAAoxMi8zMS8yMDIxCQAAAAEw2vzZikQl3gjkoZSLRCXeCDFDSVEuWE9NLklRX1RPVEFMX1JFVkVOVUUuSVFfQ1EuMy8zMS8yMDIzLkwuLlVTRC5IAQAAAEIzBgACAAAABTg0MTgzAQgAAAAFAAAAATEBAAAACy0xOTk4MDU2NTU3AwAAAAMxNjACAAAAAjI4BAAAAAEwBwAAAAkzLzMxLzIwMjMIAAAACTMvMzEvMjAyMwkAAAABMOVK2opEJd4IIViHi0Ql3ggxQ0lRLkVPRy5JUV9UT1RBTF9SRVZFTlVFLklRX0NRLjkvMzAvMjAyNC5MLi5VU0QuSAEAAABcHQQAAgAAAAQ1ODkzAQgAAAAFAAAAATEBAAAACy0xOTE4MTcxMDE3AwAAAAMxNjACAAAAAjI4BAAAAAEwBwAAAAk5LzMwLzIwMjQIAAAACTkvMzAvMjAyNAkAAAABMOoj2opE</t>
  </si>
  <si>
    <t>Jd4IV2COi0Ql3ggxQ0lRLkVPRy5JUV9UT1RBTF9SRVZFTlVFLklRX0NRLjkvMzAvMjAxNi5MLi5VU0QuSAEAAABcHQQAAgAAAAgyMDA1LjE4MwEIAAAABQAAAAExAQAAAAoxODYzNzY5NjYxAwAAAAMxNjACAAAAAjI4BAAAAAEwBwAAAAk5LzMwLzIwMTYIAAAACTkvMzAvMjAxNgkAAAABMI2giolEJd4IhO1li0Ql3ggyQ0lRLkNWWC5JUV9UT1RBTF9SRVZFTlVFLklRX0NRLjEyLzMxLzIwMTMuTC4uVVNELkgBAAAAyoABAAIAAAAFNTE4MjIBCAAAAAUAAAABMQEAAAAKMTcyMDAzOTI2MwMAAAADMTYwAgAAAAIyOAQAAAABMAcAAAAKMTIvMzEvMjAxMwgAAAAKMTIvMzEvMjAxMwkAAAABMNr82YpEJd4IpgWUi0Ql3ggxQ0lRLkNWWC5JUV9UT1RBTF9SRVZFTlVFLklRX0NRLjMvMzEvMjAyNS5MLi5VU0QuSAEAAADKgAEAAgAAAAU0NjI2NQEIAAAABQAAAAExAQAAAAstMTkzMjU5MDQ1OAMAAAADMTYwAgAAAAIyOAQAAAABMAcAAAAJMy8zMS8yMDI1CAAAAAkzLzMxLzIwMjUJAAAAATDa/NmKRCXeCPfIlItEJd4IMkNJUS5DVlguSVFfVE9UQUxfUkVWRU5VRS5JUV9DUS4xMi8zMS8yMDIzLkwuLlVTRC5IAQAAAMqAAQACAAAABTQ1MjgwAQgAAAAFAAAAATEBAAAACy0xOTU4NzU4NDE0AwAAAAMxNjACAAAAAjI4BAAAAAEwBwAAAAoxMi8zMS8yMDIzCAAAAAoxMi8zMS8yMDIzCQAAAAEw2vzZikQl3gjkoZSLRCXe</t>
  </si>
  <si>
    <t>CDJDSVEuWE9NLklRX1RPVEFMX1JFVkVOVUUuSVFfQ1EuMTIvMzEvMjAxMC5MLi5VU0QuSAEAAABCMwYAAgAAAAU5MzQyOAEIAAAABQAAAAExAQAAAAoxNTIzODA3NDA1AwAAAAMxNjACAAAAAjI4BAAAAAEwBwAAAAoxMi8zMS8yMDEwCAAAAAoxMi8zMS8yMDEwCQAAAAEw9Qt9iUQl3gi2V0WLRCXeCDJDSVEuQ1ZYLklRX1RPVEFMX1JFVkVOVUUuSVFfQ1EuMTIvMzEvMjAyMC5MLi5VU0QuSAEAAADKgAEAAgAAAAUyNDQ1MQEIAAAABQAAAAExAQAAAAstMjExMDg4MjgyMAMAAAADMTYwAgAAAAIyOAQAAAABMAcAAAAKMTIvMzEvMjAyMAgAAAAKMTIvMzEvMjAyMAkAAAABMNr82YpEJd4I13qUi0Ql3ggxQ0lRLlhPTS5JUV9UT1RBTF9SRVZFTlVFLklRX0NRLjkvMzAvMjAxNi5MLi5VU0QuSAEAAABCMwYAAgAAAAU1MjEzNwEIAAAABQAAAAExAQAAAAoxODYzNjc3OTk5AwAAAAMxNjACAAAAAjI4BAAAAAEwBwAAAAk5LzMwLzIwMTYIAAAACTkvMzAvMjAxNgkAAAABMI2giolEJd4IhO1li0Ql3ggxQ0lRLkVPRy5JUV9UT1RBTF9SRVZFTlVFLklRX0NRLjYvMzAvMjAyMi5MLi5VU0QuSAEAAABcHQQAAgAAAAQ4Njg3AQgAAAAFAAAAATEBAAAACy0yMDM1NzU0OTU5AwAAAAMxNjACAAAAAjI4BAAAAAEwBwAAAAk2LzMwLzIwMjIIAAAACTYvMzAvMjAyMgkAAAABMP7pxopEJd4IrdWDi0Ql3ggxQ0lRLkVPRy5JUV9U</t>
  </si>
  <si>
    <t>T1RBTF9SRVZFTlVFLklRX0NRLjMvMzEvMjAxNC5MLi5VU0QuSAEAAABcHQQAAgAAAAg0MjI3LjkwOQEIAAAABQAAAAExAQAAAAoxNzMzMzEyODY0AwAAAAMxNjACAAAAAjI4BAAAAAEwBwAAAAkzLzMxLzIwMTQIAAAACTMvMzEvMjAxNAkAAAABMFAEiolEJd4IuXJVi0Ql3ggxQ0lRLkVPRy5JUV9UT1RBTF9SRVZFTlVFLklRX0NRLjYvMzAvMjAyNS5MLi5VU0QuSAEAAABcHQQAAgAAAAQ1MzcxAQgAAAAFAAAAATEBAAAACy0xOTMyNzEyNDcxAwAAAAMxNjACAAAAAjI4BAAAAAEwBwAAAAk2LzMwLzIwMjUIAAAACTYvMzAvMjAyNQkAAAABMOoj2opEJd4I81eSi0Ql3ggxQ0lRLkVPRy5JUV9UT1RBTF9SRVZFTlVFLklRX0NRLjMvMzEvMjAyMS5MLi5VU0QuSAEAAABcHQQAAgAAAAQ0MDY3AQgAAAAFAAAAATEBAAAACy0yMDk4NDk5MTg1AwAAAAMxNjACAAAAAjI4BAAAAAEwBwAAAAkzLzMxLzIwMjEIAAAACTMvMzEvMjAyMQkAAAABMDE4x4pEJd4ITAl+i0Ql3ggxQ0lRLkNWWC5JUV9UT1RBTF9SRVZFTlVFLklRX0NRLjMvMzEvMjAxNC5MLi5VU0QuSAEAAADKgAEAAgAAAAU0OTAzMgEIAAAABQAAAAExAQAAAAoxNzMyOTQ1NzkzAwAAAAMxNjACAAAAAjI4BAAAAAEwBwAAAAkzLzMxLzIwMTQIAAAACTMvMzEvMjAxNAkAAAABMNr82YpEJd4Imd6Ti0Ql3ggxQ0lRLkNWWC5JUV9UT1RBTF9SRVZFTlVFLklRX0NR</t>
  </si>
  <si>
    <t>LjYvMzAvMjAxOC5MLi5VU0QuSAEAAADKgAEAAgAAAAU0MDQ5MQEIAAAABQAAAAExAQAAAAoxOTc0NTI2MzY5AwAAAAMxNjACAAAAAjI4BAAAAAEwBwAAAAk2LzMwLzIwMTgIAAAACTYvMzAvMjAxOAkAAAABMNr82YpEJd4IwlOUi0Ql3ggxQ0lRLkNWWC5JUV9UT1RBTF9SRVZFTlVFLklRX0NRLjMvMzEvMjAyMS5MLi5VU0QuSAEAAADKgAEAAgAAAAUzMTA3NgEIAAAABQAAAAExAQAAAAstMjA5ODU2MzczOAMAAAADMTYwAgAAAAIyOAQAAAABMAcAAAAJMy8zMS8yMDIxCAAAAAkzLzMxLzIwMjEJAAAAATDa/NmKRCXeCNd6lItEJd4IMkNJUS5FT0cuSVFfVE9UQUxfUkVWRU5VRS5JUV9DUS4xMi8zMS8yMDE5LkwuLlVTRC5IAQAAAFwdBAACAAAABzQyNjIuNjMBCAAAAAUAAAABMQEAAAAKMjA4MTc4NTQzMAMAAAADMTYwAgAAAAIyOAQAAAABMAcAAAAKMTIvMzEvMjAxOQgAAAAKMTIvMzEvMjAxOQkAAAABMClfx4pEJd4I5BV4i0Ql3ggxQ0lRLlhPTS5JUV9UT1RBTF9SRVZFTlVFLklRX0NRLjYvMzAvMjAxOC5MLi5VU0QuSAEAAABCMwYAAgAAAAU3MTQ1NgEIAAAABQAAAAExAQAAAAoxOTc0NTI2MzMwAwAAAAMxNjACAAAAAjI4BAAAAAEwBwAAAAk2LzMwLzIwMTgIAAAACTYvMzAvMjAxOAkAAAABMGtSiolEJd4IEDhxi0Ql3ggyQ0lRLkNWWC5JUV9UT1RBTF9SRVZFTlVFLklRX0NRLjEyLzMxLzIwMjIuTC4u</t>
  </si>
  <si>
    <t>VVNELkgBAAAAyoABAAIAAAAFNTM1NDYBCAAAAAUAAAABMQEAAAALLTIwMDg1NTc0ODgDAAAAAzE2MAIAAAACMjgEAAAAATAHAAAACjEyLzMxLzIwMjIIAAAACjEyLzMxLzIwMjIJAAAAATDa/NmKRCXeCOShlItEJd4IMUNJUS5DVlguSVFfVE9UQUxfUkVWRU5VRS5JUV9DUS4zLzMxLzIwMTEuTC4uVVNELkgBAAAAyoABAAIAAAAFNTYyNzgBCAAAAAUAAAABMQEAAAAKMTU0NTAyOTk3OQMAAAADMTYwAgAAAAIyOAQAAAABMAcAAAAJMy8zMS8yMDExCAAAAAkzLzMxLzIwMTEJAAAAATDa/NmKRCXeCJnek4tEJd4IMkNJUS5YT00uSVFfVE9UQUxfUkVWRU5VRS5JUV9DUS4xMi8zMS8yMDE0LkwuLlVTRC5IAQAAAEIzBgACAAAABTc3MzMyAQgAAAAFAAAAATEBAAAACjE3Nzc2MzQ4ODUDAAAAAzE2MAIAAAACMjgEAAAAATAHAAAACjEyLzMxLzIwMTQIAAAACjEyLzMxLzIwMTQJAAAAATDbvXyJRCXeCMp7WotEJd4IMUNJUS5FT0cuSVFfVE9UQUxfUkVWRU5VRS5JUV9DUS45LzMwLzIwMjAuTC4uVVNELkgBAAAAXB0EAAIAAAAEMjMyMQEIAAAABQAAAAExAQAAAAstMjEyMzgzMTg0MAMAAAADMTYwAgAAAAIyOAQAAAABMAcAAAAJOS8zMC8yMDIwCAAAAAk5LzMwLzIwMjAJAAAAATAxOMeKRCXeCF+/e4tEJd4IMUNJUS5YT00uSVFfVE9UQUxfUkVWRU5VRS5JUV9DUS42LzMwLzIwMTAuTC4uVVNELkgBAAAAQjMGAAIA</t>
  </si>
  <si>
    <t>AAAFODI3NDcBCAAAAAUAAAABMQEAAAAKMTQ2NTAwNDE4NgMAAAADMTYwAgAAAAIyOAQAAAABMAcAAAAJNi8zMC8yMDEwCAAAAAk2LzMwLzIwMTAJAAAAATAGM32JRCXeCORbQ4tEJd4IMkNJUS5DVlguSVFfVE9UQUxfUkVWRU5VRS5JUV9DUS4xMi8zMS8yMDExLkwuLlVTRC5IAQAAAMqAAQACAAAABTU2MzE0AQgAAAAFAAAAATEBAAAACjE1ODg4NDY2MjIDAAAAAzE2MAIAAAACMjgEAAAAATAHAAAACjEyLzMxLzIwMTEIAAAACjEyLzMxLzIwMTEJAAAAATDa/NmKRCXeCJC3k4tEJd4IMUNJUS5FT0cuSVFfVE9UQUxfUkVWRU5VRS5JUV9DUS42LzMwLzIwMTMuTC4uVVNELkgBAAAAXB0EAAIAAAAIMzYzNS41NDIBCAAAAAUAAAABMQEAAAAKMTY4OTY1NTM3OAMAAAADMTYwAgAAAAIyOAQAAAABMAcAAAAJNi8zMC8yMDEzCAAAAAk2LzMwLzIwMTMJAAAAATBuK4qJRCXeCOkFUYtEJd4IMUNJUS5FT0cuSVFfVE9UQUxfUkVWRU5VRS5JUV9DUS45LzMwLzIwMTcuTC4uVVNELkgBAAAAXB0EAAIAAAAIMjY1OS42NTIBCAAAAAUAAAABMQEAAAAKMTkxNzcyNDU5MAMAAAADMTYwAgAAAAIyOAQAAAABMAcAAAAJOS8zMC8yMDE3CAAAAAk5LzMwLzIwMTcJAAAAATB6eYqJRCXeCCd9bItEJd4IMkNJUS5YT00uSVFfVE9UQUxfUkVWRU5VRS5JUV9DUS4xMi8zMS8yMDIxLkwuLlVTRC5IAQAAAEIzBgACAAAABTgyODg1AQgA</t>
  </si>
  <si>
    <t>AAAFAAAAATEBAAAACy0yMDU5OTE1MjgzAwAAAAMxNjACAAAAAjI4BAAAAAEwBwAAAAoxMi8zMS8yMDIxCAAAAAoxMi8zMS8yMDIxCQAAAAEwCRHHikQl3gjCi4GLRCXeCDFDSVEuQ1ZYLklRX1RPVEFMX1JFVkVOVUUuSVFfQ1EuOS8zMC8yMDIwLkwuLlVTRC5IAQAAAMqAAQACAAAABTIzOTk3AQgAAAAFAAAAATEBAAAACy0yMTIzNjA0ODMwAwAAAAMxNjACAAAAAjI4BAAAAAEwBwAAAAk5LzMwLzIwMjAIAAAACTkvMzAvMjAyMAkAAAABMNr82YpEJd4I13qUi0Ql3ggyQ0lRLkVPRy5JUV9UT1RBTF9SRVZFTlVFLklRX0NRLjEyLzMxLzIwMjQuTC4uVVNELkgBAAAAXB0EAAIAAAAENTY3MwEIAAAABQAAAAExAQAAAAstMTk1Nzk2Njg1MgMAAAADMTYwAgAAAAIyOAQAAAABMAcAAAAKMTIvMzEvMjAyNAgAAAAKMTIvMzEvMjAyNAkAAAABMOoj2opEJd4I4r+Pi0Ql3ggyQ0lRLlhPTS5JUV9UT1RBTF9SRVZFTlVFLklRX0NRLjEyLzMxLzIwMTEuTC4uVVNELkgBAAAAQjMGAAIAAAAGMTA3NDE5AQgAAAAFAAAAATEBAAAACjE1ODk1NDg1MDYDAAAAAzE2MAIAAAACMjgEAAAAATAHAAAACjEyLzMxLzIwMTEIAAAACjEyLzMxLzIwMTEJAAAAATDbvXyJRCXeCJgKSotEJd4IMUNJUS5DVlguSVFfVE9UQUxfUkVWRU5VRS5JUV9DUS42LzMwLzIwMTMuTC4uVVNELkgBAAAAyoABAAIAAAAFNTMxOTkBCAAAAAUAAAABMQEA</t>
  </si>
  <si>
    <t>AAAKMTY4OTc2MzQ5NgMAAAADMTYwAgAAAAIyOAQAAAABMAcAAAAJNi8zMC8yMDEzCAAAAAk2LzMwLzIwMTMJAAAAATDa/NmKRCXeCJnek4tEJd4IMUNJUS5FT0cuSVFfVE9UQUxfUkVWRU5VRS5JUV9DUS42LzMwLzIwMTYuTC4uVVNELkgBAAAAXB0EAAIAAAAIMTgzNS42NjMBCAAAAAUAAAABMQEAAAAKMTg1MTI5NzYxOAMAAAADMTYwAgAAAAIyOAQAAAABMAcAAAAJNi8zMC8yMDE2CAAAAAk2LzMwLzIwMTYJAAAAATChx4qJRCXeCNZmZItEJd4IMUNJUS5DVlguSVFfVE9UQUxfUkVWRU5VRS5JUV9DUS45LzMwLzIwMTcuTC4uVVNELkgBAAAAyoABAAIAAAAFMzIwMjUBCAAAAAUAAAABMQEAAAAKMTkyMDUzNTQ3MwMAAAADMTYwAgAAAAIyOAQAAAABMAcAAAAJOS8zMC8yMDE3CAAAAAk5LzMwLzIwMTcJAAAAATDa/NmKRCXeCLYslItEJd4IMUNJUS5FT0cuSVFfVE9UQUxfUkVWRU5VRS5JUV9DUS4zLzMxLzIwMjIuTC4uVVNELkgBAAAAXB0EAAIAAAAENjc3OAEIAAAABQAAAAExAQAAAAstMjA0NzQ3MzY3MQMAAAADMTYwAgAAAAIyOAQAAAABMAcAAAAJMy8zMS8yMDIyCAAAAAkzLzMxLzIwMjIJAAAAATAJEceKRCXeCDSdgotEJd4IMUNJUS5DVlguSVFfVE9UQUxfUkVWRU5VRS5JUV9DUS45LzMwLzIwMTAuTC4uVVNELkgBAAAAyoABAAIAAAAFNDYzNzIBCAAAAAUAAAABMQEAAAAKMTQ4MDA2NzE4MgMAAAAD</t>
  </si>
  <si>
    <t>MTYwAgAAAAIyOAQAAAABMAcAAAAJOS8zMC8yMDEwCAAAAAk5LzMwLzIwMTAJAAAAATDa/NmKRCXeCPfIlItEJd4IMUNJUS5YT00uSVFfVE9UQUxfUkVWRU5VRS5JUV9DUS45LzMwLzIwMjAuTC4uVVNELkgBAAAAQjMGAAIAAAAFNDU2OTYBCAAAAAUAAAABMQEAAAALLTIxMjM5MjkyMjEDAAAAAzE2MAIAAAACMjgEAAAAATAHAAAACTkvMzAvMjAyMAgAAAAJOS8zMC8yMDIwCQAAAAEwMTjHikQl3ghfv3uLRCXeCDFDSVEuWE9NLklRX1RPVEFMX1JFVkVOVUUuSVFfQ1EuNi8zMC8yMDIzLkwuLlVTRC5IAQAAAEIzBgACAAAABTgwMjU2AQgAAAAFAAAAATEBAAAACy0xOTE5MjM0NjcyAwAAAAMxNjACAAAAAjI4BAAAAAEwBwAAAAk2LzMwLzIwMjMIAAAACTYvMzAvMjAyMwkAAAABMOVK2opEJd4Ij2mIi0Ql3ggyQ0lRLkNWWC5JUV9UT1RBTF9SRVZFTlVFLklRX0NRLjEyLzMxLzIwMjQuTC4uVVNELkgBAAAAyoABAAIAAAAFNDkxNTkBCAAAAAUAAAABMQEAAAALLTE5NTg3NTc2MDADAAAAAzE2MAIAAAACMjgEAAAAATAHAAAACjEyLzMxLzIwMjQIAAAACjEyLzMxLzIwMjQJAAAAATDa/NmKRCXeCPfIlItEJd4IMUNJUS5YT00uSVFfVE9UQUxfUkVWRU5VRS5JUV9DUS42LzMwLzIwMTMuTC4uVVNELkgBAAAAQjMGAAIAAAAFOTU0OTgBCAAAAAUAAAABMQEAAAAKMTY4OTc2Mzk2OAMAAAADMTYwAgAAAAIyOAQAAAAB</t>
  </si>
  <si>
    <t>MAcAAAAJNi8zMC8yMDEzCAAAAAk2LzMwLzIwMTMJAAAAATBuK4qJRCXeCOkFUYtEJd4IMUNJUS5YT00uSVFfVE9UQUxfUkVWRU5VRS5JUV9DUS45LzMwLzIwMTcuTC4uVVNELkgBAAAAQjMGAAIAAAAFNTkzNTABCAAAAAUAAAABMQEAAAAKMTkyMDAxNzgwNQMAAAADMTYwAgAAAAIyOAQAAAABMAcAAAAJOS8zMC8yMDE3CAAAAAk5LzMwLzIwMTcJAAAAATB6eYqJRCXeCCd9bItEJd4IMUNJUS5DVlguSVFfVE9UQUxfUkVWRU5VRS5JUV9DUS4zLzMxLzIwMjIuTC4uVVNELkgBAAAAyoABAAIAAAAFNTE4MjEBCAAAAAUAAAABMQEAAAALLTIwMzU3MDY3NjkDAAAAAzE2MAIAAAACMjgEAAAAATAHAAAACTMvMzEvMjAyMggAAAAJMy8zMS8yMDIyCQAAAAEw2vzZikQl3gjkoZSLRCXeCDFDSVEuWE9NLklRX1RPVEFMX1JFVkVOVUUuSVFfQ1EuOS8zMC8yMDEwLkwuLlVTRC5IAQAAAEIzBgACAAAABTg1MTgxAQgAAAAFAAAAATEBAAAACjE0ODA1OTQ1NzADAAAAAzE2MAIAAAACMjgEAAAAATAHAAAACTkvMzAvMjAxMAgAAAAJOS8zMC8yMDEwCQAAAAEwBjN9iUQl3ggxH0SLRCXeCDFDSVEuRU9HLklRX1RPVEFMX1JFVkVOVUUuSVFfQ1EuMy8zMS8yMDE1LkwuLlVTRC5IAQAAAFwdBAACAAAACDIyNDAuNzIzAQgAAAAFAAAAATEBAAAACjE3ODk3MTEzOTYDAAAAAzE2MAIAAAACMjgEAAAAATAHAAAACTMvMzEvMjAxNQgA</t>
  </si>
  <si>
    <t>AAAJMy8zMS8yMDE1CQAAAAEw2718iUQl3gh7KVyLRCXeCDJDSVEuRU9HLklRX1RPVEFMX1JFVkVOVUUuSVFfQ1EuMTIvMzEvMjAxNy5MLi5VU0QuSAEAAABcHQQAAgAAAAgzNDUwLjY5MQEIAAAABQAAAAExAQAAAAoxOTQ3MTA2NjQ4AwAAAAMxNjACAAAAAjI4BAAAAAEwBwAAAAoxMi8zMS8yMDE3CAAAAAoxMi8zMS8yMDE3CQAAAAEwenmKiUQl3gjQA26LRCXeCDFDSVEuWE9NLklRX1RPVEFMX1JFVkVOVUUuSVFfQ1EuNi8zMC8yMDE5LkwuLlVTRC5IAQAAAEIzBgACAAAABTY3NzMyAQgAAAAFAAAAATEBAAAACjIwNDgzMDM1NzQDAAAAAzE2MAIAAAACMjgEAAAAATAHAAAACTYvMzAvMjAxOQgAAAAJNi8zMC8yMDE5CQAAAAEwSIbHikQl3gjhpHWLRCXeCDFDSVEuWE9NLklRX1RPVEFMX1JFVkVOVUUuSVFfQ1EuMy8zMS8yMDIyLkwuLlVTRC5IAQAAAEIzBgACAAAABTg3OTYyAQgAAAAFAAAAATEBAAAACy0yMDQ3ODk4MTk5AwAAAAMxNjACAAAAAjI4BAAAAAEwBwAAAAkzLzMxLzIwMjIIAAAACTMvMzEvMjAyMgkAAAABMAkRx4pEJd4INJ2Ci0Ql3ggyQ0lRLkVPRy5JUV9UT1RBTF9SRVZFTlVFLklRX0NRLjEyLzMxLzIwMTMuTC4uVVNELkgBAAAAXB0EAAIAAAAIMzY5Ni41MjMBCAAAAAUAAAABMQEAAAAKMTcyMDM0NTkwMgMAAAADMTYwAgAAAAIyOAQAAAABMAcAAAAKMTIvMzEvMjAxMwgAAAAKMTIvMzEv</t>
  </si>
  <si>
    <t>MjAxMwkAAAABMG4riolEJd4IA8VTi0Ql3ggxQ0lRLkNWWC5JUV9UT1RBTF9SRVZFTlVFLklRX0NRLjMvMzEvMjAxNS5MLi5VU0QuSAEAAADKgAEAAgAAAAUzMDQzOAEIAAAABQAAAAExAQAAAAoxNzg5ODUxMTUyAwAAAAMxNjACAAAAAjI4BAAAAAEwBwAAAAkzLzMxLzIwMTUIAAAACTMvMzEvMjAxNQkAAAABMNr82YpEJd4IpgWUi0Ql3ggyQ0lRLkNWWC5JUV9UT1RBTF9SRVZFTlVFLklRX0NRLjEyLzMxLzIwMTcuTC4uVVNELkgBAAAAyoABAAIAAAAFMzQ1MDcBCAAAAAUAAAABMQEAAAAKMTk0NjY4Mzk0NgMAAAADMTYwAgAAAAIyOAQAAAABMAcAAAAKMTIvMzEvMjAxNwgAAAAKMTIvMzEvMjAxNwkAAAABMNr82YpEJd4ItiyUi0Ql3ggxQ0lRLkVPRy5JUV9UT1RBTF9SRVZFTlVFLklRX0NRLjMvMzEvMjAyNS5MLi5VU0QuSAEAAABcHQQAAgAAAAQ1ODYxAQgAAAAFAAAAATEBAAAACy0xOTQ2OTg3MjI3AwAAAAMxNjACAAAAAjI4BAAAAAEwBwAAAAkzLzMxLzIwMjUIAAAACTMvMzEvMjAyNQkAAAABMOoj2opEJd4Idx+Ri0Ql3ggxQ0lRLkVPRy5JUV9UT1RBTF9SRVZFTlVFLklRX0NRLjMvMzEvMjAxMi5MLi5VU0QuSAEAAABcHQQAAgAAAAgyNjA0Ljk3NQEIAAAABQAAAAExAQAAAAoxNjE2MTkwNDk3AwAAAAMxNjACAAAAAjI4BAAAAAEwBwAAAAkzLzMxLzIwMTIIAAAACTMvMzEvMjAxMgkAAAABMNu9fIlE</t>
  </si>
  <si>
    <t>Jd4IrzNLi0Ql3ggyQ0lRLkVPRy5JUV9UT1RBTF9SRVZFTlVFLklRX0NRLjEyLzMxLzIwMjMuTC4uVVNELkgBAAAAXB0EAAIAAAAENjA1OQEIAAAABQAAAAExAQAAAAstMTk1Nzk2Njg1NQMAAAADMTYwAgAAAAIyOAQAAAABMAcAAAAKMTIvMzEvMjAyMwgAAAAKMTIvMzEvMjAyMwkAAAABMOVK2opEJd4I492Ki0Ql3ggyQ0lRLkNWWC5JUV9UT1RBTF9SRVZFTlVFLklRX0NRLjEyLzMxLzIwMTAuTC4uVVNELkgBAAAAyoABAAIAAAAFNDk3MTYBCAAAAAUAAAABMQEAAAAKMTUxOTU2NzI3NwMAAAADMTYwAgAAAAIyOAQAAAABMAcAAAAKMTIvMzEvMjAxMAgAAAAKMTIvMzEvMjAxMAkAAAABMNr82YpEJd4IkLeTi0Ql3ggxQ0lRLlhPTS5JUV9UT1RBTF9SRVZFTlVFLklRX0NRLjMvMzEvMjAxNS5MLi5VU0QuSAEAAABCMwYAAgAAAAU1OTIyOAEIAAAABQAAAAExAQAAAAoxNzg5NjEwMzQzAwAAAAMxNjACAAAAAjI4BAAAAAEwBwAAAAkzLzMxLzIwMTUIAAAACTMvMzEvMjAxNQkAAAABMNu9fIlEJd4IagJci0Ql3ggyQ0lRLlhPTS5JUV9UT1RBTF9SRVZFTlVFLklRX0NRLjEyLzMxLzIwMTcuTC4uVVNELkgBAAAAQjMGAAIAAAAFNjUzMTIBCAAAAAUAAAABMQEAAAAKMTk0NzQwNDY3NgMAAAADMTYwAgAAAAIyOAQAAAABMAcAAAAKMTIvMzEvMjAxNwgAAAAKMTIvMzEvMjAxNwkAAAABMHp5iolEJd4Iutxti0Ql3ggy</t>
  </si>
  <si>
    <t>Q0lRLkVPRy5JUV9UT1RBTF9SRVZFTlVFLklRX0NRLjEyLzMxLzIwMjAuTC4uVVNELkgBAAAAXB0EAAIAAAAEMjkwMQEIAAAABQAAAAExAQAAAAstMjExMDU5MTE4NAMAAAADMTYwAgAAAAIyOAQAAAABMAcAAAAKMTIvMzEvMjAyMAgAAAAKMTIvMzEvMjAyMAkAAAABMDE4x4pEJd4I4Pd8i0Ql3ggxQ0lRLkNWWC5JUV9UT1RBTF9SRVZFTlVFLklRX0NRLjkvMzAvMjAxNi5MLi5VU0QuSAEAAADKgAEAAgAAAAUyNzM4NwEIAAAABQAAAAExAQAAAAoxODYzODY0NjI2AwAAAAMxNjACAAAAAjI4BAAAAAEwBwAAAAk5LzMwLzIwMTYIAAAACTkvMzAvMjAxNgkAAAABMNr82YpEJd4ItiyUi0Ql3ggyQ0lRLlhPTS5JUV9UT1RBTF9SRVZFTlVFLklRX0NRLjEyLzMxLzIwMTMuTC4uVVNELkgBAAAAQjMGAAIAAAAFOTgzNTUBCAAAAAUAAAABMQEAAAAKMTcyMDc2MzE2OAMAAAADMTYwAgAAAAIyOAQAAAABMAcAAAAKMTIvMzEvMjAxMwgAAAAKMTIvMzEvMjAxMwkAAAABMG4riolEJd4IA8VTi0Ql3ggxQ0lRLlhPTS5JUV9UT1RBTF9SRVZFTlVFLklRX0NRLjkvMzAvMjAxOS5MLi5VU0QuSAEAAABCMwYAAgAAAAU2Mzg1MwEIAAAABQAAAAExAQAAAAoyMDY4MjcyODE1AwAAAAMxNjACAAAAAjI4BAAAAAEwBwAAAAk5LzMwLzIwMTkIAAAACTkvMzAvMjAxOQkAAAABMEiGx4pEJd4IY912i0Ql3ggyQ0lRLlhPTS5JUV9UT1RB</t>
  </si>
  <si>
    <t>TF9SRVZFTlVFLklRX0NRLjEyLzMxLzIwMjMuTC4uVVNELkgBAAAAQjMGAAIAAAAFODM2NTYBCAAAAAUAAAABMQEAAAALLTE5NTg5NTM2MTcDAAAAAzE2MAIAAAACMjgEAAAAATAHAAAACjEyLzMxLzIwMjMIAAAACjEyLzMxLzIwMjMJAAAAATDlStqKRCXeCPkEi4tEJd4IMUNJUS5FT0cuSVFfVE9UQUxfUkVWRU5VRS5JUV9DUS42LzMwLzIwMTIuTC4uVVNELkgBAAAAXB0EAAIAAAAHMjYwNy41OAEIAAAABQAAAAExAQAAAAoxNjI5NTIwNTI1AwAAAAMxNjACAAAAAjI4BAAAAAEwBwAAAAk2LzMwLzIwMTIIAAAACTYvMzAvMjAxMgkAAAABMKuHmIlEJd4Iul1Mi0Ql3ggxQ0lRLlhPTS5JUV9UT1RBTF9SRVZFTlVFLklRX0NRLjYvMzAvMjAxNS5MLi5VU0QuSAEAAABCMwYAAgAAAAU2NTM5NQEIAAAABQAAAAExAQAAAAoxODAxNjE2ODgwAwAAAAMxNjACAAAAAjI4BAAAAAEwBwAAAAk2LzMwLzIwMTUIAAAACTYvMzAvMjAxNQkAAAABMMiWfIlEJd4IHrBdi0Ql3ggxQ0lRLkVPRy5JUV9UT1RBTF9SRVZFTlVFLklRX0NRLjYvMzAvMjAxOC5MLi5VU0QuSAEAAABcHQQAAgAAAAg0NDMwLjI3NwEIAAAABQAAAAExAQAAAAoxOTczMzQxMzU2AwAAAAMxNjACAAAAAjI4BAAAAAEwBwAAAAk2LzMwLzIwMTgIAAAACTYvMzAvMjAxOAkAAAABMGtSiolEJd4IEDhxi0Ql3ggxQ0lRLlhPTS5JUV9UT1RBTF9SRVZFTlVFLklR</t>
  </si>
  <si>
    <t>X0NRLjkvMzAvMjAyMi5MLi5VU0QuSAEAAABCMwYAAgAAAAYxMDc0MzgBCAAAAAUAAAABMQEAAAALLTIwMjE4Njk3MDgDAAAAAzE2MAIAAAACMjgEAAAAATAHAAAACTkvMzAvMjAyMggAAAAJOS8zMC8yMDIyCQAAAAEw/unGikQl3ggi54SLRCXeCDFDSVEuWE9NLklRX1RPVEFMX1JFVkVOVUUuSVFfQ1EuOS8zMC8yMDEyLkwuLlVTRC5IAQAAAEIzBgACAAAABjEwMjg1MgEIAAAABQAAAAExAQAAAAoxNjQzNDcyODIyAwAAAAMxNjACAAAAAjI4BAAAAAEwBwAAAAk5LzMwLzIwMTIIAAAACTkvMzAvMjAxMgkAAAABMKuHmIlEJd4IcoNNi0Ql3ggxQ0lRLkNWWC5JUV9UT1RBTF9SRVZFTlVFLklRX0NRLjYvMzAvMjAyNS5MLi5VU0QuSAEAAADKgAEAAgAAAAU0NDUxNgEIAAAABQAAAAExAQAAAAstMTkxODA5NDYyMwMAAAADMTYwAgAAAAIyOAQAAAABMAcAAAAJNi8zMC8yMDI1CAAAAAk2LzMwLzIwMjUJAAAAATDa/NmKRCXeCPfIlItEJd4IMUNJUS5FT0cuSVFfVE9UQUxfUkVWRU5VRS5JUV9DUS4zLzMxLzIwMTEuTC4uVVNELkgBAAAAXB0EAAIAAAAHMTg5Mi4xMQEIAAAABQAAAAExAQAAAAoxNTQ1NjcwODY5AwAAAAMxNjACAAAAAjI4BAAAAAEwBwAAAAkzLzMxLzIwMTEIAAAACTMvMzEvMjAxMQkAAAABMOfkfIlEJd4IMJBGi0Ql3ggxQ0lRLlhPTS5JUV9UT1RBTF9SRVZFTlVFLklRX0NRLjMvMzEvMjAxNC5M</t>
  </si>
  <si>
    <t>Li5VU0QuSAEAAABCMwYAAgAAAAU5Mzg5NgEIAAAABQAAAAExAQAAAAoxNzMyOTgyNDA5AwAAAAMxNjACAAAAAjI4BAAAAAEwBwAAAAkzLzMxLzIwMTQIAAAACTMvMzEvMjAxNAkAAAABMFAEiolEJd4IpUtVi0Ql3ggxQ0lRLlhPTS5JUV9UT1RBTF9SRVZFTlVFLklRX0NRLjYvMzAvMjAyNS5MLi5VU0QuSAEAAABCMwYAAgAAAAU3OTQ3NwEIAAAABQAAAAExAQAAAAstMTkzMzQ0NDExMAMAAAADMTYwAgAAAAIyOAQAAAABMAcAAAAJNi8zMC8yMDI1CAAAAAk2LzMwLzIwMjUJAAAAATDqI9qKRCXeCAB/kotEJd4IMUNJUS5DVlguSVFfVE9UQUxfUkVWRU5VRS5JUV9DUS4zLzMxLzIwMTcuTC4uVVNELkgBAAAAyoABAAIAAAAFMjk4NDcBCAAAAAUAAAABMQEAAAAKMTg4NjYxMzgyOQMAAAADMTYwAgAAAAIyOAQAAAABMAcAAAAJMy8zMS8yMDE3CAAAAAkzLzMxLzIwMTcJAAAAATDa/NmKRCXeCLYslItEJd4IMUNJUS5FT0cuSVFfVE9UQUxfUkVWRU5VRS5JUV9DUS4zLzMxLzIwMjQuTC4uVVNELkgBAAAAXB0EAAIAAAAENTg2MAEIAAAABQAAAAExAQAAAAstMTk0Njk4NzIwOQMAAAADMTYwAgAAAAIyOAQAAAABMAcAAAAJMy8zMS8yMDI0CAAAAAkzLzMxLzIwMjQJAAAAATDlStqKRCXeCGEWjItEJd4IMkNJUS5DVlguSVFfVE9UQUxfUkVWRU5VRS5JUV9DUS4xMi8zMS8yMDE5LkwuLlVTRC5IAQAAAMqAAQACAAAA</t>
  </si>
  <si>
    <t>BTI2NzgzAQgAAAAFAAAAATEBAAAACjIwODE5ODAyNDgDAAAAAzE2MAIAAAACMjgEAAAAATAHAAAACjEyLzMxLzIwMTkIAAAACjEyLzMxLzIwMTkJAAAAATDa/NmKRCXeCNd6lItEJd4IMkNJUS5DT1AuSVFfVE9UQUxfUkVWRU5VRS5JUV9MVE0uOS8zMC8yMDI1LkwuLlVTRC5IAQAAAE+GBAACAAAABTYxMjgwAQgAAAAFAAAAATEBAAAACy0xOTE4MDQ1NDIxAwAAAAMxNjACAAAAAjI4BAAAAAEwBwAAAAk5LzMwLzIwMjUIAAAACTkvMzAvMjAyNQkAAAABMNr82YpEJd4IkLeTi0Ql3ggyQ0lRLlhPTS5JUV9UT1RBTF9SRVZFTlVFLklRX0xUTS42LzMwLzIwMTAuTC4uVVNELkgBAAAAQjMGAAIAAAAGMzE2MzYwAQgAAAAFAAAAATEBAAAACjE0NjUwMTQ0MTEDAAAAAzE2MAIAAAACMjgEAAAAATAHAAAACTYvMzAvMjAxMAgAAAAJNi8zMC8yMDEwCQAAAAEwBjN9iUQl3gjWNEOLRCXeCDJDSVEuWE9NLklRX1RPVEFMX1JFVkVOVUUuSVFfTFRNLjYvMzAvMjAxOC5MLi5VU0QuSAEAAABCMwYAAgAAAAYyNjE1NTQBCAAAAAUAAAABMQEAAAAKMTk3NDUyODM3NwMAAAADMTYwAgAAAAIyOAQAAAABMAcAAAAJNi8zMC8yMDE4CAAAAAk2LzMwLzIwMTgJAAAAATBrUoqJRCXeCBA4cYtEJd4IMkNJUS5YT00uSVFfVE9UQUxfUkVWRU5VRS5JUV9MVE0uNi8zMC8yMDIwLkwuLlVTRC5IAQAAAEIzBgACAAAABjIxNDAzNAEIAAAA</t>
  </si>
  <si>
    <t>BQAAAAExAQAAAAstMjE0MDA3MDk1MAMAAAADMTYwAgAAAAIyOAQAAAABMAcAAAAJNi8zMC8yMDIwCAAAAAk2LzMwLzIwMjAJAAAAATApX8eKRCXeCOeGeotEJd4IMkNJUS5FT0cuSVFfVE9UQUxfUkVWRU5VRS5JUV9MVE0uMy8zMS8yMDIzLkwuLlVTRC5IAQAAAFwdBAACAAAABTI4NDMxAQgAAAAFAAAAATEBAAAACy0xOTk3MTY3Mzc2AwAAAAMxNjACAAAAAjI4BAAAAAEwBwAAAAkzLzMxLzIwMjMIAAAACTMvMzEvMjAyMwkAAAABMOVK2opEJd4IDjGHi0Ql3ggyQ0lRLkVPRy5JUV9UT1RBTF9SRVZFTlVFLklRX0xUTS4zLzMxLzIwMjUuTC4uVVNELkgBAAAAXB0EAAIAAAAFMjM0NzkBCAAAAAUAAAABMQEAAAALLTE5NDY5ODY0NDUDAAAAAzE2MAIAAAACMjgEAAAAATAHAAAACTMvMzEvMjAyNQgAAAAJMy8zMS8yMDI1CQAAAAEw6iPaikQl3gho+JCLRCXeCDJDSVEuQ1ZYLklRX1RPVEFMX1JFVkVOVUUuSVFfTFRNLjMvMzEvMjAxMS5MLi5VU0QuSAEAAADKgAEAAgAAAAYyMDEyMTYBCAAAAAUAAAABMQEAAAAKMTU0NTA0MzMyMAMAAAADMTYwAgAAAAIyOAQAAAABMAcAAAAJMy8zMS8yMDExCAAAAAkzLzMxLzIwMTEJAAAAATD1C32JRCXeCDCQRotEJd4IMkNJUS5DT1AuSVFfVE9UQUxfUkVWRU5VRS5JUV9MVE0uNi8zMC8yMDEyLkwuLlVTRC5IAQAAAE+GBAACAAAABTYxMjc4AQgAAAAFAAAAATEBAAAACjE2</t>
  </si>
  <si>
    <t>MjkyMTAzMDcDAAAAAzE2MAIAAAACMjgEAAAAATAHAAAACTYvMzAvMjAxMggAAAAJNi8zMC8yMDEyCQAAAAEwq4eYiUQl3gi6XUyLRCXeCDJDSVEuQ1ZYLklRX1RPVEFMX1JFVkVOVUUuSVFfTFRNLjMvMzEvMjAxMy5MLi5VU0QuSAEAAADKgAEAAgAAAAYyMTc3MzMBCAAAAAUAAAABMQEAAAAKMTY3NTA0MTcwOQMAAAADMTYwAgAAAAIyOAQAAAABMAcAAAAJMy8zMS8yMDEzCAAAAAkzLzMxLzIwMTMJAAAAATCYYJiJRCXeCHH0T4tEJd4IMkNJUS5DT1AuSVFfVE9UQUxfUkVWRU5VRS5JUV9MVE0uNi8zMC8yMDE0LkwuLlVTRC5IAQAAAE+GBAACAAAABTU4ODM2AQgAAAAFAAAAATEBAAAACjE3NDg2OTEyODUDAAAAAzE2MAIAAAACMjgEAAAAATAHAAAACTYvMzAvMjAxNAgAAAAJNi8zMC8yMDE0CQAAAAEwUASKiUQl3giDbleLRCXeCDJDSVEuQ1ZYLklRX1RPVEFMX1JFVkVOVUUuSVFfTFRNLjMvMzEvMjAxNS5MLi5VU0QuSAEAAADKgAEAAgAAAAYxNzM3MTQBCAAAAAUAAAABMQEAAAAKMTc4OTg1NDg5NAMAAAADMTYwAgAAAAIyOAQAAAABMAcAAAAJMy8zMS8yMDE1CAAAAAkzLzMxLzIwMTUJAAAAATDbvXyJRCXeCHspXItEJd4IMkNJUS5DT1AuSVFfVE9UQUxfUkVWRU5VRS5JUV9MVE0uNi8zMC8yMDE2LkwuLlVTRC5IAQAAAE+GBAACAAAABTI0MTQ3AQgAAAAFAAAAATEBAAAACjE4NTEyNjc0NzUDAAAAAzE2</t>
  </si>
  <si>
    <t>MAIAAAACMjgEAAAAATAHAAAACTYvMzAvMjAxNggAAAAJNi8zMC8yMDE2CQAAAAEwoceKiUQl3gjWZmSLRCXeCDJDSVEuQ1ZYLklRX1RPVEFMX1JFVkVOVUUuSVFfTFRNLjMvMzEvMjAxOS5MLi5VU0QuSAEAAADKgAEAAgAAAAYxNDkyNjIBCAAAAAUAAAABMQEAAAAKMjAzMzcyODM0MwMAAAADMTYwAgAAAAIyOAQAAAABMAcAAAAJMy8zMS8yMDE5CAAAAAkzLzMxLzIwMTkJAAAAATD1C32JRCXeCHu6dItEJd4IMkNJUS5DT1AuSVFfVE9UQUxfUkVWRU5VRS5JUV9MVE0uNi8zMC8yMDIwLkwuLlVTRC5IAQAAAE+GBAACAAAABTI1MTAwAQgAAAAFAAAAATEBAAAACy0yMTM5NzQyMDY5AwAAAAMxNjACAAAAAjI4BAAAAAEwBwAAAAk2LzMwLzIwMjAIAAAACTYvMzAvMjAyMAkAAAABMClfx4pEJd4I54Z6i0Ql3ggyQ0lRLkNPUC5JUV9UT1RBTF9SRVZFTlVFLklRX0xUTS42LzMwLzIwMjIuTC4uVVNELkgBAAAAT4YEAAIAAAAFNjY4OTABCAAAAAUAAAABMQEAAAALLTIwMjE0NzQ4NTkDAAAAAzE2MAIAAAACMjgEAAAAATAHAAAACTYvMzAvMjAyMggAAAAJNi8zMC8yMDIyCQAAAAEw/unGikQl3git1YOLRCXeCDJDSVEuQ1ZYLklRX1RPVEFMX1JFVkVOVUUuSVFfTFRNLjMvMzEvMjAyNS5MLi5VU0QuSAEAAADKgAEAAgAAAAYxOTQ2MTgBCAAAAAUAAAABMQEAAAALLTE5MzI1OTA0NTYDAAAAAzE2MAIAAAACMjgEAAAA</t>
  </si>
  <si>
    <t>ATAHAAAACTMvMzEvMjAyNQgAAAAJMy8zMS8yMDI1CQAAAAEw6iPaikQl3gho+JCLRCXeCDJDSVEuWE9NLklRX1RPVEFMX1JFVkVOVUUuSVFfTFRNLjMvMzEvMjAxMS5MLi5VU0QuSAEAAABCMwYAAgAAAAYzNjI2OTEBCAAAAAUAAAABMQEAAAAKMTU0NTA0MzUzMgMAAAADMTYwAgAAAAIyOAQAAAABMAcAAAAJMy8zMS8yMDExCAAAAAkzLzMxLzIwMTEJAAAAATD1C32JRCXeCDCQRotEJd4IM0NJUS5FT0cuSVFfVE9UQUxfUkVWRU5VRS5JUV9MVE0uMTIvMzEvMjAxMy5MLi5VU0QuSAEAAABcHQQAAgAAAAkxNDQ1NS45MDIBCAAAAAUAAAABMQEAAAAKMTc3Nzc1NjM0OAMAAAADMTYwAgAAAAIyOAQAAAABMAcAAAAKMTIvMzEvMjAxMwgAAAAKMTIvMzEvMjAxMwkAAAABMG4riolEJd4I9p1Ti0Ql3ggyQ0lRLlhPTS5JUV9UT1RBTF9SRVZFTlVFLklRX0xUTS4zLzMxLzIwMTUuTC4uVVNELkgBAAAAQjMGAAIAAAAGMzMwMDk1AQgAAAAFAAAAATEBAAAACjE3ODk2MTEzMzkDAAAAAzE2MAIAAAACMjgEAAAAATAHAAAACTMvMzEvMjAxNQgAAAAJMy8zMS8yMDE1CQAAAAEw2718iUQl3gh7KVyLRCXeCDNDSVEuRU9HLklRX1RPVEFMX1JFVkVOVUUuSVFfTFRNLjEyLzMxLzIwMTcuTC4uVVNELkgBAAAAXB0EAAIAAAAJMTEyODcuNTg4AQgAAAAFAAAAATEBAAAACjIwMTgxNjkwMTcDAAAAAzE2MAIAAAACMjgEAAAAATAH</t>
  </si>
  <si>
    <t>AAAACjEyLzMxLzIwMTcIAAAACjEyLzMxLzIwMTcJAAAAATB6eYqJRCXeCKO1bYtEJd4IMkNJUS5YT00uSVFfVE9UQUxfUkVWRU5VRS5JUV9MVE0uMy8zMS8yMDE5LkwuLlVTRC5IAQAAAEIzBgACAAAABjI3NTgxMgEIAAAABQAAAAExAQAAAAoyMDMzNzQ0MjIyAwAAAAMxNjACAAAAAjI4BAAAAAEwBwAAAAkzLzMxLzIwMTkIAAAACTMvMzEvMjAxOQkAAAABMPULfYlEJd4Ie7p0i0Ql3ggzQ0lRLkVPRy5JUV9UT1RBTF9SRVZFTlVFLklRX0xUTS4xMi8zMS8yMDIxLkwuLlVTRC5IAQAAAFwdBAACAAAABTE5Nzc3AQgAAAAFAAAAATEBAAAACy0yMDA5MjM3MjM4AwAAAAMxNjACAAAAAjI4BAAAAAEwBwAAAAoxMi8zMS8yMDIxCAAAAAoxMi8zMS8yMDIxCQAAAAEwCRHHikQl3gisZIGLRCXeCDJDSVEuWE9NLklRX1RPVEFMX1JFVkVOVUUuSVFfTFRNLjMvMzEvMjAyMy5MLi5VU0QuSAEAAABCMwYAAgAAAAYzOTc0MDQBCAAAAAUAAAABMQEAAAALLTE5OTgwNTU5ODADAAAAAzE2MAIAAAACMjgEAAAAATAHAAAACTMvMzEvMjAyMwgAAAAJMy8zMS8yMDIzCQAAAAEw5UraikQl3gghWIeLRCXeCDJDSVEuRU9HLklRX1RPVEFMX1JFVkVOVUUuSVFfTFRNLjMvMzEvMjAxMS5MLi5VU0QuSAEAAABcHQQAAgAAAAc2MzQyLjk5AQgAAAAFAAAAATEBAAAACjE1NDU2ODczNDEDAAAAAzE2MAIAAAACMjgEAAAAATAHAAAACTMv</t>
  </si>
  <si>
    <t>MzEvMjAxMQgAAAAJMy8zMS8yMDExCQAAAAEw9Qt9iUQl3ggmaUaLRCXeCDJDSVEuWE9NLklRX1RPVEFMX1JFVkVOVUUuSVFfTFRNLjYvMzAvMjAxMi5MLi5VU0QuSAEAAABCMwYAAgAAAAY0MzQyNDkBCAAAAAUAAAABMQEAAAAKMTY0MzQ4Mzk3MwMAAAADMTYwAgAAAAIyOAQAAAABMAcAAAAJNi8zMC8yMDEyCAAAAAk2LzMwLzIwMTIJAAAAATCrh5iJRCXeCLpdTItEJd4IMkNJUS5FT0cuSVFfVE9UQUxfUkVWRU5VRS5JUV9MVE0uMy8zMS8yMDEzLkwuLlVTRC5IAQAAAFwdBAACAAAACTExNzg4LjQ5NAEIAAAABQAAAAExAQAAAAoxNjc1NzUwNjA0AwAAAAMxNjACAAAAAjI4BAAAAAEwBwAAAAkzLzMxLzIwMTMIAAAACTMvMzEvMjAxMwkAAAABMJhgmIlEJd4ITaZPi0Ql3ggyQ0lRLlhPTS5JUV9UT1RBTF9SRVZFTlVFLklRX0xUTS42LzMwLzIwMTQuTC4uVVNELkgBAAAAQjMGAAIAAAAGMzkwNjA3AQgAAAAFAAAAATEBAAAACjE3NDg4NDY4NjcDAAAAAzE2MAIAAAACMjgEAAAAATAHAAAACTYvMzAvMjAxNAgAAAAJNi8zMC8yMDE0CQAAAAEwUASKiUQl3giDbleLRCXeCDJDSVEuRU9HLklRX1RPVEFMX1JFVkVOVUUuSVFfTFRNLjMvMzEvMjAxNS5MLi5VU0QuSAEAAABcHQQAAgAAAAkxNDcwNi4yOTEBCAAAAAUAAAABMQEAAAAKMTc4OTcxMTcyMgMAAAADMTYwAgAAAAIyOAQAAAABMAcAAAAJMy8zMS8yMDE1</t>
  </si>
  <si>
    <t>CAAAAAkzLzMxLzIwMTUJAAAAATDbvXyJRCXeCFjbW4tEJd4IMkNJUS5YT00uSVFfVE9UQUxfUkVWRU5VRS5JUV9MVE0uNi8zMC8yMDE2LkwuLlVTRC5IAQAAAEIzBgACAAAABjIwNTk2MwEIAAAABQAAAAExAQAAAAoxODc2Mzk5MDk1AwAAAAMxNjACAAAAAjI4BAAAAAEwBwAAAAk2LzMwLzIwMTYIAAAACTYvMzAvMjAxNgkAAAABMKHHiolEJd4I1mZki0Ql3ggyQ0lRLkVPRy5JUV9UT1RBTF9SRVZFTlVFLklRX0xUTS4zLzMxLzIwMTcuTC4uVVNELkgBAAAAXB0EAAIAAAAIODc2OS45NDEBCAAAAAUAAAABMQEAAAAKMTg4NjMyNDA4NwMAAAADMTYwAgAAAAIyOAQAAAABMAcAAAAJMy8zMS8yMDE3CAAAAAkzLzMxLzIwMTcJAAAAATCNoIqJRCXeCLX6aItEJd4IMkNJUS5FT0cuSVFfVE9UQUxfUkVWRU5VRS5JUV9MVE0uMy8zMS8yMDE5LkwuLlVTRC5IAQAAAFwdBAACAAAACTE3NTkzLjYzMwEIAAAABQAAAAExAQAAAAoyMDM0MDIwMDk0AwAAAAMxNjACAAAAAjI4BAAAAAEwBwAAAAkzLzMxLzIwMTkIAAAACTMvMzEvMjAxOQkAAAABMPULfYlEJd4IW2x0i0Ql3ggyQ0lRLkVPRy5JUV9UT1RBTF9SRVZFTlVFLklRX0xUTS4zLzMxLzIwMjEuTC4uVVNELkgBAAAAXB0EAAIAAAAFMTA1MDUBCAAAAAUAAAABMQEAAAALLTIwOTg0OTgzNjEDAAAAAzE2MAIAAAACMjgEAAAAATAHAAAACTMvMzEvMjAyMQgAAAAJMy8z</t>
  </si>
  <si>
    <t>MS8yMDIxCQAAAAEwMTjHikQl3gg/4n2LRCXeCDJDSVEuWE9NLklRX1RPVEFMX1JFVkVOVUUuSVFfTFRNLjYvMzAvMjAyMi5MLi5VU0QuSAEAAABCMwYAAgAAAAYzNTQ5NTYBCAAAAAUAAAABMQEAAAALLTIwMzYxNjU2ODkDAAAAAzE2MAIAAAACMjgEAAAAATAHAAAACTYvMzAvMjAyMggAAAAJNi8zMC8yMDIyCQAAAAEw/unGikQl3git1YOLRCXeCDJDSVEuWE9NLklRX1RPVEFMX1JFVkVOVUUuSVFfTFRNLjYvMzAvMjAyNC5MLi5VU0QuSAEAAABCMwYAAgAAAAYzNDI2MjMBCAAAAAUAAAABMQEAAAALLTE5MzM0NDMzNjQDAAAAAzE2MAIAAAACMjgEAAAAATAHAAAACTYvMzAvMjAyNAgAAAAJNi8zMC8yMDI0CQAAAAEw6iPaikQl3gjYJ42LRCXeCDJDSVEuQ09QLklRX1RPVEFMX1JFVkVOVUUuSVFfTFRNLjYvMzAvMjAxMC5MLi5VU0QuSAEAAABPhgQAAgAAAAYxNjM4MzYBCAAAAAUAAAABMQEAAAAKMTQ2NDU3MjkzNAMAAAADMTYwAgAAAAIyOAQAAAABMAcAAAAJNi8zMC8yMDEwCAAAAAk2LzMwLzIwMTAJAAAAATAGM32JRCXeCORbQ4tEJd4IMkNJUS5DVlguSVFfVE9UQUxfUkVWRU5VRS5JUV9MVE0uMy8zMS8yMDE3LkwuLlVTRC5IAQAAAMqAAQACAAAABjExMTczOQEIAAAABQAAAAExAQAAAAoxODg2NjE3MjEyAwAAAAMxNjACAAAAAjI4BAAAAAEwBwAAAAkzLzMxLzIwMTcIAAAACTMvMzEvMjAxNwkAAAAB</t>
  </si>
  <si>
    <t>MI2giolEJd4I1khpi0Ql3ggyQ0lRLkNPUC5JUV9UT1RBTF9SRVZFTlVFLklRX0xUTS42LzMwLzIwMTguTC4uVVNELkgBAAAAT4YEAAIAAAAFMzI5NzYBCAAAAAUAAAABMQEAAAAKMTk3NTExNjU4MQMAAAADMTYwAgAAAAIyOAQAAAABMAcAAAAJNi8zMC8yMDE4CAAAAAk2LzMwLzIwMTgJAAAAATBrUoqJRCXeCBA4cYtEJd4IMkNJUS5DVlguSVFfVE9UQUxfUkVWRU5VRS5JUV9MVE0uMy8zMS8yMDIxLkwuLlVTRC5IAQAAAMqAAQACAAAABTk1NDUwAQgAAAAFAAAAATEBAAAACy0yMDk4NTYzNDgwAwAAAAMxNjACAAAAAjI4BAAAAAEwBwAAAAkzLzMxLzIwMjEIAAAACTMvMzEvMjAyMQkAAAABMDE4x4pEJd4IYTB+i0Ql3ggyQ0lRLkNWWC5JUV9UT1RBTF9SRVZFTlVFLklRX0xUTS4zLzMxLzIwMjMuTC4uVVNELkgBAAAAyoABAAIAAAAGMjMzMzA2AQgAAAAFAAAAATEBAAAACy0xOTg0NTczNzgyAwAAAAMxNjACAAAAAjI4BAAAAAEwBwAAAAkzLzMxLzIwMjMIAAAACTMvMzEvMjAyMwkAAAABMOVK2opEJd4IIViHi0Ql3ggyQ0lRLkNPUC5JUV9UT1RBTF9SRVZFTlVFLklRX0xUTS42LzMwLzIwMjQuTC4uVVNELkgBAAAAT4YEAAIAAAAFNTgwODABCAAAAAUAAAABMQEAAAALLTE5MzI4NTgzNDkDAAAAAzE2MAIAAAACMjgEAAAAATAHAAAACTYvMzAvMjAyNAgAAAAJNi8zMC8yMDI0CQAAAAEw6iPaikQl3gjYJ42L</t>
  </si>
  <si>
    <t>RCXeCDNDSVEuRU9HLklRX1RPVEFMX1JFVkVOVUUuSVFfTFRNLjEyLzMxLzIwMDkuTC4uVVNELkgBAAAAXB0EAAIAAAAIMzgxOS43NjYBCAAAAAUAAAABMQEAAAAKMTU2MjE3NjYwOQMAAAADMTYwAgAAAAIyOAQAAAABMAcAAAAKMTIvMzEvMjAwOQgAAAAKMTIvMzEvMjAwOQkAAAABMAYzfYlEJd4IFWBBi0Ql3ggzQ0lRLkVPRy5JUV9UT1RBTF9SRVZFTlVFLklRX0xUTS4xMi8zMS8yMDExLkwuLlVTRC5IAQAAAFwdBAACAAAACDkwMDcuMTUzAQgAAAAFAAAAATEBAAAACjE2NjAwNDQxODQDAAAAAzE2MAIAAAACMjgEAAAAATAHAAAACjEyLzMxLzIwMTEIAAAACjEyLzMxLzIwMTEJAAAAATDbvXyJRCXeCJgKSotEJd4IMkNJUS5YT00uSVFfVE9UQUxfUkVWRU5VRS5JUV9MVE0uMy8zMS8yMDEzLkwuLlVTRC5IAQAAAEIzBgACAAAABjQwNDI5MAEIAAAABQAAAAExAQAAAAoxNjc1OTkwNzA2AwAAAAMxNjACAAAAAjI4BAAAAAEwBwAAAAkzLzMxLzIwMTMIAAAACTMvMzEvMjAxMwkAAAABMJhgmIlEJd4IcfRPi0Ql3ggzQ0lRLkVPRy5JUV9UT1RBTF9SRVZFTlVFLklRX0xUTS4xMi8zMS8yMDE1LkwuLlVTRC5IAQAAAFwdBAACAAAACDg3MDQuMzAyAQgAAAAFAAAAATEBAAAACjE4NzY3NTQ0MjADAAAAAzE2MAIAAAACMjgEAAAAATAHAAAACjEyLzMxLzIwMTUIAAAACjEyLzMxLzIwMTUJAAAAATChx4qJRCXeCGnk</t>
  </si>
  <si>
    <t>YItEJd4IMkNJUS5YT00uSVFfVE9UQUxfUkVWRU5VRS5JUV9MVE0uMy8zMS8yMDE3LkwuLlVTRC5IAQAAAEIzBgACAAAABjIxNTgxMAEIAAAABQAAAAExAQAAAAoxODg2NDc2NjA2AwAAAAMxNjACAAAAAjI4BAAAAAEwBwAAAAkzLzMxLzIwMTcIAAAACTMvMzEvMjAxNwkAAAABMI2giolEJd4I1khpi0Ql3ggzQ0lRLkVPRy5JUV9UT1RBTF9SRVZFTlVFLklRX0xUTS4xMi8zMS8yMDE5LkwuLlVTRC5IAQAAAFwdBAACAAAABTE3MDc2AQgAAAAFAAAAATEBAAAACy0yMTEwNTkxMjAzAwAAAAMxNjACAAAAAjI4BAAAAAEwBwAAAAoxMi8zMS8yMDE5CAAAAAoxMi8zMS8yMDE5CQAAAAEwKV/HikQl3gjL7neLRCXeCDJDSVEuWE9NLklRX1RPVEFMX1JFVkVOVUUuSVFfTFRNLjMvMzEvMjAyMS5MLi5VU0QuSAEAAABCMwYAAgAAAAYxODIwNzUBCAAAAAUAAAABMQEAAAALLTIwOTg2Mjg1OTADAAAAAzE2MAIAAAACMjgEAAAAATAHAAAACTMvMzEvMjAyMQgAAAAJMy8zMS8yMDIxCQAAAAEwMTjHikQl3ghhMH6LRCXeCDNDSVEuRU9HLklRX1RPVEFMX1JFVkVOVUUuSVFfTFRNLjEyLzMxLzIwMjMuTC4uVVNELkgBAAAAXB0EAAIAAAAFMjMyNzMBCAAAAAUAAAABMQEAAAALLTE5NTc5NjY4NTMDAAAAAzE2MAIAAAACMjgEAAAAATAHAAAACjEyLzMxLzIwMjMIAAAACjEyLzMxLzIwMjMJAAAAATDlStqKRCXeCOPdiotEJd4I</t>
  </si>
  <si>
    <t>MkNJUS5YT00uSVFfVE9UQUxfUkVWRU5VRS5JUV9MVE0uMy8zMS8yMDI1LkwuLlVTRC5IAQAAAEIzBgACAAAABjM0MTIxNQEIAAAABQAAAAExAQAAAAstMTk0NjE1NzkwOAMAAAADMTYwAgAAAAIyOAQAAAABMAcAAAAJMy8zMS8yMDI1CAAAAAkzLzMxLzIwMjUJAAAAATDqI9qKRCXeCGj4kItEJd4IM0NJUS5DT1AuSVFfVE9UQUxfUkVWRU5VRS5JUV9MVE0uMTIvMzEvMjAwOS5MLi5VU0QuSAEAAABPhgQAAgAAAAYxMzg5MDUBCAAAAAUAAAABMQEAAAAKMTUxNzYxNzA3NwMAAAADMTYwAgAAAAIyOAQAAAABMAcAAAAKMTIvMzEvMjAwOQgAAAAKMTIvMzEvMjAwOQkAAAABMAYzfYlEJd4ICjlBi0Ql3ggyQ0lRLkNWWC5JUV9UT1RBTF9SRVZFTlVFLklRX0xUTS45LzMwLzIwMTAuTC4uVVNELkgBAAAAyoABAAIAAAAGMTg1MzkzAQgAAAAFAAAAATEBAAAACjE0ODAwNzQwNDkDAAAAAzE2MAIAAAACMjgEAAAAATAHAAAACTkvMzAvMjAxMAgAAAAJOS8zMC8yMDEwCQAAAAEwBjN9iUQl3ghHRkSLRCXeCDNDSVEuQ09QLklRX1RPVEFMX1JFVkVOVUUuSVFfTFRNLjEyLzMxLzIwMTEuTC4uVVNELkgBAAAAT4YEAAIAAAAFNjU0MzUBCAAAAAUAAAABMQEAAAAKMTY2MDI0ODg4NgMAAAADMTYwAgAAAAIyOAQAAAABMAcAAAAKMTIvMzEvMjAxMQgAAAAKMTIvMzEvMjAxMQkAAAABMNu9fIlEJd4ImApKi0Ql3ggyQ0lRLkNW</t>
  </si>
  <si>
    <t>WC5JUV9UT1RBTF9SRVZFTlVFLklRX0xUTS45LzMwLzIwMTIuTC4uVVNELkgBAAAAyoABAAIAAAAGMjI0NzcxAQgAAAAFAAAAATEBAAAACjE2NDM5MDI2NzkDAAAAAzE2MAIAAAACMjgEAAAAATAHAAAACTkvMzAvMjAxMggAAAAJOS8zMC8yMDEyCQAAAAEwq4eYiUQl3giPqk2LRCXeCDNDSVEuQ09QLklRX1RPVEFMX1JFVkVOVUUuSVFfTFRNLjEyLzMxLzIwMTMuTC4uVVNELkgBAAAAT4YEAAIAAAAFNTY4ODkBCAAAAAUAAAABMQEAAAAKMTc3NzQ0MjY2MAMAAAADMTYwAgAAAAIyOAQAAAABMAcAAAAKMTIvMzEvMjAxMwgAAAAKMTIvMzEvMjAxMwkAAAABMG4riolEJd4IA8VTi0Ql3ggyQ0lRLkNWWC5JUV9UT1RBTF9SRVZFTlVFLklRX0xUTS45LzMwLzIwMTQuTC4uVVNELkgBAAAAyoABAAIAAAAGMjA0MDIzAQgAAAAFAAAAATEBAAAACjE3NjMzMzAzODkDAAAAAzE2MAIAAAACMjgEAAAAATAHAAAACTkvMzAvMjAxNAgAAAAJOS8zMC8yMDE0CQAAAAEwUASKiUQl3ghE9ViLRCXeCDNDSVEuQ09QLklRX1RPVEFMX1JFVkVOVUUuSVFfTFRNLjEyLzMxLzIwMTUuTC4uVVNELkgBAAAAT4YEAAIAAAAFMzAyMTkBCAAAAAUAAAABMQEAAAAKMTg3NTI4MDI4OAMAAAADMTYwAgAAAAIyOAQAAAABMAcAAAAKMTIvMzEvMjAxNQgAAAAKMTIvMzEvMjAxNQkAAAABMKHHiolEJd4IijJhi0Ql3ggyQ0lRLkNWWC5JUV9UT1RB</t>
  </si>
  <si>
    <t>TF9SRVZFTlVFLklRX0xUTS45LzMwLzIwMTYuTC4uVVNELkgBAAAAyoABAAIAAAAGMTAxMTYyAQgAAAAFAAAAATEBAAAACjE4NjM4Njc3MDYDAAAAAzE2MAIAAAACMjgEAAAAATAHAAAACTkvMzAvMjAxNggAAAAJOS8zMC8yMDE2CQAAAAEwjaCKiUQl3giLFGaLRCXeCDNDSVEuQ1ZYLklRX1RPVEFMX1JFVkVOVUUuSVFfTFRNLjEyLzMxLzIwMDkuTC4uVVNELkgBAAAAyoABAAIAAAAGMTU5MjkzAQgAAAAFAAAAATEBAAAACjE1MTk1Njc5NDEDAAAAAzE2MAIAAAACMjgEAAAAATAHAAAACjEyLzMxLzIwMDkIAAAACjEyLzMxLzIwMDkJAAAAATAGM32JRCXeCBVgQYtEJd4IMkNJUS5DT1AuSVFfVE9UQUxfUkVWRU5VRS5JUV9MVE0uMy8zMS8yMDE1LkwuLlVTRC5IAQAAAE+GBAACAAAABTQ3MjE3AQgAAAAFAAAAATEBAAAACjE3ODkzNDYzOTMDAAAAAzE2MAIAAAACMjgEAAAAATAHAAAACTMvMzEvMjAxNQgAAAAJMy8zMS8yMDE1CQAAAAEw2718iUQl3gh7KVyLRCXeCDNDSVEuQ1ZYLklRX1RPVEFMX1JFVkVOVUUuSVFfTFRNLjEyLzMxLzIwMTYuTC4uVVNELkgBAAAAyoABAAIAAAAGMTAzMzEwAQgAAAAFAAAAATEBAAAACjE5NDY2ODM4ODIDAAAAAzE2MAIAAAACMjgEAAAAATAHAAAACjEyLzMxLzIwMTYIAAAACjEyLzMxLzIwMTYJAAAAATCNoIqJRCXeCDfCZ4tEJd4IMkNJUS5DVlguSVFfVE9UQUxfUkVWRU5V</t>
  </si>
  <si>
    <t>RS5JUV9MVE0uOS8zMC8yMDE4LkwuLlVTRC5IAQAAAMqAAQACAAAABjE1MzA3MQEIAAAABQAAAAExAQAAAAoxOTkwOTg4MTM2AwAAAAMxNjACAAAAAjI4BAAAAAEwBwAAAAk5LzMwLzIwMTgIAAAACTkvMzAvMjAxOAkAAAABMGtSiolEJd4IkHByi0Ql3ggyQ0lRLlhPTS5JUV9UT1RBTF9SRVZFTlVFLklRX0xUTS42LzMwLzIwMTkuTC4uVVNELkgBAAAAQjMGAAIAAAAGMjcyMDg4AQgAAAAFAAAAATEBAAAACjIwNDgzMDQyNTYDAAAAAzE2MAIAAAACMjgEAAAAATAHAAAACTYvMzAvMjAxOQgAAAAJNi8zMC8yMDE5CQAAAAEwSIbHikQl3gjpy3WLRCXeCDJDSVEuQ09QLklRX1RPVEFMX1JFVkVOVUUuSVFfTFRNLjMvMzEvMjAyMC5MLi5VU0QuSAEAAABPhgQAAgAAAAUzMDQwMAEIAAAABQAAAAExAQAAAAoyMDk2Mzc4NDY2AwAAAAMxNjACAAAAAjI4BAAAAAEwBwAAAAkzLzMxLzIwMjAIAAAACTMvMzEvMjAyMAkAAAABMClfx4pEJd4IYE55i0Ql3ggzQ0lRLlhPTS5JUV9UT1RBTF9SRVZFTlVFLklRX0xUTS4xMi8zMS8yMDIxLkwuLlVTRC5IAQAAAEIzBgACAAAABjI3NzE0MAEIAAAABQAAAAExAQAAAAstMjAwNzgzMjcwOQMAAAADMTYwAgAAAAIyOAQAAAABMAcAAAAKMTIvMzEvMjAyMQgAAAAKMTIvMzEvMjAyMQkAAAABMAkRx4pEJd4IwouBi0Ql3ggyQ0lRLkNPUC5JUV9UT1RBTF9SRVZFTlVFLklRX0xUTS45</t>
  </si>
  <si>
    <t>LzMwLzIwMjIuTC4uVVNELkgBAAAAT4YEAAIAAAAFNzY4OTkBCAAAAAUAAAABMQEAAAALLTIwMjE0NzczMjYDAAAAAzE2MAIAAAACMjgEAAAAATAHAAAACTkvMzAvMjAyMggAAAAJOS8zMC8yMDIyCQAAAAEw/unGikQl3gg/DoWLRCXeCDJDSVEuQ09QLklRX1RPVEFMX1JFVkVOVUUuSVFfTFRNLjMvMzEvMjAyNS5MLi5VU0QuSAEAAABPhgQAAgAAAAU1OTA5MAEIAAAABQAAAAExAQAAAAstMTk0NDk0NjE3NgMAAAADMTYwAgAAAAIyOAQAAAABMAcAAAAJMy8zMS8yMDI1CAAAAAkzLzMxLzIwMjUJAAAAATDqI9qKRCXeCGj4kItEJd4IMkNJUS5FT0cuSVFfVE9UQUxfUkVWRU5VRS5JUV9MVE0uOS8zMC8yMDExLkwuLlVTRC5IAQAAAFwdBAACAAAACDgxMTEuNTQ3AQgAAAAFAAAAATEBAAAACjE1NzQzOTE0MDcDAAAAAzE2MAIAAAACMjgEAAAAATAHAAAACTkvMzAvMjAxMQgAAAAJOS8zMC8yMDExCQAAAAEw5+R8iUQl3ggw4UiLRCXeCDJDSVEuWE9NLklRX1RPVEFMX1JFVkVOVUUuSVFfTFRNLjYvMzAvMjAxMy5MLi5VU0QuSAEAAABCMwYAAgAAAAYzOTU2NDUBCAAAAAUAAAABMQEAAAAKMTY4OTc3NDg2NwMAAAADMTYwAgAAAAIyOAQAAAABMAcAAAAJNi8zMC8yMDEzCAAAAAk2LzMwLzIwMTMJAAAAATBuK4qJRCXeCPQsUYtEJd4IMkNJUS5DT1AuSVFfVE9UQUxfUkVWRU5VRS5JUV9MVE0uOS8zMC8yMDE3Lkwu</t>
  </si>
  <si>
    <t>LlVTRC5IAQAAAE+GBAACAAAABTI4NTUxAQgAAAAFAAAAATEBAAAACjE5MTczMTk3NDADAAAAAzE2MAIAAAACMjgEAAAAATAHAAAACTkvMzAvMjAxNwgAAAAJOS8zMC8yMDE3CQAAAAEwenmKiUQl3ggnfWyLRCXeCDNDSVEuWE9NLklRX1RPVEFMX1JFVkVOVUUuSVFfTFRNLjEyLzMxLzIwMDkuTC4uVVNELkgBAAAAQjMGAAIAAAAGMjc1NTY0AQgAAAAFAAAAATEBAAAACjE1MjM4MDY0NjEDAAAAAzE2MAIAAAACMjgEAAAAATAHAAAACjEyLzMxLzIwMDkIAAAACjEyLzMxLzIwMDkJAAAAATAGM32JRCXeCBVgQYtEJd4IMkNJUS5FT0cuSVFfVE9UQUxfUkVWRU5VRS5JUV9MVE0uOS8zMC8yMDEyLkwuLlVTRC5IAQAAAFwdBAACAAAACTEwNjcyLjkzNgEIAAAABQAAAAExAQAAAAoxNjQzODQ2MTEyAwAAAAMxNjACAAAAAjI4BAAAAAEwBwAAAAk5LzMwLzIwMTIIAAAACTkvMzAvMjAxMgkAAAABMKuHmIlEJd4IcoNNi0Ql3ggyQ0lRLkVPRy5JUV9UT1RBTF9SRVZFTlVFLklRX0xUTS4zLzMxLzIwMTYuTC4uVVNELkgBAAAAXB0EAAIAAAAINzgwMy4zNDYBCAAAAAUAAAABMQEAAAAKMTg0MDk2NDQ4NwMAAAADMTYwAgAAAAIyOAQAAAABMAcAAAAJMy8zMS8yMDE2CAAAAAkzLzMxLzIwMTYJAAAAATChx4qJRCXeCBWSYotEJd4IM0NJUS5YT00uSVFfVE9UQUxfUkVWRU5VRS5JUV9MVE0uMTIvMzEvMjAxNi5MLi5VU0Qu</t>
  </si>
  <si>
    <t>SAEAAABCMwYAAgAAAAYyMDA2MjgBCAAAAAUAAAABMQEAAAAKMTk0NzQwNDY1NAMAAAADMTYwAgAAAAIyOAQAAAABMAcAAAAKMTIvMzEvMjAxNggAAAAKMTIvMzEvMjAxNgkAAAABMI2giolEJd4IJ5tni0Ql3ggzQ0lRLkNWWC5JUV9UT1RBTF9SRVZFTlVFLklRX0xUTS4xMi8zMS8yMDE3LkwuLlVTRC5IAQAAAMqAAQACAAAABjEyNzQ4NQEIAAAABQAAAAExAQAAAAoyMDE2MzQ5ODkwAwAAAAMxNjACAAAAAjI4BAAAAAEwBwAAAAoxMi8zMS8yMDE3CAAAAAoxMi8zMS8yMDE3CQAAAAEwenmKiUQl3gjQA26LRCXeCDJDSVEuWE9NLklRX1RPVEFMX1JFVkVOVUUuSVFfTFRNLjkvMzAvMjAxOC5MLi5VU0QuSAEAAABCMwYAAgAAAAYyNzYzOTEBCAAAAAUAAAABMQEAAAAKMTk5MDc4ODYxMwMAAAADMTYwAgAAAAIyOAQAAAABMAcAAAAJOS8zMC8yMDE4CAAAAAk5LzMwLzIwMTgJAAAAATBrUoqJRCXeCIFJcotEJd4IMkNJUS5DT1AuSVFfVE9UQUxfUkVWRU5VRS5JUV9MVE0uNi8zMC8yMDE5LkwuLlVTRC5IAQAAAE+GBAACAAAABTM3MTgwAQgAAAAFAAAAATEBAAAACjIwNDgwOTc2OTUDAAAAAzE2MAIAAAACMjgEAAAAATAHAAAACTYvMzAvMjAxOQgAAAAJNi8zMC8yMDE5CQAAAAEwSIbHikQl3gjpy3WLRCXeCDNDSVEuQ09QLklRX1RPVEFMX1JFVkVOVUUuSVFfTFRNLjEyLzMxLzIwMjEuTC4uVVNELkgBAAAAT4YE</t>
  </si>
  <si>
    <t>AAIAAAAFNDY2NjABCAAAAAUAAAABMQEAAAALLTIwMTAxMjUwNzgDAAAAAzE2MAIAAAACMjgEAAAAATAHAAAACjEyLzMxLzIwMjEIAAAACjEyLzMxLzIwMjEJAAAAATAJEceKRCXeCMKLgYtEJd4IMkNJUS5FT0cuSVFfVE9UQUxfUkVWRU5VRS5JUV9MVE0uNi8zMC8yMDI0LkwuLlVTRC5IAQAAAFwdBAACAAAABTI0MTA1AQgAAAAFAAAAATEBAAAACy0xOTMyNzExNjM0AwAAAAMxNjACAAAAAjI4BAAAAAEwBwAAAAk2LzMwLzIwMjQIAAAACTYvMzAvMjAyNAkAAAABMOoj2opEJd4I2CeNi0Ql3ggyQ0lRLkNWWC5JUV9UT1RBTF9SRVZFTlVFLklRX0xUTS45LzMwLzIwMTEuTC4uVVNELkgBAAAAyoABAAIAAAAGMjI5Njg4AQgAAAAFAAAAATEBAAAACjE1NzQ3NTY0MzcDAAAAAzE2MAIAAAACMjgEAAAAATAHAAAACTkvMzAvMjAxMQgAAAAJOS8zMC8yMDExCQAAAAEw5+R8iUQl3ggw4UiLRCXeCDJDSVEuQ09QLklRX1RPVEFMX1JFVkVOVUUuSVFfTFRNLjYvMzAvMjAxMy5MLi5VU0QuSAEAAABPhgQAAgAAAAU1OTExNgEIAAAABQAAAAExAQAAAAoxNjg5NjA1OTk3AwAAAAMxNjACAAAAAjI4BAAAAAEwBwAAAAk2LzMwLzIwMTMIAAAACTYvMzAvMjAxMwkAAAABMG4riolEJd4I9CxRi0Ql3ggyQ0lRLkNWWC5JUV9UT1RBTF9SRVZFTlVFLklRX0xUTS4zLzMxLzIwMTYuTC4uVVNELkgBAAAAyoABAAIAAAAGMTEzNTQ2</t>
  </si>
  <si>
    <t>AQgAAAAFAAAAATEBAAAACjE4NDAzOTM4MjEDAAAAAzE2MAIAAAACMjgEAAAAATAHAAAACTMvMzEvMjAxNggAAAAJMy8zMS8yMDE2CQAAAAEwoceKiUQl3gg24GKLRCXeCDNDSVEuQ09QLklRX1RPVEFMX1JFVkVOVUUuSVFfTFRNLjEyLzMxLzIwMTYuTC4uVVNELkgBAAAAT4YEAAIAAAAFMjM3NDUBCAAAAAUAAAABMQEAAAAKMTk0NjAwNTc0NAMAAAADMTYwAgAAAAIyOAQAAAABMAcAAAAKMTIvMzEvMjAxNggAAAAKMTIvMzEvMjAxNgkAAAABMI2giolEJd4IJ5tni0Ql3ggzQ0lRLlhPTS5JUV9UT1RBTF9SRVZFTlVFLklRX0xUTS4xMi8zMS8yMDE3LkwuLlVTRC5IAQAAAEIzBgACAAAABjIzNzE2MgEIAAAABQAAAAExAQAAAAoyMDE3MzgxMTQxAwAAAAMxNjACAAAAAjI4BAAAAAEwBwAAAAoxMi8zMS8yMDE3CAAAAAoxMi8zMS8yMDE3CQAAAAEwenmKiUQl3gjQA26LRCXeCDJDSVEuQ09QLklRX1RPVEFMX1JFVkVOVUUuSVFfTFRNLjkvMzAvMjAxOC5MLi5VU0QuSAEAAABPhgQAAgAAAAUzNTgzNQEIAAAABQAAAAExAQAAAAoxOTg5OTAxODM0AwAAAAMxNjACAAAAAjI4BAAAAAEwBwAAAAk5LzMwLzIwMTgIAAAACTkvMzAvMjAxOAkAAAABMGtSiolEJd4IgUlyi0Ql3ggyQ0lRLkNPUC5JUV9UT1RBTF9SRVZFTlVFLklRX0xUTS4zLzMxLzIwMjEuTC4uVVNELkgBAAAAT4YEAAIAAAAFMjI3NzIBCAAAAAUAAAAB</t>
  </si>
  <si>
    <t>MQEAAAALLTIwOTg0NjY4MDADAAAAAzE2MAIAAAACMjgEAAAAATAHAAAACTMvMzEvMjAyMQgAAAAJMy8zMS8yMDIxCQAAAAEwMTjHikQl3ghhMH6LRCXeCDJDSVEuRU9HLklRX1RPVEFMX1JFVkVOVUUuSVFfTFRNLjkvMzAvMjAyMy5MLi5VU0QuSAEAAABcHQQAAgAAAAUyMzcyNwEIAAAABQAAAAExAQAAAAstMTk3MDIzMzM4MQMAAAADMTYwAgAAAAIyOAQAAAABMAcAAAAJOS8zMC8yMDIzCAAAAAk5LzMwLzIwMjMJAAAAATDlStqKRCXeCAN7iYtEJd4IMkNJUS5DVlguSVFfVE9UQUxfUkVWRU5VRS5JUV9MVE0uNi8zMC8yMDI0LkwuLlVTRC5IAQAAAMqAAQACAAAABjE5NTA0OAEIAAAABQAAAAExAQAAAAstMTkxODA5NDYzNAMAAAADMTYwAgAAAAIyOAQAAAABMAcAAAAJNi8zMC8yMDI0CAAAAAk2LzMwLzIwMjQJAAAAATDqI9qKRCXeCNgnjYtEJd4IM0NJUS5FT0cuSVFfVE9UQUxfUkVWRU5VRS5JUV9MVE0uMTIvMzEvMjAxMC5MLi5VU0QuSAEAAABcHQQAAgAAAAg1ODE0LjQ0NgEIAAAABQAAAAExAQAAAAoxNTg4ODQ2MzQyAwAAAAMxNjACAAAAAjI4BAAAAAEwBwAAAAoxMi8zMS8yMDEwCAAAAAoxMi8zMS8yMDEwCQAAAAEw9Qt9iUQl3gimMEWLRCXeCDJDSVEuWE9NLklRX1RPVEFMX1JFVkVOVUUuSVFfTFRNLjkvMzAvMjAxMS5MLi5VU0QuSAEAAABCMwYAAgAAAAY0MTk1MzUBCAAAAAUAAAABMQEAAAAK</t>
  </si>
  <si>
    <t>MTU3NDc1NzA1NgMAAAADMTYwAgAAAAIyOAQAAAABMAcAAAAJOS8zMC8yMDExCAAAAAk5LzMwLzIwMTEJAAAAATDn5HyJRCXeCDDhSItEJd4IMkNJUS5YT00uSVFfVE9UQUxfUkVWRU5VRS5JUV9MVE0uOS8zMC8yMDEyLkwuLlVTRC5IAQAAAEIzBgACAAAABjQyNTExMAEIAAAABQAAAAExAQAAAAoxNjQzNDgwNDQzAwAAAAMxNjACAAAAAjI4BAAAAAEwBwAAAAk5LzMwLzIwMTIIAAAACTkvMzAvMjAxMgkAAAABMKuHmIlEJd4Ij6pNi0Ql3ggyQ0lRLkVPRy5JUV9UT1RBTF9SRVZFTlVFLklRX0xUTS42LzMwLzIwMTQuTC4uVVNELkgBAAAAXB0EAAIAAAAJMTYxNjQuMDAyAQgAAAAFAAAAATEBAAAACjE3NDk3MzQ0MTIDAAAAAzE2MAIAAAACMjgEAAAAATAHAAAACTYvMzAvMjAxNAgAAAAJNi8zMC8yMDE0CQAAAAEwUASKiUQl3ghsIFeLRCXeCDJDSVEuRU9HLklRX1RPVEFMX1JFVkVOVUUuSVFfTFRNLjYvMzAvMjAxNS5MLi5VU0QuSAEAAABcHQQAAgAAAAkxMjgxNy4wNzkBCAAAAAUAAAABMQEAAAAKMTgwMTc4NTAzOQMAAAADMTYwAgAAAAIyOAQAAAABMAcAAAAJNi8zMC8yMDE1CAAAAAk2LzMwLzIwMTUJAAAAATDIlnyJRCXeCCOJXYtEJd4IMkNJUS5YT00uSVFfVE9UQUxfUkVWRU5VRS5JUV9MVE0uMy8zMS8yMDE2LkwuLlVTRC5IAQAAAEIzBgACAAAABjIxOTg3MgEIAAAABQAAAAExAQAAAAoxODg2NDc2</t>
  </si>
  <si>
    <t>ODAzAwAAAAMxNjACAAAAAjI4BAAAAAEwBwAAAAkzLzMxLzIwMTYIAAAACTMvMzEvMjAxNgkAAAABMKHHiolEJd4INuBii0Ql3ggzQ0lRLkNPUC5JUV9UT1RBTF9SRVZFTlVFLklRX0xUTS4xMi8zMS8yMDE3LkwuLlVTRC5IAQAAAE+GBAACAAAABTI5ODc4AQgAAAAFAAAAATEBAAAACjIwMTU2MzU4NDcDAAAAAzE2MAIAAAACMjgEAAAAATAHAAAACjEyLzMxLzIwMTcIAAAACjEyLzMxLzIwMTcJAAAAATB6eYqJRCXeCNADbotEJd4IMkNJUS5FT0cuSVFfVE9UQUxfUkVWRU5VRS5JUV9MVE0uNi8zMC8yMDIwLkwuLlVTRC5IAQAAAFwdBAACAAAACTEzMTkyLjcwNgEIAAAABQAAAAExAQAAAAstMjE0MDExNDE0NwMAAAADMTYwAgAAAAIyOAQAAAABMAcAAAAJNi8zMC8yMDIwCAAAAAk2LzMwLzIwMjAJAAAAATApX8eKRCXeCNhfeotEJd4IM0NJUS5FT0cuSVFfVE9UQUxfUkVWRU5VRS5JUV9MVE0uMTIvMzEvMjAyMi5MLi5VU0QuSAEAAABcHQQAAgAAAAUyOTYxMAEIAAAABQAAAAExAQAAAAstMTk1Nzk2Njg1NgMAAAADMTYwAgAAAAIyOAQAAAABMAcAAAAKMTIvMzEvMjAyMggAAAAKMTIvMzEvMjAyMgkAAAABMP7pxopEJd4InR+Gi0Ql3ggyQ0lRLkNWWC5JUV9UT1RBTF9SRVZFTlVFLklRX0xUTS45LzMwLzIwMjMuTC4uVVNELkgBAAAAyoABAAIAAAAGMjAzMDY1AQgAAAAFAAAAATEBAAAACy0xOTcwMTE2MjM2</t>
  </si>
  <si>
    <t>AwAAAAMxNjACAAAAAjI4BAAAAAEwBwAAAAk5LzMwLzIwMjMIAAAACTkvMzAvMjAyMwkAAAABMOVK2opEJd4IEqKJi0Ql3ggyQ0lRLkNWWC5JUV9UT1RBTF9SRVZFTlVFLklRX0xUTS4zLzMxLzIwMTAuTC4uVVNELkgBAAAAyoABAAIAAAAGMTcwODg1AQgAAAAFAAAAATEBAAAACjE0NTEyNzY5NDMDAAAAAzE2MAIAAAACMjgEAAAAATAHAAAACTMvMzEvMjAxMAgAAAAJMy8zMS8yMDEwCQAAAAEwBjN9iUQl3ghjI0KLRCXeCDNDSVEuQ09QLklRX1RPVEFMX1JFVkVOVUUuSVFfTFRNLjEyLzMxLzIwMTAuTC4uVVNELkgBAAAAT4YEAAIAAAAFNTc3NzIBCAAAAAUAAAABMQEAAAAKMTU4ODQ1MzI2OQMAAAADMTYwAgAAAAIyOAQAAAABMAcAAAAKMTIvMzEvMjAxMAgAAAAKMTIvMzEvMjAxMAkAAAABMPULfYlEJd4ItldFi0Ql3ggyQ0lRLkNWWC5JUV9UT1RBTF9SRVZFTlVFLklRX0xUTS45LzMwLzIwMTMuTC4uVVNELkgBAAAAyoABAAIAAAAGMjEzOTY0AQgAAAAFAAAAATEBAAAACjE3MDUyNjQwMDkDAAAAAzE2MAIAAAACMjgEAAAAATAHAAAACTkvMzAvMjAxMwgAAAAJOS8zMC8yMDEzCQAAAAEwbiuKiUQl3gh2ZVKLRCXeCDJDSVEuQ09QLklRX1RPVEFMX1JFVkVOVUUuSVFfTFRNLjYvMzAvMjAxNS5MLi5VU0QuSAEAAABPhgQAAgAAAAU0MTA3NAEIAAAABQAAAAExAQAAAAoxODAxNDQ4MTE0AwAAAAMxNjACAAAA</t>
  </si>
  <si>
    <t>AjI4BAAAAAEwBwAAAAk2LzMwLzIwMTUIAAAACTYvMzAvMjAxNQkAAAABMMiWfIlEJd4IIdddi0Ql3ggyQ0lRLkVPRy5JUV9UT1RBTF9SRVZFTlVFLklRX0xUTS4zLzMxLzIwMTguTC4uVVNELkgBAAAAXB0EAAIAAAAJMTI0NzguMTg3AQgAAAAFAAAAATEBAAAACjE5NTkxNTc2NzQDAAAAAzE2MAIAAAACMjgEAAAAATAHAAAACTMvMzEvMjAxOAgAAAAJMy8zMS8yMDE4CQAAAAEwenmKiUQl3giKim+LRCXeCDNDSVEuQ1ZYLklRX1RPVEFMX1JFVkVOVUUuSVFfTFRNLjEyLzMxLzIwMTguTC4uVVNELkgBAAAAyoABAAIAAAAGMTUxMDQxAQgAAAAFAAAAATEBAAAACjIwODE5ODAyNDIDAAAAAzE2MAIAAAACMjgEAAAAATAHAAAACjEyLzMxLzIwMTgIAAAACjEyLzMxLzIwMTgJAAAAATD1C32JRCXeCBGpc4tEJd4IMkNJUS5YT00uSVFfVE9UQUxfUkVWRU5VRS5JUV9MVE0uOS8zMC8yMDE5LkwuLlVTRC5IAQAAAEIzBgACAAAABjI2MTc1NAEIAAAABQAAAAExAQAAAAoyMDY4MjczMTcwAwAAAAMxNjACAAAAAjI4BAAAAAEwBwAAAAk5LzMwLzIwMTkIAAAACTkvMzAvMjAxOQkAAAABMEiGx4pEJd4IbwR3i0Ql3ggyQ0lRLkVPRy5JUV9UT1RBTF9SRVZFTlVFLklRX0xUTS45LzMwLzIwMjAuTC4uVVNELkgBAAAAXB0EAAIAAAAIMTEyOTUuNjMBCAAAAAUAAAABMQEAAAALLTIxMjM4MzE3NjgDAAAAAzE2MAIAAAACMjgE</t>
  </si>
  <si>
    <t>AAAAATAHAAAACTkvMzAvMjAyMAgAAAAJOS8zMC8yMDIwCQAAAAEwMTjHikQl3ghNmHuLRCXeCDJDSVEuQ1ZYLklRX1RPVEFMX1JFVkVOVUUuSVFfTFRNLjYvMzAvMjAyMS5MLi5VU0QuSAEAAADKgAEAAgAAAAYxMTU2NDEBCAAAAAUAAAABMQEAAAALLTIwODY0ODg5NTQDAAAAAzE2MAIAAAACMjgEAAAAATAHAAAACTYvMzAvMjAyMQgAAAAJNi8zMC8yMDIxCQAAAAEwCRHHikQl3gjLQX+LRCXeCDJDSVEuWE9NLklRX1RPVEFMX1JFVkVOVUUuSVFfTFRNLjMvMzEvMjAyMi5MLi5VU0QuSAEAAABCMwYAAgAAAAYzMDkyNjkBCAAAAAUAAAABMQEAAAALLTIwNDc4OTA1NTcDAAAAAzE2MAIAAAACMjgEAAAAATAHAAAACTMvMzEvMjAyMggAAAAJMy8zMS8yMDIyCQAAAAEwCRHHikQl3ghBxIKLRCXeCDNDSVEuQ09QLklRX1RPVEFMX1JFVkVOVUUuSVFfTFRNLjEyLzMxLzIwMjIuTC4uVVNELkgBAAAAT4YEAAIAAAAFODA1NzUBCAAAAAUAAAABMQEAAAALLTE5NTkyMDIxNzgDAAAAAzE2MAIAAAACMjgEAAAAATAHAAAACjEyLzMxLzIwMjIIAAAACjEyLzMxLzIwMjIJAAAAATD+6caKRCXeCKtGhotEJd4IM0NJUS5DVlguSVFfVE9UQUxfUkVWRU5VRS5JUV9MVE0uMTIvMzEvMjAyMy5MLi5VU0QuSAEAAADKgAEAAgAAAAYxOTQ3OTkBCAAAAAUAAAABMQEAAAALLTE5NTg3NTc3OTUDAAAAAzE2MAIAAAACMjgEAAAAATAH</t>
  </si>
  <si>
    <t>AAAACjEyLzMxLzIwMjMIAAAACjEyLzMxLzIwMjMJAAAAATDlStqKRCXeCOPdiotEJd4IMkNJUS5YT00uSVFfVE9UQUxfUkVWRU5VRS5JUV9MVE0uOS8zMC8yMDI0LkwuLlVTRC5IAQAAAEIzBgACAAAABjM0MTg0NQEIAAAABQAAAAExAQAAAAstMTkxODY1NTAwOQMAAAADMTYwAgAAAAIyOAQAAAABMAcAAAAJOS8zMC8yMDI0CAAAAAk5LzMwLzIwMjQJAAAAATDqI9qKRCXeCEE5jotEJd4IMkNJUS5DT1AuSVFfVE9UQUxfUkVWRU5VRS5JUV9MVE0uNi8zMC8yMDI1LkwuLlVTRC5IAQAAAE+GBAACAAAABTU5Mzg2AQgAAAAFAAAAATEBAAAACy0xOTMyODU4MzQwAwAAAAMxNjACAAAAAjI4BAAAAAEwBwAAAAk2LzMwLzIwMjUIAAAACTYvMzAvMjAyNQkAAAABMOoj2opEJd4I81eSi0Ql3ggyQ0lRLlhPTS5JUV9UT1RBTF9SRVZFTlVFLklRX0xUTS4zLzMxLzIwMTAuTC4uVVNELkgBAAAAQjMGAAIAAAAGMjk5NTY0AQgAAAAFAAAAATEBAAAACjE0NTEyMDc3OTYDAAAAAzE2MAIAAAACMjgEAAAAATAHAAAACTMvMzEvMjAxMAgAAAAJMy8zMS8yMDEwCQAAAAEwBjN9iUQl3ghjI0KLRCXeCDNDSVEuRU9HLklRX1RPVEFMX1JFVkVOVUUuSVFfTFRNLjEyLzMxLzIwMTIuTC4uVVNELkgBAAAAXB0EAAIAAAAJMTEwOTYuMjMyAQgAAAAFAAAAATEBAAAACjE3MjAzNDU4ODUDAAAAAzE2MAIAAAACMjgEAAAAATAHAAAACjEy</t>
  </si>
  <si>
    <t>LzMxLzIwMTIIAAAACjEyLzMxLzIwMTIJAAAAATCrh5iJRCXeCOKUTotEJd4IMkNJUS5YT00uSVFfVE9UQUxfUkVWRU5VRS5JUV9MVE0uOS8zMC8yMDEzLkwuLlVTRC5IAQAAAEIzBgACAAAABjM5MzMwMQEIAAAABQAAAAExAQAAAAoxNzA0OTI3ODk2AwAAAAMxNjACAAAAAjI4BAAAAAEwBwAAAAk5LzMwLzIwMTMIAAAACTkvMzAvMjAxMwkAAAABMG4riolEJd4IdmVSi0Ql3ggyQ0lRLlhPTS5JUV9UT1RBTF9SRVZFTlVFLklRX0xUTS45LzMwLzIwMTQuTC4uVVNELkgBAAAAQjMGAAIAAAAGMzg1Nzg2AQgAAAAFAAAAATEBAAAACjE3NjI4MzkxMjEDAAAAAzE2MAIAAAACMjgEAAAAATAHAAAACTkvMzAvMjAxNAgAAAAJOS8zMC8yMDE0CQAAAAEwUASKiUQl3ghE9ViLRCXeCDJDSVEuRU9HLklRX1RPVEFMX1JFVkVOVUUuSVFfTFRNLjYvMzAvMjAxNi5MLi5VU0QuSAEAAABcHQQAAgAAAAg3MTE1LjI1MQEIAAAABQAAAAExAQAAAAoxODUxMzA0NTgyAwAAAAMxNjACAAAAAjI4BAAAAAEwBwAAAAk2LzMwLzIwMTYIAAAACTYvMzAvMjAxNgkAAAABMKHHiolEJd4IvRhki0Ql3ggyQ0lRLkNWWC5JUV9UT1RBTF9SRVZFTlVFLklRX0xUTS4zLzMxLzIwMTguTC4uVVNELkgBAAAAyoABAAIAAAAGMTMzNjA2AQgAAAAFAAAAATEBAAAACjE5NTk0OTA4MTgDAAAAAzE2MAIAAAACMjgEAAAAATAHAAAACTMvMzEvMjAxOAgA</t>
  </si>
  <si>
    <t>AAAJMy8zMS8yMDE4CQAAAAEwa1KKiUQl3giI2G+LRCXeCDNDSVEuWE9NLklRX1RPVEFMX1JFVkVOVUUuSVFfTFRNLjEyLzMxLzIwMTguTC4uVVNELkgBAAAAQjMGAAIAAAAGMjgxMDYwAQgAAAAFAAAAATEBAAAACjIwODE3NDY1NTYDAAAAAzE2MAIAAAACMjgEAAAAATAHAAAACjEyLzMxLzIwMTgIAAAACjEyLzMxLzIwMTgJAAAAATD1C32JRCXeCBGpc4tEJd4IMkNJUS5DT1AuSVFfVE9UQUxfUkVWRU5VRS5JUV9MVE0uOS8zMC8yMDE5LkwuLlVTRC5IAQAAAE+GBAACAAAABTM1NDgzAQgAAAAFAAAAATEBAAAACjIwNjgxNDU5MzEDAAAAAzE2MAIAAAACMjgEAAAAATAHAAAACTkvMzAvMjAxOQgAAAAJOS8zMC8yMDE5CQAAAAEwSIbHikQl3ghvBHeLRCXeCDJDSVEuQ1ZYLklRX1RPVEFMX1JFVkVOVUUuSVFfTFRNLjkvMzAvMjAyMC5MLi5VU0QuSAEAAADKgAEAAgAAAAU5NjQxMQEIAAAABQAAAAExAQAAAAstMjEyMzYwNDI2OQMAAAADMTYwAgAAAAIyOAQAAAABMAcAAAAJOS8zMC8yMDIwCAAAAAk5LzMwLzIwMjAJAAAAATAxOMeKRCXeCHjme4tEJd4IMkNJUS5YT00uSVFfVE9UQUxfUkVWRU5VRS5JUV9MVE0uNi8zMC8yMDIxLkwuLlVTRC5IAQAAAEIzBgACAAAABjIxNTg3OQEIAAAABQAAAAExAQAAAAstMjA4NjYwOTY1OAMAAAADMTYwAgAAAAIyOAQAAAABMAcAAAAJNi8zMC8yMDIxCAAAAAk2LzMwLzIw</t>
  </si>
  <si>
    <t>MjEJAAAAATAJEceKRCXeCMtBf4tEJd4IMkNJUS5DT1AuSVFfVE9UQUxfUkVWRU5VRS5JUV9MVE0uMy8zMS8yMDIyLkwuLlVTRC5IAQAAAE+GBAACAAAABTU0OTAwAQgAAAAFAAAAATEBAAAACy0yMDQ3MjUwNjYzAwAAAAMxNjACAAAAAjI4BAAAAAEwBwAAAAkzLzMxLzIwMjIIAAAACTMvMzEvMjAyMgkAAAABMAkRx4pEJd4IQcSCi0Ql3ggzQ0lRLlhPTS5JUV9UT1RBTF9SRVZFTlVFLklRX0xUTS4xMi8zMS8yMDIzLkwuLlVTRC5IAQAAAEIzBgACAAAABjMzNjY2NQEIAAAABQAAAAExAQAAAAstMTk1ODk1MzYxMAMAAAADMTYwAgAAAAIyOAQAAAABMAcAAAAKMTIvMzEvMjAyMwgAAAAKMTIvMzEvMjAyMwkAAAABMOVK2opEJd4I492Ki0Ql3ggyQ0lRLkNPUC5JUV9UT1RBTF9SRVZFTlVFLklRX0xUTS45LzMwLzIwMjQuTC4uVVNELkgBAAAAT4YEAAIAAAAFNTY5MjQBCAAAAAUAAAABMQEAAAALLTE5MTgwNDU0NDEDAAAAAzE2MAIAAAACMjgEAAAAATAHAAAACTkvMzAvMjAyNAgAAAAJOS8zMC8yMDI0CQAAAAEw6iPaikQl3ghBOY6LRCXeCDJDSVEuQ09QLklRX1RPVEFMX1JFVkVOVUUuSVFfTFRNLjMvMzEvMjAxMC5MLi5VU0QuSAEAAABPhgQAAgAAAAYxNTMyNDUBCAAAAAUAAAABMQEAAAAKMTQ1MTA4Mjk5OAMAAAADMTYwAgAAAAIyOAQAAAABMAcAAAAJMy8zMS8yMDEwCAAAAAkzLzMxLzIwMTAJAAAAATAG</t>
  </si>
  <si>
    <t>M32JRCXeCGMjQotEJd4IM0NJUS5DVlguSVFfVE9UQUxfUkVWRU5VRS5JUV9MVE0uMTIvMzEvMjAxMi5MLi5VU0QuSAEAAADKgAEAAgAAAAYyMjI1NzkBCAAAAAUAAAABMQEAAAAKMTcyMDAzOTUyMgMAAAADMTYwAgAAAAIyOAQAAAABMAcAAAAKMTIvMzEvMjAxMggAAAAKMTIvMzEvMjAxMgkAAAABMKuHmIlEJd4I67tOi0Ql3ggyQ0lRLkNPUC5JUV9UT1RBTF9SRVZFTlVFLklRX0xUTS45LzMwLzIwMTMuTC4uVVNELkgBAAAAT4YEAAIAAAAFNTg5MjIBCAAAAAUAAAABMQEAAAAKMTcwNDc5MzIzNgMAAAADMTYwAgAAAAIyOAQAAAABMAcAAAAJOS8zMC8yMDEzCAAAAAk5LzMwLzIwMTMJAAAAATBuK4qJRCXeCHZlUotEJd4IMkNJUS5DT1AuSVFfVE9UQUxfUkVWRU5VRS5JUV9MVE0uOS8zMC8yMDE0LkwuLlVTRC5IAQAAAE+GBAACAAAABTU3MzQ4AQgAAAAFAAAAATEBAAAACjE3NjI2MDg3NTgDAAAAAzE2MAIAAAACMjgEAAAAATAHAAAACTkvMzAvMjAxNAgAAAAJOS8zMC8yMDE0CQAAAAEwUASKiUQl3ghE9ViLRCXeCDJDSVEuRU9HLklRX1RPVEFMX1JFVkVOVUUuSVFfTFRNLjYvMzAvMjAxNy5MLi5VU0QuSAEAAABcHQQAAgAAAAc5NTQ2LjIyAQgAAAAFAAAAATEBAAAACjE4OTg0MTQ4NzYDAAAAAzE2MAIAAAACMjgEAAAAATAHAAAACTYvMzAvMjAxNwgAAAAJNi8zMC8yMDE3CQAAAAEwjaCKiUQl3ghjqGqL</t>
  </si>
  <si>
    <t>RCXeCDJDSVEuQ09QLklRX1RPVEFMX1JFVkVOVUUuSVFfTFRNLjMvMzEvMjAxMS5MLi5VU0QuSAEAAABPhgQAAgAAAAYxNTI4MzUBCAAAAAUAAAABMQEAAAAKMTU1NzA1MDcwMwMAAAADMTYwAgAAAAIyOAQAAAABMAcAAAAJMy8zMS8yMDExCAAAAAkzLzMxLzIwMTEJAAAAATD1C32JRCXeCDCQRotEJd4IM0NJUS5DVlguSVFfVE9UQUxfUkVWRU5VRS5JUV9MVE0uMTIvMzEvMjAxMy5MLi5VU0QuSAEAAADKgAEAAgAAAAYyMTE2NjQBCAAAAAUAAAABMQEAAAAKMTc3Nzk3MzQ5NAMAAAADMTYwAgAAAAIyOAQAAAABMAcAAAAKMTIvMzEvMjAxMwgAAAAKMTIvMzEvMjAxMwkAAAABMG4riolEJd4IG+xTi0Ql3ggzQ0lRLkNWWC5JUV9UT1RBTF9SRVZFTlVFLklRX0xUTS4xMi8zMS8yMDE1LkwuLlVTRC5IAQAAAMqAAQACAAAABjEyMjU2NgEIAAAABQAAAAExAQAAAAoxODc1Njc2MjM0AwAAAAMxNjACAAAAAjI4BAAAAAEwBwAAAAoxMi8zMS8yMDE1CAAAAAoxMi8zMS8yMDE1CQAAAAEwoceKiUQl3giKMmGLRCXeCDJDSVEuQ1ZYLklRX1RPVEFMX1JFVkVOVUUuSVFfTFRNLjYvMzAvMjAxNy5MLi5VU0QuSAEAAADKgAEAAgAAAAYxMTY3ODUBCAAAAAUAAAABMQEAAAAKMTg5ODM1NDU0MwMAAAADMTYwAgAAAAIyOAQAAAABMAcAAAAJNi8zMC8yMDE3CAAAAAk2LzMwLzIwMTcJAAAAATCNoIqJRCXeCIX2aotEJd4IMkNJ</t>
  </si>
  <si>
    <t>US5DT1AuSVFfVE9UQUxfUkVWRU5VRS5JUV9MVE0uNi8zMC8yMDExLkwuLlVTRC5IAQAAAE+GBAACAAAABjEyNzAwNwEIAAAABQAAAAExAQAAAAoxNTU3MDM3NDc0AwAAAAMxNjACAAAAAjI4BAAAAAEwBwAAAAk2LzMwLzIwMTEIAAAACTYvMzAvMjAxMQkAAAABMOfkfIlEJd4IE75Hi0Ql3ggyQ0lRLkVPRy5JUV9UT1RBTF9SRVZFTlVFLklRX0xUTS45LzMwLzIwMTguTC4uVVNELkgBAAAAXB0EAAIAAAAJMTYzNTQuNjMxAQgAAAAFAAAAATEBAAAACjE5OTA3MzQ4MDkDAAAAAzE2MAIAAAACMjgEAAAAATAHAAAACTkvMzAvMjAxOAgAAAAJOS8zMC8yMDE4CQAAAAEwa1KKiUQl3gh0InKLRCXeCDJDSVEuRU9HLklRX1RPVEFMX1JFVkVOVUUuSVFfTFRNLjkvMzAvMjAyMi5MLi5VU0QuSAEAAABcHQQAAgAAAAUyOTAzNAEIAAAABQAAAAExAQAAAAstMjAyMTM3NTAzMQMAAAADMTYwAgAAAAIyOAQAAAABMAcAAAAJOS8zMC8yMDIyCAAAAAk5LzMwLzIwMjIJAAAAATD+6caKRCXeCAzAhItEJd4IMkNJUS5FT0cuSVFfVE9UQUxfUkVWRU5VRS5JUV9MVE0uMy8zMS8yMDEwLkwuLlVTRC5IAQAAAFwdBAACAAAACDQzNzYuNTA2AQgAAAAFAAAAATEBAAAACjE0NTIxMDg2ODIDAAAAAzE2MAIAAAACMjgEAAAAATAHAAAACTMvMzEvMjAxMAgAAAAJMy8zMS8yMDEwCQAAAAEwBjN9iUQl3ghjI0KLRCXeCDJDSVEuRU9HLklR</t>
  </si>
  <si>
    <t>X1RPVEFMX1JFVkVOVUUuSVFfTFRNLjkvMzAvMjAxNC5MLi5VU0QuSAEAAABcHQQAAgAAAAkxNjkyNi41NDcBCAAAAAUAAAABMQEAAAAKMTc2MzI2NDcwNQMAAAADMTYwAgAAAAIyOAQAAAABMAcAAAAJOS8zMC8yMDE0CAAAAAk5LzMwLzIwMTQJAAAAATBQBIqJRCXeCAynWItEJd4IM0NJUS5YT00uSVFfVE9UQUxfUkVWRU5VRS5JUV9MVE0uMTIvMzEvMjAxNS5MLi5VU0QuSAEAAABCMwYAAgAAAAYyNDE0MDYBCAAAAAUAAAABMQEAAAAKMTg3NzIzMzYwMAMAAAADMTYwAgAAAAIyOAQAAAABMAcAAAAKMTIvMzEvMjAxNQgAAAAKMTIvMzEvMjAxNQkAAAABMKHHiolEJd4IijJhi0Ql3ggyQ0lRLlhPTS5JUV9UT1RBTF9SRVZFTlVFLklRX0xUTS42LzMwLzIwMTcuTC4uVVNELkgBAAAAQjMGAAIAAAAGMjIwMzUwAQgAAAAFAAAAATEBAAAACjE4OTgyNTcyMTIDAAAAAzE2MAIAAAACMjgEAAAAATAHAAAACTYvMzAvMjAxNwgAAAAJNi8zMC8yMDE3CQAAAAEwenmKiUQl3giF9mqLRCXeCDJDSVEuRU9HLklRX1RPVEFMX1JFVkVOVUUuSVFfTFRNLjYvMzAvMjAyMS5MLi5VU0QuSAEAAABcHQQAAgAAAAUxMzgwNAEIAAAABQAAAAExAQAAAAstMjA4NjU4NDc3MgMAAAADMTYwAgAAAAIyOAQAAAABMAcAAAAJNi8zMC8yMDIxCAAAAAk2LzMwLzIwMjEJAAAAATAJEceKRCXeCNoaf4tEJd4IMkNJUS5DT1AuSVFfVE9UQUxf</t>
  </si>
  <si>
    <t>UkVWRU5VRS5JUV9MVE0uNi8zMC8yMDIxLkwuLlVTRC5IAQAAAE+GBAACAAAABTI5NjQxAQgAAAAFAAAAATEBAAAACy0yMDg2NDIwNTgyAwAAAAMxNjACAAAAAjI4BAAAAAEwBwAAAAk2LzMwLzIwMjEIAAAACTYvMzAvMjAyMQkAAAABMAkRx4pEJd4Iy0F/i0Ql3ggyQ0lRLkNWWC5JUV9UT1RBTF9SRVZFTlVFLklRX0xUTS45LzMwLzIwMjIuTC4uVVNELkgBAAAAyoABAAIAAAAGMjI3NjkyAQgAAAAFAAAAATEBAAAACy0yMDIxNDA5MDA4AwAAAAMxNjACAAAAAjI4BAAAAAEwBwAAAAk5LzMwLzIwMjIIAAAACTkvMzAvMjAyMgkAAAABMP7pxopEJd4IPw6Fi0Ql3ggyQ0lRLkNPUC5JUV9UT1RBTF9SRVZFTlVFLklRX0xUTS4zLzMxLzIwMTMuTC4uVVNELkgBAAAAT4YEAAIAAAAFNTkzMjgBCAAAAAUAAAABMQEAAAAKMTY3NTc0OTg2MwMAAAADMTYwAgAAAAIyOAQAAAABMAcAAAAJMy8zMS8yMDEzCAAAAAkzLzMxLzIwMTMJAAAAATCYYJiJRCXeCGXNT4tEJd4IMkNJUS5DT1AuSVFfVE9UQUxfUkVWRU5VRS5JUV9MVE0uNi8zMC8yMDE3LkwuLlVTRC5IAQAAAE+GBAACAAAABTI4MDIyAQgAAAAFAAAAATEBAAAACjE4OTgwMjMxNTQDAAAAAzE2MAIAAAACMjgEAAAAATAHAAAACTYvMzAvMjAxNwgAAAAJNi8zMC8yMDE3CQAAAAEwenmKiUQl3ghyz2qLRCXeCDJDSVEuRU9HLklRX1RPVEFMX1JFVkVOVUUuSVFfTFRN</t>
  </si>
  <si>
    <t>LjYvMzAvMjAyNS5MLi5VU0QuSAEAAABcHQQAAgAAAAUyMjc5OAEIAAAABQAAAAExAQAAAAstMTkzMjcxMTYxOAMAAAADMTYwAgAAAAIyOAQAAAABMAcAAAAJNi8zMC8yMDI1CAAAAAk2LzMwLzIwMjUJAAAAATDqI9qKRCXeCPNXkotEJd4IMkNJUS5FT0cuSVFfVE9UQUxfUkVWRU5VRS5JUV9MVE0uMy8zMS8yMDIwLkwuLlVTRC5IAQAAAFwdBAACAAAACTE2NDg5LjAyNwEIAAAABQAAAAExAQAAAAoyMDk2MDUwNTkwAwAAAAMxNjACAAAAAjI4BAAAAAEwBwAAAAkzLzMxLzIwMjAIAAAACTMvMzEvMjAyMAkAAAABMClfx4pEJd4IUid5i0Ql3ggyQ0lRLlhPTS5JUV9UT1RBTF9SRVZFTlVFLklRX0xUTS45LzMwLzIwMjIuTC4uVVNELkgBAAAAQjMGAAIAAAAGMzkwMjc4AQgAAAAFAAAAATEBAAAACy0yMDIxODY3OTA4AwAAAAMxNjACAAAAAjI4BAAAAAEwBwAAAAk5LzMwLzIwMjIIAAAACTkvMzAvMjAyMgkAAAABMP7pxopEJd4IPw6Fi0Ql3ggyQ0lRLkVPRy5JUV9UT1RBTF9SRVZFTlVFLklRX0xUTS4zLzMxLzIwMjQuTC4uVVNELkgBAAAAXB0EAAIAAAAFMjM1MzQBCAAAAAUAAAABMQEAAAALLTE5NDY5ODY0NjADAAAAAzE2MAIAAAACMjgEAAAAATAHAAAACTMvMzEvMjAyNAgAAAAJMy8zMS8yMDI0CQAAAAEw5UraikQl3ghZ74uLRCXeCDJDSVEuQ09QLklRX1RPVEFMX1JFVkVOVUUuSVFfTFRNLjkvMzAvMjAx</t>
  </si>
  <si>
    <t>MS5MLi5VU0QuSAEAAABPhgQAAgAAAAU5OTM1NQEIAAAABQAAAAExAQAAAAoxNTczNzU5NDE5AwAAAAMxNjACAAAAAjI4BAAAAAEwBwAAAAk5LzMwLzIwMTEIAAAACTkvMzAvMjAxMQkAAAABMOfkfIlEJd4IMOFIi0Ql3ggzQ0lRLkVPRy5JUV9UT1RBTF9SRVZFTlVFLklRX0xUTS4xMi8zMS8yMDE4LkwuLlVTRC5IAQAAAFwdBAACAAAACTE3MjY2LjQ3NwEIAAAABQAAAAExAQAAAAoyMDgxNzg1NDE3AwAAAAMxNjACAAAAAjI4BAAAAAEwBwAAAAoxMi8zMS8yMDE4CAAAAAoxMi8zMS8yMDE4CQAAAAEw9Qt9iUQl3gj0WnOLRCXeCDJDSVEuQ1ZYLklRX1RPVEFMX1JFVkVOVUUuSVFfTFRNLjYvMzAvMjAyNS5MLi5VU0QuSAEAAADKgAEAAgAAAAYxODkzNTYBCAAAAAUAAAABMQEAAAALLTE5MTgwOTQ2MjIDAAAAAzE2MAIAAAACMjgEAAAAATAHAAAACTYvMzAvMjAyNQgAAAAJNi8zMC8yMDI1CQAAAAEw6iPaikQl3gjzV5KLRCXeCDNDSVEuQ1ZYLklRX1RPVEFMX1JFVkVOVUUuSVFfTFRNLjEyLzMxLzIwMTEuTC4uVVNELkgBAAAAyoABAAIAAAAGMjM2Mjg2AQgAAAAFAAAAATEBAAAACjE2NTk0MjUwNTADAAAAAzE2MAIAAAACMjgEAAAAATAHAAAACjEyLzMxLzIwMTEIAAAACjEyLzMxLzIwMTEJAAAAATDbvXyJRCXeCJgKSotEJd4IM0NJUS5DT1AuSVFfVE9UQUxfUkVWRU5VRS5JUV9MVE0uMTIvMzEvMjAxOC5M</t>
  </si>
  <si>
    <t>Li5VU0QuSAEAAABPhgQAAgAAAAUzNzQ5MQEIAAAABQAAAAExAQAAAAoyMDgwNTc0NDY4AwAAAAMxNjACAAAAAjI4BAAAAAEwBwAAAAoxMi8zMS8yMDE4CAAAAAoxMi8zMS8yMDE4CQAAAAEw9Qt9iUQl3ggDgnOLRCXeCDJDSVEuQ1ZYLklRX1RPVEFMX1JFVkVOVUUuSVFfTFRNLjMvMzEvMjAyMC5MLi5VU0QuSAEAAADKgAEAAgAAAAYxMjc1OTABCAAAAAUAAAABMQEAAAAKMjA5NjA4NjE3NAMAAAADMTYwAgAAAAIyOAQAAAABMAcAAAAJMy8zMS8yMDIwCAAAAAkzLzMxLzIwMjAJAAAAATApX8eKRCXeCGBOeYtEJd4IMkNJUS5DVlguSVFfVE9UQUxfUkVWRU5VRS5JUV9MVE0uMy8zMS8yMDI0LkwuLlVTRC5IAQAAAMqAAQACAAAABjE5MjgwMwEIAAAABQAAAAExAQAAAAstMTkzMjU5MDQ1NwMAAAADMTYwAgAAAAIyOAQAAAABMAcAAAAJMy8zMS8yMDI0CAAAAAkzLzMxLzIwMjQJAAAAATDlStqKRCXeCFnvi4tEJd4IMkNJUS5FT0cuSVFfVE9UQUxfUkVWRU5VRS5JUV9MVE0uNi8zMC8yMDEwLkwuLlVTRC5IAQAAAFwdBAACAAAACDQ4NjEuNjgyAQgAAAAFAAAAATEBAAAACjE0NjUwMTQwNzEDAAAAAzE2MAIAAAACMjgEAAAAATAHAAAACTYvMzAvMjAxMAgAAAAJNi8zMC8yMDEwCQAAAAEwBjN9iUQl3gjWNEOLRCXeCDNDSVEuRU9HLklRX1RPVEFMX1JFVkVOVUUuSVFfTFRNLjEyLzMxLzIwMTQuTC4uVVNELkgB</t>
  </si>
  <si>
    <t>AAAAXB0EAAIAAAAJMTY2OTMuNDc3AQgAAAAFAAAAATEBAAAACjE4Mjk0NTA3MjQDAAAAAzE2MAIAAAACMjgEAAAAATAHAAAACjEyLzMxLzIwMTQIAAAACjEyLzMxLzIwMTQJAAAAATDbvXyJRCXeCL5UWotEJd4IMkNJUS5DT1AuSVFfVE9UQUxfUkVWRU5VRS5JUV9MVE0uMy8zMS8yMDE2LkwuLlVTRC5IAQAAAE+GBAACAAAABTI3MjcwAQgAAAAFAAAAATEBAAAACjE4NDA0Mjc5NjkDAAAAAzE2MAIAAAACMjgEAAAAATAHAAAACTMvMzEvMjAxNggAAAAJMy8zMS8yMDE2CQAAAAEwoceKiUQl3gg24GKLRCXeCDNDSVEuQ1ZYLklRX1RPVEFMX1JFVkVOVUUuSVFfTFRNLjEyLzMxLzIwMjIuTC4uVVNELkgBAAAAyoABAAIAAAAGMjM1OTE2AQgAAAAFAAAAATEBAAAACy0xOTU4NzU4MDMxAwAAAAMxNjACAAAAAjI4BAAAAAEwBwAAAAoxMi8zMS8yMDIyCAAAAAoxMi8zMS8yMDIyCQAAAAEw/unGikQl3girRoaLRCXeCDJDSVEuWE9NLklRX1RPVEFMX1JFVkVOVUUuSVFfTFRNLjYvMzAvMjAyNS5MLi5VU0QuSAEAAABCMwYAAgAAAAYzMzA3MDYBCAAAAAUAAAABMQEAAAALLTE5MzM0NDMzNjMDAAAAAzE2MAIAAAACMjgEAAAAATAHAAAACTYvMzAvMjAyNQgAAAAJNi8zMC8yMDI1CQAAAAEw6iPaikQl3gjzV5KLRCXeCDNDSVEuWE9NLklRX1RPVEFMX1JFVkVOVUUuSVFfTFRNLjEyLzMxLzIwMTEuTC4uVVNELkgBAAAA</t>
  </si>
  <si>
    <t>QjMGAAIAAAAGNDMzNTI2AQgAAAAFAAAAATEBAAAACjE2NjA0NzI4NTEDAAAAAzE2MAIAAAACMjgEAAAAATAHAAAACjEyLzMxLzIwMTEIAAAACjEyLzMxLzIwMTEJAAAAATDbvXyJRCXeCJgKSotEJd4IMkNJUS5FT0cuSVFfVE9UQUxfUkVWRU5VRS5JUV9MVE0uNi8zMC8yMDEzLkwuLlVTRC5IAQAAAFwdBAACAAAACTEyODE2LjQ1NgEIAAAABQAAAAExAQAAAAoxNjg5NjY0MzMxAwAAAAMxNjACAAAAAjI4BAAAAAEwBwAAAAk2LzMwLzIwMTMIAAAACTYvMzAvMjAxMwkAAAABMGtSiolEJd4I0N5Qi0Ql3ggyQ0lRLlhPTS5JUV9UT1RBTF9SRVZFTlVFLklRX0xUTS4zLzMxLzIwMjAuTC4uVVNELkgBAAAAQjMGAAIAAAAGMjQ5MjY0AQgAAAAFAAAAATEBAAAACjIwOTU2OTg1NjIDAAAAAzE2MAIAAAACMjgEAAAAATAHAAAACTMvMzEvMjAyMAgAAAAJMy8zMS8yMDIwCQAAAAEwKV/HikQl3ghgTnmLRCXeCDJDSVEuRU9HLklRX1RPVEFMX1JFVkVOVUUuSVFfTFRNLjkvMzAvMjAyMS5MLi5VU0QuSAEAAABcHQQAAgAAAAUxNjc0MQEIAAAABQAAAAExAQAAAAstMjA3MjE3MTczNgMAAAADMTYwAgAAAAIyOAQAAAABMAcAAAAJOS8zMC8yMDIxCAAAAAk5LzMwLzIwMjEJAAAAATAJEceKRCXeCEQsgItEJd4IMkNJUS5YT00uSVFfVE9UQUxfUkVWRU5VRS5JUV9MVE0uMy8zMS8yMDI0LkwuLlVTRC5IAQAAAEIzBgACAAAA</t>
  </si>
  <si>
    <t>BjMzMjg5MwEIAAAABQAAAAExAQAAAAstMTk0NjE1NzkyMgMAAAADMTYwAgAAAAIyOAQAAAABMAcAAAAJMy8zMS8yMDI0CAAAAAkzLzMxLzIwMjQJAAAAATDlStqKRCXeCFnvi4tEJd4IMkNJUS5FT0cuSVFfVE9UQUxfUkVWRU5VRS5JUV9MVE0uMy8zMS8yMDEyLkwuLlVTRC5IAQAAAFwdBAACAAAACDk3MjAuMDE4AQgAAAAFAAAAATEBAAAACjE2MTYxOTk1NzEDAAAAAzE2MAIAAAACMjgEAAAAATAHAAAACTMvMzEvMjAxMggAAAAJMy8zMS8yMDEyCQAAAAEw2718iUQl3givM0uLRCXeCDNDSVEuQ1ZYLklRX1RPVEFMX1JFVkVOVUUuSVFfTFRNLjEyLzMxLzIwMTQuTC4uVVNELkgBAAAAyoABAAIAAAAGMTkyMzA4AQgAAAAFAAAAATEBAAAACjE4MjkwODg5NDIDAAAAAzE2MAIAAAACMjgEAAAAATAHAAAACjEyLzMxLzIwMTQIAAAACjEyLzMxLzIwMTQJAAAAATDbvXyJRCXeCNyiWotEJd4IMkNJUS5FT0cuSVFfVE9UQUxfUkVWRU5VRS5JUV9MVE0uOS8zMC8yMDE3LkwuLlVTRC5IAQAAAFwdBAACAAAACTEwMjAwLjY4OQEIAAAABQAAAAExAQAAAAoxOTE3NzI0ODY0AwAAAAMxNjACAAAAAjI4BAAAAAEwBwAAAAk5LzMwLzIwMTcIAAAACTkvMzAvMjAxNwkAAAABMHp5iolEJd4IEFZsi0Ql3ggzQ0lRLlhPTS5JUV9UT1RBTF9SRVZFTlVFLklRX0xUTS4xMi8zMS8yMDIyLkwuLlVTRC5IAQAAAEIzBgACAAAABjQw</t>
  </si>
  <si>
    <t>MDczNwEIAAAABQAAAAExAQAAAAstMTk1ODk1MzU5OAMAAAADMTYwAgAAAAIyOAQAAAABMAcAAAAKMTIvMzEvMjAyMggAAAAKMTIvMzEvMjAyMgkAAAABMP7pxopEJd4Iq0aGi0Ql3ggyQ0lRLkVPRy5JUV9UT1RBTF9SRVZFTlVFLklRX0xUTS4zLzMxLzIwMjIuTC4uVVNELkgBAAAAXB0EAAIAAAAFMjI0ODgBCAAAAAUAAAABMQEAAAALLTIwNDc0NzM2MDADAAAAAzE2MAIAAAACMjgEAAAAATAHAAAACTMvMzEvMjAyMggAAAAJMy8zMS8yMDIyCQAAAAEwCRHHikQl3ggldoKLRCXeCDJDSVEuWE9NLklRX1RPVEFMX1JFVkVOVUUuSVFfTFRNLjYvMzAvMjAxNS5MLi5VU0QuSAEAAABCMwYAAgAAAAYyOTc2NDIBCAAAAAUAAAABMQEAAAAKMTgwMTYxNzQ3OQMAAAADMTYwAgAAAAIyOAQAAAABMAcAAAAJNi8zMC8yMDE1CAAAAAk2LzMwLzIwMTUJAAAAATDIlnyJRCXeCCHXXYtEJd4IMkNJUS5DVlguSVFfVE9UQUxfUkVWRU5VRS5JUV9MVE0uNi8zMC8yMDE5LkwuLlVTRC5IAQAAAMqAAQACAAAABjE0NTA5NAEIAAAABQAAAAExAQAAAAoyMDQ4MzAzNTk1AwAAAAMxNjACAAAAAjI4BAAAAAEwBwAAAAk2LzMwLzIwMTkIAAAACTYvMzAvMjAxOQkAAAABMEiGx4pEJd4I6ct1i0Ql3ggyQ0lRLkNWWC5JUV9UT1RBTF9SRVZFTlVFLklRX0xUTS42LzMwLzIwMjMuTC4uVVNELkgBAAAAyoABAAIAAAAGMjE0NTM0AQgAAAAF</t>
  </si>
  <si>
    <t>AAAAATEBAAAACy0xOTcwMTE0MjU3AwAAAAMxNjACAAAAAjI4BAAAAAEwBwAAAAk2LzMwLzIwMjMIAAAACTYvMzAvMjAyMwkAAAABMOVK2opEJd4Io5CIi0Ql3ggyQ0lRLkVPRy5JUV9UT1RBTF9SRVZFTlVFLklRX0xUTS42LzMwLzIwMTIuTC4uVVNELkgBAAAAXB0EAAIAAAAIMTAxMTAuNzQBCAAAAAUAAAABMQEAAAAKMTYyOTUyMTM3MQMAAAADMTYwAgAAAAIyOAQAAAABMAcAAAAJNi8zMC8yMDEyCAAAAAk2LzMwLzIwMTIJAAAAATCrh5iJRCXeCMwgTItEJd4IMkNJUS5FT0cuSVFfVE9UQUxfUkVWRU5VRS5JUV9MVE0uOS8zMC8yMDE5LkwuLlVTRC5IAQAAAFwdBAACAAAACTE3MTc1Ljk5MgEIAAAABQAAAAExAQAAAAoyMDY4NDMxMDU2AwAAAAMxNjACAAAAAjI4BAAAAAEwBwAAAAk5LzMwLzIwMTkIAAAACTkvMzAvMjAxOQkAAAABMEiGx4pEJd4IY912i0Ql3ggyQ0lRLkNPUC5JUV9UT1RBTF9SRVZFTlVFLklRX0xUTS45LzMwLzIwMTIuTC4uVVNELkgBAAAAT4YEAAIAAAAFNTg5MTgBCAAAAAUAAAABMQEAAAAKMTY0MzQ4MDkxNgMAAAADMTYwAgAAAAIyOAQAAAABMAcAAAAJOS8zMC8yMDEyCAAAAAk5LzMwLzIwMTIJAAAAATCrh5iJRCXeCI+qTYtEJd4IMkNJUS5DVlguSVFfVE9UQUxfUkVWRU5VRS5JUV9MVE0uOS8zMC8yMDE5LkwuLlVTRC5IAQAAAMqAAQACAAAABjEzNzc2OAEIAAAABQAAAAExAQAA</t>
  </si>
  <si>
    <t>AAoyMDY4NTM4ODg0AwAAAAMxNjACAAAAAjI4BAAAAAEwBwAAAAk5LzMwLzIwMTkIAAAACTkvMzAvMjAxOQkAAAABMEiGx4pEJd4IbwR3i0Ql3ggzQ0lRLkNWWC5JUV9UT1RBTF9SRVZFTlVFLklRX0xUTS4xMi8zMS8yMDI0LkwuLlVTRC5IAQAAAMqAAQACAAAABjE5NTU2OAEIAAAABQAAAAExAQAAAAstMTk1ODc1ODMzNwMAAAADMTYwAgAAAAIyOAQAAAABMAcAAAAKMTIvMzEvMjAyNAgAAAAKMTIvMzEvMjAyNAkAAAABMOoj2opEJd4I2JiPi0Ql3ggyQ0lRLkVPRy5JUV9UT1RBTF9SRVZFTlVFLklRX0xUTS42LzMwLzIwMTguTC4uVVNELkgBAAAAXB0EAAIAAAAJMTQyOTYuNTIyAQgAAAAFAAAAATEBAAAACjE5NzMzNDIwNzADAAAAAzE2MAIAAAACMjgEAAAAATAHAAAACTYvMzAvMjAxOAgAAAAJNi8zMC8yMDE4CQAAAAEwa1KKiUQl3ggKEXGLRCXeCDJDSVEuRU9HLklRX1RPVEFMX1JFVkVOVUUuSVFfTFRNLjYvMzAvMjAyMi5MLi5VU0QuSAEAAABcHQQAAgAAAAUyNjY2MAEIAAAABQAAAAExAQAAAAstMjAzNTc1NDM0OAMAAAADMTYwAgAAAAIyOAQAAAABMAcAAAAJNi8zMC8yMDIyCAAAAAk2LzMwLzIwMjIJAAAAATD+6caKRCXeCKWug4tEJd4IMkNJUS5YT00uSVFfVE9UQUxfUkVWRU5VRS5JUV9MVE0uMy8zMS8yMDE0LkwuLlVTRC5IAQAAAEIzBgACAAAABjM4ODI1NwEIAAAABQAAAAExAQAAAAoxNzMy</t>
  </si>
  <si>
    <t>OTg0MzQwAwAAAAMxNjACAAAAAjI4BAAAAAEwBwAAAAkzLzMxLzIwMTQIAAAACTMvMzEvMjAxNAkAAAABMFAEiolEJd4IuXJVi0Ql3ggzQ0lRLlhPTS5JUV9UT1RBTF9SRVZFTlVFLklRX0xUTS4xMi8zMS8yMDI0LkwuLlVTRC5IAQAAAEIzBgACAAAABjM0MDU2OAEIAAAABQAAAAExAQAAAAstMTk1ODk1MzY0NAMAAAADMTYwAgAAAAIyOAQAAAABMAcAAAAKMTIvMzEvMjAyNAgAAAAKMTIvMzEvMjAyNAkAAAABMOoj2opEJd4I2JiPi0Ql3ggzQ0lRLlhPTS5JUV9UT1RBTF9SRVZFTlVFLklRX0xUTS4xMi8zMS8yMDEyLkwuLlVTRC5IAQAAAEIzBgACAAAABjQxOTEwMAEIAAAABQAAAAExAQAAAAoxNzIwNzYzMDg3AwAAAAMxNjACAAAAAjI4BAAAAAEwBwAAAAoxMi8zMS8yMDEyCAAAAAoxMi8zMS8yMDEyCQAAAAEwq4eYiUQl3gjru06LRCXeCDNDSVEuWE9NLklRX1RPVEFMX1JFVkVOVUUuSVFfTFRNLjEyLzMxLzIwMTkuTC4uVVNELkgBAAAAQjMGAAIAAAAGMjU5NDk3AQgAAAAFAAAAATEBAAAACy0yMTExMDczODIwAwAAAAMxNjACAAAAAjI4BAAAAAEwBwAAAAoxMi8zMS8yMDE5CAAAAAoxMi8zMS8yMDE5CQAAAAEwKV/HikQl3gjkFXiLRCXeCDJDSVEuQ09QLklRX1RPVEFMX1JFVkVOVUUuSVFfTFRNLjkvMzAvMjAxNS5MLi5VU0QuSAEAAABPhgQAAgAAAAUzNTY0NgEIAAAABQAAAAExAQAAAAoxODE1Nzc2</t>
  </si>
  <si>
    <t>OTQ0AwAAAAMxNjACAAAAAjI4BAAAAAEwBwAAAAk5LzMwLzIwMTUIAAAACTkvMzAvMjAxNQkAAAABMMiWfIlEJd4I04Rfi0Ql3ggzQ0lRLkNPUC5JUV9UT1RBTF9SRVZFTlVFLklRX0xUTS4xMi8zMS8yMDEyLkwuLlVTRC5IAQAAAE+GBAACAAAABTYwMTg0AQgAAAAFAAAAATEBAAAACjE3MjA1ODQ0OTIDAAAAAzE2MAIAAAACMjgEAAAAATAHAAAACjEyLzMxLzIwMTIIAAAACjEyLzMxLzIwMTIJAAAAATCrh5iJRCXeCOu7TotEJd4IMkNJUS5DVlguSVFfVE9UQUxfUkVWRU5VRS5JUV9MVE0uNi8zMC8yMDEwLkwuLlVTRC5IAQAAAMqAAQACAAAABjE4MjEyMgEIAAAABQAAAAExAQAAAAoxNDY0ODU3NTcxAwAAAAMxNjACAAAAAjI4BAAAAAEwBwAAAAk2LzMwLzIwMTAIAAAACTYvMzAvMjAxMAkAAAABMAYzfYlEJd4I1jRDi0Ql3ggyQ0lRLkNPUC5JUV9UT1RBTF9SRVZFTlVFLklRX0xUTS4zLzMxLzIwMTguTC4uVVNELkgBAAAAT4YEAAIAAAAFMzExNjYBCAAAAAUAAAABMQEAAAAKMTk1OTQ3ODkxOQMAAAADMTYwAgAAAAIyOAQAAAABMAcAAAAJMy8zMS8yMDE4CAAAAAkzLzMxLzIwMTgJAAAAATBrUoqJRCXeCIjYb4tEJd4IMkNJUS5YT00uSVFfVE9UQUxfUkVWRU5VRS5JUV9MVE0uNi8zMC8yMDIzLkwuLlVTRC5IAQAAAEIzBgACAAAABjM2NTY2NwEIAAAABQAAAAExAQAAAAstMTkxOTIzNDY3MQMAAAADMTYw</t>
  </si>
  <si>
    <t>AgAAAAIyOAQAAAABMAcAAAAJNi8zMC8yMDIzCAAAAAk2LzMwLzIwMjMJAAAAATDlStqKRCXeCKOQiItEJd4IMkNJUS5FT0cuSVFfVE9UQUxfUkVWRU5VRS5JUV9MVE0uMy8zMS8yMDE0LkwuLlVTRC5IAQAAAFwdBAACAAAACTE1Mzg2LjU3NAEIAAAABQAAAAExAQAAAAoxNzMzMzIxNzExAwAAAAMxNjACAAAAAjI4BAAAAAEwBwAAAAkzLzMxLzIwMTQIAAAACTMvMzEvMjAxNAkAAAABMFAEiolEJd4InCRVi0Ql3ggyQ0lRLkVPRy5JUV9UT1RBTF9SRVZFTlVFLklRX0xUTS45LzMwLzIwMTUuTC4uVVNELkgBAAAAXB0EAAIAAAAJMTAzNzIuMzA4AQgAAAAFAAAAATEBAAAACjE4MTYwMTcyODkDAAAAAzE2MAIAAAACMjgEAAAAATAHAAAACTkvMzAvMjAxNQgAAAAJOS8zMC8yMDE1CQAAAAEwyJZ8iUQl3gi7Nl+LRCXeCDNDSVEuRU9HLklRX1RPVEFMX1JFVkVOVUUuSVFfTFRNLjEyLzMxLzIwMjQuTC4uVVNELkgBAAAAXB0EAAIAAAAFMjM0NzgBCAAAAAUAAAABMQEAAAALLTE5NTc5NjY4NTADAAAAAzE2MAIAAAACMjgEAAAAATAHAAAACjEyLzMxLzIwMjQIAAAACjEyLzMxLzIwMjQJAAAAATDqI9qKRCXeCNiYj4tEJd4IMkNJUS5DT1AuSVFfVE9UQUxfUkVWRU5VRS5JUV9MVE0uNi8zMC8yMDIzLkwuLlVTRC5IAQAAAE+GBAACAAAABTY4Nzc1AQgAAAAFAAAAATEBAAAACy0xOTg1NDMyOTQwAwAAAAMxNjACAAAA</t>
  </si>
  <si>
    <t>AjI4BAAAAAEwBwAAAAk2LzMwLzIwMjMIAAAACTYvMzAvMjAyMwkAAAABMOVK2opEJd4Io5CIi0Ql3ggyQ0lRLkNWWC5JUV9UT1RBTF9SRVZFTlVFLklRX0xUTS4zLzMxLzIwMTQuTC4uVVNELkgBAAAAyoABAAIAAAAGMjA4NDMzAQgAAAAFAAAAATEBAAAACjE3MzI5NDYyNjUDAAAAAzE2MAIAAAACMjgEAAAAATAHAAAACTMvMzEvMjAxNAgAAAAJMy8zMS8yMDE0CQAAAAEwUASKiUQl3gi5clWLRCXeCDJDSVEuRU9HLklRX1RPVEFMX1JFVkVOVUUuSVFfTFRNLjYvMzAvMjAxMS5MLi5VU0QuSAEAAABcHQQAAgAAAAg3MjQ3LjIwMwEIAAAABQAAAAExAQAAAAoxNTU3Mjc3NzYxAwAAAAMxNjACAAAAAjI4BAAAAAEwBwAAAAk2LzMwLzIwMTEIAAAACTYvMzAvMjAxMQkAAAABMOfkfIlEJd4IknpHi0Ql3ggzQ0lRLkNWWC5JUV9UT1RBTF9SRVZFTlVFLklRX0xUTS4xMi8zMS8yMDE5LkwuLlVTRC5IAQAAAMqAAQACAAAABjEzOTM2NQEIAAAABQAAAAExAQAAAAstMjExMDg4MjgyNgMAAAADMTYwAgAAAAIyOAQAAAABMAcAAAAKMTIvMzEvMjAxOQgAAAAKMTIvMzEvMjAxOQkAAAABMClfx4pEJd4I5BV4i0Ql3ggyQ0lRLlhPTS5JUV9UT1RBTF9SRVZFTlVFLklRX0xUTS45LzMwLzIwMTUuTC4uVVNELkgBAAAAQjMGAAIAAAAGMjYxODIxAQgAAAAFAAAAATEBAAAACjE4MTYyMjE5NjYDAAAAAzE2MAIAAAACMjgEAAAA</t>
  </si>
  <si>
    <t>ATAHAAAACTkvMzAvMjAxNQgAAAAJOS8zMC8yMDE1CQAAAAEwyJZ8iUQl3gjoq1+LRCXeCDJDSVEuWE9NLklRX1RPVEFMX1JFVkVOVUUuSVFfTFRNLjkvMzAvMjAyMy5MLi5VU0QuSAEAAABCMwYAAgAAAAYzNDY3OTkBCAAAAAUAAAABMQEAAAALLTE5NzA2NDE2NDEDAAAAAzE2MAIAAAACMjgEAAAAATAHAAAACTkvMzAvMjAyMwgAAAAJOS8zMC8yMDIzCQAAAAEw5UraikQl3ggSoomLRCXeCDJDSVEuQ09QLklRX1RPVEFMX1JFVkVOVUUuSVFfTFRNLjMvMzEvMjAxNy5MLi5VU0QuSAEAAABPhgQAAgAAAAUyNjQ5MQEIAAAABQAAAAExAQAAAAoxODg2NzMyMTI5AwAAAAMxNjACAAAAAjI4BAAAAAEwBwAAAAkzLzMxLzIwMTcIAAAACTMvMzEvMjAxNwkAAAABMI2giolEJd4I1khpi0Ql3ggzQ0lRLkNPUC5JUV9UT1RBTF9SRVZFTlVFLklRX0xUTS4xMi8zMS8yMDIwLkwuLlVTRC5IAQAAAE+GBAACAAAABTE5MjE2AQgAAAAFAAAAATEBAAAACy0yMDYwNjExODcyAwAAAAMxNjACAAAAAjI4BAAAAAEwBwAAAAoxMi8zMS8yMDIwCAAAAAoxMi8zMS8yMDIwCQAAAAEwMTjHikQl3gjg93yLRCXeCDNDSVEuQ09QLklRX1RPVEFMX1JFVkVOVUUuSVFfTFRNLjEyLzMxLzIwMjQuTC4uVVNELkgBAAAAT4YEAAIAAAAFNTY0NTABCAAAAAUAAAABMQEAAAALLTE5NTkyMDIxNzEDAAAAAzE2MAIAAAACMjgEAAAAATAHAAAACjEy</t>
  </si>
  <si>
    <t>LzMxLzIwMjQIAAAACjEyLzMxLzIwMjQJAAAAATDqI9qKRCXeCNiYj4tEJd4IMkNJUS5YT00uSVFfVE9UQUxfUkVWRU5VRS5JUV9MVE0uNi8zMC8yMDExLkwuLlVTRC5IAQAAAEIzBgACAAAABjM5MjcyNQEIAAAABQAAAAExAQAAAAoxNTU3MDcyMzU0AwAAAAMxNjACAAAAAjI4BAAAAAEwBwAAAAk2LzMwLzIwMTEIAAAACTYvMzAvMjAxMQkAAAABMOfkfIlEJd4IE75Hi0Ql3ggzQ0lRLkNPUC5JUV9UT1RBTF9SRVZFTlVFLklRX0xUTS4xMi8zMS8yMDE5LkwuLlVTRC5IAQAAAE+GBAACAAAABTMzMzQ2AQgAAAAFAAAAATEBAAAACy0yMTExNjQzMzI5AwAAAAMxNjACAAAAAjI4BAAAAAEwBwAAAAoxMi8zMS8yMDE5CAAAAAoxMi8zMS8yMDE5CQAAAAEwKV/HikQl3gjkFXiLRCXeCDJDSVEuQ1ZYLklRX1RPVEFMX1JFVkVOVUUuSVFfTFRNLjYvMzAvMjAxMy5MLi5VU0QuSAEAAADKgAEAAgAAAAYyMTMwODEBCAAAAAUAAAABMQEAAAAKMTY4OTc3NDk3NAMAAAADMTYwAgAAAAIyOAQAAAABMAcAAAAJNi8zMC8yMDEzCAAAAAk2LzMwLzIwMTMJAAAAATBrUoqJRCXeCPQsUYtEJd4IMkNJUS5DVlguSVFfVE9UQUxfUkVWRU5VRS5JUV9MVE0uNi8zMC8yMDE2LkwuLlVTRC5IAQAAAMqAAQACAAAABjEwNDc0MgEIAAAABQAAAAExAQAAAAoxODUxNjk1NjcyAwAAAAMxNjACAAAAAjI4BAAAAAEwBwAAAAk2LzMwLzIwMTYI</t>
  </si>
  <si>
    <t>AAAACTYvMzAvMjAxNgkAAAABMKHHiolEJd4I1mZki0Ql3ggyQ0lRLkNWWC5JUV9UT1RBTF9SRVZFTlVFLklRX0xUTS45LzMwLzIwMjEuTC4uVVNELkgBAAAAyoABAAIAAAAGMTM0MTk2AQgAAAAFAAAAATEBAAAACy0yMDcyMTIyMDQwAwAAAAMxNjACAAAAAjI4BAAAAAEwBwAAAAk5LzMwLzIwMjEIAAAACTkvMzAvMjAyMQkAAAABMAkRx4pEJd4ITXqAi0Ql3ggyQ0lRLkNPUC5JUV9UT1RBTF9SRVZFTlVFLklRX0xUTS4zLzMxLzIwMjQuTC4uVVNELkgBAAAAT4YEAAIAAAAFNTY4MjABCAAAAAUAAAABMQEAAAALLTE5NDQ5NDYyMDYDAAAAAzE2MAIAAAACMjgEAAAAATAHAAAACTMvMzEvMjAyNAgAAAAJMy8zMS8yMDI0CQAAAAEw5UraikQl3ghZ74uLRCXeCDJDSVEuRU9HLklRX1RPVEFMX1JFVkVOVUUuSVFfTFRNLjkvMzAvMjAyNS5MLi5VU0QuSAEAAABcHQQAAgAAAAUyMjY1NAEIAAAABQAAAAExAQAAAAstMTkxODE2OTMxNQMAAAADMTYwAgAAAAIyOAQAAAABMAcAAAAJOS8zMC8yMDI1CAAAAAk5LzMwLzIwMjUJAAAAATDa/NmKRCXeCGNpk4tEJd4IMkNJUS5DVlguSVFfVE9UQUxfUkVWRU5VRS5JUV9MVE0uMy8zMS8yMDEyLkwuLlVTRC5IAQAAAMqAAQACAAAABjIzNzExNwEIAAAABQAAAAExAQAAAAoxNjE1MzE0OTk3AwAAAAMxNjACAAAAAjI4BAAAAAEwBwAAAAkzLzMxLzIwMTIIAAAACTMvMzEvMjAx</t>
  </si>
  <si>
    <t>MgkAAAABMNu9fIlEJd4IAm9Li0Ql3ggzQ0lRLlhPTS5JUV9UT1RBTF9SRVZFTlVFLklRX0xUTS4xMi8zMS8yMDE0LkwuLlVTRC5IAQAAAEIzBgACAAAABjM2NDc2MwEIAAAABQAAAAExAQAAAAoxODI4OTA0ODcwAwAAAAMxNjACAAAAAjI4BAAAAAEwBwAAAAoxMi8zMS8yMDE0CAAAAAoxMi8zMS8yMDE0CQAAAAEw2718iUQl3gjcolqLRCXeCDJDSVEuQ1ZYLklRX1RPVEFMX1JFVkVOVUUuSVFfTFRNLjkvMzAvMjAxNy5MLi5VU0QuSAEAAADKgAEAAgAAAAYxMjE0MjMBCAAAAAUAAAABMQEAAAAKMTkyMDUzNTY5OAMAAAADMTYwAgAAAAIyOAQAAAABMAcAAAAJOS8zMC8yMDE3CAAAAAk5LzMwLzIwMTcJAAAAATB6eYqJRCXeCCd9bItEJd4IMkNJUS5DVlguSVFfVE9UQUxfUkVWRU5VRS5JUV9MVE0uNi8zMC8yMDIwLkwuLlVTRC5IAQAAAMqAAQACAAAABjEwNzE5MwEIAAAABQAAAAExAQAAAAstMjEzOTc5NzMzNAMAAAADMTYwAgAAAAIyOAQAAAABMAcAAAAJNi8zMC8yMDIwCAAAAAk2LzMwLzIwMjAJAAAAATApX8eKRCXeCOeGeotEJd4IMkNJUS5FT0cuSVFfVE9UQUxfUkVWRU5VRS5JUV9MVE0uOS8zMC8yMDEwLkwuLlVTRC5IAQAAAFwdBAACAAAACDUzMzIuNDg4AQgAAAAFAAAAATEBAAAACjE0Nzk3NjE1NDcDAAAAAzE2MAIAAAACMjgEAAAAATAHAAAACTkvMzAvMjAxMAgAAAAJOS8zMC8yMDEwCQAAAAEw</t>
  </si>
  <si>
    <t>BjN9iUQl3ggxH0SLRCXeCDJDSVEuQ09QLklRX1RPVEFMX1JFVkVOVUUuSVFfTFRNLjMvMzEvMjAxOS5MLi5VU0QuSAEAAABPhgQAAgAAAAUzNzgyMwEIAAAABQAAAAExAQAAAAoyMDMzNDY2NzAzAwAAAAMxNjACAAAAAjI4BAAAAAEwBwAAAAkzLzMxLzIwMTkIAAAACTMvMzEvMjAxOQkAAAABMOfkfIlEJd4Ie7p0i0Ql3ggyQ0lRLlhPTS5JUV9UT1RBTF9SRVZFTlVFLklRX0xUTS45LzMwLzIwMjEuTC4uVVNELkgBAAAAQjMGAAIAAAAGMjQyMjk5AQgAAAAFAAAAATEBAAAACy0yMDcyMzM3MTg4AwAAAAMxNjACAAAAAjI4BAAAAAEwBwAAAAk5LzMwLzIwMjEIAAAACTkvMzAvMjAyMQkAAAABMAkRx4pEJd4ITXqAi0Ql3ggyQ0lRLkNPUC5JUV9UT1RBTF9SRVZFTlVFLklRX0xUTS4zLzMxLzIwMjMuTC4uVVNELkgBAAAAT4YEAAIAAAAFNzc2OTcBCAAAAAUAAAABMQEAAAALLTE5ODU0MzI4NTMDAAAAAzE2MAIAAAACMjgEAAAAATAHAAAACTMvMzEvMjAyMwgAAAAJMy8zMS8yMDIzCQAAAAEw5UraikQl3gghWIeLRCXeCDJDSVEuQ1ZYLklRX1RPVEFMX1JFVkVOVUUuSVFfTFRNLjkvMzAvMjAyNS5MLi5VU0QuSAEAAADKgAEAAgAAAAYxODg2ODcBCAAAAAUAAAABMQEAAAALLTE5MTgwOTYzMjADAAAAAzE2MAIAAAACMjgEAAAAATAHAAAACTkvMzAvMjAyNQgAAAAJOS8zMC8yMDI1CQAAAAEw2vzZikQl3giQt5OL</t>
  </si>
  <si>
    <t>RCXeCDJDSVEuWE9NLklRX1RPVEFMX1JFVkVOVUUuSVFfTFRNLjMvMzEvMjAxMi5MLi5VU0QuSAEAAABCMwYAAgAAAAY0NDI4ODcBCAAAAAUAAAABMQEAAAAKMTYxNTA0ODI5MgMAAAADMTYwAgAAAAIyOAQAAAABMAcAAAAJMy8zMS8yMDEyCAAAAAkzLzMxLzIwMTIJAAAAATDbvXyJRCXeCK8zS4tEJd4IMkNJUS5FT0cuSVFfVE9UQUxfUkVWRU5VRS5JUV9MVE0uOS8zMC8yMDEzLkwuLlVTRC5IAQAAAFwdBAACAAAACTEzNzYwLjI0OAEIAAAABQAAAAExAQAAAAoxNzA0NjMwNTcxAwAAAAMxNjACAAAAAjI4BAAAAAEwBwAAAAk5LzMwLzIwMTMIAAAACTkvMzAvMjAxMwkAAAABMG4riolEJd4ITBdSi0Ql3ggzQ0lRLkNPUC5JUV9UT1RBTF9SRVZFTlVFLklRX0xUTS4xMi8zMS8yMDE0LkwuLlVTRC5IAQAAAE+GBAACAAAABTU1MDUzAQgAAAAFAAAAATEBAAAACjE4Mjg2ODgwNTcDAAAAAzE2MAIAAAACMjgEAAAAATAHAAAACjEyLzMxLzIwMTQIAAAACjEyLzMxLzIwMTQJAAAAATDbvXyJRCXeCNyiWotEJd4IMkNJUS5FT0cuSVFfVE9UQUxfUkVWRU5VRS5JUV9MVE0uOS8zMC8yMDE2LkwuLlVTRC5IAQAAAFwdBAACAAAABzY5NzYuMDYBCAAAAAUAAAABMQEAAAAKMTg2Mzc3MDY0MQMAAAADMTYwAgAAAAIyOAQAAAABMAcAAAAJOS8zMC8yMDE2CAAAAAk5LzMwLzIwMTYJAAAAATCNoIqJRCXeCG/GZYtEJd4IMkNJ</t>
  </si>
  <si>
    <t>US5YT00uSVFfVE9UQUxfUkVWRU5VRS5JUV9MVE0uOS8zMC8yMDE3LkwuLlVTRC5IAQAAAEIzBgACAAAABjIyNzU2MwEIAAAABQAAAAExAQAAAAoxOTIwMDE4NTMwAwAAAAMxNjACAAAAAjI4BAAAAAEwBwAAAAk5LzMwLzIwMTcIAAAACTkvMzAvMjAxNwkAAAABMHp5iolEJd4IJ31si0Ql3ggyQ0lRLlhPTS5JUV9UT1RBTF9SRVZFTlVFLklRX0xUTS45LzMwLzIwMjAuTC4uVVNELkgBAAAAQjMGAAIAAAAGMTk1ODc3AQgAAAAFAAAAATEBAAAACy0yMTIzOTI3MjIzAwAAAAMxNjACAAAAAjI4BAAAAAEwBwAAAAk5LzMwLzIwMjAIAAAACTkvMzAvMjAyMAkAAAABMDE4x4pEJd4IeOZ7i0Ql3ggyQ0lRLkNPUC5JUV9UT1RBTF9SRVZFTlVFLklRX0xUTS45LzMwLzIwMjEuTC4uVVNELkgBAAAAT4YEAAIAAAAFMzY3ODUBCAAAAAUAAAABMQEAAAALLTIwNzE5MzMzODEDAAAAAzE2MAIAAAACMjgEAAAAATAHAAAACTkvMzAvMjAyMQgAAAAJOS8zMC8yMDIxCQAAAAEwCRHHikQl3ghNeoCLRCXeCDJDSVEuWE9NLklRX1RPVEFMX1JFVkVOVUUuSVFfTFRNLjkvMzAvMjAyNS5MLi5VU0QuSAEAAABCMwYAAgAAAAYzMjYyNDUBCAAAAAUAAAABMQEAAAALLTE5MTg2NTUwNTcDAAAAAzE2MAIAAAACMjgEAAAAATAHAAAACTkvMzAvMjAyNQgAAAAJOS8zMC8yMDI1CQAAAAEw2vzZikQl3giQt5OLRCXeCDJDSVEuWE9NLklRX1RP</t>
  </si>
  <si>
    <t>VEFMX1JFVkVOVUUuSVFfTFRNLjkvMzAvMjAxMC5MLi5VU0QuSAEAAABCMwYAAgAAAAYzMjgyNTYBCAAAAAUAAAABMQEAAAAKMTQ4MDYxNTcxOAMAAAADMTYwAgAAAAIyOAQAAAABMAcAAAAJOS8zMC8yMDEwCAAAAAk5LzMwLzIwMTAJAAAAATAGM32JRCXeCEdGRItEJd4IMkNJUS5DT1AuSVFfVE9UQUxfUkVWRU5VRS5JUV9MVE0uMy8zMS8yMDEyLkwuLlVTRC5IAQAAAE+GBAACAAAABTY0NjUyAQgAAAAFAAAAATEBAAAACjE2MTQ5ODg1OTMDAAAAAzE2MAIAAAACMjgEAAAAATAHAAAACTMvMzEvMjAxMggAAAAJMy8zMS8yMDEyCQAAAAEw2718iUQl3givM0uLRCXeCDNDSVEuWE9NLklRX1RPVEFMX1JFVkVOVUUuSVFfTFRNLjEyLzMxLzIwMTMuTC4uVVNELkgBAAAAQjMGAAIAAAAGMzkwMjQ3AQgAAAAFAAAAATEBAAAACjE3Nzc2MzQ4NjkDAAAAAzE2MAIAAAACMjgEAAAAATAHAAAACjEyLzMxLzIwMTMIAAAACjEyLzMxLzIwMTMJAAAAATBuK4qJRCXeCBvsU4tEJd4IMkNJUS5YT00uSVFfVE9UQUxfUkVWRU5VRS5JUV9MVE0uOS8zMC8yMDE2LkwuLlVTRC5IAQAAAEIzBgACAAAABjE5ODIzNAEIAAAABQAAAAExAQAAAAoxODYzNjgzNDQyAwAAAAMxNjACAAAAAjI4BAAAAAEwBwAAAAk5LzMwLzIwMTYIAAAACTkvMzAvMjAxNgkAAAABMI2giolEJd4IixRmi0Ql3ggyQ0lRLkNPUC5JUV9UT1RBTF9SRVZFTlVF</t>
  </si>
  <si>
    <t>LklRX0xUTS45LzMwLzIwMjAuTC4uVVNELkgBAAAAT4YEAAIAAAAFMjE0NzUBCAAAAAUAAAABMQEAAAALLTIxMjM1NzU5NzgDAAAAAzE2MAIAAAACMjgEAAAAATAHAAAACTkvMzAvMjAyMAgAAAAJOS8zMC8yMDIwCQAAAAEwMTjHikQl3gh45nuLRCXeCDNDSVEuQ1ZYLklRX1RPVEFMX1JFVkVOVUUuSVFfTFRNLjEyLzMxLzIwMjEuTC4uVVNELkgBAAAAyoABAAIAAAAGMTU1MDY3AQgAAAAFAAAAATEBAAAACy0yMDA4NTU3NTEzAwAAAAMxNjACAAAAAjI4BAAAAAEwBwAAAAoxMi8zMS8yMDIxCAAAAAoxMi8zMS8yMDIxCQAAAAEwCRHHikQl3gjCi4GLRCXeCDJDSVEuRU9HLklRX1RPVEFMX1JFVkVOVUUuSVFfTFRNLjkvMzAvMjAyNC5MLi5VU0QuSAEAAABcHQQAAgAAAAUyMzg2NAEIAAAABQAAAAExAQAAAAstMTkxODE2OTMzMQMAAAADMTYwAgAAAAIyOAQAAAABMAcAAAAJOS8zMC8yMDI0CAAAAAk5LzMwLzIwMjQJAAAAATDqI9qKRCXeCEE5jotEJd4IMkNJUS5DT1AuSVFfVE9UQUxfUkVWRU5VRS5JUV9MVE0uOS8zMC8yMDEwLkwuLlVTRC5IAQAAAE+GBAACAAAABjE3MDcxMAEIAAAABQAAAAExAQAAAAoxNDc5NzYxODY5AwAAAAMxNjACAAAAAjI4BAAAAAEwBwAAAAk5LzMwLzIwMTAIAAAACTkvMzAvMjAxMAkAAAABMAYzfYlEJd4IR0ZEi0Ql3ggzQ0lRLkNWWC5JUV9UT1RBTF9SRVZFTlVFLklRX0xUTS4x</t>
  </si>
  <si>
    <t>Mi8zMS8yMDEwLkwuLlVTRC5IAQAAAMqAAQACAAAABjE4OTYwNwEIAAAABQAAAAExAQAAAAoxNTg4ODQ2NDQwAwAAAAMxNjACAAAAAjI4BAAAAAEwBwAAAAoxMi8zMS8yMDEwCAAAAAoxMi8zMS8yMDEwCQAAAAEw9Qt9iUQl3gjGfkWLRCXeCDJDSVEuQ1ZYLklRX1RPVEFMX1JFVkVOVUUuSVFfTFRNLjYvMzAvMjAxNS5MLi5VU0QuSAEAAADKgAEAAgAAAAYxNTUxMTUBCAAAAAUAAAABMQEAAAAKMTgwMTg5NzI3OAMAAAADMTYwAgAAAAIyOAQAAAABMAcAAAAJNi8zMC8yMDE1CAAAAAk2LzMwLzIwMTUJAAAAATDIlnyJRCXeCCHXXYtEJd4IMkNJUS5DT1AuSVFfVE9UQUxfUkVWRU5VRS5JUV9MVE0uOS8zMC8yMDE2LkwuLlVTRC5IAQAAAE+GBAACAAAABTIzMDE3AQgAAAAFAAAAATEBAAAACjE4NjM0NjEwNzUDAAAAAzE2MAIAAAACMjgEAAAAATAHAAAACTkvMzAvMjAxNggAAAAJOS8zMC8yMDE2CQAAAAEwjaCKiUQl3giLFGaLRCXeCDJDSVEuWE9NLklRX1RPVEFMX1JFVkVOVUUuSVFfTFRNLjMvMzEvMjAxOC5MLi5VU0QuSAEAAABCMwYAAgAAAAYyNDYxMjQBCAAAAAUAAAABMQEAAAAKMTk1OTUwMTUwMgMAAAADMTYwAgAAAAIyOAQAAAABMAcAAAAJMy8zMS8yMDE4CAAAAAkzLzMxLzIwMTgJAAAAATBrUoqJRCXeCIjYb4tEJd4IMkNJUS5FT0cuSVFfVE9UQUxfUkVWRU5VRS5JUV9MVE0uNi8zMC8yMDE5Lkwu</t>
  </si>
  <si>
    <t>LlVTRC5IAQAAAFwdBAACAAAACTE3Njc1LjY3NwEIAAAABQAAAAExAQAAAAoyMDQ4NjI5NDAzAwAAAAMxNjACAAAAAjI4BAAAAAEwBwAAAAk2LzMwLzIwMTkIAAAACTYvMzAvMjAxOQkAAAABMEiGx4pEJd4I4aR1i0Ql3ggyQ0lRLkVPRy5JUV9UT1RBTF9SRVZFTlVFLklRX0xUTS42LzMwLzIwMjMuTC4uVVNELkgBAAAAXB0EAAIAAAAFMjUyMjUBCAAAAAUAAAABMQEAAAALLTE5ODU1MDAzMjMDAAAAAzE2MAIAAAACMjgEAAAAATAHAAAACTYvMzAvMjAyMwgAAAAJNi8zMC8yMDIzCQAAAAEw5UraikQl3giPaYiLRCXeCDJDSVEuQ1ZYLklRX1RPVEFMX1JFVkVOVUUuSVFfTFRNLjkvMzAvMjAyNC5MLi5VU0QuSAEAAADKgAEAAgAAAAYxOTE2ODkBCAAAAAUAAAABMQEAAAALLTE5MTgwOTYzNjMDAAAAAzE2MAIAAAACMjgEAAAAATAHAAAACTkvMzAvMjAyNAgAAAAJOS8zMC8yMDI0CQAAAAEw6iPaikQl3ghBOY6LRCXeCDNDSVEuWE9NLklRX1RPVEFMX1JFVkVOVUUuSVFfTFRNLjEyLzMxLzIwMTAuTC4uVVNELkgBAAAAQjMGAAIAAAAGMzQxNTc4AQgAAAAFAAAAATEBAAAACjE1ODk1NDcxNjkDAAAAAzE2MAIAAAACMjgEAAAAATAHAAAACjEyLzMxLzIwMTAIAAAACjEyLzMxLzIwMTAJAAAAATD1C32JRCXeCLZXRYtEJd4IMkNJUS5DVlguSVFfVE9UQUxfUkVWRU5VRS5JUV9MVE0uMy8zMS8yMDIyLkwuLlVTRC5I</t>
  </si>
  <si>
    <t>AQAAAMqAAQACAAAABjE3NTgxMgEIAAAABQAAAAExAQAAAAstMjAzNTcwNjc2NAMAAAADMTYwAgAAAAIyOAQAAAABMAcAAAAJMy8zMS8yMDIyCAAAAAkzLzMxLzIwMjIJAAAAATAJEceKRCXeCEHEgotEJd4IM0NJUS5FT0cuSVFfVE9UQUxfUkVWRU5VRS5JUV9MVE0uMTIvMzEvMjAyMC5MLi5VU0QuSAEAAABcHQQAAgAAAAQ5OTM0AQgAAAAFAAAAATEBAAAACy0yMDU5ODQxMzQ3AwAAAAMxNjACAAAAAjI4BAAAAAEwBwAAAAoxMi8zMS8yMDIwCAAAAAoxMi8zMS8yMDIwCQAAAAEwMTjHikQl3gjM0HyLRCXeCDJDSVEuQ1ZYLklRX1RPVEFMX1JFVkVOVUUuSVFfTFRNLjYvMzAvMjAxMi5MLi5VU0QuSAEAAADKgAEAAgAAAAYyMzA1NjEBCAAAAAUAAAABMQEAAAAKMTYzMDAxOTEzNgMAAAADMTYwAgAAAAIyOAQAAAABMAcAAAAJNi8zMC8yMDEyCAAAAAk2LzMwLzIwMTIJAAAAATCrh5iJRCXeCLpdTItEJd4IM0NJUS5FT0cuSVFfVE9UQUxfUkVWRU5VRS5JUV9MVE0uMTIvMzEvMjAxNi5MLi5VU0QuSAEAAABcHQQAAgAAAAg3NTQ0LjQwNQEIAAAABQAAAAExAQAAAAoxOTQ3MTA2NjQwAwAAAAMxNjACAAAAAjI4BAAAAAEwBwAAAAoxMi8zMS8yMDE2CAAAAAoxMi8zMS8yMDE2CQAAAAEwjaCKiUQl3ggldGeLRCXeCDNDSVEuQ1ZYLklRX1RPVEFMX1JFVkVOVUUuSVFfTFRNLjEyLzMxLzIwMjAuTC4uVVNELkgBAAAA</t>
  </si>
  <si>
    <t>yoABAAIAAAAFOTQwMDUBCAAAAAUAAAABMQEAAAALLTIwNTk3NjgyMjgDAAAAAzE2MAIAAAACMjgEAAAAATAHAAAACjEyLzMxLzIwMjAIAAAACjEyLzMxLzIwMjAJAAAAATAxOMeKRCXeCOD3fItEJd4IMkNJUS5DVlguSVFfVE9UQUxfUkVWRU5VRS5JUV9MVE0uOS8zMC8yMDE1LkwuLlVTRC5IAQAAAMqAAQACAAAABjEzNjM3NgEIAAAABQAAAAExAQAAAAoxODE2MjMwNDE2AwAAAAMxNjACAAAAAjI4BAAAAAEwBwAAAAk5LzMwLzIwMTUIAAAACTkvMzAvMjAxNQkAAAABMMiWfIlEJd4I6Ktfi0Ql3ggzQ0lRLlhPTS5JUV9UT1RBTF9SRVZFTlVFLklRX0xUTS4xMi8zMS8yMDIwLkwuLlVTRC5IAQAAAEIzBgACAAAABjE3OTc4NAEIAAAABQAAAAExAQAAAAstMjA1OTkxNTIxNQMAAAADMTYwAgAAAAIyOAQAAAABMAcAAAAKMTIvMzEvMjAyMAgAAAAKMTIvMzEvMjAyMAkAAAABMDE4x4pEJd4I4Pd8i0Ql3ggyQ0lRLkNWWC5JUV9UT1RBTF9SRVZFTlVFLklRX0xUTS42LzMwLzIwMTEuTC4uVVNELkgBAAAAyoABAAIAAAAGMjE2NzczAQgAAAAFAAAAATEBAAAACjE1NTc0MDUyNzIDAAAAAzE2MAIAAAACMjgEAAAAATAHAAAACTYvMzAvMjAxMQgAAAAJNi8zMC8yMDExCQAAAAEw5+R8iUQl3ggTvkeLRCXeCDJDSVEuQ1ZYLklRX1RPVEFMX1JFVkVOVUUuSVFfTFRNLjYvMzAvMjAxOC5MLi5VU0QuSAEAAADKgAEAAgAA</t>
  </si>
  <si>
    <t>AAYxNDI5OTEBCAAAAAUAAAABMQEAAAAKMTk3NDUyODM3NgMAAAADMTYwAgAAAAIyOAQAAAABMAcAAAAJNi8zMC8yMDE4CAAAAAk2LzMwLzIwMTgJAAAAATBrUoqJRCXeCCVfcYtEJd4IMkNJUS5DVlguSVFfVE9UQUxfUkVWRU5VRS5JUV9MVE0uNi8zMC8yMDIyLkwuLlVTRC5IAQAAAMqAAQACAAAABjIwNjAwMAEIAAAABQAAAAExAQAAAAstMjAyMTQwODQzMQMAAAADMTYwAgAAAAIyOAQAAAABMAcAAAAJNi8zMC8yMDIyCAAAAAk2LzMwLzIwMjIJAAAAATD+6caKRCXeCMT8g4tEJd4IMkNJUS5DT1AuSVFfVE9UQUxfUkVWRU5VRS5JUV9MVE0uMy8zMS8yMDE0LkwuLlVTRC5IAQAAAE+GBAACAAAABTU4MTg5AQgAAAAFAAAAATEBAAAACjE3MzI1ODA5OTMDAAAAAzE2MAIAAAACMjgEAAAAATAHAAAACTMvMzEvMjAxNAgAAAAJMy8zMS8yMDE0CQAAAAEwUASKiUQl3gi5clWLRCXeCDJDSVEuQ09QLklRX1RPVEFMX1JFVkVOVUUuSVFfTFRNLjkvMzAvMjAyMy5MLi5VU0QuSAEAAABPhgQAAgAAAAU2MTgzOQEIAAAABQAAAAExAQAAAAstMTk3MTA0NjcwMwMAAAADMTYwAgAAAAIyOAQAAAABMAcAAAAJOS8zMC8yMDIzCAAAAAk5LzMwLzIwMjMJAAAAATDlStqKRCXeCBKiiYtEJd4IMkNJUS5DVlguSVFfVE9UQUxfUkVWRU5VRS5JUV9MVE0uNi8zMC8yMDE0LkwuLlVTRC5IAQAAAMqAAQACAAAABjIwODY5NwEIAAAA</t>
  </si>
  <si>
    <t>BQAAAAExAQAAAAoxNzQ4ODY1NDY2AwAAAAMxNjACAAAAAjI4BAAAAAEwBwAAAAk2LzMwLzIwMTQIAAAACTYvMzAvMjAxNAkAAAABMFAEiolEJd4Ig25Xi0Ql3ggzQ0lRLkNPUC5JUV9UT1RBTF9SRVZFTlVFLklRX0xUTS4xMi8zMS8yMDIzLkwuLlVTRC5IAQAAAE+GBAACAAAABTU3ODYxAQgAAAAFAAAAATEBAAAACy0xOTU5MjAyMTc1AwAAAAMxNjACAAAAAjI4BAAAAAEwBwAAAAoxMi8zMS8yMDIzCAAAAAoxMi8zMS8yMDIzCQAAAAEw5UraikQl3gjj3YqLRCXeCDxDSVEuQ09QLklRX1RPVEFMX1JFVl8xWVJfQU5OX0dST1dUSC5JUV9DUS45LzMwLzIwMjUuTC4uVVNELkgBAAAAT4YEAAIAAAAHMTQuMDQ4MwEIAAAABQAAAAExAQAAAAstMTkxODA0ODE0NQMAAAADMTYwAgAAAAQ0MTk0BAAAAAEwBwAAAAk5LzMwLzIwMjUIAAAACTkvMzAvMjAyNQkAAAABMNr82YpEJd4IdpCTi0Ql3gg9Q0lRLkNPUC5JUV9UT1RBTF9SRVZfMVlSX0FOTl9HUk9XVEguSVFfQ1EuMTIvMzEvMjAwOS5MLi5VU0QuSAEAAABPhgQAAgAAAActMS45MTg5AQgAAAAFAAAAATEBAAAACjE0MzkyOTI3NTcDAAAAAzE2MAIAAAAENDE5NAQAAAABMAcAAAAKMTIvMzEvMjAwOQgAAAAKMTIvMzEvMjAwOQkAAAABMAYzfYlEJd4ICjlBi0Ql3gg8Q0lRLkNWWC5JUV9UT1RBTF9SRVZfMVlSX0FOTl9HUk9XVEguSVFfQ1EuOS8zMC8yMDEwLkwu</t>
  </si>
  <si>
    <t>LlVTRC5IAQAAAMqAAQACAAAABjcuNTg5MQEIAAAABQAAAAExAQAAAAoxNDgwMDY3MTgyAwAAAAMxNjACAAAABDQxOTQEAAAAATAHAAAACTkvMzAvMjAxMAgAAAAJOS8zMC8yMDEwCQAAAAEwBjN9iUQl3ggxH0SLRCXeCD1DSVEuQ09QLklRX1RPVEFMX1JFVl8xWVJfQU5OX0dST1dUSC5JUV9DUS4xMi8zMS8yMDExLkwuLlVTRC5IAQAAAE+GBAACAAAACC02OS4yODM5AQgAAAAFAAAAATEBAAAACjE1ODg0NTQ3MzEDAAAAAzE2MAIAAAAENDE5NAQAAAABMAcAAAAKMTIvMzEvMjAxMQgAAAAKMTIvMzEvMjAxMQkAAAABMNu9fIlEJd4ImApKi0Ql3gg8Q0lRLkNWWC5JUV9UT1RBTF9SRVZfMVlSX0FOTl9HUk9XVEguSVFfQ1EuOS8zMC8yMDEyLkwuLlVTRC5IAQAAAMqAAQACAAAABy05Ljc2NjEBCAAAAAUAAAABMQEAAAAKMTY0Mzg3ODI0OAMAAAADMTYwAgAAAAQ0MTk0BAAAAAEwBwAAAAk5LzMwLzIwMTIIAAAACTkvMzAvMjAxMgkAAAABMKuHmIlEJd4IcoNNi0Ql3gg9Q0lRLkNPUC5JUV9UT1RBTF9SRVZfMVlSX0FOTl9HUk9XVEguSVFfQ1EuMTIvMzEvMjAxMy5MLi5VU0QuSAEAAABPhgQAAgAAAAgtMTMuNzIwOAEIAAAABQAAAAExAQAAAAoxNzIwNTg0MjcxAwAAAAMxNjACAAAABDQxOTQEAAAAATAHAAAACjEyLzMxLzIwMTMIAAAACjEyLzMxLzIwMTMJAAAAATBuK4qJRCXeCPadU4tEJd4IPENJUS5DVlgu</t>
  </si>
  <si>
    <t>SVFfVE9UQUxfUkVWXzFZUl9BTk5fR1JPV1RILklRX0NRLjkvMzAvMjAxNC5MLi5VU0QuSAEAAADKgAEAAgAAAActOC41OTUxAQgAAAAFAAAAATEBAAAACjE3NjMzMjkyNjQDAAAAAzE2MAIAAAAENDE5NAQAAAABMAcAAAAJOS8zMC8yMDE0CAAAAAk5LzMwLzIwMTQJAAAAATBQBIqJRCXeCBrOWItEJd4IPUNJUS5DT1AuSVFfVE9UQUxfUkVWXzFZUl9BTk5fR1JPV1RILklRX0NRLjEyLzMxLzIwMTUuTC4uVVNELkgBAAAAT4YEAAIAAAAILTQ2LjQyODMBCAAAAAUAAAABMQEAAAAKMTgyODY4ODA2MQMAAAADMTYwAgAAAAQ0MTk0BAAAAAEwBwAAAAoxMi8zMS8yMDE1CAAAAAoxMi8zMS8yMDE1CQAAAAEwpu6KiUQl3giCC2GLRCXeCDxDSVEuQ1ZYLklRX1RPVEFMX1JFVl8xWVJfQU5OX0dST1dUSC5JUV9DUS45LzMwLzIwMTYuTC4uVVNELkgBAAAAyoABAAIAAAAILTExLjU2MDcBCAAAAAUAAAABMQEAAAAKMTg2Mzg2NDYyNgMAAAADMTYwAgAAAAQ0MTk0BAAAAAEwBwAAAAk5LzMwLzIwMTYIAAAACTkvMzAvMjAxNgkAAAABMKHHiolEJd4IhO1li0Ql3gg9Q0lRLkNPUC5JUV9UT1RBTF9SRVZfMVlSX0FOTl9HUk9XVEguSVFfQ1EuMTIvMzEvMjAxNy5MLi5VU0QuSAEAAABPhgQAAgAAAAcxOC45ODQyAQgAAAAFAAAAATEBAAAACjE5NDYwMDU3NDgDAAAAAzE2MAIAAAAENDE5NAQAAAABMAcAAAAKMTIvMzEvMjAx</t>
  </si>
  <si>
    <t>NwgAAAAKMTIvMzEvMjAxNwkAAAABMHp5iolEJd4Iutxti0Ql3gg8Q0lRLkNWWC5JUV9UT1RBTF9SRVZfMVlSX0FOTl9HUk9XVEguSVFfQ1EuOS8zMC8yMDE4LkwuLlVTRC5IAQAAAMqAAQACAAAABzMxLjQ3NTQBCAAAAAUAAAABMQEAAAAKMTk5MDk4Njg5NgMAAAADMTYwAgAAAAQ0MTk0BAAAAAEwBwAAAAk5LzMwLzIwMTgIAAAACTkvMzAvMjAxOAkAAAABMGtSiolEJd4IgUlyi0Ql3gg9Q0lRLkNPUC5JUV9UT1RBTF9SRVZfMVlSX0FOTl9HUk9XVEguSVFfQ1EuMTIvMzEvMjAxOS5MLi5VU0QuSAEAAABPhgQAAgAAAAgtMjEuNDI3OQEIAAAABQAAAAExAQAAAAoyMDgwNTc0NDkwAwAAAAMxNjACAAAABDQxOTQEAAAAATAHAAAACjEyLzMxLzIwMTkIAAAACjEyLzMxLzIwMTkJAAAAATApX8eKRCXeCMvud4tEJd4IPENJUS5DVlguSVFfVE9UQUxfUkVWXzFZUl9BTk5fR1JPV1RILklRX0NRLjkvMzAvMjAyMC5MLi5VU0QuSAEAAADKgAEAAgAAAAgtMzEuMDAxNQEIAAAABQAAAAExAQAAAAstMjEyMzYwNDgzMAMAAAADMTYwAgAAAAQ0MTk0BAAAAAEwBwAAAAk5LzMwLzIwMjAIAAAACTkvMzAvMjAyMAkAAAABMClfx4pEJd4IX797i0Ql3gg9Q0lRLkNPUC5JUV9UT1RBTF9SRVZfMVlSX0FOTl9HUk9XVEguSVFfQ1EuMTIvMzEvMjAyMS5MLi5VU0QuSAEAAABPhgQAAgAAAAgxNzcuMDY2NQEIAAAABQAAAAExAQAA</t>
  </si>
  <si>
    <t>AAstMjA2MDYxMTkyOAMAAAADMTYwAgAAAAQ0MTk0BAAAAAEwBwAAAAoxMi8zMS8yMDIxCAAAAAoxMi8zMS8yMDIxCQAAAAEwCRHHikQl3gisZIGLRCXeCDxDSVEuQ1ZYLklRX1RPVEFMX1JFVl8xWVJfQU5OX0dST1dUSC5JUV9DUS45LzMwLzIwMjIuTC4uVVNELkgBAAAAyoABAAIAAAAHNTAuOTc3NgEIAAAABQAAAAExAQAAAAstMjAyMTQxMTEwMAMAAAADMTYwAgAAAAQ0MTk0BAAAAAEwBwAAAAk5LzMwLzIwMjIIAAAACTkvMzAvMjAyMgkAAAABMP7pxopEJd4IIueEi0Ql3gg9Q0lRLkNPUC5JUV9UT1RBTF9SRVZfMVlSX0FOTl9HUk9XVEguSVFfQ1EuMTIvMzEvMjAyMy5MLi5VU0QuSAEAAABPhgQAAgAAAAgtMjAuNzk2OAEIAAAABQAAAAExAQAAAAstMTk1OTIwMjE3NwMAAAADMTYwAgAAAAQ0MTk0BAAAAAEwBwAAAAoxMi8zMS8yMDIzCAAAAAoxMi8zMS8yMDIzCQAAAAEw5UraikQl3giDs4qLRCXeCDxDSVEuQ1ZYLklRX1RPVEFMX1JFVl8xWVJfQU5OX0dST1dUSC5JUV9DUS45LzMwLzIwMjQuTC4uVVNELkgBAAAAyoABAAIAAAAHLTYuMzY0OAEIAAAABQAAAAExAQAAAAstMTkxODA5ODEzNAMAAAADMTYwAgAAAAQ0MTk0BAAAAAEwBwAAAAk5LzMwLzIwMjQIAAAACTkvMzAvMjAyNAkAAAABMOoj2opEJd4IMxKOi0Ql3gg8Q0lRLkVPRy5JUV9UT1RBTF9SRVZfMVlSX0FOTl9HUk9XVEguSVFfQ1EuNi8z</t>
  </si>
  <si>
    <t>MC8yMDExLkwuLlVTRC5IAQAAAFwdBAACAAAABzY4Ljg4NDYBCAAAAAUAAAABMQEAAAAKMTU1NzI2NDk2OQMAAAADMTYwAgAAAAQ0MTk0BAAAAAEwBwAAAAk2LzMwLzIwMTEIAAAACTYvMzAvMjAxMQkAAAABMOfkfIlEJd4IuaFHi0Ql3gg8Q0lRLkVPRy5JUV9UT1RBTF9SRVZfMVlSX0FOTl9HUk9XVEguSVFfQ1EuNi8zMC8yMDEzLkwuLlVTRC5IAQAAAFwdBAACAAAABjM5LjQyMgEIAAAABQAAAAExAQAAAAoxNjg5NjU1Mzc4AwAAAAMxNjACAAAABDQxOTQEAAAAATAHAAAACTYvMzAvMjAxMwgAAAAJNi8zMC8yMDEzCQAAAAEwa1KKiUQl3gjpBVGLRCXeCDxDSVEuRU9HLklRX1RPVEFMX1JFVl8xWVJfQU5OX0dST1dUSC5JUV9DUS42LzMwLzIwMTUuTC4uVVNELkgBAAAAXB0EAAIAAAAILTQyLjgxMDUBCAAAAAUAAAABMQEAAAAKMTgwMTc4MjQ4NQMAAAADMTYwAgAAAAQ0MTk0BAAAAAEwBwAAAAk2LzMwLzIwMTUIAAAACTYvMzAvMjAxNQkAAAABMMiWfIlEJd4IHrBdi0Ql3gg8Q0lRLlhPTS5JUV9UT1RBTF9SRVZfMVlSX0FOTl9HUk9XVEguSVFfQ1EuOS8zMC8yMDE2LkwuLlVTRC5IAQAAAEIzBgACAAAACC0xMi45MTA2AQgAAAAFAAAAATEBAAAACjE4NjM2Nzc5OTkDAAAAAzE2MAIAAAAENDE5NAQAAAABMAcAAAAJOS8zMC8yMDE2CAAAAAk5LzMwLzIwMTYJAAAAATChx4qJRCXeCITtZYtEJd4IPENJUS5F</t>
  </si>
  <si>
    <t>T0cuSVFfVE9UQUxfUkVWXzFZUl9BTk5fR1JPV1RILklRX0NRLjYvMzAvMjAxNy5MLi5VU0QuSAEAAABcHQQAAgAAAAc0Mi4yODg3AQgAAAAFAAAAATEBAAAACjE4OTg0MTQ0MTYDAAAAAzE2MAIAAAAENDE5NAQAAAABMAcAAAAJNi8zMC8yMDE3CAAAAAk2LzMwLzIwMTcJAAAAATCNoIqJRCXeCHLPaotEJd4IPENJUS5YT00uSVFfVE9UQUxfUkVWXzFZUl9BTk5fR1JPV1RILklRX0NRLjkvMzAvMjAxOC5MLi5VU0QuSAEAAABCMwYAAgAAAAcyNC45OTkxAQgAAAAFAAAAATEBAAAACjE5OTA3ODcxMTEDAAAAAzE2MAIAAAAENDE5NAQAAAABMAcAAAAJOS8zMC8yMDE4CAAAAAk5LzMwLzIwMTgJAAAAATBrUoqJRCXeCIFJcotEJd4IPENJUS5FT0cuSVFfVE9UQUxfUkVWXzFZUl9BTk5fR1JPV1RILklRX0NRLjYvMzAvMjAyMS5MLi5VU0QuSAEAAABcHQQAAgAAAAgyNzEuMjk5MwEIAAAABQAAAAExAQAAAAstMjA4NjU4NDg5OQMAAAADMTYwAgAAAAQ0MTk0BAAAAAEwBwAAAAk2LzMwLzIwMjEIAAAACTYvMzAvMjAyMQkAAAABMAkRx4pEJd4I2hp/i0Ql3gg8Q0lRLlhPTS5JUV9UT1RBTF9SRVZfMVlSX0FOTl9HUk9XVEguSVFfQ1EuOS8zMC8yMDIyLkwuLlVTRC5IAQAAAEIzBgACAAAABzQ4Ljk3OTQBCAAAAAUAAAABMQEAAAALLTIwMjE4Njk3MDgDAAAAAzE2MAIAAAAENDE5NAQAAAABMAcAAAAJOS8zMC8yMDIy</t>
  </si>
  <si>
    <t>CAAAAAk5LzMwLzIwMjIJAAAAATD+6caKRCXeCCLnhItEJd4IPENJUS5FT0cuSVFfVE9UQUxfUkVWXzFZUl9BTk5fR1JPV1RILklRX0NRLjYvMzAvMjAyNS5MLi5VU0QuSAEAAABcHQQAAgAAAAgtMTEuMjUyNQEIAAAABQAAAAExAQAAAAstMTkzMjcxMjQ3MQMAAAADMTYwAgAAAAQ0MTk0BAAAAAEwBwAAAAk2LzMwLzIwMjUIAAAACTYvMzAvMjAyNQkAAAABMOoj2opEJd4I5DCSi0Ql3gg8Q0lRLkNPUC5JUV9UT1RBTF9SRVZfMVlSX0FOTl9HUk9XVEguSVFfQ1EuOS8zMC8yMDEwLkwuLlVTRC5IAQAAAE+GBAACAAAABzE4LjIxNzQBCAAAAAUAAAABMQEAAAAKMTQ3OTc0ODY3NwMAAAADMTYwAgAAAAQ0MTk0BAAAAAEwBwAAAAk5LzMwLzIwMTAIAAAACTkvMzAvMjAxMAkAAAABMAYzfYlEJd4IMR9Ei0Ql3gg8Q0lRLkNWWC5JUV9UT1RBTF9SRVZfMVlSX0FOTl9HUk9XVEguSVFfQ1EuNi8zMC8yMDEzLkwuLlVTRC5IAQAAAMqAAQACAAAABy04LjA0MTQBCAAAAAUAAAABMQEAAAAKMTY4OTc2MzQ5NgMAAAADMTYwAgAAAAQ0MTk0BAAAAAEwBwAAAAk2LzMwLzIwMTMIAAAACTYvMzAvMjAxMwkAAAABMGtSiolEJd4I6QVRi0Ql3gg8Q0lRLkNPUC5JUV9UT1RBTF9SRVZfMVlSX0FOTl9HUk9XVEguSVFfQ1EuOS8zMC8yMDE0LkwuLlVTRC5IAQAAAE+GBAACAAAACC0xMC4zMzI3AQgAAAAFAAAAATEBAAAACjE3NjI2</t>
  </si>
  <si>
    <t>MDIzNjQDAAAAAzE2MAIAAAAENDE5NAQAAAABMAcAAAAJOS8zMC8yMDE0CAAAAAk5LzMwLzIwMTQJAAAAATBQBIqJRCXeCAynWItEJd4IPENJUS5DVlguSVFfVE9UQUxfUkVWXzFZUl9BTk5fR1JPV1RILklRX0NRLjYvMzAvMjAxNy5MLi5VU0QuSAEAAADKgAEAAgAAAAYxOS4zNjMBCAAAAAUAAAABMQEAAAAKMTg5ODM1Mzg0NQMAAAADMTYwAgAAAAQ0MTk0BAAAAAEwBwAAAAk2LzMwLzIwMTcIAAAACTYvMzAvMjAxNwkAAAABMI2giolEJd4Ics9qi0Ql3gg8Q0lRLkNPUC5JUV9UT1RBTF9SRVZfMVlSX0FOTl9HUk9XVEguSVFfQ1EuOS8zMC8yMDE4LkwuLlVTRC5IAQAAAE+GBAACAAAABjQxLjUzMQEIAAAABQAAAAExAQAAAAoxOTg5OTAxMjY4AwAAAAMxNjACAAAABDQxOTQEAAAAATAHAAAACTkvMzAvMjAxOAgAAAAJOS8zMC8yMDE4CQAAAAEwa1KKiUQl3giBSXKLRCXeCDxDSVEuQ1ZYLklRX1RPVEFMX1JFVl8xWVJfQU5OX0dST1dUSC5JUV9DUS42LzMwLzIwMjEuTC4uVVNELkgBAAAAyoABAAIAAAAIMTI2Ljc4MDEBCAAAAAUAAAABMQEAAAALLTIwODY0OTEzMDYDAAAAAzE2MAIAAAAENDE5NAQAAAABMAcAAAAJNi8zMC8yMDIxCAAAAAk2LzMwLzIwMjEJAAAAATAJEceKRCXeCNoaf4tEJd4IPENJUS5DT1AuSVFfVE9UQUxfUkVWXzFZUl9BTk5fR1JPV1RILklRX0NRLjkvMzAvMjAyMi5MLi5VU0QuSAEA</t>
  </si>
  <si>
    <t>AABPhgQAAgAAAAc4Ni41NDU2AQgAAAAFAAAAATEBAAAACy0yMDIxNDg3OTUwAwAAAAMxNjACAAAABDQxOTQEAAAAATAHAAAACTkvMzAvMjAyMggAAAAJOS8zMC8yMDIyCQAAAAEw/unGikQl3ggi54SLRCXeCDxDSVEuQ1ZYLklRX1RPVEFMX1JFVl8xWVJfQU5OX0dST1dUSC5JUV9DUS42LzMwLzIwMjUuTC4uVVNELkgBAAAAyoABAAIAAAAHLTEwLjU3MQEIAAAABQAAAAExAQAAAAstMTkxODA5NDYyMwMAAAADMTYwAgAAAAQ0MTk0BAAAAAEwBwAAAAk2LzMwLzIwMjUIAAAACTYvMzAvMjAyNQkAAAABMOoj2opEJd4I5DCSi0Ql3gg8Q0lRLkVPRy5JUV9UT1RBTF9SRVZfMVlSX0FOTl9HUk9XVEguSVFfQ1EuMy8zMS8yMDEyLkwuLlVTRC5IAQAAAFwdBAACAAAABzM3LjY3NTYBCAAAAAUAAAABMQEAAAAKMTYxNjE5MDQ5NwMAAAADMTYwAgAAAAQ0MTk0BAAAAAEwBwAAAAkzLzMxLzIwMTIIAAAACTMvMzEvMjAxMgkAAAABMNu9fIlEJd4IrzNLi0Ql3gg8Q0lRLkVPRy5JUV9UT1RBTF9SRVZfMVlSX0FOTl9HUk9XVEguSVFfQ1EuMy8zMS8yMDE0LkwuLlVTRC5IAQAAAFwdBAACAAAABzI4LjIyNTgBCAAAAAUAAAABMQEAAAAKMTczMzMxMjg2NAMAAAADMTYwAgAAAAQ0MTk0BAAAAAEwBwAAAAkzLzMxLzIwMTQIAAAACTMvMzEvMjAxNAkAAAABMFAEiolEJd4IpUtVi0Ql3gg8Q0lRLlhPTS5JUV9UT1RBTF9SRVZf</t>
  </si>
  <si>
    <t>MVlSX0FOTl9HUk9XVEguSVFfQ1EuNi8zMC8yMDE1LkwuLlVTRC5IAQAAAEIzBgACAAAACC0zMy4xNjY4AQgAAAAFAAAAATEBAAAACjE4MDE2MTY4ODADAAAAAzE2MAIAAAAENDE5NAQAAAABMAcAAAAJNi8zMC8yMDE1CAAAAAk2LzMwLzIwMTUJAAAAATDIlnyJRCXeCB6wXYtEJd4IPENJUS5FT0cuSVFfVE9UQUxfUkVWXzFZUl9BTk5fR1JPV1RILklRX0NRLjMvMzEvMjAxOC5MLi5VU0QuSAEAAABcHQQAAgAAAAc0Ni40MTE2AQgAAAAFAAAAATEBAAAACjE5NTkxNTY5MTcDAAAAAzE2MAIAAAAENDE5NAQAAAABMAcAAAAJMy8zMS8yMDE4CAAAAAkzLzMxLzIwMTgJAAAAATB6eYqJRCXeCHexb4tEJd4IPENJUS5YT00uSVFfVE9UQUxfUkVWXzFZUl9BTk5fR1JPV1RILklRX0NRLjYvMzAvMjAxOS5MLi5VU0QuSAEAAABCMwYAAgAAAActNS4yMTE2AQgAAAAFAAAAATEBAAAACjIwNDgzMDM1NzQDAAAAAzE2MAIAAAAENDE5NAQAAAABMAcAAAAJNi8zMC8yMDE5CAAAAAk2LzMwLzIwMTkJAAAAATBIhseKRCXeCOGkdYtEJd4IPENJUS5FT0cuSVFfVE9UQUxfUkVWXzFZUl9BTk5fR1JPV1RILklRX0NRLjMvMzEvMjAyMi5MLi5VU0QuSAEAAABcHQQAAgAAAAc2Ni42NTg0AQgAAAAFAAAAATEBAAAACy0yMDQ3NDczNjcxAwAAAAMxNjACAAAABDQxOTQEAAAAATAHAAAACTMvMzEvMjAyMggAAAAJMy8zMS8yMDIyCQAA</t>
  </si>
  <si>
    <t>AAEwCRHHikQl3gg0nYKLRCXeCDxDSVEuWE9NLklRX1RPVEFMX1JFVl8xWVJfQU5OX0dST1dUSC5JUV9DUS42LzMwLzIwMjMuTC4uVVNELkgBAAAAQjMGAAIAAAAILTI4LjMzODQBCAAAAAUAAAABMQEAAAALLTE5MTkyMzQ2NzIDAAAAAzE2MAIAAAAENDE5NAQAAAABMAcAAAAJNi8zMC8yMDIzCAAAAAk2LzMwLzIwMjMJAAAAATDlStqKRCXeCI9piItEJd4IPENJUS5YT00uSVFfVE9UQUxfUkVWXzFZUl9BTk5fR1JPV1RILklRX0NRLjkvMzAvMjAxMC5MLi5VU0QuSAEAAABCMwYAAgAAAAcxNi4yMzI1AQgAAAAFAAAAATEBAAAACjE0ODA1OTQ1NzADAAAAAzE2MAIAAAAENDE5NAQAAAABMAcAAAAJOS8zMC8yMDEwCAAAAAk5LzMwLzIwMTAJAAAAATAGM32JRCXeCDEfRItEJd4IPENJUS5YT00uSVFfVE9UQUxfUkVWXzFZUl9BTk5fR1JPV1RILklRX0NRLjkvMzAvMjAxMi5MLi5VU0QuSAEAAABCMwYAAgAAAActOC4xNjA1AQgAAAAFAAAAATEBAAAACjE2NDM0NzI4MjIDAAAAAzE2MAIAAAAENDE5NAQAAAABMAcAAAAJOS8zMC8yMDEyCAAAAAk5LzMwLzIwMTIJAAAAATCrh5iJRCXeCHKDTYtEJd4IPENJUS5YT00uSVFfVE9UQUxfUkVWXzFZUl9BTk5fR1JPV1RILklRX0NRLjkvMzAvMjAxNC5MLi5VU0QuSAEAAABCMwYAAgAAAActNC43OTY3AQgAAAAFAAAAATEBAAAACjE3NjI4MzcyMzIDAAAAAzE2MAIAAAAE</t>
  </si>
  <si>
    <t>NDE5NAQAAAABMAcAAAAJOS8zMC8yMDE0CAAAAAk5LzMwLzIwMTQJAAAAATBQBIqJRCXeCBrOWItEJd4IPENJUS5FT0cuSVFfVE9UQUxfUkVWXzFZUl9BTk5fR1JPV1RILklRX0NRLjYvMzAvMjAxOS5MLi5VU0QuSAEAAABcHQQAAgAAAAYxLjg1MTgBCAAAAAUAAAABMQEAAAAKMjA0ODYyNzQ4NwMAAAADMTYwAgAAAAQ0MTk0BAAAAAEwBwAAAAk2LzMwLzIwMTkIAAAACTYvMzAvMjAxOQkAAAABMEiGx4pEJd4I4aR1i0Ql3gg8Q0lRLlhPTS5JUV9UT1RBTF9SRVZfMVlSX0FOTl9HUk9XVEguSVFfQ1EuOS8zMC8yMDIwLkwuLlVTRC5IAQAAAEIzBgACAAAACC0yOC40MzU3AQgAAAAFAAAAATEBAAAACy0yMTIzOTI5MjIxAwAAAAMxNjACAAAABDQxOTQEAAAAATAHAAAACTkvMzAvMjAyMAgAAAAJOS8zMC8yMDIwCQAAAAEwKV/HikQl3ghfv3uLRCXeCDxDSVEuRU9HLklRX1RPVEFMX1JFVl8xWVJfQU5OX0dST1dUSC5JUV9DUS42LzMwLzIwMjMuTC4uVVNELkgBAAAAXB0EAAIAAAAILTM2LjkwNTgBCAAAAAUAAAABMQEAAAALLTE5ODU1MDMxMTADAAAAAzE2MAIAAAAENDE5NAQAAAABMAcAAAAJNi8zMC8yMDIzCAAAAAk2LzMwLzIwMjMJAAAAATDlStqKRCXeCI9piItEJd4IPENJUS5YT00uSVFfVE9UQUxfUkVWXzFZUl9BTk5fR1JPV1RILklRX0NRLjkvMzAvMjAyNC5MLi5VU0QuSAEAAABCMwYAAgAAAActMC44</t>
  </si>
  <si>
    <t>Nzg1AQgAAAAFAAAAATEBAAAACy0xOTE4Njc1MzQ2AwAAAAMxNjACAAAABDQxOTQEAAAAATAHAAAACTkvMzAvMjAyNAgAAAAJOS8zMC8yMDI0CQAAAAEw6iPaikQl3ggzEo6LRCXeCDxDSVEuQ1ZYLklRX1RPVEFMX1JFVl8xWVJfQU5OX0dST1dUSC5JUV9DUS42LzMwLzIwMTEuTC4uVVNELkgBAAAAyoABAAIAAAAHMzEuODQ2NAEIAAAABQAAAAExAQAAAAoxNTU3Mzk2NzUzAwAAAAMxNjACAAAABDQxOTQEAAAAATAHAAAACTYvMzAvMjAxMQgAAAAJNi8zMC8yMDExCQAAAAEw5+R8iUQl3gi5oUeLRCXeCDxDSVEuQ09QLklRX1RPVEFMX1JFVl8xWVJfQU5OX0dST1dUSC5JUV9DUS45LzMwLzIwMTIuTC4uVVNELkgBAAAAT4YEAAIAAAAILTEzLjkxOTIBCAAAAAUAAAABMQEAAAAKMTY0MzQ3Mjg5NgMAAAADMTYwAgAAAAQ0MTk0BAAAAAEwBwAAAAk5LzMwLzIwMTIIAAAACTkvMzAvMjAxMgkAAAABMKuHmIlEJd4IcoNNi0Ql3gg8Q0lRLkNWWC5JUV9UT1RBTF9SRVZfMVlSX0FOTl9HUk9XVEguSVFfQ1EuNi8zMC8yMDE1LkwuLlVTRC5IAQAAAMqAAQACAAAACC0zNC43ODg2AQgAAAAFAAAAATEBAAAACjE4MDE4OTUxOTIDAAAAAzE2MAIAAAAENDE5NAQAAAABMAcAAAAJNi8zMC8yMDE1CAAAAAk2LzMwLzIwMTUJAAAAATDIlnyJRCXeCB6wXYtEJd4IPENJUS5DT1AuSVFfVE9UQUxfUkVWXzFZUl9BTk5fR1JPV1RI</t>
  </si>
  <si>
    <t>LklRX0NRLjkvMzAvMjAxNi5MLi5VU0QuSAEAAABPhgQAAgAAAAgtMTUuMDk2OQEIAAAABQAAAAExAQAAAAoxODYzNDYwMTM4AwAAAAMxNjACAAAABDQxOTQEAAAAATAHAAAACTkvMzAvMjAxNggAAAAJOS8zMC8yMDE2CQAAAAEwoceKiUQl3giE7WWLRCXeCDxDSVEuQ1ZYLklRX1RPVEFMX1JFVl8xWVJfQU5OX0dST1dUSC5JUV9DUS42LzMwLzIwMTkuTC4uVVNELkgBAAAAyoABAAIAAAAILTEwLjI5MzcBCAAAAAUAAAABMQEAAAAKMjA0ODI5OTkwMgMAAAADMTYwAgAAAAQ0MTk0BAAAAAEwBwAAAAk2LzMwLzIwMTkIAAAACTYvMzAvMjAxOQkAAAABMEiGx4pEJd4I4aR1i0Ql3gg8Q0lRLkNPUC5JUV9UT1RBTF9SRVZfMVlSX0FOTl9HUk9XVEguSVFfQ1EuOS8zMC8yMDIwLkwuLlVTRC5IAQAAAE+GBAACAAAACC00NS4wNTM1AQgAAAAFAAAAATEBAAAACy0yMTIzNTc4Mzg1AwAAAAMxNjACAAAABDQxOTQEAAAAATAHAAAACTkvMzAvMjAyMAgAAAAJOS8zMC8yMDIwCQAAAAEwKV/HikQl3ghfv3uLRCXeCDxDSVEuQ1ZYLklRX1RPVEFMX1JFVl8xWVJfQU5OX0dST1dUSC5JUV9DUS42LzMwLzIwMjMuTC4uVVNELkgBAAAAyoABAAIAAAAILTI4LjMxMTYBCAAAAAUAAAABMQEAAAALLTE5NzAxMTQyNTgDAAAAAzE2MAIAAAAENDE5NAQAAAABMAcAAAAJNi8zMC8yMDIzCAAAAAk2LzMwLzIwMjMJAAAAATDlStqKRCXe</t>
  </si>
  <si>
    <t>CI9piItEJd4IPENJUS5DT1AuSVFfVE9UQUxfUkVWXzFZUl9BTk5fR1JPV1RILklRX0NRLjkvMzAvMjAyNC5MLi5VU0QuSAEAAABPhgQAAgAAAActNy44OTczAQgAAAAFAAAAATEBAAAACy0xOTE4MDQ4MTIyAwAAAAMxNjACAAAABDQxOTQEAAAAATAHAAAACTkvMzAvMjAyNAgAAAAJOS8zMC8yMDI0CQAAAAEw6iPaikQl3ghBOY6LRCXeCDxDSVEuRU9HLklRX1RPVEFMX1JFVl8xWVJfQU5OX0dST1dUSC5JUV9DUS4zLzMxLzIwMTAuTC4uVVNELkgBAAAAXB0EAAIAAAAHNjkuMDAzNwEIAAAABQAAAAExAQAAAAoxNDUyMDk4OTg2AwAAAAMxNjACAAAABDQxOTQEAAAAATAHAAAACTMvMzEvMjAxMAgAAAAJMy8zMS8yMDEwCQAAAAEwBjN9iUQl3ghjI0KLRCXeCDxDSVEuWE9NLklRX1RPVEFMX1JFVl8xWVJfQU5OX0dST1dUSC5JUV9DUS42LzMwLzIwMTEuTC4uVVNELkgBAAAAQjMGAAIAAAAHMzYuMjk2MQEIAAAABQAAAAExAQAAAAoxNTU3MDcyMjM3AwAAAAMxNjACAAAABDQxOTQEAAAAATAHAAAACTYvMzAvMjAxMQgAAAAJNi8zMC8yMDExCQAAAAEw5+R8iUQl3gi5oUeLRCXeCDxDSVEuWE9NLklRX1RPVEFMX1JFVl8xWVJfQU5OX0dST1dUSC5JUV9DUS42LzMwLzIwMTMuTC4uVVNELkgBAAAAQjMGAAIAAAAHLTguMzAxMQEIAAAABQAAAAExAQAAAAoxNjg5NzYzOTY4AwAAAAMxNjACAAAABDQxOTQEAAAAATAH</t>
  </si>
  <si>
    <t>AAAACTYvMzAvMjAxMwgAAAAJNi8zMC8yMDEzCQAAAAEwa1KKiUQl3gjpBVGLRCXeCDxDSVEuRU9HLklRX1RPVEFMX1JFVl8xWVJfQU5OX0dST1dUSC5JUV9DUS4zLzMxLzIwMTYuTC4uVVNELkgBAAAAXB0EAAIAAAAILTQwLjIwODMBCAAAAAUAAAABMQEAAAAKMTg0MDk2MzE3OQMAAAADMTYwAgAAAAQ0MTk0BAAAAAEwBwAAAAkzLzMxLzIwMTYIAAAACTMvMzEvMjAxNgkAAAABMKHHiolEJd4II7lii0Ql3gg8Q0lRLlhPTS5JUV9UT1RBTF9SRVZfMVlSX0FOTl9HUk9XVEguSVFfQ1EuNi8zMC8yMDE3LkwuLlVTRC5IAQAAAEIzBgACAAAABjguODE3OQEIAAAABQAAAAExAQAAAAoxODk4MjU1ODU3AwAAAAMxNjACAAAABDQxOTQEAAAAATAHAAAACTYvMzAvMjAxNwgAAAAJNi8zMC8yMDE3CQAAAAEwjaCKiUQl3ghjqGqLRCXeCDxDSVEuRU9HLklRX1RPVEFMX1JFVl8xWVJfQU5OX0dST1dUSC5JUV9DUS4zLzMxLzIwMjAuTC4uVVNELkgBAAAAXB0EAAIAAAAHLTE0LjM3OAEIAAAABQAAAAExAQAAAAoyMDk2MDUwMDQ4AwAAAAMxNjACAAAABDQxOTQEAAAAATAHAAAACTMvMzEvMjAyMAgAAAAJMy8zMS8yMDIwCQAAAAEwKV/HikQl3ghSJ3mLRCXeCDxDSVEuWE9NLklRX1RPVEFMX1JFVl8xWVJfQU5OX0dST1dUSC5JUV9DUS42LzMwLzIwMjEuTC4uVVNELkgBAAAAQjMGAAIAAAAIMTA0LjAwNTkBCAAAAAUAAAAB</t>
  </si>
  <si>
    <t>MQEAAAALLTIwODY2MTUwMjkDAAAAAzE2MAIAAAAENDE5NAQAAAABMAcAAAAJNi8zMC8yMDIxCAAAAAk2LzMwLzIwMjEJAAAAATAJEceKRCXeCNoaf4tEJd4IPENJUS5FT0cuSVFfVE9UQUxfUkVWXzFZUl9BTk5fR1JPV1RILklRX0NRLjMvMzEvMjAyNC5MLi5VU0QuSAEAAABcHQQAAgAAAAY0LjY2MTUBCAAAAAUAAAABMQEAAAALLTE5NDY5ODcyMDkDAAAAAzE2MAIAAAAENDE5NAQAAAABMAcAAAAJMy8zMS8yMDI0CAAAAAkzLzMxLzIwMjQJAAAAATDlStqKRCXeCETIi4tEJd4IPENJUS5YT00uSVFfVE9UQUxfUkVWXzFZUl9BTk5fR1JPV1RILklRX0NRLjYvMzAvMjAyNS5MLi5VU0QuSAEAAABCMwYAAgAAAAgtMTEuNjc4NQEIAAAABQAAAAExAQAAAAstMTkzMzQ0NDExMAMAAAADMTYwAgAAAAQ0MTk0BAAAAAEwBwAAAAk2LzMwLzIwMjUIAAAACTYvMzAvMjAyNQkAAAABMOoj2opEJd4I5DCSi0Ql3gg9Q0lRLkNWWC5JUV9UT1RBTF9SRVZfMVlSX0FOTl9HUk9XVEguSVFfQ1EuMTIvMzEvMjAxMS5MLi5VU0QuSAEAAADKgAEAAgAAAAcxMy4yNzEzAQgAAAAFAAAAATEBAAAACjE1ODg4NDY2MjIDAAAAAzE2MAIAAAAENDE5NAQAAAABMAcAAAAKMTIvMzEvMjAxMQgAAAAKMTIvMzEvMjAxMQkAAAABMNu9fIlEJd4ImApKi0Ql3gg8Q0lRLlhPTS5JUV9UT1RBTF9SRVZfMVlSX0FOTl9HUk9XVEguSVFfQ1EuNi8z</t>
  </si>
  <si>
    <t>MC8yMDE4LkwuLlVTRC5IAQAAAEIzBgACAAAABzI3LjU0MDcBCAAAAAUAAAABMQEAAAAKMTk3NDUyNjMzMAMAAAADMTYwAgAAAAQ0MTk0BAAAAAEwBwAAAAk2LzMwLzIwMTgIAAAACTYvMzAvMjAxOAkAAAABMGtSiolEJd4IEDhxi0Ql3gg8Q0lRLkNWWC5JUV9UT1RBTF9SRVZfMVlSX0FOTl9HUk9XVEguSVFfQ1EuMy8zMS8yMDIxLkwuLlVTRC5IAQAAAMqAAQACAAAABjQuNjE1MwEIAAAABQAAAAExAQAAAAstMjA5ODU2MzczOAMAAAADMTYwAgAAAAQ0MTk0BAAAAAEwBwAAAAkzLzMxLzIwMjEIAAAACTMvMzEvMjAyMQkAAAABMDE4x4pEJd4ITAl+i0Ql3gg8Q0lRLlhPTS5JUV9UT1RBTF9SRVZfMVlSX0FOTl9HUk9XVEguSVFfQ1EuMy8zMS8yMDEwLkwuLlVTRC5IAQAAAEIzBgACAAAABzQyLjY4NzkBCAAAAAUAAAABMQEAAAAKMTQ1MTE5NTc4MwMAAAADMTYwAgAAAAQ0MTk0BAAAAAEwBwAAAAkzLzMxLzIwMTAIAAAACTMvMzEvMjAxMAkAAAABMAYzfYlEJd4IUvxBi0Ql3gg9Q0lRLlhPTS5JUV9UT1RBTF9SRVZfMVlSX0FOTl9HUk9XVEguSVFfQ1EuMTIvMzEvMjAxMi5MLi5VU0QuSAEAAABCMwYAAgAAAAYtNS41OTUBCAAAAAUAAAABMQEAAAAKMTY2MDQ3MzkxNwMAAAADMTYwAgAAAAQ0MTk0BAAAAAEwBwAAAAoxMi8zMS8yMDEyCAAAAAoxMi8zMS8yMDEyCQAAAAEwq4eYiUQl3gjilE6LRCXeCDxDSVEu</t>
  </si>
  <si>
    <t>WE9NLklRX1RPVEFMX1JFVl8xWVJfQU5OX0dST1dUSC5JUV9DUS45LzMwLzIwMTUuTC4uVVNELkgBAAAAQjMGAAIAAAAILTM3LjQzNTYBCAAAAAUAAAABMQEAAAAKMTgxNjIyMTEwNAMAAAADMTYwAgAAAAQ0MTk0BAAAAAEwBwAAAAk5LzMwLzIwMTUIAAAACTkvMzAvMjAxNQkAAAABMMiWfIlEJd4IzV1fi0Ql3gg8Q0lRLkNPUC5JUV9UT1RBTF9SRVZfMVlSX0FOTl9HUk9XVEguSVFfQ1EuNi8zMC8yMDE5LkwuLlVTRC5IAQAAAE+GBAACAAAABy03LjMzMjcBCAAAAAUAAAABMQEAAAAKMjA0ODA5NzI1OQMAAAADMTYwAgAAAAQ0MTk0BAAAAAEwBwAAAAk2LzMwLzIwMTkIAAAACTYvMzAvMjAxOQkAAAABMEiGx4pEJd4I4aR1i0Ql3gg8Q0lRLkNWWC5JUV9UT1RBTF9SRVZfMVlSX0FOTl9HUk9XVEguSVFfQ1EuMy8zMS8yMDIyLkwuLlVTRC5IAQAAAMqAAQACAAAABzY2Ljc1NTYBCAAAAAUAAAABMQEAAAALLTIwMzU3MDY3NjkDAAAAAzE2MAIAAAAENDE5NAQAAAABMAcAAAAJMy8zMS8yMDIyCAAAAAkzLzMxLzIwMjIJAAAAATAJEceKRCXeCDSdgotEJd4IPUNJUS5DT1AuSVFfVE9UQUxfUkVWXzFZUl9BTk5fR1JPV1RILklRX0NRLjEyLzMxLzIwMjIuTC4uVVNELkgBAAAAT4YEAAIAAAAHMjMuNzg5OAEIAAAABQAAAAExAQAAAAstMjAxMDEyNTAxMgMAAAADMTYwAgAAAAQ0MTk0BAAAAAEwBwAAAAoxMi8zMS8y</t>
  </si>
  <si>
    <t>MDIyCAAAAAoxMi8zMS8yMDIyCQAAAAEw/unGikQl3gidH4aLRCXeCDxDSVEuRU9HLklRX1RPVEFMX1JFVl8xWVJfQU5OX0dST1dUSC5JUV9DUS45LzMwLzIwMjUuTC4uVVNELkgBAAAAXB0EAAIAAAAHLTIuNDQzNgEIAAAABQAAAAExAQAAAAstMTkxODE3MTAzNQMAAAADMTYwAgAAAAQ0MTk0BAAAAAEwBwAAAAk5LzMwLzIwMjUIAAAACTkvMzAvMjAyNQkAAAABMNr82YpEJd4IdpCTi0Ql3gg9Q0lRLlhPTS5JUV9UT1RBTF9SRVZfMVlSX0FOTl9HUk9XVEguSVFfQ1EuMTIvMzEvMjAxMS5MLi5VU0QuSAEAAABCMwYAAgAAAAcxNC45NzUxAQgAAAAFAAAAATEBAAAACjE1ODk1NDg1MDYDAAAAAzE2MAIAAAAENDE5NAQAAAABMAcAAAAKMTIvMzEvMjAxMQgAAAAKMTIvMzEvMjAxMQkAAAABMNu9fIlEJd4ImApKi0Ql3gg9Q0lRLkVPRy5JUV9UT1RBTF9SRVZfMVlSX0FOTl9HUk9XVEguSVFfQ1EuMTIvMzEvMjAxNC5MLi5VU0QuSAEAAABcHQQAAgAAAActNi4zMDUyAQgAAAAFAAAAATEBAAAACjE3Nzc3NTYzNTcDAAAAAzE2MAIAAAAENDE5NAQAAAABMAcAAAAKMTIvMzEvMjAxNAgAAAAKMTIvMzEvMjAxNAkAAAABMOfkfIlEJd4Iyntai0Ql3gg8Q0lRLkVPRy5JUV9UT1RBTF9SRVZfMVlSX0FOTl9HUk9XVEguSVFfQ1EuOS8zMC8yMDE3LkwuLlVTRC5IAQAAAFwdBAACAAAABzMyLjYzODgBCAAAAAUAAAABMQEA</t>
  </si>
  <si>
    <t>AAAKMTkxNzcyNDU5MAMAAAADMTYwAgAAAAQ0MTk0BAAAAAEwBwAAAAk5LzMwLzIwMTcIAAAACTkvMzAvMjAxNwkAAAABMHp5iolEJd4IEFZsi0Ql3gg8Q0lRLkNPUC5JUV9UT1RBTF9SRVZfMVlSX0FOTl9HUk9XVEguSVFfQ1EuNi8zMC8yMDE4LkwuLlVTRC5IAQAAAE+GBAACAAAABzI2LjAwOTQBCAAAAAUAAAABMQEAAAAKMTk3NTExNTg4NAMAAAADMTYwAgAAAAQ0MTk0BAAAAAEwBwAAAAk2LzMwLzIwMTgIAAAACTYvMzAvMjAxOAkAAAABMGtSiolEJd4IChFxi0Ql3gg8Q0lRLkVPRy5JUV9UT1RBTF9SRVZfMVlSX0FOTl9HUk9XVEguSVFfQ1EuNi8zMC8yMDIwLkwuLlVTRC5IAQAAAFwdBAACAAAACC03My4wNTE2AQgAAAAFAAAAATEBAAAACy0yMTQwMTE1MzMxAwAAAAMxNjACAAAABDQxOTQEAAAAATAHAAAACTYvMzAvMjAyMAgAAAAJNi8zMC8yMDIwCQAAAAEwKV/HikQl3gjnhnqLRCXeCDxDSVEuWE9NLklRX1RPVEFMX1JFVl8xWVJfQU5OX0dST1dUSC5JUV9DUS4zLzMxLzIwMjEuTC4uVVNELkgBAAAAQjMGAAIAAAAGNC4xMzY2AQgAAAAFAAAAATEBAAAACy0yMDk4NjMxMjM4AwAAAAMxNjACAAAABDQxOTQEAAAAATAHAAAACTMvMzEvMjAyMQgAAAAJMy8zMS8yMDIxCQAAAAEwMTjHikQl3ghMCX6LRCXeCDxDSVEuQ09QLklRX1RPVEFMX1JFVl8xWVJfQU5OX0dST1dUSC5JUV9DUS4zLzMxLzIwMTAu</t>
  </si>
  <si>
    <t>TC4uVVNELkgBAAAAT4YEAAIAAAAHNTAuODkwNwEIAAAABQAAAAExAQAAAAoxNDUxMDcyNTU0AwAAAAMxNjACAAAABDQxOTQEAAAAATAHAAAACTMvMzEvMjAxMAgAAAAJMy8zMS8yMDEwCQAAAAEwBjN9iUQl3ghS/EGLRCXeCDxDSVEuRU9HLklRX1RPVEFMX1JFVl8xWVJfQU5OX0dST1dUSC5JUV9DUS4zLzMxLzIwMTEuTC4uVVNELkgBAAAAXB0EAAIAAAAHMzguNzYxOAEIAAAABQAAAAExAQAAAAoxNTQ1NjcwODY5AwAAAAMxNjACAAAABDQxOTQEAAAAATAHAAAACTMvMzEvMjAxMQgAAAAJMy8zMS8yMDExCQAAAAEw9Qt9iUQl3ggmaUaLRCXeCD1DSVEuQ09QLklRX1RPVEFMX1JFVl8xWVJfQU5OX0dST1dUSC5JUV9DUS4xMi8zMS8yMDEyLkwuLlVTRC5IAQAAAE+GBAACAAAABjYuNDMzOAEIAAAABQAAAAExAQAAAAoxNjYwMjQ3ODg5AwAAAAMxNjACAAAABDQxOTQEAAAAATAHAAAACjEyLzMxLzIwMTIIAAAACjEyLzMxLzIwMTIJAAAAATCrh5iJRCXeCOKUTotEJd4IPUNJUS5FT0cuSVFfVE9UQUxfUkVWXzFZUl9BTk5fR1JPV1RILklRX0NRLjEyLzMxLzIwMTMuTC4uVVNELkgBAAAAXB0EAAIAAAAHMjMuMTgxNwEIAAAABQAAAAExAQAAAAoxNzIwMzQ1OTAyAwAAAAMxNjACAAAABDQxOTQEAAAAATAHAAAACjEyLzMxLzIwMTMIAAAACjEyLzMxLzIwMTMJAAAAATBuK4qJRCXeCAPFU4tEJd4IPENJUS5DT1Au</t>
  </si>
  <si>
    <t>SVFfVE9UQUxfUkVWXzFZUl9BTk5fR1JPV1RILklRX0NRLjkvMzAvMjAxNS5MLi5VU0QuSAEAAABPhgQAAgAAAAgtNDIuMDM1MgEIAAAABQAAAAExAQAAAAoxODE1NzcyNjg4AwAAAAMxNjACAAAABDQxOTQEAAAAATAHAAAACTkvMzAvMjAxNQgAAAAJOS8zMC8yMDE1CQAAAAEwyJZ8iUQl3gjNXV+LRCXeCDxDSVEuRU9HLklRX1RPVEFMX1JFVl8xWVJfQU5OX0dST1dUSC5JUV9DUS45LzMwLzIwMTYuTC4uVVNELkgBAAAAXB0EAAIAAAAGLTYuNDkxAQgAAAAFAAAAATEBAAAACjE4NjM3Njk2NjEDAAAAAzE2MAIAAAAENDE5NAQAAAABMAcAAAAJOS8zMC8yMDE2CAAAAAk5LzMwLzIwMTYJAAAAATChx4qJRCXeCITtZYtEJd4IPENJUS5YT00uSVFfVE9UQUxfUkVWXzFZUl9BTk5fR1JPV1RILklRX0NRLjMvMzEvMjAyMi5MLi5VU0QuSAEAAABCMwYAAgAAAAc1Mi41MTU4AQgAAAAFAAAAATEBAAAACy0yMDQ3ODk4MTk5AwAAAAMxNjACAAAABDQxOTQEAAAAATAHAAAACTMvMzEvMjAyMggAAAAJMy8zMS8yMDIyCQAAAAEwCRHHikQl3gg0nYKLRCXeCD1DSVEuRU9HLklRX1RPVEFMX1JFVl8xWVJfQU5OX0dST1dUSC5JUV9DUS4xMi8zMS8yMDIzLkwuLlVTRC5IAQAAAFwdBAACAAAABy02Ljk3MDcBCAAAAAUAAAABMQEAAAALLTE5NTc5NjY4NTUDAAAAAzE2MAIAAAAENDE5NAQAAAABMAcAAAAKMTIvMzEvMjAyMwgA</t>
  </si>
  <si>
    <t>AAAKMTIvMzEvMjAyMwkAAAABMOVK2opEJd4Ig7OKi0Ql3gg8Q0lRLkNWWC5JUV9UT1RBTF9SRVZfMVlSX0FOTl9HUk9XVEguSVFfQ1EuOS8zMC8yMDI1LkwuLlVTRC5IAQAAAMqAAQACAAAABy0xLjM1MzkBCAAAAAUAAAABMQEAAAALLTE5MTgwOTgwNTkDAAAAAzE2MAIAAAAENDE5NAQAAAABMAcAAAAJOS8zMC8yMDI1CAAAAAk5LzMwLzIwMjUJAAAAATDa/NmKRCXeCHaQk4tEJd4IPENJUS5DVlguSVFfVE9UQUxfUkVWXzFZUl9BTk5fR1JPV1RILklRX0NRLjMvMzEvMjAxMi5MLi5VU0QuSAEAAADKgAEAAgAAAAYxLjQ3NjUBCAAAAAUAAAABMQEAAAAKMTYxNTMwMjM5MAMAAAADMTYwAgAAAAQ0MTk0BAAAAAEwBwAAAAkzLzMxLzIwMTIIAAAACTMvMzEvMjAxMgkAAAABMNu9fIlEJd4IrzNLi0Ql3gg9Q0lRLkNWWC5JUV9UT1RBTF9SRVZfMVlSX0FOTl9HUk9XVEguSVFfQ1EuMTIvMzEvMjAxNC5MLi5VU0QuSAEAAADKgAEAAgAAAAgtMjIuNjA2MwEIAAAABQAAAAExAQAAAAoxNzc3OTczNTA3AwAAAAMxNjACAAAABDQxOTQEAAAAATAHAAAACjEyLzMxLzIwMTQIAAAACjEyLzMxLzIwMTQJAAAAATDn5HyJRCXeCMp7WotEJd4IPENJUS5DVlguSVFfVE9UQUxfUkVWXzFZUl9BTk5fR1JPV1RILklRX0NRLjkvMzAvMjAxNy5MLi5VU0QuSAEAAADKgAEAAgAAAAYxNi45MzUBCAAAAAUAAAABMQEAAAAKMTkyMDUz</t>
  </si>
  <si>
    <t>NTQ3MwMAAAADMTYwAgAAAAQ0MTk0BAAAAAEwBwAAAAk5LzMwLzIwMTcIAAAACTkvMzAvMjAxNwkAAAABMHp5iolEJd4IEFZsi0Ql3gg8Q0lRLkNWWC5JUV9UT1RBTF9SRVZfMVlSX0FOTl9HUk9XVEguSVFfQ1EuNi8zMC8yMDIwLkwuLlVTRC5IAQAAAMqAAQACAAAACC01Ni4xNTQ2AQgAAAAFAAAAATEBAAAACy0yMTM5Nzk5OTQxAwAAAAMxNjACAAAABDQxOTQEAAAAATAHAAAACTYvMzAvMjAyMAgAAAAJNi8zMC8yMDIwCQAAAAEwKV/HikQl3gjnhnqLRCXeCDxDSVEuQ09QLklRX1RPVEFMX1JFVl8xWVJfQU5OX0dST1dUSC5JUV9DUS4zLzMxLzIwMjEuTC4uVVNELkgBAAAAT4YEAAIAAAAGNTUuNjMyAQgAAAAFAAAAATEBAAAACy0yMDk4NDcwMzMyAwAAAAMxNjACAAAABDQxOTQEAAAAATAHAAAACTMvMzEvMjAyMQgAAAAJMy8zMS8yMDIxCQAAAAEwMTjHikQl3ghMCX6LRCXeCD1DSVEuRU9HLklRX1RPVEFMX1JFVl8xWVJfQU5OX0dST1dUSC5JUV9DUS4xMi8zMS8yMDI0LkwuLlVTRC5IAQAAAFwdBAACAAAABy02LjM3MDcBCAAAAAUAAAABMQEAAAALLTE5NTc5NjY4NTIDAAAAAzE2MAIAAAAENDE5NAQAAAABMAcAAAAKMTIvMzEvMjAyNAgAAAAKMTIvMzEvMjAyNAkAAAABMOoj2opEJd4IynGPi0Ql3gg8Q0lRLkNWWC5JUV9UT1RBTF9SRVZfMVlSX0FOTl9HUk9XVEguSVFfQ1EuMy8zMS8yMDExLkwuLlVT</t>
  </si>
  <si>
    <t>RC5IAQAAAMqAAQACAAAABzI1Ljk4ODkBCAAAAAUAAAABMQEAAAAKMTU0NTAyOTk3OQMAAAADMTYwAgAAAAQ0MTk0BAAAAAEwBwAAAAkzLzMxLzIwMTEIAAAACTMvMzEvMjAxMQkAAAABMPULfYlEJd4IJmlGi0Ql3gg9Q0lRLkNWWC5JUV9UT1RBTF9SRVZfMVlSX0FOTl9HUk9XVEguSVFfQ1EuMTIvMzEvMjAxMy5MLi5VU0QuSAEAAADKgAEAAgAAAActNC4yNDk3AQgAAAAFAAAAATEBAAAACjE3MjAwMzkyNjMDAAAAAzE2MAIAAAAENDE5NAQAAAABMAcAAAAKMTIvMzEvMjAxMwgAAAAKMTIvMzEvMjAxMwkAAAABMG4riolEJd4IA8VTi0Ql3gg8Q0lRLkNPUC5JUV9UT1RBTF9SRVZfMVlSX0FOTl9HUk9XVEguSVFfQ1EuMy8zMS8yMDIyLkwuLlVTRC5IAQAAAE+GBAACAAAABzgyLjgzMDcBCAAAAAUAAAABMQEAAAALLTIwNDcyNTE3NDgDAAAAAzE2MAIAAAAENDE5NAQAAAABMAcAAAAJMy8zMS8yMDIyCAAAAAkzLzMxLzIwMjIJAAAAATAJEceKRCXeCDSdgotEJd4IPUNJUS5DVlguSVFfVE9UQUxfUkVWXzFZUl9BTk5fR1JPV1RILklRX0NRLjEyLzMxLzIwMjMuTC4uVVNELkgBAAAAyoABAAIAAAAILTE1LjQzNzIBCAAAAAUAAAABMQEAAAALLTE5NTg3NTg0MTQDAAAAAzE2MAIAAAAENDE5NAQAAAABMAcAAAAKMTIvMzEvMjAyMwgAAAAKMTIvMzEvMjAyMwkAAAABMOVK2opEJd4Ig7OKi0Ql3gg8Q0lRLlhPTS5J</t>
  </si>
  <si>
    <t>UV9UT1RBTF9SRVZfMVlSX0FOTl9HUk9XVEguSVFfQ1EuOS8zMC8yMDI1LkwuLlVTRC5IAQAAAEIzBgACAAAABy01LjA4MTQBCAAAAAUAAAABMQEAAAALLTE5MTg2NzUzMzIDAAAAAzE2MAIAAAAENDE5NAQAAAABMAcAAAAJOS8zMC8yMDI1CAAAAAk5LzMwLzIwMjUJAAAAATDa/NmKRCXeCHaQk4tEJd4IPENJUS5YT00uSVFfVE9UQUxfUkVWXzFZUl9BTk5fR1JPV1RILklRX0NRLjMvMzEvMjAxMi5MLi5VU0QuSAEAAABCMwYAAgAAAAY5LjIzNzYBCAAAAAUAAAABMQEAAAAKMTYxNTA0Nzg0MwMAAAADMTYwAgAAAAQ0MTk0BAAAAAEwBwAAAAkzLzMxLzIwMTIIAAAACTMvMzEvMjAxMgkAAAABMNu9fIlEJd4IrzNLi0Ql3gg9Q0lRLlhPTS5JUV9UT1RBTF9SRVZfMVlSX0FOTl9HUk9XVEguSVFfQ1EuMTIvMzEvMjAxNC5MLi5VU0QuSAEAAABCMwYAAgAAAAgtMjEuMzc0NwEIAAAABQAAAAExAQAAAAoxNzc3NjM0ODg1AwAAAAMxNjACAAAABDQxOTQEAAAAATAHAAAACjEyLzMxLzIwMTQIAAAACjEyLzMxLzIwMTQJAAAAATDbvXyJRCXeCL5UWotEJd4IPENJUS5YT00uSVFfVE9UQUxfUkVWXzFZUl9BTk5fR1JPV1RILklRX0NRLjkvMzAvMjAxNy5MLi5VU0QuSAEAAABCMwYAAgAAAAcxMy44MzQ3AQgAAAAFAAAAATEBAAAACjE5MjAwMTc4MDUDAAAAAzE2MAIAAAAENDE5NAQAAAABMAcAAAAJOS8zMC8yMDE3CAAA</t>
  </si>
  <si>
    <t>AAk5LzMwLzIwMTcJAAAAATB6eYqJRCXeCBBWbItEJd4IPENJUS5YT00uSVFfVE9UQUxfUkVWXzFZUl9BTk5fR1JPV1RILklRX0NRLjYvMzAvMjAyMC5MLi5VU0QuSAEAAABCMwYAAgAAAAgtNTIuMDEzOQEIAAAABQAAAAExAQAAAAstMjE0MDA3MjAzOQMAAAADMTYwAgAAAAQ0MTk0BAAAAAEwBwAAAAk2LzMwLzIwMjAIAAAACTYvMzAvMjAyMAkAAAABMClfx4pEJd4I2F96i0Ql3gg9Q0lRLkNWWC5JUV9UT1RBTF9SRVZfMVlSX0FOTl9HUk9XVEguSVFfQ1EuMTIvMzEvMjAyNC5MLi5VU0QuSAEAAADKgAEAAgAAAAY4LjU2NjYBCAAAAAUAAAABMQEAAAALLTE5NTg3NTc2MDADAAAAAzE2MAIAAAAENDE5NAQAAAABMAcAAAAKMTIvMzEvMjAyNAgAAAAKMTIvMzEvMjAyNAkAAAABMOoj2opEJd4IynGPi0Ql3gg8Q0lRLlhPTS5JUV9UT1RBTF9SRVZfMVlSX0FOTl9HUk9XVEguSVFfQ1EuMy8zMS8yMDExLkwuLlVTRC5IAQAAAEIzBgACAAAABzI2LjMxODIBCAAAAAUAAAABMQEAAAAKMTU0NTAzMDAyMgMAAAADMTYwAgAAAAQ0MTk0BAAAAAEwBwAAAAkzLzMxLzIwMTEIAAAACTMvMzEvMjAxMQkAAAABMPULfYlEJd4IJmlGi0Ql3gg9Q0lRLlhPTS5JUV9UT1RBTF9SRVZfMVlSX0FOTl9HUk9XVEguSVFfQ1EuMTIvMzEvMjAxMy5MLi5VU0QuSAEAAABCMwYAAgAAAActMy4wMTE2AQgAAAAFAAAAATEBAAAACjE3MjA3</t>
  </si>
  <si>
    <t>NjMxNjgDAAAAAzE2MAIAAAAENDE5NAQAAAABMAcAAAAKMTIvMzEvMjAxMwgAAAAKMTIvMzEvMjAxMwkAAAABMG4riolEJd4I9p1Ti0Ql3gg9Q0lRLkVPRy5JUV9UT1RBTF9SRVZfMVlSX0FOTl9HUk9XVEguSVFfQ1EuMTIvMzEvMjAxNi5MLi5VU0QuSAEAAABcHQQAAgAAAAczMS42NTQ3AQgAAAAFAAAAATEBAAAACjE4NzY3NTQ0OTkDAAAAAzE2MAIAAAAENDE5NAQAAAABMAcAAAAKMTIvMzEvMjAxNggAAAAKMTIvMzEvMjAxNgkAAAABMI2giolEJd4IJ5tni0Ql3gg8Q0lRLkVPRy5JUV9UT1RBTF9SRVZfMVlSX0FOTl9HUk9XVEguSVFfQ1EuOS8zMC8yMDE5LkwuLlVTRC5IAQAAAFwdBAACAAAACC0xMC41OTE2AQgAAAAFAAAAATEBAAAACjIwNjg0MzEwMTkDAAAAAzE2MAIAAAAENDE5NAQAAAABMAcAAAAJOS8zMC8yMDE5CAAAAAk5LzMwLzIwMTkJAAAAATBIhseKRCXeCGPddotEJd4IPENJUS5FT0cuSVFfVE9UQUxfUkVWXzFZUl9BTk5fR1JPV1RILklRX0NRLjMvMzEvMjAyMy5MLi5VU0QuSAEAAABcHQQAAgAAAAgtMTcuMzk0NgEIAAAABQAAAAExAQAAAAstMTk5NzE2NzQ5OQMAAAADMTYwAgAAAAQ0MTk0BAAAAAEwBwAAAAkzLzMxLzIwMjMIAAAACTMvMzEvMjAyMwkAAAABMOVK2opEJd4IIViHi0Ql3gg9Q0lRLlhPTS5JUV9UT1RBTF9SRVZfMVlSX0FOTl9HUk9XVEguSVFfQ1EuMTIvMzEvMjAyMy5M</t>
  </si>
  <si>
    <t>Li5VU0QuSAEAAABCMwYAAgAAAActMTAuODA1AQgAAAAFAAAAATEBAAAACy0xOTU4OTUzNjE3AwAAAAMxNjACAAAABDQxOTQEAAAAATAHAAAACjEyLzMxLzIwMjMIAAAACjEyLzMxLzIwMjMJAAAAATDlStqKRCXeCIOziotEJd4IPENJUS5DT1AuSVFfVE9UQUxfUkVWXzFZUl9BTk5fR1JPV1RILklRX0NRLjMvMzEvMjAxMi5MLi5VU0QuSAEAAABPhgQAAgAAAAYtNi40NjcBCAAAAAUAAAABMQEAAAAKMTYxNDk3ODQ1MQMAAAADMTYwAgAAAAQ0MTk0BAAAAAEwBwAAAAkzLzMxLzIwMTIIAAAACTMvMzEvMjAxMgkAAAABMNu9fIlEJd4IrzNLi0Ql3gg8Q0lRLkVPRy5JUV9UT1RBTF9SRVZfMVlSX0FOTl9HUk9XVEguSVFfQ1EuMy8zMS8yMDEzLkwuLlVTRC5IAQAAAFwdBAACAAAABzI2LjU3NDYBCAAAAAUAAAABMQEAAAAKMTY3NTc0MDUwNwMAAAADMTYwAgAAAAQ0MTk0BAAAAAEwBwAAAAkzLzMxLzIwMTMIAAAACTMvMzEvMjAxMwkAAAABMJhgmIlEJd4IZc1Pi0Ql3gg9Q0lRLkNPUC5JUV9UT1RBTF9SRVZfMVlSX0FOTl9HUk9XVEguSVFfQ1EuMTIvMzEvMjAxNC5MLi5VU0QuSAEAAABPhgQAAgAAAAgtMTQuNjkxMwEIAAAABQAAAAExAQAAAAoxNzc3NDQyNjc0AwAAAAMxNjACAAAABDQxOTQEAAAAATAHAAAACjEyLzMxLzIwMTQIAAAACjEyLzMxLzIwMTQJAAAAATDbvXyJRCXeCL5UWotEJd4IPUNJUS5FT0cu</t>
  </si>
  <si>
    <t>SVFfVE9UQUxfUkVWXzFZUl9BTk5fR1JPV1RILklRX0NRLjEyLzMxLzIwMTUuTC4uVVNELkgBAAAAXB0EAAIAAAAILTQ4LjE2MDMBCAAAAAUAAAABMQEAAAAKMTgyOTQ1MDczNwMAAAADMTYwAgAAAAQ0MTk0BAAAAAEwBwAAAAoxMi8zMS8yMDE1CAAAAAoxMi8zMS8yMDE1CQAAAAEwpu6KiUQl3giCC2GLRCXeCDxDSVEuQ09QLklRX1RPVEFMX1JFVl8xWVJfQU5OX0dST1dUSC5JUV9DUS45LzMwLzIwMTcuTC4uVVNELkgBAAAAT4YEAAIAAAAGOC4zMjQxAQgAAAAFAAAAATEBAAAACjE5MTczMTk0MTUDAAAAAzE2MAIAAAAENDE5NAQAAAABMAcAAAAJOS8zMC8yMDE3CAAAAAk5LzMwLzIwMTcJAAAAATB6eYqJRCXeCBBWbItEJd4IPENJUS5FT0cuSVFfVE9UQUxfUkVWXzFZUl9BTk5fR1JPV1RILklRX0NRLjkvMzAvMjAxOC5MLi5VU0QuSAEAAABcHQQAAgAAAAc3Ny4zODI2AQgAAAAFAAAAATEBAAAACjE5OTA3MzM3MDcDAAAAAzE2MAIAAAAENDE5NAQAAAABMAcAAAAJOS8zMC8yMDE4CAAAAAk5LzMwLzIwMTgJAAAAATBrUoqJRCXeCIFJcotEJd4IPENJUS5DT1AuSVFfVE9UQUxfUkVWXzFZUl9BTk5fR1JPV1RILklRX0NRLjYvMzAvMjAyMC5MLi5VU0QuSAEAAABPhgQAAgAAAAgtNjUuMjIyOAEIAAAABQAAAAExAQAAAAstMjEzOTc0NDIxNQMAAAADMTYwAgAAAAQ0MTk0BAAAAAEwBwAAAAk2LzMwLzIwMjAI</t>
  </si>
  <si>
    <t>AAAACTYvMzAvMjAyMAkAAAABMClfx4pEJd4I2F96i0Ql3gg8Q0lRLkNPUC5JUV9UT1RBTF9SRVZfMVlSX0FOTl9HUk9XVEguSVFfQ1EuNi8zMC8yMDIxLkwuLlVTRC5IAQAAAE+GBAACAAAACDI0My4wNjQ0AQgAAAAFAAAAATEBAAAACy0yMDg2NDIzMzE1AwAAAAMxNjACAAAABDQxOTQEAAAAATAHAAAACTYvMzAvMjAyMQgAAAAJNi8zMC8yMDIxCQAAAAEwCRHHikQl3gjaGn+LRCXeCD1DSVEuWE9NLklRX1RPVEFMX1JFVl8xWVJfQU5OX0dST1dUSC5JUV9DUS4xMi8zMS8yMDI0LkwuLlVTRC5IAQAAAEIzBgACAAAABy0xLjUyNjUBCAAAAAUAAAABMQEAAAALLTE5NTg5NTM2MzEDAAAAAzE2MAIAAAAENDE5NAQAAAABMAcAAAAKMTIvMzEvMjAyNAgAAAAKMTIvMzEvMjAyNAkAAAABMOoj2opEJd4IynGPi0Ql3gg8Q0lRLkVPRy5JUV9UT1RBTF9SRVZfMVlSX0FOTl9HUk9XVEguSVFfQ1EuNi8zMC8yMDEwLkwuLlVTRC5IAQAAAFwdBAACAAAABzU4LjYzMzgBCAAAAAUAAAABMQEAAAAKMTQ2NTAwNDU0MwMAAAADMTYwAgAAAAQ0MTk0BAAAAAEwBwAAAAk2LzMwLzIwMTAIAAAACTYvMzAvMjAxMAkAAAABMAYzfYlEJd4I2Q1Di0Ql3gg8Q0lRLkNPUC5JUV9UT1RBTF9SRVZfMVlSX0FOTl9HUk9XVEguSVFfQ1EuMy8zMS8yMDExLkwuLlVTRC5IAQAAAE+GBAACAAAACC02MS45MjIxAQgAAAAFAAAAATEBAAAACjE1</t>
  </si>
  <si>
    <t>NTcwNTA2OTUDAAAAAzE2MAIAAAAENDE5NAQAAAABMAcAAAAJMy8zMS8yMDExCAAAAAkzLzMxLzIwMTEJAAAAATD1C32JRCXeCCZpRotEJd4IPENJUS5DVlguSVFfVE9UQUxfUkVWXzFZUl9BTk5fR1JPV1RILklRX0NRLjMvMzEvMjAxNC5MLi5VU0QuSAEAAADKgAEAAgAAAActNi4xODIyAQgAAAAFAAAAATEBAAAACjE3MzI5NDU3OTMDAAAAAzE2MAIAAAAENDE5NAQAAAABMAcAAAAJMy8zMS8yMDE0CAAAAAkzLzMxLzIwMTQJAAAAATBQBIqJRCXeCKVLVYtEJd4IPUNJUS5DVlguSVFfVE9UQUxfUkVWXzFZUl9BTk5fR1JPV1RILklRX0NRLjEyLzMxLzIwMTYuTC4uVVNELkgBAAAAyoABAAIAAAAGOC4xNjgyAQgAAAAFAAAAATEBAAAACjE4NzU2NzYyNDEDAAAAAzE2MAIAAAAENDE5NAQAAAABMAcAAAAKMTIvMzEvMjAxNggAAAAKMTIvMzEvMjAxNgkAAAABMI2giolEJd4IJXRni0Ql3gg8Q0lRLkNWWC5JUV9UT1RBTF9SRVZfMVlSX0FOTl9HUk9XVEguSVFfQ1EuOS8zMC8yMDE5LkwuLlVTRC5IAQAAAMqAAQACAAAACC0xNy4zOTk0AQgAAAAFAAAAATEBAAAACjIwNjg1Mzg0MDQDAAAAAzE2MAIAAAAENDE5NAQAAAABMAcAAAAJOS8zMC8yMDE5CAAAAAk5LzMwLzIwMTkJAAAAATBIhseKRCXeCGPddotEJd4IPENJUS5DVlguSVFfVE9UQUxfUkVWXzFZUl9BTk5fR1JPV1RILklRX0NRLjMvMzEvMjAyMy5MLi5V</t>
  </si>
  <si>
    <t>U0QuSAEAAADKgAEAAgAAAActNS4wMzY2AQgAAAAFAAAAATEBAAAACy0xOTg0NTczODA0AwAAAAMxNjACAAAABDQxOTQEAAAAATAHAAAACTMvMzEvMjAyMwgAAAAJMy8zMS8yMDIzCQAAAAEw5UraikQl3ggOMYeLRCXeCDxDSVEuQ1ZYLklRX1RPVEFMX1JFVl8xWVJfQU5OX0dST1dUSC5JUV9DUS4zLzMxLzIwMjQuTC4uVVNELkgBAAAAyoABAAIAAAAHLTQuMDU2MQEIAAAABQAAAAExAQAAAAstMTkzMjU5MDQ1OQMAAAADMTYwAgAAAAQ0MTk0BAAAAAEwBwAAAAkzLzMxLzIwMjQIAAAACTMvMzEvMjAyNAkAAAABMOVK2opEJd4IRMiLi0Ql3gg8Q0lRLkNWWC5JUV9UT1RBTF9SRVZfMVlSX0FOTl9HUk9XVEguSVFfQ1EuMy8zMS8yMDEzLkwuLlVTRC5IAQAAAMqAAQACAAAABy04LjQ4NTYBCAAAAAUAAAABMQEAAAAKMTY3NTAxODI1NwMAAAADMTYwAgAAAAQ0MTk0BAAAAAEwBwAAAAkzLzMxLzIwMTMIAAAACTMvMzEvMjAxMwkAAAABMJhgmIlEJd4IZc1Pi0Ql3gg9Q0lRLkNWWC5JUV9UT1RBTF9SRVZfMVlSX0FOTl9HUk9XVEguSVFfQ1EuMTIvMzEvMjAxNS5MLi5VU0QuSAEAAADKgAEAAgAAAAgtMzQuNDMyOQEIAAAABQAAAAExAQAAAAoxODI5MDg4OTUyAwAAAAMxNjACAAAABDQxOTQEAAAAATAHAAAACjEyLzMxLzIwMTUIAAAACjEyLzMxLzIwMTUJAAAAATCm7oqJRCXeCIILYYtEJd4IPUNJUS5DT1AuSVFf</t>
  </si>
  <si>
    <t>VE9UQUxfUkVWXzFZUl9BTk5fR1JPV1RILklRX0NRLjEyLzMxLzIwMjQuTC4uVVNELkgBAAAAT4YEAAIAAAAHLTMuMTI4OAEIAAAABQAAAAExAQAAAAstMTk1OTIwMjE3MwMAAAADMTYwAgAAAAQ0MTk0BAAAAAEwBwAAAAoxMi8zMS8yMDI0CAAAAAoxMi8zMS8yMDI0CQAAAAEw6iPaikQl3gjKcY+LRCXeCDxDSVEuQ1ZYLklRX1RPVEFMX1JFVl8xWVJfQU5OX0dST1dUSC5JUV9DUS42LzMwLzIwMTAuTC4uVVNELkgBAAAAyoABAAIAAAAHMjkuODc1MwEIAAAABQAAAAExAQAAAAoxNDY0ODQ0MjE2AwAAAAMxNjACAAAABDQxOTQEAAAAATAHAAAACTYvMzAvMjAxMAgAAAAJNi8zMC8yMDEwCQAAAAEwBjN9iUQl3gjZDUOLRCXeCDxDSVEuWE9NLklRX1RPVEFMX1JFVl8xWVJfQU5OX0dST1dUSC5JUV9DUS4zLzMxLzIwMTQuTC4uVVNELkgBAAAAQjMGAAIAAAAHLTIuMDc1NAEIAAAABQAAAAExAQAAAAoxNzMyOTgyNDA5AwAAAAMxNjACAAAABDQxOTQEAAAAATAHAAAACTMvMzEvMjAxNAgAAAAJMy8zMS8yMDE0CQAAAAEwUASKiUQl3gilS1WLRCXeCD1DSVEuWE9NLklRX1RPVEFMX1JFVl8xWVJfQU5OX0dST1dUSC5JUV9DUS4xMi8zMS8yMDE2LkwuLlVTRC5IAQAAAEIzBgACAAAABTYuNDgzAQgAAAAFAAAAATEBAAAACjE4NzcyMzM2MTYDAAAAAzE2MAIAAAAENDE5NAQAAAABMAcAAAAKMTIvMzEvMjAxNggAAAAK</t>
  </si>
  <si>
    <t>MTIvMzEvMjAxNgkAAAABMI2giolEJd4IJXRni0Ql3gg8Q0lRLlhPTS5JUV9UT1RBTF9SRVZfMVlSX0FOTl9HUk9XVEguSVFfQ1EuOS8zMC8yMDE5LkwuLlVTRC5IAQAAAEIzBgACAAAACC0xMy45Mjk3AQgAAAAFAAAAATEBAAAACjIwNjgyNzI4MTUDAAAAAzE2MAIAAAAENDE5NAQAAAABMAcAAAAJOS8zMC8yMDE5CAAAAAk5LzMwLzIwMTkJAAAAATBIhseKRCXeCGPddotEJd4IPENJUS5DT1AuSVFfVE9UQUxfUkVWXzFZUl9BTk5fR1JPV1RILklRX0NRLjYvMzAvMjAxMS5MLi5VU0QuSAEAAABPhgQAAgAAAActNTkuNDI4AQgAAAAFAAAAATEBAAAACjE1NTcwMjYyOTIDAAAAAzE2MAIAAAAENDE5NAQAAAABMAcAAAAJNi8zMC8yMDExCAAAAAk2LzMwLzIwMTEJAAAAATDn5HyJRCXeCLmhR4tEJd4IPENJUS5FT0cuSVFfVE9UQUxfUkVWXzFZUl9BTk5fR1JPV1RILklRX0NRLjkvMzAvMjAxMi5MLi5VU0QuSAEAAABcHQQAAgAAAAcyNC4yMjYxAQgAAAAFAAAAATEBAAAACjE2NDM4Mzg2NjIDAAAAAzE2MAIAAAAENDE5NAQAAAABMAcAAAAJOS8zMC8yMDEyCAAAAAk5LzMwLzIwMTIJAAAAATCrh5iJRCXeCHKDTYtEJd4IPENJUS5FT0cuSVFfVE9UQUxfUkVWXzFZUl9BTk5fR1JPV1RILklRX0NRLjkvMzAvMjAxNS5MLi5VU0QuSAEAAABcHQQAAgAAAActNTMuMjczAQgAAAAFAAAAATEBAAAACjE4MTYwMTYxNzYD</t>
  </si>
  <si>
    <t>AAAAAzE2MAIAAAAENDE5NAQAAAABMAcAAAAJOS8zMC8yMDE1CAAAAAk5LzMwLzIwMTUJAAAAATDIlnyJRCXeCNOEX4tEJd4IPENJUS5DVlguSVFfVE9UQUxfUkVWXzFZUl9BTk5fR1JPV1RILklRX0NRLjkvMzAvMjAyMS5MLi5VU0QuSAEAAADKgAEAAgAAAAc3Ny4zMjIxAQgAAAAFAAAAATEBAAAACy0yMDcyMTI0MDMxAwAAAAMxNjACAAAABDQxOTQEAAAAATAHAAAACTkvMzAvMjAyMQgAAAAJOS8zMC8yMDIxCQAAAAEwCRHHikQl3gg/U4CLRCXeCD1DSVEuRU9HLklRX1RPVEFMX1JFVl8xWVJfQU5OX0dST1dUSC5JUV9DUS4xMi8zMS8yMDIyLkwuLlVTRC5IAQAAAFwdBAACAAAABjkuNzAxOAEIAAAABQAAAAExAQAAAAstMjAwOTIzNzIxOQMAAAADMTYwAgAAAAQ0MTk0BAAAAAEwBwAAAAoxMi8zMS8yMDIyCAAAAAoxMi8zMS8yMDIyCQAAAAEw/unGikQl3gidH4aLRCXeCDxDSVEuWE9NLklRX1RPVEFMX1JFVl8xWVJfQU5OX0dST1dUSC5JUV9DUS4zLzMxLzIwMTcuTC4uVVNELkgBAAAAQjMGAAIAAAAHMzMuNTM5OAEIAAAABQAAAAExAQAAAAoxODg2NDc0NjU5AwAAAAMxNjACAAAABDQxOTQEAAAAATAHAAAACTMvMzEvMjAxNwgAAAAJMy8zMS8yMDE3CQAAAAEwjaCKiUQl3gjPIWmLRCXeCD1DSVEuQ1ZYLklRX1RPVEFMX1JFVl8xWVJfQU5OX0dST1dUSC5JUV9DUS4xMi8zMS8yMDE4LkwuLlVTRC5IAQAA</t>
  </si>
  <si>
    <t>AMqAAQACAAAABy01Ljg4MjkBCAAAAAUAAAABMQEAAAAKMjAxNjM0OTkxOQMAAAADMTYwAgAAAAQ0MTk0BAAAAAEwBwAAAAoxMi8zMS8yMDE4CAAAAAoxMi8zMS8yMDE4CQAAAAEw9Qt9iUQl3ggDgnOLRCXeCDxDSVEuWE9NLklRX1RPVEFMX1JFVl8xWVJfQU5OX0dST1dUSC5JUV9DUS4zLzMxLzIwMjAuTC4uVVNELkgBAAAAQjMGAAIAAAAILTEwLjU1MTQBCAAAAAUAAAABMQEAAAAKMjA5NTY5NzQ5NQMAAAADMTYwAgAAAAQ0MTk0BAAAAAEwBwAAAAkzLzMxLzIwMjAIAAAACTMvMzEvMjAyMAkAAAABMClfx4pEJd4IUid5i0Ql3gg8Q0lRLkVPRy5JUV9UT1RBTF9SRVZfMVlSX0FOTl9HUk9XVEguSVFfQ1EuNi8zMC8yMDE0LkwuLlVTRC5IAQAAAFwdBAACAAAABzIxLjM4NDEBCAAAAAUAAAABMQEAAAAKMTc0OTcyNzk5MAMAAAADMTYwAgAAAAQ0MTk0BAAAAAEwBwAAAAk2LzMwLzIwMTQIAAAACTYvMzAvMjAxNAkAAAABMFAEiolEJd4IckdXi0Ql3gg8Q0lRLkNWWC5JUV9UT1RBTF9SRVZfMVlSX0FOTl9HUk9XVEguSVFfQ1EuOS8zMC8yMDE1LkwuLlVTRC5IAQAAAMqAAQACAAAACC0zNy42OTk3AQgAAAAFAAAAATEBAAAACjE4MTYyMzAxMDMDAAAAAzE2MAIAAAAENDE5NAQAAAABMAcAAAAJOS8zMC8yMDE1CAAAAAk5LzMwLzIwMTUJAAAAATDIlnyJRCXeCM1dX4tEJd4IPENJUS5YT00uSVFfVE9UQUxfUkVW</t>
  </si>
  <si>
    <t>XzFZUl9BTk5fR1JPV1RILklRX0NRLjkvMzAvMjAyMS5MLi5VU0QuSAEAAABCMwYAAgAAAAc1Ny44MTY4AQgAAAAFAAAAATEBAAAACy0yMDcyMzM3NTY4AwAAAAMxNjACAAAABDQxOTQEAAAAATAHAAAACTkvMzAvMjAyMQgAAAAJOS8zMC8yMDIxCQAAAAEwCRHHikQl3gg/U4CLRCXeCD1DSVEuQ1ZYLklRX1RPVEFMX1JFVl8xWVJfQU5OX0dST1dUSC5JUV9DUS4xMi8zMS8yMDIyLkwuLlVTRC5IAQAAAMqAAQACAAAABzE4LjE0NTcBCAAAAAUAAAABMQEAAAALLTIwMDg1NTc0ODgDAAAAAzE2MAIAAAAENDE5NAQAAAABMAcAAAAKMTIvMzEvMjAyMggAAAAKMTIvMzEvMjAyMgkAAAABMP7pxopEJd4InR+Gi0Ql3gg8Q0lRLkVPRy5JUV9UT1RBTF9SRVZfMVlSX0FOTl9HUk9XVEguSVFfQ1EuNi8zMC8yMDI0LkwuLlVTRC5IAQAAAFwdBAACAAAABzEwLjQxNzgBCAAAAAUAAAABMQEAAAALLTE5MzI3MTI0NTgDAAAAAzE2MAIAAAAENDE5NAQAAAABMAcAAAAJNi8zMC8yMDI0CAAAAAk2LzMwLzIwMjQJAAAAATDqI9qKRCXeCMAAjYtEJd4IPUNJUS5YT00uSVFfVE9UQUxfUkVWXzFZUl9BTk5fR1JPV1RILklRX0NRLjEyLzMxLzIwMTUuTC4uVVNELkgBAAAAQjMGAAIAAAAILTMyLjM0MjQBCAAAAAUAAAABMQEAAAAKMTgyODkwNDg4NgMAAAADMTYwAgAAAAQ0MTk0BAAAAAEwBwAAAAoxMi8zMS8yMDE1CAAAAAoxMi8z</t>
  </si>
  <si>
    <t>MS8yMDE1CQAAAAEwpu6KiUQl3giCC2GLRCXeCDxDSVEuQ09QLklRX1RPVEFMX1JFVl8xWVJfQU5OX0dST1dUSC5JUV9DUS4zLzMxLzIwMTcuTC4uVVNELkgBAAAAT4YEAAIAAAAHNTUuMjI5MgEIAAAABQAAAAExAQAAAAoxODg2NzE3OTc3AwAAAAMxNjACAAAABDQxOTQEAAAAATAHAAAACTMvMzEvMjAxNwgAAAAJMy8zMS8yMDE3CQAAAAEwjaCKiUQl3gjPIWmLRCXeCD1DSVEuWE9NLklRX1RPVEFMX1JFVl8xWVJfQU5OX0dST1dUSC5JUV9DUS4xMi8zMS8yMDE4LkwuLlVTRC5IAQAAAEIzBgACAAAABTQuNTAzAQgAAAAFAAAAATEBAAAACjIwMTczODExNTYDAAAAAzE2MAIAAAAENDE5NAQAAAABMAcAAAAKMTIvMzEvMjAxOAgAAAAKMTIvMzEvMjAxOAkAAAABMPULfYlEJd4IA4Jzi0Ql3gg8Q0lRLkNPUC5JUV9UT1RBTF9SRVZfMVlSX0FOTl9HUk9XVEguSVFfQ1EuMy8zMS8yMDIwLkwuLlVTRC5IAQAAAE+GBAACAAAACC0zMS41NDg2AQgAAAAFAAAAATEBAAAACjIwOTYzNzc5NTYDAAAAAzE2MAIAAAAENDE5NAQAAAABMAcAAAAJMy8zMS8yMDIwCAAAAAkzLzMxLzIwMjAJAAAAATApX8eKRCXeCFIneYtEJd4IPUNJUS5FT0cuSVFfVE9UQUxfUkVWXzFZUl9BTk5fR1JPV1RILklRX0NRLjEyLzMxLzIwMDkuTC4uVVNELkgBAAAAXB0EAAIAAAAGOC4xNjY0AQgAAAAFAAAAATEBAAAACjE0MzI5ODE3OTcDAAAA</t>
  </si>
  <si>
    <t>AzE2MAIAAAAENDE5NAQAAAABMAcAAAAKMTIvMzEvMjAwOQgAAAAKMTIvMzEvMjAwOQkAAAABMAYzfYlEJd4ICjlBi0Ql3gg9Q0lRLkVPRy5JUV9UT1RBTF9SRVZfMVlSX0FOTl9HUk9XVEguSVFfQ1EuMTIvMzEvMjAxMi5MLi5VU0QuSAEAAABcHQQAAgAAAAcxNi40MjIyAQgAAAAFAAAAATEBAAAACjE2NjAwNDQzMDADAAAAAzE2MAIAAAAENDE5NAQAAAABMAcAAAAKMTIvMzEvMjAxMggAAAAKMTIvMzEvMjAxMgkAAAABMKuHmIlEJd4I4pROi0Ql3gg8Q0lRLkNWWC5JUV9UT1RBTF9SRVZfMVlSX0FOTl9HUk9XVEguSVFfQ1EuNi8zMC8yMDE0LkwuLlVTRC5IAQAAAMqAAQACAAAABjAuNDk2MgEIAAAABQAAAAExAQAAAAoxNzQ4ODU1MzQ2AwAAAAMxNjACAAAABDQxOTQEAAAAATAHAAAACTYvMzAvMjAxNAgAAAAJNi8zMC8yMDE0CQAAAAEwUASKiUQl3ghsIFeLRCXeCDxDSVEuQ09QLklRX1RPVEFMX1JFVl8xWVJfQU5OX0dST1dUSC5JUV9DUS45LzMwLzIwMjEuTC4uVVNELkgBAAAAT4YEAAIAAAAIMTYxLjU5MjMBCAAAAAUAAAABMQEAAAALLTIwNzE5MzM2MzUDAAAAAzE2MAIAAAAENDE5NAQAAAABMAcAAAAJOS8zMC8yMDIxCAAAAAk5LzMwLzIwMjEJAAAAATAJEceKRCXeCD9TgItEJd4IPUNJUS5YT00uSVFfVE9UQUxfUkVWXzFZUl9BTk5fR1JPV1RILklRX0NRLjEyLzMxLzIwMjIuTC4uVVNELkgBAAAA</t>
  </si>
  <si>
    <t>QjMGAAIAAAAHMTMuMTU2NwEIAAAABQAAAAExAQAAAAstMjAwNzgzMjYyNAMAAAADMTYwAgAAAAQ0MTk0BAAAAAEwBwAAAAoxMi8zMS8yMDIyCAAAAAoxMi8zMS8yMDIyCQAAAAEw/unGikQl3gidH4aLRCXeCDxDSVEuQ1ZYLklRX1RPVEFMX1JFVl8xWVJfQU5OX0dST1dUSC5JUV9DUS42LzMwLzIwMjQuTC4uVVNELkgBAAAAyoABAAIAAAAFNC43MjMBCAAAAAUAAAABMQEAAAALLTE5MTgwOTQ2MzUDAAAAAzE2MAIAAAAENDE5NAQAAAABMAcAAAAJNi8zMC8yMDI0CAAAAAk2LzMwLzIwMjQJAAAAATDqI9qKRCXeCMAAjYtEJd4IPENJUS5DT1AuSVFfVE9UQUxfUkVWXzFZUl9BTk5fR1JPV1RILklRX0NRLjMvMzEvMjAxNS5MLi5VU0QuSAEAAABPhgQAAgAAAAgtNTAuNjE0MgEIAAAABQAAAAExAQAAAAoxNzg5MzQ0NTE0AwAAAAMxNjACAAAABDQxOTQEAAAAATAHAAAACTMvMzEvMjAxNQgAAAAJMy8zMS8yMDE1CQAAAAEw2718iUQl3ghqAlyLRCXeCDxDSVEuQ1ZYLklRX1RPVEFMX1JFVl8xWVJfQU5OX0dST1dUSC5JUV9DUS4zLzMxLzIwMjUuTC4uVVNELkgBAAAAyoABAAIAAAAHLTIuMDEyMQEIAAAABQAAAAExAQAAAAstMTkzMjU5MDQ1OAMAAAADMTYwAgAAAAQ0MTk0BAAAAAEwBwAAAAkzLzMxLzIwMjUIAAAACTMvMzEvMjAyNQkAAAABMOoj2opEJd4IUtGQi0Ql3gg8Q0lRLlhPTS5JUV9UT1RBTF9SRVZf</t>
  </si>
  <si>
    <t>MVlSX0FOTl9HUk9XVEguSVFfQ1EuOS8zMC8yMDEzLkwuLlVTRC5IAQAAAEIzBgACAAAABy0yLjI3OTEBCAAAAAUAAAABMQEAAAAKMTcwNDkxMDg1OQMAAAADMTYwAgAAAAQ0MTk0BAAAAAEwBwAAAAk5LzMwLzIwMTMIAAAACTkvMzAvMjAxMwkAAAABMG4riolEJd4ITBdSi0Ql3gg8Q0lRLkNPUC5JUV9UT1RBTF9SRVZfMVlSX0FOTl9HUk9XVEguSVFfQ1EuOS8zMC8yMDIzLkwuLlVTRC5IAQAAAE+GBAACAAAACC0zMi4xNDk5AQgAAAAFAAAAATEBAAAACy0xOTcxMDQ5NjQzAwAAAAMxNjACAAAABDQxOTQEAAAAATAHAAAACTkvMzAvMjAyMwgAAAAJOS8zMC8yMDIzCQAAAAEw5UraikQl3ggDe4mLRCXeCDxDSVEuWE9NLklRX1RPVEFMX1JFVl8xWVJfQU5OX0dST1dUSC5JUV9DUS42LzMwLzIwMTIuTC4uVVNELkgBAAAAQjMGAAIAAAAHLTcuNjU5MQEIAAAABQAAAAExAQAAAAoxNjQzNDgzOTcyAwAAAAMxNjACAAAABDQxOTQEAAAAATAHAAAACTYvMzAvMjAxMggAAAAJNi8zMC8yMDEyCQAAAAEwq4eYiUQl3gi6XUyLRCXeCD1DSVEuRU9HLklRX1RPVEFMX1JFVl8xWVJfQU5OX0dST1dUSC5JUV9DUS4xMi8zMS8yMDE5LkwuLlVTRC5IAQAAAFwdBAACAAAABy0yLjI5MDIBCAAAAAUAAAABMQEAAAAKMjA4MTc4NTQzMAMAAAADMTYwAgAAAAQ0MTk0BAAAAAEwBwAAAAoxMi8zMS8yMDE5CAAAAAoxMi8zMS8yMDE5</t>
  </si>
  <si>
    <t>CQAAAAEwKV/HikQl3gjkFXiLRCXeCD1DSVEuWE9NLklRX1RPVEFMX1JFVl8xWVJfQU5OX0dST1dUSC5JUV9DUS4xMi8zMS8yMDEwLkwuLlVTRC5IAQAAAEIzBgACAAAABzE2LjYzMDQBCAAAAAUAAAABMQEAAAAKMTUyMzgwNzQwNQMAAAADMTYwAgAAAAQ0MTk0BAAAAAEwBwAAAAoxMi8zMS8yMDEwCAAAAAoxMi8zMS8yMDEwCQAAAAEw9Qt9iUQl3gi2V0WLRCXeCDxDSVEuWE9NLklRX1RPVEFMX1JFVl8xWVJfQU5OX0dST1dUSC5JUV9DUS42LzMwLzIwMTQuTC4uVVNELkgBAAAAQjMGAAIAAAAGMi40NjA3AQgAAAAFAAAAATEBAAAACjE3NDg4NDQ3ODIDAAAAAzE2MAIAAAAENDE5NAQAAAABMAcAAAAJNi8zMC8yMDE0CAAAAAk2LzMwLzIwMTQJAAAAATBQBIqJRCXeCGwgV4tEJd4IPENJUS5DVlguSVFfVE9UQUxfUkVWXzFZUl9BTk5fR1JPV1RILklRX0NRLjMvMzEvMjAxNi5MLi5VU0QuSAEAAADKgAEAAgAAAAgtMjkuNjM0MQEIAAAABQAAAAExAQAAAAoxODQwMzkwNTE0AwAAAAMxNjACAAAABDQxOTQEAAAAATAHAAAACTMvMzEvMjAxNggAAAAJMy8zMS8yMDE2CQAAAAEwoceKiUQl3ggjuWKLRCXeCD1DSVEuQ09QLklRX1RPVEFMX1JFVl8xWVJfQU5OX0dST1dUSC5JUV9DUS4xMi8zMS8yMDE4LkwuLlVTRC5IAQAAAE+GBAACAAAABjE5LjkxMQEIAAAABQAAAAExAQAAAAoyMDE1NjM1ODYwAwAAAAMxNjAC</t>
  </si>
  <si>
    <t>AAAABDQxOTQEAAAAATAHAAAACjEyLzMxLzIwMTgIAAAACjEyLzMxLzIwMTgJAAAAATD1C32JRCXeCAOCc4tEJd4IPENJUS5YT00uSVFfVE9UQUxfUkVWXzFZUl9BTk5fR1JPV1RILklRX0NRLjMvMzEvMjAyMy5MLi5VU0QuSAEAAABCMwYAAgAAAActNC4yOTYyAQgAAAAFAAAAATEBAAAACy0xOTk4MDU2NTU3AwAAAAMxNjACAAAABDQxOTQEAAAAATAHAAAACTMvMzEvMjAyMwgAAAAJMy8zMS8yMDIzCQAAAAEw5UraikQl3ggOMYeLRCXeCD1DSVEuQ1ZYLklRX1RPVEFMX1JFVl8xWVJfQU5OX0dST1dUSC5JUV9DUS4xMi8zMS8yMDA5LkwuLlVTRC5IAQAAAMqAAQACAAAABzEwLjgwNzUBCAAAAAUAAAABMQEAAAAKMTQzMjk1OTI2NAMAAAADMTYwAgAAAAQ0MTk0BAAAAAEwBwAAAAoxMi8zMS8yMDA5CAAAAAoxMi8zMS8yMDA5CQAAAAEwBjN9iUQl3ggKOUGLRCXeCDxDSVEuRU9HLklRX1RPVEFMX1JFVl8xWVJfQU5OX0dST1dUSC5JUV9DUS45LzMwLzIwMTEuTC4uVVNELkgBAAAAXB0EAAIAAAAHNTkuMzUzMwEIAAAABQAAAAExAQAAAAoxNTc0MzkwNjAwAwAAAAMxNjACAAAABDQxOTQEAAAAATAHAAAACTkvMzAvMjAxMQgAAAAJOS8zMC8yMDExCQAAAAEw5+R8iUQl3ggw4UiLRCXeCD1DSVEuQ1ZYLklRX1RPVEFMX1JFVl8xWVJfQU5OX0dST1dUSC5JUV9DUS4xMi8zMS8yMDEyLkwuLlVTRC5IAQAAAMqAAQAC</t>
  </si>
  <si>
    <t>AAAABy0zLjg5MjUBCAAAAAUAAAABMQEAAAAKMTY1OTQyMDgwMwMAAAADMTYwAgAAAAQ0MTk0BAAAAAEwBwAAAAoxMi8zMS8yMDEyCAAAAAoxMi8zMS8yMDEyCQAAAAEwq4eYiUQl3gjilE6LRCXeCDxDSVEuWE9NLklRX1RPVEFMX1JFVl8xWVJfQU5OX0dST1dUSC5JUV9DUS42LzMwLzIwMjQuTC4uVVNELkgBAAAAQjMGAAIAAAAHMTIuMTIzNwEIAAAABQAAAAExAQAAAAstMTkzMzQ0NDExMwMAAAADMTYwAgAAAAQ0MTk0BAAAAAEwBwAAAAk2LzMwLzIwMjQIAAAACTYvMzAvMjAyNAkAAAABMOoj2opEJd4It9mMi0Ql3gg8Q0lRLlhPTS5JUV9UT1RBTF9SRVZfMVlSX0FOTl9HUk9XVEguSVFfQ1EuMy8zMS8yMDEzLkwuLlVTRC5IAQAAAEIzBgACAAAABy0xMy4zNzkBCAAAAAUAAAABMQEAAAAKMTY3NTk3Njk0NQMAAAADMTYwAgAAAAQ0MTk0BAAAAAEwBwAAAAkzLzMxLzIwMTMIAAAACTMvMzEvMjAxMwkAAAABMJhgmIlEJd4IZc1Pi0Ql3gg8Q0lRLkNPUC5JUV9UT1RBTF9SRVZfMVlSX0FOTl9HUk9XVEguSVFfQ1EuNi8zMC8yMDE0LkwuLlVTRC5IAQAAAE+GBAACAAAABjQuNjA1OQEIAAAABQAAAAExAQAAAAoxNzQ4Njc4MzY3AwAAAAMxNjACAAAABDQxOTQEAAAAATAHAAAACTYvMzAvMjAxNAgAAAAJNi8zMC8yMDE0CQAAAAEwUASKiUQl3ghsIFeLRCXeCDxDSVEuWE9NLklRX1RPVEFMX1JFVl8xWVJfQU5O</t>
  </si>
  <si>
    <t>X0dST1dUSC5JUV9DUS4zLzMxLzIwMTYuTC4uVVNELkgBAAAAQjMGAAIAAAAHLTI4LjU5OAEIAAAABQAAAAExAQAAAAoxODg2NDc2ODAyAwAAAAMxNjACAAAABDQxOTQEAAAAATAHAAAACTMvMzEvMjAxNggAAAAJMy8zMS8yMDE2CQAAAAEwoceKiUQl3ggjuWKLRCXeCDxDSVEuQ09QLklRX1RPVEFMX1JFVl8xWVJfQU5OX0dST1dUSC5JUV9DUS42LzMwLzIwMTcuTC4uVVNELkgBAAAAT4YEAAIAAAAHMjguMjA1NgEIAAAABQAAAAExAQAAAAoxODk4MDIyOTkwAwAAAAMxNjACAAAABDQxOTQEAAAAATAHAAAACTYvMzAvMjAxNwgAAAAJNi8zMC8yMDE3CQAAAAEwjaCKiUQl3ghjqGqLRCXeCDxDSVEuQ09QLklRX1RPVEFMX1JFVl8xWVJfQU5OX0dST1dUSC5JUV9DUS4zLzMxLzIwMjMuTC4uVVNELkgBAAAAT4YEAAIAAAAILTE1LjgyMzcBCAAAAAUAAAABMQEAAAALLTE5ODU0MzI4NTQDAAAAAzE2MAIAAAAENDE5NAQAAAABMAcAAAAJMy8zMS8yMDIzCAAAAAkzLzMxLzIwMjMJAAAAATDlStqKRCXeCA4xh4tEJd4IPUNJUS5YT00uSVFfVE9UQUxfUkVWXzFZUl9BTk5fR1JPV1RILklRX0NRLjEyLzMxLzIwMDkuTC4uVVNELkgBAAAAQjMGAAIAAAAGOS4zMDg5AQgAAAAFAAAAATEBAAAACjE0MzQwOTMwNDMDAAAAAzE2MAIAAAAENDE5NAQAAAABMAcAAAAKMTIvMzEvMjAwOQgAAAAKMTIvMzEvMjAwOQkAAAABMAYz</t>
  </si>
  <si>
    <t>fYlEJd4ICjlBi0Ql3gg8Q0lRLkNWWC5JUV9UT1RBTF9SRVZfMVlSX0FOTl9HUk9XVEguSVFfQ1EuOS8zMC8yMDExLkwuLlVTRC5IAQAAAMqAAQACAAAABzI3Ljg1MDgBCAAAAAUAAAABMQEAAAAKMTU3NDczNDYwNgMAAAADMTYwAgAAAAQ0MTk0BAAAAAEwBwAAAAk5LzMwLzIwMTEIAAAACTkvMzAvMjAxMQkAAAABMOfkfIlEJd4IMOFIi0Ql3gg8Q0lRLkNPUC5JUV9UT1RBTF9SRVZfMVlSX0FOTl9HUk9XVEguSVFfQ1EuNi8zMC8yMDI0LkwuLlVTRC5IAQAAAE+GBAACAAAABjkuODcyMgEIAAAABQAAAAExAQAAAAstMTkzMjg1ODg4MwMAAAADMTYwAgAAAAQ0MTk0BAAAAAEwBwAAAAk2LzMwLzIwMjQIAAAACTYvMzAvMjAyNAkAAAABMOoj2opEJd4It9mMi0Ql3gg8Q0lRLkNPUC5JUV9UT1RBTF9SRVZfMVlSX0FOTl9HUk9XVEguSVFfQ1EuMy8zMS8yMDEzLkwuLlVTRC5IAQAAAE+GBAACAAAABy0zLjYzMjEBCAAAAAUAAAABMQEAAAAKMTY3NTc0MDc4OQMAAAADMTYwAgAAAAQ0MTk0BAAAAAEwBwAAAAkzLzMxLzIwMTMIAAAACTMvMzEvMjAxMwkAAAABMJhgmIlEJd4IZc1Pi0Ql3gg8Q0lRLkNPUC5JUV9UT1RBTF9SRVZfMVlSX0FOTl9HUk9XVEguSVFfQ1EuMy8zMS8yMDE2LkwuLlVTRC5IAQAAAE+GBAACAAAACC0zNy4yMzAyAQgAAAAFAAAAATEBAAAACjE4NDA0MjUwNzkDAAAAAzE2MAIAAAAENDE5NAQA</t>
  </si>
  <si>
    <t>AAABMAcAAAAJMy8zMS8yMDE2CAAAAAkzLzMxLzIwMTYJAAAAATChx4qJRCXeCCO5YotEJd4IPENJUS5FT0cuSVFfVE9UQUxfUkVWXzFZUl9BTk5fR1JPV1RILklRX0NRLjkvMzAvMjAyMC5MLi5VU0QuSAEAAABcHQQAAgAAAActNDQuOTc1AQgAAAAFAAAAATEBAAAACy0yMTIzODMxODQwAwAAAAMxNjACAAAABDQxOTQEAAAAATAHAAAACTkvMzAvMjAyMAgAAAAJOS8zMC8yMDIwCQAAAAEwKV/HikQl3ghfv3uLRCXeCDxDSVEuQ1ZYLklRX1RPVEFMX1JFVl8xWVJfQU5OX0dST1dUSC5JUV9DUS4zLzMxLzIwMTAuTC4uVVNELkgBAAAAyoABAAIAAAAHMzUuMDQ1NAEIAAAABQAAAAExAQAAAAoxNDUxMjYyNTcwAwAAAAMxNjACAAAABDQxOTQEAAAAATAHAAAACTMvMzEvMjAxMAgAAAAJMy8zMS8yMDEwCQAAAAEwBjN9iUQl3ghjI0KLRCXeCDxDSVEuWE9NLklRX1RPVEFMX1JFVl8xWVJfQU5OX0dST1dUSC5JUV9DUS45LzMwLzIwMTEuTC4uVVNELkgBAAAAQjMGAAIAAAAHMzEuNDc0MQEIAAAABQAAAAExAQAAAAoxNTc0NzM0ODIyAwAAAAMxNjACAAAABDQxOTQEAAAAATAHAAAACTkvMzAvMjAxMQgAAAAJOS8zMC8yMDExCQAAAAEw5+R8iUQl3ggw4UiLRCXeCDxDSVEuRU9HLklRX1RPVEFMX1JFVl8xWVJfQU5OX0dST1dUSC5JUV9DUS4zLzMxLzIwMTkuTC4uVVNELkgBAAAAXB0EAAIAAAAGOC43MTA0AQgAAAAF</t>
  </si>
  <si>
    <t>AAAAATEBAAAACjIwMzQwMTk1MTcDAAAAAzE2MAIAAAAENDE5NAQAAAABMAcAAAAJMy8zMS8yMDE5CAAAAAkzLzMxLzIwMTkJAAAAATD1C32JRCXeCGqTdItEJd4IPUNJUS5FT0cuSVFfVE9UQUxfUkVWXzFZUl9BTk5fR1JPV1RILklRX0NRLjEyLzMxLzIwMjEuTC4uVVNELkgBAAAAXB0EAAIAAAAIMTA0LjY1MzUBCAAAAAUAAAABMQEAAAALLTIwNTk4NDEzNjEDAAAAAzE2MAIAAAAENDE5NAQAAAABMAcAAAAKMTIvMzEvMjAyMQgAAAAKMTIvMzEvMjAyMQkAAAABMAkRx4pEJd4IwouBi0Ql3gg9Q0lRLkVPRy5JUV9UT1RBTF9SRVZfMVlSX0FOTl9HUk9XVEguSVFfQ1EuMTIvMzEvMjAxMS5MLi5VU0QuSAEAAABcHQQAAgAAAAc1My4yNDc1AQgAAAAFAAAAATEBAAAACjE1ODg4NDY0MTIDAAAAAzE2MAIAAAAENDE5NAQAAAABMAcAAAAKMTIvMzEvMjAxMQgAAAAKMTIvMzEvMjAxMQkAAAABMOfkfIlEJd4ImApKi0Ql3gg9Q0lRLlhPTS5JUV9UT1RBTF9SRVZfMVlSX0FOTl9HUk9XVEguSVFfQ1EuMTIvMzEvMjAyMC5MLi5VU0QuSAEAAABCMwYAAgAAAAgtMjUuODMzMgEIAAAABQAAAAExAQAAAAstMjExMTA3MzgxNgMAAAADMTYwAgAAAAQ0MTk0BAAAAAEwBwAAAAoxMi8zMS8yMDIwCAAAAAoxMi8zMS8yMDIwCQAAAAEwMTjHikQl3gjM0HyLRCXeCDxDSVEuQ1ZYLklRX1RPVEFMX1JFVl8xWVJfQU5OX0dST1dU</t>
  </si>
  <si>
    <t>SC5JUV9DUS4zLzMxLzIwMTUuTC4uVVNELkgBAAAAyoABAAIAAAAILTM3LjkyMjIBCAAAAAUAAAABMQEAAAAKMTc4OTg1MTE1MgMAAAADMTYwAgAAAAQ0MTk0BAAAAAEwBwAAAAkzLzMxLzIwMTUIAAAACTMvMzEvMjAxNQkAAAABMNu9fIlEJd4IagJci0Ql3gg8Q0lRLkNWWC5JUV9UT1RBTF9SRVZfMVlSX0FOTl9HUk9XVEguSVFfQ1EuMy8zMS8yMDE4LkwuLlVTRC5IAQAAAMqAAQACAAAABzIwLjUwNzkBCAAAAAUAAAABMQEAAAAKMTk1OTQ4OTYwMQMAAAADMTYwAgAAAAQ0MTk0BAAAAAEwBwAAAAkzLzMxLzIwMTgIAAAACTMvMzEvMjAxOAkAAAABMHp5iolEJd4Id7Fvi0Ql3gg8Q0lRLkNWWC5JUV9UT1RBTF9SRVZfMVlSX0FOTl9HUk9XVEguSVFfQ1EuNi8zMC8yMDIyLkwuLlVTRC5IAQAAAMqAAQACAAAABzgzLjU4MzkBCAAAAAUAAAABMQEAAAALLTIwMjE0MDg0MzIDAAAAAzE2MAIAAAAENDE5NAQAAAABMAcAAAAJNi8zMC8yMDIyCAAAAAk2LzMwLzIwMjIJAAAAATD+6caKRCXeCK3Vg4tEJd4IPENJUS5FT0cuSVFfVE9UQUxfUkVWXzFZUl9BTk5fR1JPV1RILklRX0NRLjkvMzAvMjAxMC5MLi5VU0QuSAEAAABcHQQAAgAAAAc0Ny42NjM5AQgAAAAFAAAAATEBAAAACjE0Nzk3NDgwMjkDAAAAAzE2MAIAAAAENDE5NAQAAAABMAcAAAAJOS8zMC8yMDEwCAAAAAk5LzMwLzIwMTAJAAAAATAGM32JRCXeCDEf</t>
  </si>
  <si>
    <t>RItEJd4IPENJUS5FT0cuSVFfVE9UQUxfUkVWXzFZUl9BTk5fR1JPV1RILklRX0NRLjkvMzAvMjAxMy5MLi5VU0QuSAEAAABcHQQAAgAAAAczMi43Mzg2AQgAAAAFAAAAATEBAAAACjE3MDQ2MjkxMDIDAAAAAzE2MAIAAAAENDE5NAQAAAABMAcAAAAJOS8zMC8yMDEzCAAAAAk5LzMwLzIwMTMJAAAAATBuK4qJRCXeCGw+UotEJd4IPUNJUS5DT1AuSVFfVE9UQUxfUkVWXzFZUl9BTk5fR1JPV1RILklRX0NRLjEyLzMxLzIwMjAuTC4uVVNELkgBAAAAT4YEAAIAAAAILTI4LjgyODUBCAAAAAUAAAABMQEAAAALLTIxMTE2NDMzMjIDAAAAAzE2MAIAAAAENDE5NAQAAAABMAcAAAAKMTIvMzEvMjAyMAgAAAAKMTIvMzEvMjAyMAkAAAABMDE4x4pEJd4IzNB8i0Ql3gg8Q0lRLkNPUC5JUV9UT1RBTF9SRVZfMVlSX0FOTl9HUk9XVEguSVFfQ1EuNi8zMC8yMDE2LkwuLlVTRC5IAQAAAE+GBAACAAAACC0zNi41MjIxAQgAAAAFAAAAATEBAAAACjE4NTEyNjY1MTgDAAAAAzE2MAIAAAAENDE5NAQAAAABMAcAAAAJNi8zMC8yMDE2CAAAAAk2LzMwLzIwMTYJAAAAATChx4qJRCXeCNA/ZItEJd4IPENJUS5YT00uSVFfVE9UQUxfUkVWXzFZUl9BTk5fR1JPV1RILklRX0NRLjYvMzAvMjAyMi5MLi5VU0QuSAEAAABCMwYAAgAAAAc2OC45MDMyAQgAAAAFAAAAATEBAAAACy0yMDM2MTY2Mjc0AwAAAAMxNjACAAAABDQxOTQEAAAA</t>
  </si>
  <si>
    <t>ATAHAAAACTYvMzAvMjAyMggAAAAJNi8zMC8yMDIyCQAAAAEw/unGikQl3git1YOLRCXeCDxDSVEuRU9HLklRX1RPVEFMX1JFVl8xWVJfQU5OX0dST1dUSC5JUV9DUS42LzMwLzIwMTIuTC4uVVNELkgBAAAAXB0EAAIAAAAGMTcuNjI1AQgAAAAFAAAAATEBAAAACjE2Mjk1MjA1MjUDAAAAAzE2MAIAAAAENDE5NAQAAAABMAcAAAAJNi8zMC8yMDEyCAAAAAk2LzMwLzIwMTIJAAAAATCrh5iJRCXeCLpdTItEJd4IPENJUS5DVlguSVFfVE9UQUxfUkVWXzFZUl9BTk5fR1JPV1RILklRX0NRLjkvMzAvMjAxMy5MLi5VU0QuSAEAAADKgAEAAgAAAAYxLjY1MDUBCAAAAAUAAAABMQEAAAAKMTcwNTI1MDg4OAMAAAADMTYwAgAAAAQ0MTk0BAAAAAEwBwAAAAk5LzMwLzIwMTMIAAAACTkvMzAvMjAxMwkAAAABMG4riolEJd4IbD5Si0Ql3gg9Q0lRLkVPRy5JUV9UT1RBTF9SRVZfMVlSX0FOTl9HUk9XVEguSVFfQ1EuMTIvMzEvMjAxMC5MLi5VU0QuSAEAAABcHQQAAgAAAAc0MC4xNjI4AQgAAAAFAAAAATEBAAAACjE1NjIxNzY2NTEDAAAAAzE2MAIAAAAENDE5NAQAAAABMAcAAAAKMTIvMzEvMjAxMAgAAAAKMTIvMzEvMjAxMAkAAAABMPULfYlEJd4ItldFi0Ql3gg8Q0lRLlhPTS5JUV9UT1RBTF9SRVZfMVlSX0FOTl9HUk9XVEguSVFfQ1EuMy8zMS8yMDI1LkwuLlVTRC5IAQAAAEIzBgACAAAABjAuODA0NgEIAAAABQAA</t>
  </si>
  <si>
    <t>AAExAQAAAAstMTk0NjE1ODgwOQMAAAADMTYwAgAAAAQ0MTk0BAAAAAEwBwAAAAkzLzMxLzIwMjUIAAAACTMvMzEvMjAyNQkAAAABMOoj2opEJd4IUtGQi0Ql3gg8Q0lRLkNPUC5JUV9UT1RBTF9SRVZfMVlSX0FOTl9HUk9XVEguSVFfQ1EuOS8zMC8yMDEzLkwuLlVTRC5IAQAAAE+GBAACAAAABy0xLjMyOTMBCAAAAAUAAAABMQEAAAAKMTcwNDc4NjI0NAMAAAADMTYwAgAAAAQ0MTk0BAAAAAEwBwAAAAk5LzMwLzIwMTMIAAAACTkvMzAvMjAxMwkAAAABMG4riolEJd4ITBdSi0Ql3gg8Q0lRLkNPUC5JUV9UT1RBTF9SRVZfMVlSX0FOTl9HUk9XVEguSVFfQ1EuNi8zMC8yMDE1LkwuLlVTRC5IAQAAAE+GBAACAAAACC00MS44MDYyAQgAAAAFAAAAATEBAAAACjE4MDE0NDc4MzIDAAAAAzE2MAIAAAAENDE5NAQAAAABMAcAAAAJNi8zMC8yMDE1CAAAAAk2LzMwLzIwMTUJAAAAATDIlnyJRCXeCCOJXYtEJd4IPENJUS5YT00uSVFfVE9UQUxfUkVWXzFZUl9BTk5fR1JPV1RILklRX0NRLjMvMzEvMjAyNC5MLi5VU0QuSAEAAABCMwYAAgAAAActNC40ODA4AQgAAAAFAAAAATEBAAAACy0xOTQ2MTU4ODA2AwAAAAMxNjACAAAABDQxOTQEAAAAATAHAAAACTMvMzEvMjAyNAgAAAAJMy8zMS8yMDI0CQAAAAEw5UraikQl3ghEyIuLRCXeCDxDSVEuWE9NLklRX1RPVEFMX1JFVl8xWVJfQU5OX0dST1dUSC5JUV9DUS42LzMw</t>
  </si>
  <si>
    <t>LzIwMTAuTC4uVVNELkgBAAAAQjMGAAIAAAAHMjUuNDY3MwEIAAAABQAAAAExAQAAAAoxNDY1MDA0MTg2AwAAAAMxNjACAAAABDQxOTQEAAAAATAHAAAACTYvMzAvMjAxMAgAAAAJNi8zMC8yMDEwCQAAAAEwBjN9iUQl3gjWNEOLRCXeCDxDSVEuQ09QLklRX1RPVEFMX1JFVl8xWVJfQU5OX0dST1dUSC5JUV9DUS42LzMwLzIwMjMuTC4uVVNELkgBAAAAT4YEAAIAAAAILTQxLjE0MzcBCAAAAAUAAAABMQEAAAALLTE5ODU0MzU1NzMDAAAAAzE2MAIAAAAENDE5NAQAAAABMAcAAAAJNi8zMC8yMDIzCAAAAAk2LzMwLzIwMjMJAAAAATDlStqKRCXeCI9piItEJd4IPENJUS5DT1AuSVFfVE9UQUxfUkVWXzFZUl9BTk5fR1JPV1RILklRX0NRLjkvMzAvMjAxMS5MLi5VU0QuSAEAAABPhgQAAgAAAAgtNjEuOTkwMwEIAAAABQAAAAExAQAAAAoxNTczNzQ2MTEyAwAAAAMxNjACAAAABDQxOTQEAAAAATAHAAAACTkvMzAvMjAxMQgAAAAJOS8zMC8yMDExCQAAAAEw5+R8iUQl3ggw4UiLRCXeCD1DSVEuRU9HLklRX1RPVEFMX1JFVl8xWVJfQU5OX0dST1dUSC5JUV9DUS4xMi8zMS8yMDE3LkwuLlVTRC5IAQAAAFwdBAACAAAABzQ1Ljk4MTEBCAAAAAUAAAABMQEAAAAKMTk0NzEwNjY0OAMAAAADMTYwAgAAAAQ0MTk0BAAAAAEwBwAAAAoxMi8zMS8yMDE3CAAAAAoxMi8zMS8yMDE3CQAAAAEwenmKiUQl3gi63G2LRCXeCDxD</t>
  </si>
  <si>
    <t>SVEuQ1ZYLklRX1RPVEFMX1JFVl8xWVJfQU5OX0dST1dUSC5JUV9DUS4zLzMxLzIwMTkuTC4uVVNELkgBAAAAyoABAAIAAAAHLTQuOTQ2MQEIAAAABQAAAAExAQAAAAoyMDMzNzI4MjA5AwAAAAMxNjACAAAABDQxOTQEAAAAATAHAAAACTMvMzEvMjAxOQgAAAAJMy8zMS8yMDE5CQAAAAEw9Qt9iUQl3ghqk3SLRCXeCD1DSVEuQ1ZYLklRX1RPVEFMX1JFVl8xWVJfQU5OX0dST1dUSC5JUV9DUS4xMi8zMS8yMDIxLkwuLlVTRC5IAQAAAMqAAQACAAAABzg1LjM1ODQBCAAAAAUAAAABMQEAAAALLTIwNTk3NjgxNDIDAAAAAzE2MAIAAAAENDE5NAQAAAABMAcAAAAKMTIvMzEvMjAyMQgAAAAKMTIvMzEvMjAyMQkAAAABMAkRx4pEJd4IrGSBi0Ql3gg8Q0lRLkNPUC5JUV9UT1RBTF9SRVZfMVlSX0FOTl9HUk9XVEguSVFfQ1EuNi8zMC8yMDEwLkwuLlVTRC5IAQAAAE+GBAACAAAABzMyLjIyMDgBCAAAAAUAAAABMQEAAAAKMTQ2NDU1NzI2NQMAAAADMTYwAgAAAAQ0MTk0BAAAAAEwBwAAAAk2LzMwLzIwMTAIAAAACTYvMzAvMjAxMAkAAAABMAYzfYlEJd4I1jRDi0Ql3gg8Q0lRLkNPUC5JUV9UT1RBTF9SRVZfMVlSX0FOTl9HUk9XVEguSVFfQ1EuNi8zMC8yMDEzLkwuLlVTRC5IAQAAAE+GBAACAAAABy0xLjQ4NjgBCAAAAAUAAAABMQEAAAAKMTY4OTU5Nzk5NQMAAAADMTYwAgAAAAQ0MTk0BAAAAAEwBwAAAAk2LzMw</t>
  </si>
  <si>
    <t>LzIwMTMIAAAACTYvMzAvMjAxMwkAAAABMGtSiolEJd4I6QVRi0Ql3gg8Q0lRLkVPRy5JUV9UT1RBTF9SRVZfMVlSX0FOTl9HUk9XVEguSVFfQ1EuOS8zMC8yMDE0LkwuLlVTRC5IAQAAAFwdBAACAAAABzE5LjkyNzQBCAAAAAUAAAABMQEAAAAKMTc2MzI2MzczNQMAAAADMTYwAgAAAAQ0MTk0BAAAAAEwBwAAAAk5LzMwLzIwMTQIAAAACTkvMzAvMjAxNAkAAAABMFAEiolEJd4IGs5Yi0Ql3gg9Q0lRLkVPRy5JUV9UT1RBTF9SRVZfMVlSX0FOTl9HUk9XVEguSVFfQ1EuMTIvMzEvMjAyMC5MLi5VU0QuSAEAAABcHQQAAgAAAAgtMzEuOTQzNQEIAAAABQAAAAExAQAAAAstMjExMDU5MTE4NAMAAAADMTYwAgAAAAQ0MTk0BAAAAAEwBwAAAAoxMi8zMS8yMDIwCAAAAAoxMi8zMS8yMDIwCQAAAAEwMTjHikQl3gjM0HyLRCXeCD1DSVEuQ1ZYLklRX1RPVEFMX1JFVl8xWVJfQU5OX0dST1dUSC5JUV9DUS4xMi8zMS8yMDE3LkwuLlVTRC5IAQAAAMqAAQACAAAABzIxLjMxMTMBCAAAAAUAAAABMQEAAAAKMTk0NjY4Mzk0NgMAAAADMTYwAgAAAAQ0MTk0BAAAAAEwBwAAAAoxMi8zMS8yMDE3CAAAAAoxMi8zMS8yMDE3CQAAAAEwenmKiUQl3gi63G2LRCXeCDxDSVEuWE9NLklRX1RPVEFMX1JFVl8xWVJfQU5OX0dST1dUSC5JUV9DUS4zLzMxLzIwMTkuTC4uVVNELkgBAAAAQjMGAAIAAAAHLTUuMzc5NAEIAAAABQAAAAEx</t>
  </si>
  <si>
    <t>AQAAAAoyMDMzNzQzODgwAwAAAAMxNjACAAAABDQxOTQEAAAAATAHAAAACTMvMzEvMjAxOQgAAAAJMy8zMS8yMDE5CQAAAAEw9Qt9iUQl3ghqk3SLRCXeCD1DSVEuWE9NLklRX1RPVEFMX1JFVl8xWVJfQU5OX0dST1dUSC5JUV9DUS4xMi8zMS8yMDIxLkwuLlVTRC5IAQAAAEIzBgACAAAABzc5LjM5MzEBCAAAAAUAAAABMQEAAAALLTIwNTk5MTUyODMDAAAAAzE2MAIAAAAENDE5NAQAAAABMAcAAAAKMTIvMzEvMjAyMQgAAAAKMTIvMzEvMjAyMQkAAAABMAkRx4pEJd4IrGSBi0Ql3gg8Q0lRLkVPRy5JUV9UT1RBTF9SRVZfMVlSX0FOTl9HUk9XVEguSVFfQ1EuOS8zMC8yMDI0LkwuLlVTRC5IAQAAAFwdBAACAAAABi0zLjkyOQEIAAAABQAAAAExAQAAAAstMTkxODE3MTAxNwMAAAADMTYwAgAAAAQ0MTk0BAAAAAEwBwAAAAk5LzMwLzIwMjQIAAAACTkvMzAvMjAyNAkAAAABMOoj2opEJd4IMxKOi0Ql3gg8Q0lRLkVPRy5JUV9UT1RBTF9SRVZfMVlSX0FOTl9HUk9XVEguSVFfQ1EuNi8zMC8yMDE2LkwuLlVTRC5IAQAAAFwdBAACAAAACC0yNy4yNjQ3AQgAAAAFAAAAATEBAAAACjE4NTEyOTc2MTgDAAAAAzE2MAIAAAAENDE5NAQAAAABMAcAAAAJNi8zMC8yMDE2CAAAAAk2LzMwLzIwMTYJAAAAATChx4qJRCXeCNA/ZItEJd4IPUNJUS5DVlguSVFfVE9UQUxfUkVWXzFZUl9BTk5fR1JPV1RILklRX0NRLjEyLzMx</t>
  </si>
  <si>
    <t>LzIwMjAuTC4uVVNELkgBAAAAyoABAAIAAAAHLTguNzA3MQEIAAAABQAAAAExAQAAAAstMjExMDg4MjgyMAMAAAADMTYwAgAAAAQ0MTk0BAAAAAEwBwAAAAoxMi8zMS8yMDIwCAAAAAoxMi8zMS8yMDIwCQAAAAEwMTjHikQl3gjM0HyLRCXeCDxDSVEuRU9HLklRX1RPVEFMX1JFVl8xWVJfQU5OX0dST1dUSC5JUV9DUS4zLzMxLzIwMTUuTC4uVVNELkgBAAAAXB0EAAIAAAAILTQ3LjAwMTcBCAAAAAUAAAABMQEAAAAKMTc4OTcxMTM5NgMAAAADMTYwAgAAAAQ0MTk0BAAAAAEwBwAAAAkzLzMxLzIwMTUIAAAACTMvMzEvMjAxNQkAAAABMNu9fIlEJd4IagJci0Ql3gg9Q0lRLlhPTS5JUV9UT1RBTF9SRVZfMVlSX0FOTl9HUk9XVEguSVFfQ1EuMTIvMzEvMjAxNy5MLi5VU0QuSAEAAABCMwYAAgAAAAcxNy4yMjkzAQgAAAAFAAAAATEBAAAACjE5NDc0MDQ2NzYDAAAAAzE2MAIAAAAENDE5NAQAAAABMAcAAAAKMTIvMzEvMjAxNwgAAAAKMTIvMzEvMjAxNwkAAAABMHp5iolEJd4Iutxti0Ql3gg8Q0lRLkNPUC5JUV9UT1RBTF9SRVZfMVlSX0FOTl9HUk9XVEguSVFfQ1EuMy8zMS8yMDE5LkwuLlVTRC5IAQAAAE+GBAACAAAABjMuNjg2NAEIAAAABQAAAAExAQAAAAoyMDMzNDY2MTcxAwAAAAMxNjACAAAABDQxOTQEAAAAATAHAAAACTMvMzEvMjAxOQgAAAAJMy8zMS8yMDE5CQAAAAEw9Qt9iUQl3ghqk3SLRCXeCDxD</t>
  </si>
  <si>
    <t>SVEuRU9HLklRX1RPVEFMX1JFVl8xWVJfQU5OX0dST1dUSC5JUV9DUS42LzMwLzIwMjIuTC4uVVNELkgBAAAAXB0EAAIAAAAHOTIuNDAzMQEIAAAABQAAAAExAQAAAAstMjAzNTc1NDk1OQMAAAADMTYwAgAAAAQ0MTk0BAAAAAEwBwAAAAk2LzMwLzIwMjIIAAAACTYvMzAvMjAyMgkAAAABMP7pxopEJd4IrdWDi0Ql3gg8Q0lRLkNWWC5JUV9UT1RBTF9SRVZfMVlSX0FOTl9HUk9XVEguSVFfQ1EuNi8zMC8yMDE2LkwuLlVTRC5IAQAAAMqAAQACAAAACC0yNS4yNTI1AQgAAAAFAAAAATEBAAAACjE4NTE2OTE0MDkDAAAAAzE2MAIAAAAENDE5NAQAAAABMAcAAAAJNi8zMC8yMDE2CAAAAAk2LzMwLzIwMTYJAAAAATChx4qJRCXeCNA/ZItEJd4IPENJUS5FT0cuSVFfVE9UQUxfUkVWXzFZUl9BTk5fR1JPV1RILklRX0NRLjkvMzAvMjAyMy5MLi5VU0QuSAEAAABcHQQAAgAAAAgtMTkuNjI3OQEIAAAABQAAAAExAQAAAAstMTk3MDIzNTA3NwMAAAADMTYwAgAAAAQ0MTk0BAAAAAEwBwAAAAk5LzMwLzIwMjMIAAAACTkvMzAvMjAyMwkAAAABMOVK2opEJd4IA3uJi0Ql3gg8Q0lRLlhPTS5JUV9UT1RBTF9SRVZfMVlSX0FOTl9HUk9XVEguSVFfQ1EuNi8zMC8yMDE2LkwuLlVTRC5IAQAAAEIzBgACAAAACC0yMS4yNjkzAQgAAAAFAAAAATEBAAAACjE4NzYzOTkwOTQDAAAAAzE2MAIAAAAENDE5NAQAAAABMAcAAAAJNi8z</t>
  </si>
  <si>
    <t>MC8yMDE2CAAAAAk2LzMwLzIwMTYJAAAAATChx4qJRCXeCNA/ZItEJd4IPENJUS5DVlguSVFfVE9UQUxfUkVWXzFZUl9BTk5fR1JPV1RILklRX0NRLjkvMzAvMjAyMy5MLi5VU0QuSAEAAADKgAEAAgAAAAgtMTcuODUyMwEIAAAABQAAAAExAQAAAAstMTk3MDEyMTkzNgMAAAADMTYwAgAAAAQ0MTk0BAAAAAEwBwAAAAk5LzMwLzIwMjMIAAAACTkvMzAvMjAyMwkAAAABMOVK2opEJd4IA3uJi0Ql3gg8Q0lRLlhPTS5JUV9UT1RBTF9SRVZfMVlSX0FOTl9HUk9XVEguSVFfQ1EuMy8zMS8yMDE1LkwuLlVTRC5IAQAAAEIzBgACAAAACC0zNi45MjE4AQgAAAAFAAAAATEBAAAACjE3ODk2MTAzNDMDAAAAAzE2MAIAAAAENDE5NAQAAAABMAcAAAAJMy8zMS8yMDE1CAAAAAkzLzMxLzIwMTUJAAAAATDbvXyJRCXeCGoCXItEJd4IPENJUS5YT00uSVFfVE9UQUxfUkVWXzFZUl9BTk5fR1JPV1RILklRX0NRLjMvMzEvMjAxOC5MLi5VU0QuSAEAAABCMwYAAgAAAAcxNS44NjkyAQgAAAAFAAAAATEBAAAACjE5NTk0OTYzOTcDAAAAAzE2MAIAAAAENDE5NAQAAAABMAcAAAAJMy8zMS8yMDE4CAAAAAkzLzMxLzIwMTgJAAAAATB6eYqJRCXeCHexb4tEJd4IPENJUS5DT1AuSVFfVE9UQUxfUkVWXzFZUl9BTk5fR1JPV1RILklRX0NRLjkvMzAvMjAxOS5MLi5VU0QuSAEAAABPhgQAAgAAAAgtMTcuNDE3NwEIAAAABQAAAAExAQAA</t>
  </si>
  <si>
    <t>AAoyMDY4MTQ0ODY3AwAAAAMxNjACAAAABDQxOTQEAAAAATAHAAAACTkvMzAvMjAxOQgAAAAJOS8zMC8yMDE5CQAAAAEwSIbHikQl3ghj3XaLRCXeCDxDSVEuRU9HLklRX1RPVEFMX1JFVl8xWVJfQU5OX0dST1dUSC5JUV9DUS4zLzMxLzIwMjUuTC4uVVNELkgBAAAAXB0EAAIAAAAFMC4wMTcBCAAAAAUAAAABMQEAAAALLTE5NDY5ODcyMjcDAAAAAzE2MAIAAAAENDE5NAQAAAABMAcAAAAJMy8zMS8yMDI1CAAAAAkzLzMxLzIwMjUJAAAAATDqI9qKRCXeCFLRkItEJd4IPENJUS5YT00uSVFfVE9UQUxfUkVWXzFZUl9BTk5fR1JPV1RILklRX0NRLjkvMzAvMjAyMy5MLi5VU0QuSAEAAABCMwYAAgAAAAgtMTcuNTYxOAEIAAAABQAAAAExAQAAAAstMTk3MDc1NTM0NAMAAAADMTYwAgAAAAQ0MTk0BAAAAAEwBwAAAAk5LzMwLzIwMjMIAAAACTkvMzAvMjAyMwkAAAABMOVK2opEJd4IA3uJi0Ql3gg8Q0lRLkNPUC5JUV9UT1RBTF9SRVZfMVlSX0FOTl9HUk9XVEguSVFfQ1EuMy8zMS8yMDE4LkwuLlVTRC5IAQAAAE+GBAACAAAABzE2LjY4ODIBCAAAAAUAAAABMQEAAAAKMTk1OTQ3NzI0MAMAAAADMTYwAgAAAAQ0MTk0BAAAAAEwBwAAAAkzLzMxLzIwMTgIAAAACTMvMzEvMjAxOAkAAAABMHp5iolEJd4Iiopvi0Ql3gg8Q0lRLkNPUC5JUV9UT1RBTF9SRVZfMVlSX0FOTl9HUk9XVEguSVFfQ1EuNi8zMC8yMDIyLkwu</t>
  </si>
  <si>
    <t>LlVTRC5IAQAAAE+GBAACAAAACDEyMy42NzE5AQgAAAAFAAAAATEBAAAACy0yMDIxNDc0ODYwAwAAAAMxNjACAAAABDQxOTQEAAAAATAHAAAACTYvMzAvMjAyMggAAAAJNi8zMC8yMDIyCQAAAAEw/unGikQl3git1YOLRCXeCDxDSVEuQ1ZYLklRX1RPVEFMX1JFVl8xWVJfQU5OX0dST1dUSC5JUV9DUS42LzMwLzIwMTIuTC4uVVNELkgBAAAAyoABAAIAAAAILTEwLjE3OTEBCAAAAAUAAAABMQEAAAAKMTYzMDAwNzU3NQMAAAADMTYwAgAAAAQ0MTk0BAAAAAEwBwAAAAk2LzMwLzIwMTIIAAAACTYvMzAvMjAxMgkAAAABMKuHmIlEJd4Iul1Mi0Ql3gg9Q0lRLkNPUC5JUV9UT1RBTF9SRVZfMVlSX0FOTl9HUk9XVEguSVFfQ1EuMTIvMzEvMjAxNi5MLi5VU0QuSAEAAABPhgQAAgAAAAcxMS42MjU2AQgAAAAFAAAAATEBAAAACjE4NzUyODAyOTcDAAAAAzE2MAIAAAAENDE5NAQAAAABMAcAAAAKMTIvMzEvMjAxNggAAAAKMTIvMzEvMjAxNgkAAAABMI2giolEJd4IJXRni0Ql3gg9Q0lRLkNWWC5JUV9UT1RBTF9SRVZfMVlSX0FOTl9HUk9XVEguSVFfQ1EuMTIvMzEvMjAxMC5MLi5VU0QuSAEAAADKgAEAAgAAAAY5LjI2MTEBCAAAAAUAAAABMQEAAAAKMTUxOTU2NzI3NwMAAAADMTYwAgAAAAQ0MTk0BAAAAAEwBwAAAAoxMi8zMS8yMDEwCAAAAAoxMi8zMS8yMDEwCQAAAAEw9Qt9iUQl3gi2V0WLRCXeCDxDSVEuRU9H</t>
  </si>
  <si>
    <t>LklRX1RPVEFMX1JFVl8xWVJfQU5OX0dST1dUSC5JUV9DUS4zLzMxLzIwMjEuTC4uVVNELkgBAAAAXB0EAAIAAAAHMTYuMzMyOQEIAAAABQAAAAExAQAAAAstMjA5ODQ5OTE4NQMAAAADMTYwAgAAAAQ0MTk0BAAAAAEwBwAAAAkzLzMxLzIwMjEIAAAACTMvMzEvMjAyMQkAAAABMDE4x4pEJd4ITAl+i0Ql3gg8Q0lRLkNPUC5JUV9UT1RBTF9SRVZfMVlSX0FOTl9HUk9XVEguSVFfQ1EuNi8zMC8yMDEyLkwuLlVTRC5IAQAAAE+GBAACAAAACC0xOS4xMzQ2AQgAAAAFAAAAATEBAAAACjE2MjkxOTUyNDIDAAAAAzE2MAIAAAAENDE5NAQAAAABMAcAAAAJNi8zMC8yMDEyCAAAAAk2LzMwLzIwMTIJAAAAATCrh5iJRCXeCLpdTItEJd4IPENJUS5DT1AuSVFfVE9UQUxfUkVWXzFZUl9BTk5fR1JPV1RILklRX0NRLjMvMzEvMjAyNS5MLi5VU0QuSAEAAABPhgQAAgAAAAcxOC41MDE2AQgAAAAFAAAAATEBAAAACy0xOTQ0OTQ2NzY2AwAAAAMxNjACAAAABDQxOTQEAAAAATAHAAAACTMvMzEvMjAyNQgAAAAJMy8zMS8yMDI1CQAAAAEw6iPaikQl3ghS0ZCLRCXeCD1DSVEuQ09QLklRX1RPVEFMX1JFVl8xWVJfQU5OX0dST1dUSC5JUV9DUS4xMi8zMS8yMDEwLkwuLlVTRC5IAQAAAE+GBAACAAAABzIxLjA2NzEBCAAAAAUAAAABMQEAAAAKMTUxNzYxNzA5NAMAAAADMTYwAgAAAAQ0MTk0BAAAAAEwBwAAAAoxMi8zMS8yMDEw</t>
  </si>
  <si>
    <t>CAAAAAoxMi8zMS8yMDEwCQAAAAEw9Qt9iUQl3gi2V0WLRCXeCDxDSVEuRU9HLklRX1RPVEFMX1JFVl8xWVJfQU5OX0dST1dUSC5JUV9DUS45LzMwLzIwMjEuTC4uVVNELkgBAAAAXB0EAAIAAAAIMTI2LjU0MDIBCAAAAAUAAAABMQEAAAALLTIwNzIxNzM2MTMDAAAAAzE2MAIAAAAENDE5NAQAAAABMAcAAAAJOS8zMC8yMDIxCAAAAAk5LzMwLzIwMjEJAAAAATAJEceKRCXeCD9TgItEJd4IPENJUS5FT0cuSVFfVE9UQUxfUkVWXzFZUl9BTk5fR1JPV1RILklRX0NRLjkvMzAvMjAyMi5MLi5VU0QuSAEAAABcHQQAAgAAAAc0NS4xNTAyAQgAAAAFAAAAATEBAAAACy0yMDIxMzgxMDY5AwAAAAMxNjACAAAABDQxOTQEAAAAATAHAAAACTkvMzAvMjAyMggAAAAJOS8zMC8yMDIyCQAAAAEw/unGikQl3ggi54SLRCXeCDxDSVEuQ09QLklRX1RPVEFMX1JFVl8xWVJfQU5OX0dST1dUSC5JUV9DUS4zLzMxLzIwMTQuTC4uVVNELkgBAAAAT4YEAAIAAAAGOS45MDg4AQgAAAAFAAAAATEBAAAACjE3MzI1Nzk0MjkDAAAAAzE2MAIAAAAENDE5NAQAAAABMAcAAAAJMy8zMS8yMDE0CAAAAAkzLzMxLzIwMTQJAAAAATBQBIqJRCXeCKVLVYtEJd4IPENJUS5DT1AuSVFfVE9UQUxfUkVWXzFZUl9BTk5fR1JPV1RILklRX0NRLjMvMzEvMjAyNC5MLi5VU0QuSAEAAABPhgQAAgAAAActNi43OTk1AQgAAAAFAAAAATEBAAAACy0xOTQ0</t>
  </si>
  <si>
    <t>OTQ2ODA0AwAAAAMxNjACAAAABDQxOTQEAAAAATAHAAAACTMvMzEvMjAyNAgAAAAJMy8zMS8yMDI0CQAAAAEw5UraikQl3ghEyIuLRCXeCDxDSVEuQ09QLklRX1RPVEFMX1JFVl8xWVJfQU5OX0dST1dUSC5JUV9DUS42LzMwLzIwMjUuTC4uVVNELkgBAAAAT4YEAAIAAAAGMi4xMTA4AQgAAAAFAAAAATEBAAAACy0xOTMyODU4ODU5AwAAAAMxNjACAAAABDQxOTQEAAAAATAHAAAACTYvMzAvMjAyNQgAAAAJNi8zMC8yMDI1CQAAAAEw6iPaikQl3gjkMJKLRCXeCDxDSVEuRU9HLklRX1RPVEFMX1JFVl8xWVJfQU5OX0dST1dUSC5JUV9DUS42LzMwLzIwMTguTC4uVVNELkgBAAAAXB0EAAIAAAAHNjkuNjE2MgEIAAAABQAAAAExAQAAAAoxOTczMzQxMzU2AwAAAAMxNjACAAAABDQxOTQEAAAAATAHAAAACTYvMzAvMjAxOAgAAAAJNi8zMC8yMDE4CQAAAAEwa1KKiUQl3ggQOHGLRCXeCDxDSVEuQ1ZYLklRX1RPVEFMX1JFVl8xWVJfQU5OX0dST1dUSC5JUV9DUS42LzMwLzIwMTguTC4uVVNELkgBAAAAyoABAAIAAAAGMzAuMTcxAQgAAAAFAAAAATEBAAAACjE5NzQ1MjYzNjkDAAAAAzE2MAIAAAAENDE5NAQAAAABMAcAAAAJNi8zMC8yMDE4CAAAAAk2LzMwLzIwMTgJAAAAATBrUoqJRCXeCBA4cYtEJd4IPUNJUS5DVlguSVFfVE9UQUxfUkVWXzFZUl9BTk5fR1JPV1RILklRX0NRLjEyLzMxLzIwMTkuTC4uVVNELkgB</t>
  </si>
  <si>
    <t>AAAAyoABAAIAAAAILTE3LjUzMjUBCAAAAAUAAAABMQEAAAAKMjA4MTk4MDI0OAMAAAADMTYwAgAAAAQ0MTk0BAAAAAEwBwAAAAoxMi8zMS8yMDE5CAAAAAoxMi8zMS8yMDE5CQAAAAEwKV/HikQl3gjkFXiLRCXeCD1DSVEuWE9NLklRX1RPVEFMX1JFVl8xWVJfQU5OX0dST1dUSC5JUV9DUS4xMi8zMS8yMDE5LkwuLlVTRC5IAQAAAEIzBgACAAAABy04LjcyNzkBCAAAAAUAAAABMQEAAAAKMjA4MTc0NjU1MQMAAAADMTYwAgAAAAQ0MTk0BAAAAAEwBwAAAAoxMi8zMS8yMDE5CAAAAAoxMi8zMS8yMDE5CQAAAAEwKV/HikQl3gjL7neLRCXeCDxDSVEuRU9HLklRX1RPVEFMX1JFVl8xWVJfQU5OX0dST1dUSC5JUV9DUS4zLzMxLzIwMTcuTC4uVVNELkgBAAAAXB0EAAIAAAAHOTEuNDczOAEIAAAABQAAAAExAQAAAAoxODg2MzIzNjMwAwAAAAMxNjACAAAABDQxOTQEAAAAATAHAAAACTMvMzEvMjAxNwgAAAAJMy8zMS8yMDE3CQAAAAEwjaCKiUQl3gjPIWmLRCXeCDxDSVEuQ1ZYLklRX1RPVEFMX1JFVl8xWVJfQU5OX0dST1dUSC5JUV9DUS4zLzMxLzIwMTcuTC4uVVNELkgBAAAAyoABAAIAAAAHMzkuMzU0NwEIAAAABQAAAAExAQAAAAoxODg2NjEzODI5AwAAAAMxNjACAAAABDQxOTQEAAAAATAHAAAACTMvMzEvMjAxNwgAAAAJMy8zMS8yMDE3CQAAAAEwjaCKiUQl3gjPIWmLRCXeCD1DSVEuRU9HLklRX1RPVEFM</t>
  </si>
  <si>
    <t>X1JFVl8xWVJfQU5OX0dST1dUSC5JUV9DUS4xMi8zMS8yMDE4LkwuLlVTRC5IAQAAAFwdBAACAAAABjI2LjQyNQEIAAAABQAAAAExAQAAAAoyMDE4MTY5MDE2AwAAAAMxNjACAAAABDQxOTQEAAAAATAHAAAACjEyLzMxLzIwMTgIAAAACjEyLzMxLzIwMTgJAAAAATD1C32JRCXeCAOCc4tEJd4IPENJUS5DVlguSVFfVE9UQUxfUkVWXzFZUl9BTk5fR1JPV1RILklRX0NRLjMvMzEvMjAyMC5MLi5VU0QuSAEAAADKgAEAAgAAAAgtMTMuMTE1NAEIAAAABQAAAAExAQAAAAoyMDk2MDg1OTIyAwAAAAMxNjACAAAABDQxOTQEAAAAATAHAAAACTMvMzEvMjAyMAgAAAAJMy8zMS8yMDIwCQAAAAEwKV/HikQl3ghSJ3mLRCXeCD1DSVEuQ09QLklRX1RPVEFMX1JFVl8xWVJfQU5OX0dST1dUSC5JUV9MVE0uOS8zMC8yMDI1LkwuLlVTRC5IAQAAAE+GBAACAAAABjcuNjUyMwEIAAAABQAAAAExAQAAAAstMTkxODA0NTQyMQMAAAADMTYwAgAAAAQ0MTk0BAAAAAEwBwAAAAk5LzMwLzIwMjUIAAAACTkvMzAvMjAyNQkAAAABMNr82YpEJd4IY2mTi0Ql3gg9Q0lRLlhPTS5JUV9UT1RBTF9SRVZfMVlSX0FOTl9HUk9XVEguSVFfTFRNLjYvMzAvMjAxMC5MLi5VU0QuSAEAAABCMwYAAgAAAAYtMC41ODMBCAAAAAUAAAABMQEAAAAKMTQ2NTAxNDQxMQMAAAADMTYwAgAAAAQ0MTk0BAAAAAEwBwAAAAk2LzMwLzIwMTAIAAAACTYvMzAv</t>
  </si>
  <si>
    <t>MjAxMAkAAAABMAYzfYlEJd4I2Q1Di0Ql3gg9Q0lRLkVPRy5JUV9UT1RBTF9SRVZfMVlSX0FOTl9HUk9XVEguSVFfTFRNLjMvMzEvMjAxMS5MLi5VU0QuSAEAAABcHQQAAgAAAAc0NC45MzI3AQgAAAAFAAAAATEBAAAACjE1NDU2ODczNDEDAAAAAzE2MAIAAAAENDE5NAQAAAABMAcAAAAJMy8zMS8yMDExCAAAAAkzLzMxLzIwMTEJAAAAATD1C32JRCXeCCZpRotEJd4IPUNJUS5YT00uSVFfVE9UQUxfUkVWXzFZUl9BTk5fR1JPV1RILklRX0xUTS42LzMwLzIwMTIuTC4uVVNELkgBAAAAQjMGAAIAAAAHMTAuNTczMwEIAAAABQAAAAExAQAAAAoxNjQzNDgzOTczAwAAAAMxNjACAAAABDQxOTQEAAAAATAHAAAACTYvMzAvMjAxMggAAAAJNi8zMC8yMDEyCQAAAAEwq4eYiUQl3gjMIEyLRCXeCD1DSVEuRU9HLklRX1RPVEFMX1JFVl8xWVJfQU5OX0dST1dUSC5JUV9MVE0uMy8zMS8yMDEzLkwuLlVTRC5IAQAAAFwdBAACAAAABzIxLjI4MDUBCAAAAAUAAAABMQEAAAAKMTY3NTc1MDYwNAMAAAADMTYwAgAAAAQ0MTk0BAAAAAEwBwAAAAkzLzMxLzIwMTMIAAAACTMvMzEvMjAxMwkAAAABMJhgmIlEJd4ITaZPi0Ql3gg9Q0lRLlhPTS5JUV9UT1RBTF9SRVZfMVlSX0FOTl9HUk9XVEguSVFfTFRNLjYvMzAvMjAxNC5MLi5VU0QuSAEAAABCMwYAAgAAAActMS4yNzM0AQgAAAAFAAAAATEBAAAACjE3NDg4NDY4NjcDAAAA</t>
  </si>
  <si>
    <t>AzE2MAIAAAAENDE5NAQAAAABMAcAAAAJNi8zMC8yMDE0CAAAAAk2LzMwLzIwMTQJAAAAATBQBIqJRCXeCDSrVotEJd4IPUNJUS5FT0cuSVFfVE9UQUxfUkVWXzFZUl9BTk5fR1JPV1RILklRX0xUTS4zLzMxLzIwMTUuTC4uVVNELkgBAAAAXB0EAAIAAAAHLTQuNDIxMwEIAAAABQAAAAExAQAAAAoxNzg5NzExNzIyAwAAAAMxNjACAAAABDQxOTQEAAAAATAHAAAACTMvMzEvMjAxNQgAAAAJMy8zMS8yMDE1CQAAAAEw2718iUQl3ghY21uLRCXeCD1DSVEuWE9NLklRX1RPVEFMX1JFVl8xWVJfQU5OX0dST1dUSC5JUV9MVE0uNi8zMC8yMDE2LkwuLlVTRC5IAQAAAEIzBgACAAAACC0zMC44MDE4AQgAAAAFAAAAATEBAAAACjE4NzYzOTkwOTUDAAAAAzE2MAIAAAAENDE5NAQAAAABMAcAAAAJNi8zMC8yMDE2CAAAAAk2LzMwLzIwMTYJAAAAATChx4qJRCXeCK3xY4tEJd4IPUNJUS5FT0cuSVFfVE9UQUxfUkVWXzFZUl9BTk5fR1JPV1RILklRX0xUTS4zLzMxLzIwMTcuTC4uVVNELkgBAAAAXB0EAAIAAAAHMTIuMzg2OQEIAAAABQAAAAExAQAAAAoxODg2MzI0MDg3AwAAAAMxNjACAAAABDQxOTQEAAAAATAHAAAACTMvMzEvMjAxNwgAAAAJMy8zMS8yMDE3CQAAAAEwjaCKiUQl3gjA02iLRCXeCD1DSVEuWE9NLklRX1RPVEFMX1JFVl8xWVJfQU5OX0dST1dUSC5JUV9MVE0uNi8zMC8yMDE4LkwuLlVTRC5IAQAAAEIz</t>
  </si>
  <si>
    <t>BgACAAAABzE4LjY5OTMBCAAAAAUAAAABMQEAAAAKMTk3NDUyODM3NwMAAAADMTYwAgAAAAQ0MTk0BAAAAAEwBwAAAAk2LzMwLzIwMTgIAAAACTYvMzAvMjAxOAkAAAABMGtSiolEJd4IChFxi0Ql3gg9Q0lRLkVPRy5JUV9UT1RBTF9SRVZfMVlSX0FOTl9HUk9XVEguSVFfTFRNLjMvMzEvMjAxOS5MLi5VU0QuSAEAAABcHQQAAgAAAAc0MC45OTUxAQgAAAAFAAAAATEBAAAACjIwMzQwMjAwOTQDAAAAAzE2MAIAAAAENDE5NAQAAAABMAcAAAAJMy8zMS8yMDE5CAAAAAkzLzMxLzIwMTkJAAAAATD1C32JRCXeCFtsdItEJd4IPUNJUS5YT00uSVFfVE9UQUxfUkVWXzFZUl9BTk5fR1JPV1RILklRX0xUTS42LzMwLzIwMjAuTC4uVVNELkgBAAAAQjMGAAIAAAAILTIxLjMzNjUBCAAAAAUAAAABMQEAAAALLTIxNDAwNzA5NTADAAAAAzE2MAIAAAAENDE5NAQAAAABMAcAAAAJNi8zMC8yMDIwCAAAAAk2LzMwLzIwMjAJAAAAATApX8eKRCXeCMI4eotEJd4IPUNJUS5FT0cuSVFfVE9UQUxfUkVWXzFZUl9BTk5fR1JPV1RILklRX0xUTS4zLzMxLzIwMjEuTC4uVVNELkgBAAAAXB0EAAIAAAAHLTM2LjI5MQEIAAAABQAAAAExAQAAAAstMjA5ODQ5ODM2MQMAAAADMTYwAgAAAAQ0MTk0BAAAAAEwBwAAAAkzLzMxLzIwMjEIAAAACTMvMzEvMjAyMQkAAAABMDE4x4pEJd4IP+J9i0Ql3gg9Q0lRLlhPTS5JUV9UT1RBTF9SRVZf</t>
  </si>
  <si>
    <t>MVlSX0FOTl9HUk9XVEguSVFfTFRNLjYvMzAvMjAyMi5MLi5VU0QuSAEAAABCMwYAAgAAAAc2NC40MjM1AQgAAAAFAAAAATEBAAAACy0yMDM2MTY1Njg5AwAAAAMxNjACAAAABDQxOTQEAAAAATAHAAAACTYvMzAvMjAyMggAAAAJNi8zMC8yMDIyCQAAAAEw/unGikQl3gilroOLRCXeCD1DSVEuRU9HLklRX1RPVEFMX1JFVl8xWVJfQU5OX0dST1dUSC5JUV9MVE0uMy8zMS8yMDIzLkwuLlVTRC5IAQAAAFwdBAACAAAABzI2LjQyNzQBCAAAAAUAAAABMQEAAAALLTE5OTcxNjczNzYDAAAAAzE2MAIAAAAENDE5NAQAAAABMAcAAAAJMy8zMS8yMDIzCAAAAAkzLzMxLzIwMjMJAAAAATDlStqKRCXeCA4xh4tEJd4IPUNJUS5FT0cuSVFfVE9UQUxfUkVWXzFZUl9BTk5fR1JPV1RILklRX0xUTS4zLzMxLzIwMjUuTC4uVVNELkgBAAAAXB0EAAIAAAAHLTAuMjMzOAEIAAAABQAAAAExAQAAAAstMTk0Njk4NjQ0NQMAAAADMTYwAgAAAAQ0MTk0BAAAAAEwBwAAAAkzLzMxLzIwMjUIAAAACTMvMzEvMjAyNQkAAAABMOoj2opEJd4IQaqQi0Ql3gg9Q0lRLkNPUC5JUV9UT1RBTF9SRVZfMVlSX0FOTl9HUk9XVEguSVFfTFRNLjYvMzAvMjAxMC5MLi5VU0QuSAEAAABPhgQAAgAAAActMy4xODE3AQgAAAAFAAAAATEBAAAACjE0NjQ1NzI5MzQDAAAAAzE2MAIAAAAENDE5NAQAAAABMAcAAAAJNi8zMC8yMDEwCAAAAAk2LzMwLzIw</t>
  </si>
  <si>
    <t>MTAJAAAAATBcrjJdOyXeCLG0O447Jd4IPUNJUS5DVlguSVFfVE9UQUxfUkVWXzFZUl9BTk5fR1JPV1RILklRX0xUTS4zLzMxLzIwMTEuTC4uVVNELkgBAAAAyoABAAIAAAAHMTcuNzQ5MwEIAAAABQAAAAExAQAAAAoxNTQ1MDQzMzIwAwAAAAMxNjACAAAABDQxOTQEAAAAATAHAAAACTMvMzEvMjAxMQgAAAAJMy8zMS8yMDExCQAAAAEw9Qt9iUQl3ggPQkaLRCXeCD1DSVEuQ09QLklRX1RPVEFMX1JFVl8xWVJfQU5OX0dST1dUSC5JUV9MVE0uNi8zMC8yMDEyLkwuLlVTRC5IAQAAAE+GBAACAAAACC01MS43NTIzAQgAAAAFAAAAATEBAAAACjE2MjkyMTAzMDcDAAAAAzE2MAIAAAAENDE5NAQAAAABMAcAAAAJNi8zMC8yMDEyCAAAAAk2LzMwLzIwMTIJAAAAATBcrjJdOyXeCGSAOI47Jd4IPUNJUS5DVlguSVFfVE9UQUxfUkVWXzFZUl9BTk5fR1JPV1RILklRX0xUTS4zLzMxLzIwMTMuTC4uVVNELkgBAAAAyoABAAIAAAAHLTguMTc0OQEIAAAABQAAAAExAQAAAAoxNjc1MDQxNzA5AwAAAAMxNjACAAAABDQxOTQEAAAAATAHAAAACTMvMzEvMjAxMwgAAAAJMy8zMS8yMDEzCQAAAAEwmGCYiUQl3ghNpk+LRCXeCD1DSVEuQ09QLklRX1RPVEFMX1JFVl8xWVJfQU5OX0dST1dUSC5JUV9MVE0uNi8zMC8yMDE0LkwuLlVTRC5IAQAAAE+GBAACAAAABy0wLjQ3MzcBCAAAAAUAAAABMQEAAAAKMTc0ODY5MTI4NQMAAAAD</t>
  </si>
  <si>
    <t>MTYwAgAAAAQ0MTk0BAAAAAEwBwAAAAk2LzMwLzIwMTQIAAAACTYvMzAvMjAxNAkAAAABMCASMl07Jd4ILUw1jjsl3gg9Q0lRLkNWWC5JUV9UT1RBTF9SRVZfMVlSX0FOTl9HUk9XVEguSVFfTFRNLjMvMzEvMjAxNS5MLi5VU0QuSAEAAADKgAEAAgAAAAgtMTYuNjU3MgEIAAAABQAAAAExAQAAAAoxNzg5ODU0ODk0AwAAAAMxNjACAAAABDQxOTQEAAAAATAHAAAACTMvMzEvMjAxNQgAAAAJMy8zMS8yMDE1CQAAAAEw2718iUQl3ghY21uLRCXeCD1DSVEuQ09QLklRX1RPVEFMX1JFVl8xWVJfQU5OX0dST1dUSC5JUV9MVE0uNi8zMC8yMDE2LkwuLlVTRC5IAQAAAE+GBAACAAAABy00MS4yMTEBCAAAAAUAAAABMQEAAAAKMTg1MTI2NzQ3NQMAAAADMTYwAgAAAAQ0MTk0BAAAAAEwBwAAAAk2LzMwLzIwMTYIAAAACTYvMzAvMjAxNgkAAAABMGWgJl07Jd4Iwhcyjjsl3gg9Q0lRLkNWWC5JUV9UT1RBTF9SRVZfMVlSX0FOTl9HUk9XVEguSVFfTFRNLjMvMzEvMjAxNy5MLi5VU0QuSAEAAADKgAEAAgAAAActMS41OTE1AQgAAAAFAAAAATEBAAAACjE4ODY2MTcyMTIDAAAAAzE2MAIAAAAENDE5NAQAAAABMAcAAAAJMy8zMS8yMDE3CAAAAAkzLzMxLzIwMTcJAAAAATCNoIqJRCXeCMDTaItEJd4IPUNJUS5DT1AuSVFfVE9UQUxfUkVWXzFZUl9BTk5fR1JPV1RILklRX0xUTS42LzMwLzIwMTguTC4uVVNELkgBAAAAT4YE</t>
  </si>
  <si>
    <t>AAIAAAAHMTcuNjc4OQEIAAAABQAAAAExAQAAAAoxOTc1MTE2NTgxAwAAAAMxNjACAAAABDQxOTQEAAAAATAHAAAACTYvMzAvMjAxOAgAAAAJNi8zMC8yMDE4CQAAAAEwSVImXTsl3ghAbi6OOyXeCD1DSVEuQ1ZYLklRX1RPVEFMX1JFVl8xWVJfQU5OX0dST1dUSC5JUV9MVE0uMy8zMS8yMDE5LkwuLlVTRC5IAQAAAMqAAQACAAAABjExLjcxOAEIAAAABQAAAAExAQAAAAoyMDMzNzI4MzQzAwAAAAMxNjACAAAABDQxOTQEAAAAATAHAAAACTMvMzEvMjAxOQgAAAAJMy8zMS8yMDE5CQAAAAEw9Qt9iUQl3ghbbHSLRCXeCD1DSVEuQ1ZYLklRX1RPVEFMX1JFVl8xWVJfQU5OX0dST1dUSC5JUV9MVE0uMy8zMS8yMDIxLkwuLlVTRC5IAQAAAMqAAQACAAAACC0yNS4xOTAxAQgAAAAFAAAAATEBAAAACy0yMDk4NTYzNDgwAwAAAAMxNjACAAAABDQxOTQEAAAAATAHAAAACTMvMzEvMjAyMQgAAAAJMy8zMS8yMDIxCQAAAAEwMTjHikQl3gg/4n2LRCXeCD1DSVEuQ09QLklRX1RPVEFMX1JFVl8xWVJfQU5OX0dST1dUSC5JUV9MVE0uNi8zMC8yMDIyLkwuLlVTRC5IAQAAAE+GBAACAAAACDEyNS42NjcxAQgAAAAFAAAAATEBAAAACy0yMDIxNDc0ODU5AwAAAAMxNjACAAAABDQxOTQEAAAAATAHAAAACTYvMzAvMjAyMggAAAAJNi8zMC8yMDIyCQAAAAEwUPpaXjsl3ggCD3SROyXeCD1DSVEuQ1ZYLklRX1RPVEFMX1JFVl8x</t>
  </si>
  <si>
    <t>WVJfQU5OX0dST1dUSC5JUV9MVE0uMy8zMS8yMDIzLkwuLlVTRC5IAQAAAMqAAQACAAAABzMyLjcwMTkBCAAAAAUAAAABMQEAAAALLTE5ODQ1NzM3ODIDAAAAAzE2MAIAAAAENDE5NAQAAAABMAcAAAAJMy8zMS8yMDIzCAAAAAkzLzMxLzIwMjMJAAAAATDlStqKRCXeCBAKh4tEJd4IPUNJUS5DVlguSVFfVE9UQUxfUkVWXzFZUl9BTk5fR1JPV1RILklRX0xUTS4zLzMxLzIwMjUuTC4uVVNELkgBAAAAyoABAAIAAAAGMC45NDEzAQgAAAAFAAAAATEBAAAACy0xOTMyNTkwNDU2AwAAAAMxNjACAAAABDQxOTQEAAAAATAHAAAACTMvMzEvMjAyNQgAAAAJMy8zMS8yMDI1CQAAAAEw6iPaikQl3ghBqpCLRCXeCD1DSVEuWE9NLklRX1RPVEFMX1JFVl8xWVJfQU5OX0dST1dUSC5JUV9MVE0uNi8zMC8yMDI0LkwuLlVTRC5IAQAAAEIzBgACAAAABi02LjMwMgEIAAAABQAAAAExAQAAAAstMTkzMzQ0MzM2NAMAAAADMTYwAgAAAAQ0MTk0BAAAAAEwBwAAAAk2LzMwLzIwMjQIAAAACTYvMzAvMjAyNAkAAAABMOVK2opEJd4It9mMi0Ql3gg9Q0lRLkNPUC5JUV9UT1RBTF9SRVZfMVlSX0FOTl9HUk9XVEguSVFfTFRNLjYvMzAvMjAyMC5MLi5VU0QuSAEAAABPhgQAAgAAAAgtMzIuNDkwNgEIAAAABQAAAAExAQAAAAstMjEzOTc0MjA2OQMAAAADMTYwAgAAAAQ0MTk0BAAAAAEwBwAAAAk2LzMwLzIwMjAIAAAACTYvMzAvMjAy</t>
  </si>
  <si>
    <t>MAkAAAABMGlIW147Jd4IuZ0qjjsl3gg9Q0lRLkNPUC5JUV9UT1RBTF9SRVZfMVlSX0FOTl9HUk9XVEguSVFfTFRNLjYvMzAvMjAyNC5MLi5VU0QuSAEAAABPhgQAAgAAAAgtMTUuNTUwOAEIAAAABQAAAAExAQAAAAstMTkzMjg1ODM0OQMAAAADMTYwAgAAAAQ0MTk0BAAAAAEwBwAAAAk2LzMwLzIwMjQIAAAACTYvMzAvMjAyNAkAAAABMOVK2opEJd4IwACNi0Ql3gg+Q0lRLkVPRy5JUV9UT1RBTF9SRVZfMVlSX0FOTl9HUk9XVEguSVFfTFRNLjEyLzMxLzIwMDkuTC4uVVNELkgBAAAAXB0EAAIAAAAILTQwLjM2OTkBCAAAAAUAAAABMQEAAAAKMTU2MjE3NjYwOQMAAAADMTYwAgAAAAQ0MTk0BAAAAAEwBwAAAAoxMi8zMS8yMDA5CAAAAAoxMi8zMS8yMDA5CQAAAAEwBjN9iUQl3gjxEUGLRCXeCD1DSVEuRU9HLklRX1RPVEFMX1JFVl8xWVJfQU5OX0dST1dUSC5JUV9MVE0uOS8zMC8yMDEwLkwuLlVTRC5IAQAAAFwdBAACAAAABjQyLjk5NAEIAAAABQAAAAExAQAAAAoxNDc5NzYxNTQ3AwAAAAMxNjACAAAABDQxOTQEAAAAATAHAAAACTkvMzAvMjAxMAgAAAAJOS8zMC8yMDEwCQAAAAEwBjN9iUQl3ggj+EOLRCXeCD1DSVEuQ1ZYLklRX1RPVEFMX1JFVl8xWVJfQU5OX0dST1dUSC5JUV9MVE0uMy8zMS8yMDEyLkwuLlVTRC5IAQAAAMqAAQACAAAABjE3Ljg0MgEIAAAABQAAAAExAQAAAAoxNjE1MzE0OTk3AwAA</t>
  </si>
  <si>
    <t>AAMxNjACAAAABDQxOTQEAAAAATAHAAAACTMvMzEvMjAxMggAAAAJMy8zMS8yMDEyCQAAAAEw2718iUQl3ghM+EqLRCXeCD1DSVEuWE9NLklRX1RPVEFMX1JFVl8xWVJfQU5OX0dST1dUSC5JUV9MVE0uOS8zMC8yMDEzLkwuLlVTRC5IAQAAAEIzBgACAAAABy03LjQ4MjYBCAAAAAUAAAABMQEAAAAKMTcwNDkyNzg5NgMAAAADMTYwAgAAAAQ0MTk0BAAAAAEwBwAAAAk5LzMwLzIwMTMIAAAACTkvMzAvMjAxMwkAAAABMG4riolEJd4IQfBRi0Ql3gg+Q0lRLkNWWC5JUV9UT1RBTF9SRVZfMVlSX0FOTl9HUk9XVEguSVFfTFRNLjEyLzMxLzIwMTkuTC4uVVNELkgBAAAAyoABAAIAAAAHLTcuNzMwNAEIAAAABQAAAAExAQAAAAstMjExMDg4MjgyNgMAAAADMTYwAgAAAAQ0MTk0BAAAAAEwBwAAAAoxMi8zMS8yMDE5CAAAAAoxMi8zMS8yMDE5CQAAAAEwKV/HikQl3gjL7neLRCXeCD1DSVEuQ1ZYLklRX1RPVEFMX1JFVl8xWVJfQU5OX0dST1dUSC5JUV9MVE0uOS8zMC8yMDIwLkwuLlVTRC5IAQAAAMqAAQACAAAACC0zMC4wMTk0AQgAAAAFAAAAATEBAAAACy0yMTIzNjA0MjY5AwAAAAMxNjACAAAABDQxOTQEAAAAATAHAAAACTkvMzAvMjAyMAgAAAAJOS8zMC8yMDIwCQAAAAEwKV/HikQl3ghNmHuLRCXeCD1DSVEuQ1ZYLklRX1RPVEFMX1JFVl8xWVJfQU5OX0dST1dUSC5JUV9MVE0uNi8zMC8yMDIxLkwuLlVTRC5I</t>
  </si>
  <si>
    <t>AQAAAMqAAQACAAAABjcuODgxMQEIAAAABQAAAAExAQAAAAstMjA4NjQ4ODk1NAMAAAADMTYwAgAAAAQ0MTk0BAAAAAEwBwAAAAk2LzMwLzIwMjEIAAAACTYvMzAvMjAyMQkAAAABMAkRx4pEJd4IrPN+i0Ql3gg9Q0lRLkNWWC5JUV9UT1RBTF9SRVZfMVlSX0FOTl9HUk9XVEguSVFfTFRNLjMvMzEvMjAyMi5MLi5VU0QuSAEAAADKgAEAAgAAAAc4NC4xOTI3AQgAAAAFAAAAATEBAAAACy0yMDM1NzA2NzY0AwAAAAMxNjACAAAABDQxOTQEAAAAATAHAAAACTMvMzEvMjAyMggAAAAJMy8zMS8yMDIyCQAAAAEwCRHHikQl3ggldoKLRCXeCD5DSVEuQ1ZYLklRX1RPVEFMX1JFVl8xWVJfQU5OX0dST1dUSC5JUV9MVE0uMTIvMzEvMjAyMi5MLi5VU0QuSAEAAADKgAEAAgAAAAc1Mi4xMzgxAQgAAAAFAAAAATEBAAAACy0xOTU4NzU4MDMxAwAAAAMxNjACAAAABDQxOTQEAAAAATAHAAAACjEyLzMxLzIwMjIIAAAACjEyLzMxLzIwMjIJAAAAATD+6caKRCXeCIz4hYtEJd4IPUNJUS5DVlguSVFfVE9UQUxfUkVWXzFZUl9BTk5fR1JPV1RILklRX0xUTS45LzMwLzIwMjMuTC4uVVNELkgBAAAAyoABAAIAAAAHLTEwLjgxNgEIAAAABQAAAAExAQAAAAstMTk3MDExNjIzNgMAAAADMTYwAgAAAAQ0MTk0BAAAAAEwBwAAAAk5LzMwLzIwMjMIAAAACTkvMzAvMjAyMwkAAAABMOVK2opEJd4I6VOJi0Ql3gg9Q0lRLkNWWC5JUV9U</t>
  </si>
  <si>
    <t>T1RBTF9SRVZfMVlSX0FOTl9HUk9XVEguSVFfTFRNLjYvMzAvMjAyNC5MLi5VU0QuSAEAAADKgAEAAgAAAAYtOS4wODMBCAAAAAUAAAABMQEAAAALLTE5MTgwOTQ2MzQDAAAAAzE2MAIAAAAENDE5NAQAAAABMAcAAAAJNi8zMC8yMDI0CAAAAAk2LzMwLzIwMjQJAAAAATDlStqKRCXeCLfZjItEJd4IPUNJUS5DT1AuSVFfVE9UQUxfUkVWXzFZUl9BTk5fR1JPV1RILklRX0xUTS4zLzMxLzIwMjUuTC4uVVNELkgBAAAAT4YEAAIAAAAFMy45OTUBCAAAAAUAAAABMQEAAAALLTE5NDQ5NDYxNzYDAAAAAzE2MAIAAAAENDE5NAQAAAABMAcAAAAJMy8zMS8yMDI1CAAAAAkzLzMxLzIwMjUJAAAAATDqI9qKRCXeCEGqkItEJd4IPUNJUS5FT0cuSVFfVE9UQUxfUkVWXzFZUl9BTk5fR1JPV1RILklRX0xUTS4zLzMxLzIwMTYuTC4uVVNELkgBAAAAXB0EAAIAAAAILTQ2LjkzODgBCAAAAAUAAAABMQEAAAAKMTg0MDk2NDQ4NwMAAAADMTYwAgAAAAQ0MTk0BAAAAAEwBwAAAAkzLzMxLzIwMTYIAAAACTMvMzEvMjAxNgkAAAABMKHHiolEJd4IFZJii0Ql3gg9Q0lRLkVPRy5JUV9UT1RBTF9SRVZfMVlSX0FOTl9HUk9XVEguSVFfTFRNLjYvMzAvMjAxOC5MLi5VU0QuSAEAAABcHQQAAgAAAAY0OS43NjEBCAAAAAUAAAABMQEAAAAKMTk3MzM0MjA3MAMAAAADMTYwAgAAAAQ0MTk0BAAAAAEwBwAAAAk2LzMwLzIwMTgIAAAACTYv</t>
  </si>
  <si>
    <t>MzAvMjAxOAkAAAABMGtSiolEJd4IChFxi0Ql3gg9Q0lRLlhPTS5JUV9UT1RBTF9SRVZfMVlSX0FOTl9HUk9XVEguSVFfTFRNLjkvMzAvMjAyMC5MLi5VU0QuSAEAAABCMwYAAgAAAAgtMjUuMTY3NgEIAAAABQAAAAExAQAAAAstMjEyMzkyNzIyMwMAAAADMTYwAgAAAAQ0MTk0BAAAAAEwBwAAAAk5LzMwLzIwMjAIAAAACTkvMzAvMjAyMAkAAAABMClfx4pEJd4ITZh7i0Ql3gg+Q0lRLlhPTS5JUV9UT1RBTF9SRVZfMVlSX0FOTl9HUk9XVEguSVFfTFRNLjEyLzMxLzIwMjIuTC4uVVNELkgBAAAAQjMGAAIAAAAHNDQuNTk3MwEIAAAABQAAAAExAQAAAAstMTk1ODk1MzU5OAMAAAADMTYwAgAAAAQ0MTk0BAAAAAEwBwAAAAoxMi8zMS8yMDIyCAAAAAoxMi8zMS8yMDIyCQAAAAEw/unGikQl3giM+IWLRCXeCD5DSVEuQ09QLklRX1RPVEFMX1JFVl8xWVJfQU5OX0dST1dUSC5JUV9MVE0uMTIvMzEvMjAxMi5MLi5VU0QuSAEAAABPhgQAAgAAAActOC4wMjQ4AQgAAAAFAAAAATEBAAAACjE3MjA1ODQ0OTIDAAAAAzE2MAIAAAAENDE5NAQAAAABMAcAAAAKMTIvMzEvMjAxMggAAAAKMTIvMzEvMjAxMgkAAAABMDxgMl07Jd4IroQ2jjsl3gg9Q0lRLlhPTS5JUV9UT1RBTF9SRVZfMVlSX0FOTl9HUk9XVEguSVFfTFRNLjkvMzAvMjAxMC5MLi5VU0QuSAEAAABCMwYAAgAAAAcyMi4xNDU0AQgAAAAFAAAAATEBAAAACjE0</t>
  </si>
  <si>
    <t>ODA2MTU3MTgDAAAAAzE2MAIAAAAENDE5NAQAAAABMAcAAAAJOS8zMC8yMDEwCAAAAAk5LzMwLzIwMTAJAAAAATAGM32JRCXeCCP4Q4tEJd4IPUNJUS5DVlguSVFfVE9UQUxfUkVWXzFZUl9BTk5fR1JPV1RILklRX0xUTS45LzMwLzIwMTQuTC4uVVNELkgBAAAAyoABAAIAAAAHLTQuNjQ2MgEIAAAABQAAAAExAQAAAAoxNzYzMzMwMzg5AwAAAAMxNjACAAAABDQxOTQEAAAAATAHAAAACTkvMzAvMjAxNAgAAAAJOS8zMC8yMDE0CQAAAAEwUASKiUQl3gjyf1iLRCXeCD5DSVEuQ1ZYLklRX1RPVEFMX1JFVl8xWVJfQU5OX0dST1dUSC5JUV9MVE0uMTIvMzEvMjAxNi5MLi5VU0QuSAEAAADKgAEAAgAAAAgtMTUuNzEwOAEIAAAABQAAAAExAQAAAAoxOTQ2NjgzODgyAwAAAAMxNjACAAAABDQxOTQEAAAAATAHAAAACjEyLzMxLzIwMTYIAAAACjEyLzMxLzIwMTYJAAAAATCNoIqJRCXeCAhNZ4tEJd4IPUNJUS5DT1AuSVFfVE9UQUxfUkVWXzFZUl9BTk5fR1JPV1RILklRX0xUTS4zLzMxLzIwMTkuTC4uVVNELkgBAAAAT4YEAAIAAAAHMjEuMzU5OAEIAAAABQAAAAExAQAAAAoyMDMzNDY2NzAzAwAAAAMxNjACAAAABDQxOTQEAAAAATAHAAAACTMvMzEvMjAxOQgAAAAJMy8zMS8yMDE5CQAAAAEwRCsmXTsl3ggjIC6OOyXeCD1DSVEuQ09QLklRX1RPVEFMX1JFVl8xWVJfQU5OX0dST1dUSC5JUV9MVE0uMy8zMS8yMDIy</t>
  </si>
  <si>
    <t>LkwuLlVTRC5IAQAAAE+GBAACAAAACDE0MS4wODU1AQgAAAAFAAAAATEBAAAACy0yMDQ3MjUwNjYzAwAAAAMxNjACAAAABDQxOTQEAAAAATAHAAAACTMvMzEvMjAyMggAAAAJMy8zMS8yMDIyCQAAAAEwUPpaXjsl3gj4mCOOOyXeCD5DSVEuQ1ZYLklRX1RPVEFMX1JFVl8xWVJfQU5OX0dST1dUSC5JUV9MVE0uMTIvMzEvMjAxMy5MLi5VU0QuSAEAAADKgAEAAgAAAActNC45MDM5AQgAAAAFAAAAATEBAAAACjE3Nzc5NzM0OTQDAAAAAzE2MAIAAAAENDE5NAQAAAABMAcAAAAKMTIvMzEvMjAxMwgAAAAKMTIvMzEvMjAxMwkAAAABMG4riolEJd4I5XZTi0Ql3gg+Q0lRLkNPUC5JUV9UT1RBTF9SRVZfMVlSX0FOTl9HUk9XVEguSVFfTFRNLjEyLzMxLzIwMDkuTC4uVVNELkgBAAAAT4YEAAIAAAAILTM5Ljc2OTUBCAAAAAUAAAABMQEAAAAKMTUxNzYxNzA3NwMAAAADMTYwAgAAAAQ0MTk0BAAAAAEwBwAAAAoxMi8zMS8yMDA5CAAAAAoxMi8zMS8yMDA5CQAAAAEwMiQ8XTsl3giRZjuOOyXeCD1DSVEuWE9NLklRX1RPVEFMX1JFVl8xWVJfQU5OX0dST1dUSC5JUV9MVE0uMy8zMS8yMDE2LkwuLlVTRC5IAQAAAEIzBgACAAAACC0zMy4zOTEzAQgAAAAFAAAAATEBAAAACjE4ODY0NzY4MDMDAAAAAzE2MAIAAAAENDE5NAQAAAABMAcAAAAJMy8zMS8yMDE2CAAAAAkzLzMxLzIwMTYJAAAAATChx4qJRCXeCBWSYotEJd4I</t>
  </si>
  <si>
    <t>PUNJUS5FT0cuSVFfVE9UQUxfUkVWXzFZUl9BTk5fR1JPV1RILklRX0xUTS45LzMwLzIwMjQuTC4uVVNELkgBAAAAXB0EAAIAAAAGMC41Nzc0AQgAAAAFAAAAATEBAAAACy0xOTE4MTY5MzMxAwAAAAMxNjACAAAABDQxOTQEAAAAATAHAAAACTkvMzAvMjAyNAgAAAAJOS8zMC8yMDI0CQAAAAEw6iPaikQl3ggh642LRCXeCD5DSVEuWE9NLklRX1RPVEFMX1JFVl8xWVJfQU5OX0dST1dUSC5JUV9MVE0uMTIvMzEvMjAxMy5MLi5VU0QuSAEAAABCMwYAAgAAAActNi44ODQ2AQgAAAAFAAAAATEBAAAACjE3Nzc2MzQ4NjkDAAAAAzE2MAIAAAAENDE5NAQAAAABMAcAAAAKMTIvMzEvMjAxMwgAAAAKMTIvMzEvMjAxMwkAAAABMG4riolEJd4I5XZTi0Ql3gg9Q0lRLlhPTS5JUV9UT1RBTF9SRVZfMVlSX0FOTl9HUk9XVEguSVFfTFRNLjMvMzEvMjAxMy5MLi5VU0QuSAEAAABCMwYAAgAAAActOC43MTQ5AQgAAAAFAAAAATEBAAAACjE2NzU5OTA3MDYDAAAAAzE2MAIAAAAENDE5NAQAAAABMAcAAAAJMy8zMS8yMDEzCAAAAAkzLzMxLzIwMTMJAAAAATCYYJiJRCXeCEN/T4tEJd4IPUNJUS5DT1AuSVFfVE9UQUxfUkVWXzFZUl9BTk5fR1JPV1RILklRX0xUTS4zLzMxLzIwMTYuTC4uVVNELkgBAAAAT4YEAAIAAAAILTQyLjI0NTQBCAAAAAUAAAABMQEAAAAKMTg0MDQyNzk2OQMAAAADMTYwAgAAAAQ0MTk0BAAAAAEwBwAA</t>
  </si>
  <si>
    <t>AAkzLzMxLzIwMTYIAAAACTMvMzEvMjAxNgkAAAABMGWgJl07Jd4IQ1Azjjsl3gg9Q0lRLkNWWC5JUV9UT1RBTF9SRVZfMVlSX0FOTl9HUk9XVEguSVFfTFRNLjYvMzAvMjAyNS5MLi5VU0QuSAEAAADKgAEAAgAAAActMi45MTgzAQgAAAAFAAAAATEBAAAACy0xOTE4MDk0NjIyAwAAAAMxNjACAAAABDQxOTQEAAAAATAHAAAACTYvMzAvMjAyNQgAAAAJNi8zMC8yMDI1CQAAAAEw6iPaikQl3gjZCZKLRCXeCD1DSVEuQ09QLklRX1RPVEFMX1JFVl8xWVJfQU5OX0dST1dUSC5JUV9MVE0uMy8zMS8yMDEzLkwuLlVTRC5IAQAAAE+GBAACAAAABy04LjIzNDkBCAAAAAUAAAABMQEAAAAKMTY3NTc0OTg2MwMAAAADMTYwAgAAAAQ0MTk0BAAAAAEwBwAAAAkzLzMxLzIwMTMIAAAACTMvMzEvMjAxMwkAAAABMDM5Ml07Jd4I4Uc3jjsl3gg9Q0lRLkVPRy5JUV9UT1RBTF9SRVZfMVlSX0FOTl9HUk9XVEguSVFfTFRNLjkvMzAvMjAxOC5MLi5VU0QuSAEAAABcHQQAAgAAAAc2MC4zMjg2AQgAAAAFAAAAATEBAAAACjE5OTA3MzQ4MDkDAAAAAzE2MAIAAAAENDE5NAQAAAABMAcAAAAJOS8zMC8yMDE4CAAAAAk5LzMwLzIwMTgJAAAAATBrUoqJRCXeCHQicotEJd4IPUNJUS5FT0cuSVFfVE9UQUxfUkVWXzFZUl9BTk5fR1JPV1RILklRX0xUTS4zLzMxLzIwMjAuTC4uVVNELkgBAAAAXB0EAAIAAAAHLTYuMjc4NQEIAAAABQAA</t>
  </si>
  <si>
    <t>AAExAQAAAAoyMDk2MDUwNTkwAwAAAAMxNjACAAAABDQxOTQEAAAAATAHAAAACTMvMzEvMjAyMAgAAAAJMy8zMS8yMDIwCQAAAAEwKV/HikQl3ghHAHmLRCXeCD1DSVEuRU9HLklRX1RPVEFMX1JFVl8xWVJfQU5OX0dST1dUSC5JUV9MVE0uNi8zMC8yMDIyLkwuLlVTRC5IAQAAAFwdBAACAAAABzkzLjEzMjQBCAAAAAUAAAABMQEAAAALLTIwMzU3NTQzNDgDAAAAAzE2MAIAAAAENDE5NAQAAAABMAcAAAAJNi8zMC8yMDIyCAAAAAk2LzMwLzIwMjIJAAAAATD+6caKRCXeCKWug4tEJd4IPUNJUS5YT00uSVFfVE9UQUxfUkVWXzFZUl9BTk5fR1JPV1RILklRX0xUTS45LzMwLzIwMjQuTC4uVVNELkgBAAAAQjMGAAIAAAAHLTEuNDI4NQEIAAAABQAAAAExAQAAAAstMTkxODY1NTAwOQMAAAADMTYwAgAAAAQ0MTk0BAAAAAEwBwAAAAk5LzMwLzIwMjQIAAAACTkvMzAvMjAyNAkAAAABMOoj2opEJd4IMxKOi0Ql3gg9Q0lRLkVPRy5JUV9UT1RBTF9SRVZfMVlSX0FOTl9HUk9XVEguSVFfTFRNLjMvMzEvMjAxMC5MLi5VU0QuSAEAAABcHQQAAgAAAAgtMjMuNzEwNwEIAAAABQAAAAExAQAAAAoxNDUyMTA4NjgyAwAAAAMxNjACAAAABDQxOTQEAAAAATAHAAAACTMvMzEvMjAxMAgAAAAJMy8zMS8yMDEwCQAAAAEwBjN9iUQl3ghS/EGLRCXeCD1DSVEuQ1ZYLklRX1RPVEFMX1JFVl8xWVJfQU5OX0dST1dUSC5JUV9MVE0u</t>
  </si>
  <si>
    <t>Ni8zMC8yMDE5LkwuLlVTRC5IAQAAAMqAAQACAAAABjEuNDcwNwEIAAAABQAAAAExAQAAAAoyMDQ4MzAzNTk1AwAAAAMxNjACAAAABDQxOTQEAAAAATAHAAAACTYvMzAvMjAxOQgAAAAJNi8zMC8yMDE5CQAAAAEwSIbHikQl3gjPfXWLRCXeCD1DSVEuQ1ZYLklRX1RPVEFMX1JFVl8xWVJfQU5OX0dST1dUSC5JUV9MVE0uOS8zMC8yMDIxLkwuLlVTRC5IAQAAAMqAAQACAAAABzM5LjE5MTUBCAAAAAUAAAABMQEAAAALLTIwNzIxMjIwNDADAAAAAzE2MAIAAAAENDE5NAQAAAABMAcAAAAJOS8zMC8yMDIxCAAAAAk5LzMwLzIwMjEJAAAAATAJEceKRCXeCEQsgItEJd4IPkNJUS5DT1AuSVFfVE9UQUxfUkVWXzFZUl9BTk5fR1JPV1RILklRX0xUTS4xMi8zMS8yMDIzLkwuLlVTRC5IAQAAAE+GBAACAAAACC0yOC4xODk5AQgAAAAFAAAAATEBAAAACy0xOTU5MjAyMTc1AwAAAAMxNjACAAAABDQxOTQEAAAAATAHAAAACjEyLzMxLzIwMjMIAAAACjEyLzMxLzIwMjMJAAAAATDlStqKRCXeCHKMiotEJd4IPUNJUS5DVlguSVFfVE9UQUxfUkVWXzFZUl9BTk5fR1JPV1RILklRX0xUTS42LzMwLzIwMTEuTC4uVVNELkgBAAAAyoABAAIAAAAHMTkuMDI2MgEIAAAABQAAAAExAQAAAAoxNTU3NDA1MjcyAwAAAAMxNjACAAAABDQxOTQEAAAAATAHAAAACTYvMzAvMjAxMQgAAAAJNi8zMC8yMDExCQAAAAEw5+R8iUQl3giSekeL</t>
  </si>
  <si>
    <t>RCXeCD5DSVEuWE9NLklRX1RPVEFMX1JFVl8xWVJfQU5OX0dST1dUSC5JUV9MVE0uMTIvMzEvMjAxMi5MLi5VU0QuSAEAAABCMwYAAgAAAActMy4zMjc2AQgAAAAFAAAAATEBAAAACjE3MjA3NjMwODcDAAAAAzE2MAIAAAAENDE5NAQAAAABMAcAAAAKMTIvMzEvMjAxMggAAAAKMTIvMzEvMjAxMgkAAAABMKuHmIlEJd4I3G1Oi0Ql3gg+Q0lRLkNWWC5JUV9UT1RBTF9SRVZfMVlSX0FOTl9HUk9XVEguSVFfTFRNLjEyLzMxLzIwMDkuTC4uVVNELkgBAAAAyoABAAIAAAAILTM3LjU1OTYBCAAAAAUAAAABMQEAAAAKMTUxOTU2Nzk0MQMAAAADMTYwAgAAAAQ0MTk0BAAAAAEwBwAAAAoxMi8zMS8yMDA5CAAAAAoxMi8zMS8yMDA5CQAAAAEwBjN9iUQl3gjxEUGLRCXeCD1DSVEuQ1ZYLklRX1RPVEFMX1JFVl8xWVJfQU5OX0dST1dUSC5JUV9MVE0uOS8zMC8yMDEwLkwuLlVTRC5IAQAAAMqAAQACAAAABzE5LjcyMDMBCAAAAAUAAAABMQEAAAAKMTQ4MDA3NDA0OQMAAAADMTYwAgAAAAQ0MTk0BAAAAAEwBwAAAAk5LzMwLzIwMTAIAAAACTkvMzAvMjAxMAkAAAABMAYzfYlEJd4II/hDi0Ql3gg9Q0lRLlhPTS5JUV9UT1RBTF9SRVZfMVlSX0FOTl9HUk9XVEguSVFfTFRNLjMvMzEvMjAxMi5MLi5VU0QuSAEAAABCMwYAAgAAAAcyMi4xMTEzAQgAAAAFAAAAATEBAAAACjE2MTUwNDgyOTIDAAAAAzE2MAIAAAAENDE5NAQA</t>
  </si>
  <si>
    <t>AAABMAcAAAAJMy8zMS8yMDEyCAAAAAkzLzMxLzIwMTIJAAAAATDbvXyJRCXeCEz4SotEJd4IPUNJUS5DT1AuSVFfVE9UQUxfUkVWXzFZUl9BTk5fR1JPV1RILklRX0xUTS45LzMwLzIwMTMuTC4uVVNELkgBAAAAT4YEAAIAAAAGMC4wMDY3AQgAAAAFAAAAATEBAAAACjE3MDQ3OTMyMzYDAAAAAzE2MAIAAAAENDE5NAQAAAABMAcAAAAJOS8zMC8yMDEzCAAAAAk5LzMwLzIwMTMJAAAAATAzOTJdOyXeCNi4OY47Jd4IPUNJUS5FT0cuSVFfVE9UQUxfUkVWXzFZUl9BTk5fR1JPV1RILklRX0xUTS42LzMwLzIwMTUuTC4uVVNELkgBAAAAXB0EAAIAAAAILTIwLjcwNjEBCAAAAAUAAAABMQEAAAAKMTgwMTc4NTAzOQMAAAADMTYwAgAAAAQ0MTk0BAAAAAEwBwAAAAk2LzMwLzIwMTUIAAAACTYvMzAvMjAxNQkAAAABMMiWfIlEJd4I/WFdi0Ql3gg+Q0lRLkVPRy5JUV9UT1RBTF9SRVZfMVlSX0FOTl9HUk9XVEguSVFfTFRNLjEyLzMxLzIwMTYuTC4uVVNELkgBAAAAXB0EAAIAAAAILTEzLjMyNTYBCAAAAAUAAAABMQEAAAAKMTk0NzEwNjY0MAMAAAADMTYwAgAAAAQ0MTk0BAAAAAEwBwAAAAoxMi8zMS8yMDE2CAAAAAoxMi8zMS8yMDE2CQAAAAEwjaCKiUQl3ggldGeLRCXeCD1DSVEuWE9NLklRX1RPVEFMX1JFVl8xWVJfQU5OX0dST1dUSC5JUV9MVE0uMy8zMS8yMDE5LkwuLlVTRC5IAQAAAEIzBgACAAAABzEyLjA2</t>
  </si>
  <si>
    <t>MjIBCAAAAAUAAAABMQEAAAAKMjAzMzc0NDIyMgMAAAADMTYwAgAAAAQ0MTk0BAAAAAEwBwAAAAkzLzMxLzIwMTkIAAAACTMvMzEvMjAxOQkAAAABMPULfYlEJd4IW2x0i0Ql3gg9Q0lRLlhPTS5JUV9UT1RBTF9SRVZfMVlSX0FOTl9HUk9XVEguSVFfTFRNLjYvMzAvMjAyMS5MLi5VU0QuSAEAAABCMwYAAgAAAAUwLjg2MgEIAAAABQAAAAExAQAAAAstMjA4NjYwOTY1OAMAAAADMTYwAgAAAAQ0MTk0BAAAAAEwBwAAAAk2LzMwLzIwMjEIAAAACTYvMzAvMjAyMQkAAAABMAkRx4pEJd4IrPN+i0Ql3gg9Q0lRLlhPTS5JUV9UT1RBTF9SRVZfMVlSX0FOTl9HUk9XVEguSVFfTFRNLjkvMzAvMjAyMy5MLi5VU0QuSAEAAABCMwYAAgAAAAgtMTEuMTQwNgEIAAAABQAAAAExAQAAAAstMTk3MDY0MTY0MQMAAAADMTYwAgAAAAQ0MTk0BAAAAAEwBwAAAAk5LzMwLzIwMjMIAAAACTkvMzAvMjAyMwkAAAABMOVK2opEJd4I6VOJi0Ql3gg+Q0lRLkVPRy5JUV9UT1RBTF9SRVZfMVlSX0FOTl9HUk9XVEguSVFfTFRNLjEyLzMxLzIwMTMuTC4uVVNELkgBAAAAXB0EAAIAAAAHMzAuMjc3NQEIAAAABQAAAAExAQAAAAoxNzc3NzU2MzQ4AwAAAAMxNjACAAAABDQxOTQEAAAAATAHAAAACjEyLzMxLzIwMTMIAAAACjEyLzMxLzIwMTMJAAAAATBuK4qJRCXeCOV2U4tEJd4IPkNJUS5YT00uSVFfVE9UQUxfUkVWXzFZUl9BTk5fR1JP</t>
  </si>
  <si>
    <t>V1RILklRX0xUTS4xMi8zMS8yMDA5LkwuLlVTRC5IAQAAAEIzBgACAAAACC0zNS4xNzIzAQgAAAAFAAAAATEBAAAACjE1MjM4MDY0NjEDAAAAAzE2MAIAAAAENDE5NAQAAAABMAcAAAAKMTIvMzEvMjAwOQgAAAAKMTIvMzEvMjAwOQkAAAABMAYzfYlEJd4I8RFBi0Ql3gg9Q0lRLkNWWC5JUV9UT1RBTF9SRVZfMVlSX0FOTl9HUk9XVEguSVFfTFRNLjYvMzAvMjAxNS5MLi5VU0QuSAEAAADKgAEAAgAAAAgtMjUuNjc0NgEIAAAABQAAAAExAQAAAAoxODAxODk3Mjc4AwAAAAMxNjACAAAABDQxOTQEAAAAATAHAAAACTYvMzAvMjAxNQgAAAAJNi8zMC8yMDE1CQAAAAEwyJZ8iUQl3gj9YV2LRCXeCD1DSVEuQ1ZYLklRX1RPVEFMX1JFVl8xWVJfQU5OX0dST1dUSC5JUV9MVE0uNi8zMC8yMDE4LkwuLlVTRC5IAQAAAMqAAQACAAAABzIyLjQzOTUBCAAAAAUAAAABMQEAAAAKMTk3NDUyODM3NgMAAAADMTYwAgAAAAQ0MTk0BAAAAAEwBwAAAAk2LzMwLzIwMTgIAAAACTYvMzAvMjAxOAkAAAABMGtSiolEJd4IChFxi0Ql3gg9Q0lRLkNPUC5JUV9UT1RBTF9SRVZfMVlSX0FOTl9HUk9XVEguSVFfTFRNLjkvMzAvMjAyMC5MLi5VU0QuSAEAAABPhgQAAgAAAAgtMzkuNDc4MQEIAAAABQAAAAExAQAAAAstMjEyMzU3NTk3OAMAAAADMTYwAgAAAAQ0MTk0BAAAAAEwBwAAAAk5LzMwLzIwMjAIAAAACTkvMzAvMjAyMAkAAAAB</t>
  </si>
  <si>
    <t>MF8hW147Jd4IEqstjjsl3gg+Q0lRLkNPUC5JUV9UT1RBTF9SRVZfMVlSX0FOTl9HUk9XVEguSVFfTFRNLjEyLzMxLzIwMjIuTC4uVVNELkgBAAAAT4YEAAIAAAAHNzIuNjg1MwEIAAAABQAAAAExAQAAAAstMTk1OTIwMjE3OAMAAAADMTYwAgAAAAQ0MTk0BAAAAAEwBwAAAAoxMi8zMS8yMDIyCAAAAAoxMi8zMS8yMDIyCQAAAAEwbo1HXjsl3gg6gySOOyXeCD1DSVEuQ09QLklRX1RPVEFMX1JFVl8xWVJfQU5OX0dST1dUSC5JUV9MVE0uNi8zMC8yMDExLkwuLlVTRC5IAQAAAE+GBAACAAAACC0yMi40NzkyAQgAAAAFAAAAATEBAAAACjE1NTcwMzc0NzQDAAAAAzE2MAIAAAAENDE5NAQAAAABMAcAAAAJNi8zMC8yMDExCAAAAAk2LzMwLzIwMTEJAAAAATBNhzJdOyXeCBUuOo47Jd4IPUNJUS5YT00uSVFfVE9UQUxfUkVWXzFZUl9BTk5fR1JPV1RILklRX0xUTS45LzMwLzIwMTQuTC4uVVNELkgBAAAAQjMGAAIAAAAHLTEuOTEwOAEIAAAABQAAAAExAQAAAAoxNzYyODM5MTIxAwAAAAMxNjACAAAABDQxOTQEAAAAATAHAAAACTkvMzAvMjAxNAgAAAAJOS8zMC8yMDE0CQAAAAEwUASKiUQl3gjyf1iLRCXeCD5DSVEuWE9NLklRX1RPVEFMX1JFVl8xWVJfQU5OX0dST1dUSC5JUV9MVE0uMTIvMzEvMjAxNi5MLi5VU0QuSAEAAABCMwYAAgAAAAgtMTYuODkxOQEIAAAABQAAAAExAQAAAAoxOTQ3NDA0NjU0AwAAAAMx</t>
  </si>
  <si>
    <t>NjACAAAABDQxOTQEAAAAATAHAAAACjEyLzMxLzIwMTYIAAAACjEyLzMxLzIwMTYJAAAAATCNoIqJRCXeCAhNZ4tEJd4IPUNJUS5FT0cuSVFfVE9UQUxfUkVWXzFZUl9BTk5fR1JPV1RILklRX0xUTS42LzMwLzIwMjUuTC4uVVNELkgBAAAAXB0EAAIAAAAHLTUuNDIyMgEIAAAABQAAAAExAQAAAAstMTkzMjcxMTYxOAMAAAADMTYwAgAAAAQ0MTk0BAAAAAEwBwAAAAk2LzMwLzIwMjUIAAAACTYvMzAvMjAyNQkAAAABMOoj2opEJd4I2QmSi0Ql3gg9Q0lRLkNPUC5JUV9UT1RBTF9SRVZfMVlSX0FOTl9HUk9XVEguSVFfTFRNLjYvMzAvMjAxNS5MLi5VU0QuSAEAAABPhgQAAgAAAActMzAuMTg5AQgAAAAFAAAAATEBAAAACjE4MDE0NDgxMTQDAAAAAzE2MAIAAAAENDE5NAQAAAABMAcAAAAJNi8zMC8yMDE1CAAAAAk2LzMwLzIwMTUJAAAAATAO6zFdOyXeCCICM447Jd4IPUNJUS5DT1AuSVFfVE9UQUxfUkVWXzFZUl9BTk5fR1JPV1RILklRX0xUTS45LzMwLzIwMTcuTC4uVVNELkgBAAAAT4YEAAIAAAAGMjQuMDQzAQgAAAAFAAAAATEBAAAACjE5MTczMTk3NDADAAAAAzE2MAIAAAAENDE5NAQAAAABMAcAAAAJOS8zMC8yMDE3CAAAAAk5LzMwLzIwMTcJAAAAATBfeSZdOyXeCPSMMo47Jd4IPUNJUS5DVlguSVFfVE9UQUxfUkVWXzFZUl9BTk5fR1JPV1RILklRX0xUTS45LzMwLzIwMjQuTC4uVVNELkgBAAAAyoAB</t>
  </si>
  <si>
    <t>AAIAAAAHLTUuNjAyMgEIAAAABQAAAAExAQAAAAstMTkxODA5NjM2MwMAAAADMTYwAgAAAAQ0MTk0BAAAAAEwBwAAAAk5LzMwLzIwMjQIAAAACTkvMzAvMjAyNAkAAAABMOoj2opEJd4IIeuNi0Ql3gg+Q0lRLkNPUC5JUV9UT1RBTF9SRVZfMVlSX0FOTl9HUk9XVEguSVFfTFRNLjEyLzMxLzIwMTMuTC4uVVNELkgBAAAAT4YEAAIAAAAHLTUuNDc0OQEIAAAABQAAAAExAQAAAAoxNzc3NDQyNjYwAwAAAAMxNjACAAAABDQxOTQEAAAAATAHAAAACjEyLzMxLzIwMTMIAAAACjEyLzMxLzIwMTMJAAAAATAgEjJdOyXeCJwTNI47Jd4IPUNJUS5FT0cuSVFfVE9UQUxfUkVWXzFZUl9BTk5fR1JPV1RILklRX0xUTS42LzMwLzIwMTIuTC4uVVNELkgBAAAAXB0EAAIAAAAHMzkuNTEyMwEIAAAABQAAAAExAQAAAAoxNjI5NTIxMzcxAwAAAAMxNjACAAAABDQxOTQEAAAAATAHAAAACTYvMzAvMjAxMggAAAAJNi8zMC8yMDEyCQAAAAEwq4eYiUQl3gjMIEyLRCXeCD1DSVEuRU9HLklRX1RPVEFMX1JFVl8xWVJfQU5OX0dST1dUSC5JUV9MVE0uNi8zMC8yMDE5LkwuLlVTRC5IAQAAAFwdBAACAAAABzIzLjYzNjIBCAAAAAUAAAABMQEAAAAKMjA0ODYyOTQwMwMAAAADMTYwAgAAAAQ0MTk0BAAAAAEwBwAAAAk2LzMwLzIwMTkIAAAACTYvMzAvMjAxOQkAAAABMEiGx4pEJd4I4aR1i0Ql3gg9Q0lRLkVPRy5JUV9UT1RBTF9SRVZf</t>
  </si>
  <si>
    <t>MVlSX0FOTl9HUk9XVEguSVFfTFRNLjkvMzAvMjAyMS5MLi5VU0QuSAEAAABcHQQAAgAAAAc0OC4yMDc3AQgAAAAFAAAAATEBAAAACy0yMDcyMTcxNzM2AwAAAAMxNjACAAAABDQxOTQEAAAAATAHAAAACTkvMzAvMjAyMQgAAAAJOS8zMC8yMDIxCQAAAAEwCRHHikQl3ghELICLRCXeCD5DSVEuWE9NLklRX1RPVEFMX1JFVl8xWVJfQU5OX0dST1dUSC5JUV9MVE0uMTIvMzEvMjAyMy5MLi5VU0QuSAEAAABCMwYAAgAAAAgtMTUuOTg4NgEIAAAABQAAAAExAQAAAAstMTk1ODk1MzYxMAMAAAADMTYwAgAAAAQ0MTk0BAAAAAEwBwAAAAoxMi8zMS8yMDIzCAAAAAoxMi8zMS8yMDIzCQAAAAEw5UraikQl3ghyjIqLRCXeCD1DSVEuQ1ZYLklRX1RPVEFMX1JFVl8xWVJfQU5OX0dST1dUSC5JUV9MVE0uNi8zMC8yMDEyLkwuLlVTRC5IAQAAAMqAAQACAAAABjYuMzYwNQEIAAAABQAAAAExAQAAAAoxNjMwMDE5MTM2AwAAAAMxNjACAAAABDQxOTQEAAAAATAHAAAACTYvMzAvMjAxMggAAAAJNi8zMC8yMDEyCQAAAAEwq4eYiUQl3gjMIEyLRCXeCD1DSVEuQ1ZYLklRX1RPVEFMX1JFVl8xWVJfQU5OX0dST1dUSC5JUV9MVE0uOS8zMC8yMDE4LkwuLlVTRC5IAQAAAMqAAQACAAAABzI2LjA2NDIBCAAAAAUAAAABMQEAAAAKMTk5MDk4ODEzNgMAAAADMTYwAgAAAAQ0MTk0BAAAAAEwBwAAAAk5LzMwLzIwMTgIAAAACTkvMzAv</t>
  </si>
  <si>
    <t>MjAxOAkAAAABMGtSiolEJd4IdCJyi0Ql3gg+Q0lRLkNWWC5JUV9UT1RBTF9SRVZfMVlSX0FOTl9HUk9XVEguSVFfTFRNLjEyLzMxLzIwMjAuTC4uVVNELkgBAAAAyoABAAIAAAAILTMyLjU0NzcBCAAAAAUAAAABMQEAAAALLTIwNTk3NjgyMjgDAAAAAzE2MAIAAAAENDE5NAQAAAABMAcAAAAKMTIvMzEvMjAyMAgAAAAKMTIvMzEvMjAyMAkAAAABMDE4x4pEJd4Iuql8i0Ql3gg9Q0lRLkNWWC5JUV9UT1RBTF9SRVZfMVlSX0FOTl9HUk9XVEguSVFfTFRNLjYvMzAvMjAyMi5MLi5VU0QuSAEAAADKgAEAAgAAAAc3OC4xMzc1AQgAAAAFAAAAATEBAAAACy0yMDIxNDA4NDMxAwAAAAMxNjACAAAABDQxOTQEAAAAATAHAAAACTYvMzAvMjAyMggAAAAJNi8zMC8yMDIyCQAAAAEw/unGikQl3gilroOLRCXeCD1DSVEuQ09QLklRX1RPVEFMX1JFVl8xWVJfQU5OX0dST1dUSC5JUV9MVE0uOS8zMC8yMDI0LkwuLlVTRC5IAQAAAE+GBAACAAAABy03Ljk0ODEBCAAAAAUAAAABMQEAAAALLTE5MTgwNDU0NDEDAAAAAzE2MAIAAAAENDE5NAQAAAABMAcAAAAJOS8zMC8yMDI0CAAAAAk5LzMwLzIwMjQJAAAAATDqI9qKRCXeCDMSjotEJd4IPUNJUS5DVlguSVFfVE9UQUxfUkVWXzFZUl9BTk5fR1JPV1RILklRX0xUTS45LzMwLzIwMTEuTC4uVVNELkgBAAAAyoABAAIAAAAHMjMuODkyNAEIAAAABQAAAAExAQAAAAoxNTc0NzU2</t>
  </si>
  <si>
    <t>NDM3AwAAAAMxNjACAAAABDQxOTQEAAAAATAHAAAACTkvMzAvMjAxMQgAAAAJOS8zMC8yMDExCQAAAAEw5+R8iUQl3gjgpUiLRCXeCD1DSVEuRU9HLklRX1RPVEFMX1JFVl8xWVJfQU5OX0dST1dUSC5JUV9MVE0uOS8zMC8yMDE0LkwuLlVTRC5IAQAAAFwdBAACAAAABzIzLjAxMDQBCAAAAAUAAAABMQEAAAAKMTc2MzI2NDcwNQMAAAADMTYwAgAAAAQ0MTk0BAAAAAEwBwAAAAk5LzMwLzIwMTQIAAAACTkvMzAvMjAxNAkAAAABMFAEiolEJd4IDKdYi0Ql3gg9Q0lRLkVPRy5JUV9UT1RBTF9SRVZfMVlSX0FOTl9HUk9XVEguSVFfTFRNLjkvMzAvMjAxNy5MLi5VU0QuSAEAAABcHQQAAgAAAAc0Ni4yMjQyAQgAAAAFAAAAATEBAAAACjE5MTc3MjQ4NjQDAAAAAzE2MAIAAAAENDE5NAQAAAABMAcAAAAJOS8zMC8yMDE3CAAAAAk5LzMwLzIwMTcJAAAAATB6eYqJRCXeCA4vbItEJd4IPkNJUS5YT00uSVFfVE9UQUxfUkVWXzFZUl9BTk5fR1JPV1RILklRX0xUTS4xMi8zMS8yMDE5LkwuLlVTRC5IAQAAAEIzBgACAAAABy03LjY3MjEBCAAAAAUAAAABMQEAAAALLTIxMTEwNzM4MjADAAAAAzE2MAIAAAAENDE5NAQAAAABMAcAAAAKMTIvMzEvMjAxOQgAAAAKMTIvMzEvMjAxOQkAAAABMClfx4pEJd4Iy+53i0Ql3gg9Q0lRLlhPTS5JUV9UT1RBTF9SRVZfMVlSX0FOTl9HUk9XVEguSVFfTFRNLjMvMzEvMjAyMi5MLi5V</t>
  </si>
  <si>
    <t>U0QuSAEAAABCMwYAAgAAAAY2OS44NTgBCAAAAAUAAAABMQEAAAALLTIwNDc4OTA1NTcDAAAAAzE2MAIAAAAENDE5NAQAAAABMAcAAAAJMy8zMS8yMDIyCAAAAAkzLzMxLzIwMjIJAAAAATAJEceKRCXeCCV2gotEJd4IPUNJUS5YT00uSVFfVE9UQUxfUkVWXzFZUl9BTk5fR1JPV1RILklRX0xUTS42LzMwLzIwMTEuTC4uVVNELkgBAAAAQjMGAAIAAAAHMjQuMTM4NgEIAAAABQAAAAExAQAAAAoxNTU3MDcyMzU0AwAAAAMxNjACAAAABDQxOTQEAAAAATAHAAAACTYvMzAvMjAxMQgAAAAJNi8zMC8yMDExCQAAAAEw5+R8iUQl3giSekeLRCXeCD1DSVEuQ09QLklRX1RPVEFMX1JFVl8xWVJfQU5OX0dST1dUSC5JUV9MVE0uMy8zMS8yMDEyLkwuLlVTRC5IAQAAAE+GBAACAAAACC01Ny42OTgyAQgAAAAFAAAAATEBAAAACjE2MTQ5ODg1OTMDAAAAAzE2MAIAAAAENDE5NAQAAAABMAcAAAAJMy8zMS8yMDEyCAAAAAkzLzMxLzIwMTIJAAAAATBEKyZdOyXeCLdqOY47Jd4IPUNJUS5DVlguSVFfVE9UQUxfUkVWXzFZUl9BTk5fR1JPV1RILklRX0xUTS4zLzMxLzIwMTYuTC4uVVNELkgBAAAAyoABAAIAAAAILTM0LjYzNjMBCAAAAAUAAAABMQEAAAAKMTg0MDM5MzgyMQMAAAADMTYwAgAAAAQ0MTk0BAAAAAEwBwAAAAkzLzMxLzIwMTYIAAAACTMvMzEvMjAxNgkAAAABMKHHiolEJd4IFZJii0Ql3gg9Q0lRLkNWWC5JUV9U</t>
  </si>
  <si>
    <t>T1RBTF9SRVZfMVlSX0FOTl9HUk9XVEguSVFfTFRNLjkvMzAvMjAxNy5MLi5VU0QuSAEAAADKgAEAAgAAAAcyMC4wMjgyAQgAAAAFAAAAATEBAAAACjE5MjA1MzU2OTgDAAAAAzE2MAIAAAAENDE5NAQAAAABMAcAAAAJOS8zMC8yMDE3CAAAAAk5LzMwLzIwMTcJAAAAATB6eYqJRCXeCA4vbItEJd4IPkNJUS5DT1AuSVFfVE9UQUxfUkVWXzFZUl9BTk5fR1JPV1RILklRX0xUTS4xMi8zMS8yMDE5LkwuLlVTRC5IAQAAAE+GBAACAAAABy0xMS4wNTYBCAAAAAUAAAABMQEAAAALLTIxMTE2NDMzMjkDAAAAAzE2MAIAAAAENDE5NAQAAAABMAcAAAAKMTIvMzEvMjAxOQgAAAAKMTIvMzEvMjAxOQkAAAABMGlIW147Jd4ISYwpjjsl3gg9Q0lRLkNPUC5JUV9UT1RBTF9SRVZfMVlSX0FOTl9HUk9XVEguSVFfTFRNLjYvMzAvMjAyMS5MLi5VU0QuSAEAAABPhgQAAgAAAAcxOC4wOTE2AQgAAAAFAAAAATEBAAAACy0yMDg2NDIwNTgyAwAAAAMxNjACAAAABDQxOTQEAAAAATAHAAAACTYvMzAvMjAyMQgAAAAJNi8zMC8yMDIxCQAAAAEwXyFbXjsl3ggoXCSOOyXeCD1DSVEuQ09QLklRX1RPVEFMX1JFVl8xWVJfQU5OX0dST1dUSC5JUV9MVE0uOS8zMC8yMDIzLkwuLlVTRC5IAQAAAE+GBAACAAAACC0xOS41ODQyAQgAAAAFAAAAATEBAAAACy0xOTcxMDQ2NzAzAwAAAAMxNjACAAAABDQxOTQEAAAAATAHAAAACTkvMzAvMjAy</t>
  </si>
  <si>
    <t>MwgAAAAJOS8zMC8yMDIzCQAAAAEwHFJHXjsl3ghn+CSOOyXeCD1DSVEuQ09QLklRX1RPVEFMX1JFVl8xWVJfQU5OX0dST1dUSC5JUV9MVE0uOS8zMC8yMDEwLkwuLlVTRC5IAQAAAE+GBAACAAAABzIyLjIwNjMBCAAAAAUAAAABMQEAAAAKMTQ3OTc2MTg2OQMAAAADMTYwAgAAAAQ0MTk0BAAAAAEwBwAAAAk5LzMwLzIwMTAIAAAACTkvMzAvMjAxMAkAAAABMFyuMl07Jd4ImxY9jjsl3gg9Q0lRLlhPTS5JUV9UT1RBTF9SRVZfMVlSX0FOTl9HUk9XVEguSVFfTFRNLjYvMzAvMjAxNS5MLi5VU0QuSAEAAABCMwYAAgAAAAgtMjMuODAwMgEIAAAABQAAAAExAQAAAAoxODAxNjE3NDc5AwAAAAMxNjACAAAABDQxOTQEAAAAATAHAAAACTYvMzAvMjAxNQgAAAAJNi8zMC8yMDE1CQAAAAEwyJZ8iUQl3gj9YV2LRCXeCD1DSVEuWE9NLklRX1RPVEFMX1JFVl8xWVJfQU5OX0dST1dUSC5JUV9MVE0uOS8zMC8yMDE3LkwuLlVTRC5IAQAAAEIzBgACAAAABzE0Ljc5NTEBCAAAAAUAAAABMQEAAAAKMTkyMDAxODUzMAMAAAADMTYwAgAAAAQ0MTk0BAAAAAEwBwAAAAk5LzMwLzIwMTcIAAAACTkvMzAvMjAxNwkAAAABMHp5iolEJd4IDi9si0Ql3gg+Q0lRLkVPRy5JUV9UT1RBTF9SRVZfMVlSX0FOTl9HUk9XVEguSVFfTFRNLjEyLzMxLzIwMjMuTC4uVVNELkgBAAAAXB0EAAIAAAAILTIxLjQwMTYBCAAAAAUAAAABMQEAAAAL</t>
  </si>
  <si>
    <t>LTE5NTc5NjY4NTMDAAAAAzE2MAIAAAAENDE5NAQAAAABMAcAAAAKMTIvMzEvMjAyMwgAAAAKMTIvMzEvMjAyMwkAAAABMOVK2opEJd4Ig7OKi0Ql3gg9Q0lRLkNPUC5JUV9UT1RBTF9SRVZfMVlSX0FOTl9HUk9XVEguSVFfTFRNLjkvMzAvMjAxNC5MLi5VU0QuSAEAAABPhgQAAgAAAActMi42NzE0AQgAAAAFAAAAATEBAAAACjE3NjI2MDg3NTgDAAAAAzE2MAIAAAAENDE5NAQAAAABMAcAAAAJOS8zMC8yMDE0CAAAAAk5LzMwLzIwMTQJAAAAATAgEjJdOyXeCBW9N447Jd4IPkNJUS5DT1AuSVFfVE9UQUxfUkVWXzFZUl9BTk5fR1JPV1RILklRX0xUTS4xMi8zMS8yMDE2LkwuLlVTRC5IAQAAAE+GBAACAAAACC0yMS40MjM3AQgAAAAFAAAAATEBAAAACjE5NDYwMDU3NDQDAAAAAzE2MAIAAAAENDE5NAQAAAABMAcAAAAKMTIvMzEvMjAxNggAAAAKMTIvMzEvMjAxNgkAAAABMF95Jl07Jd4IJmowjjsl3gg+Q0lRLkNWWC5JUV9UT1RBTF9SRVZfMVlSX0FOTl9HUk9XVEguSVFfTFRNLjEyLzMxLzIwMjMuTC4uVVNELkgBAAAAyoABAAIAAAAILTE3LjQyODcBCAAAAAUAAAABMQEAAAALLTE5NTg3NTc3OTUDAAAAAzE2MAIAAAAENDE5NAQAAAABMAcAAAAKMTIvMzEvMjAyMwgAAAAKMTIvMzEvMjAyMwkAAAABMOVK2opEJd4Ig7OKi0Ql3gg+Q0lRLkVPRy5JUV9UT1RBTF9SRVZfMVlSX0FOTl9HUk9XVEguSVFfTFRN</t>
  </si>
  <si>
    <t>LjEyLzMxLzIwMTcuTC4uVVNELkgBAAAAXB0EAAIAAAAHNDkuNjE1MwEIAAAABQAAAAExAQAAAAoyMDE4MTY5MDE3AwAAAAMxNjACAAAABDQxOTQEAAAAATAHAAAACjEyLzMxLzIwMTcIAAAACjEyLzMxLzIwMTcJAAAAATB6eYqJRCXeCKO1bYtEJd4IPkNJUS5FT0cuSVFfVE9UQUxfUkVWXzFZUl9BTk5fR1JPV1RILklRX0xUTS4xMi8zMS8yMDIwLkwuLlVTRC5IAQAAAFwdBAACAAAACC00MS44MjQ4AQgAAAAFAAAAATEBAAAACy0yMDU5ODQxMzQ3AwAAAAMxNjACAAAABDQxOTQEAAAAATAHAAAACjEyLzMxLzIwMjAIAAAACjEyLzMxLzIwMjAJAAAAATAxOMeKRCXeCMzQfItEJd4IPUNJUS5YT00uSVFfVE9UQUxfUkVWXzFZUl9BTk5fR1JPV1RILklRX0xUTS4zLzMxLzIwMjMuTC4uVVNELkgBAAAAQjMGAAIAAAAHMjguNDk3OAEIAAAABQAAAAExAQAAAAstMTk5ODA1NTk4MAMAAAADMTYwAgAAAAQ0MTk0BAAAAAEwBwAAAAkzLzMxLzIwMjMIAAAACTMvMzEvMjAyMwkAAAABMOVK2opEJd4IEAqHi0Ql3gg9Q0lRLlhPTS5JUV9UT1RBTF9SRVZfMVlSX0FOTl9HUk9XVEguSVFfTFRNLjYvMzAvMjAyNS5MLi5VU0QuSAEAAABCMwYAAgAAAActMy40NzgyAQgAAAAFAAAAATEBAAAACy0xOTMzNDQzMzYzAwAAAAMxNjACAAAABDQxOTQEAAAAATAHAAAACTYvMzAvMjAyNQgAAAAJNi8zMC8yMDI1CQAAAAEw6iPaikQl</t>
  </si>
  <si>
    <t>3gjZCZKLRCXeCD1DSVEuRU9HLklRX1RPVEFMX1JFVl8xWVJfQU5OX0dST1dUSC5JUV9MVE0uOS8zMC8yMDExLkwuLlVTRC5IAQAAAFwdBAACAAAABzUyLjExNTYBCAAAAAUAAAABMQEAAAAKMTU3NDM5MTQwNwMAAAADMTYwAgAAAAQ0MTk0BAAAAAEwBwAAAAk5LzMwLzIwMTEIAAAACTkvMzAvMjAxMQkAAAABMOfkfIlEJd4I4KVIi0Ql3gg+Q0lRLkVPRy5JUV9UT1RBTF9SRVZfMVlSX0FOTl9HUk9XVEguSVFfTFRNLjEyLzMxLzIwMTAuTC4uVVNELkgBAAAAXB0EAAIAAAAHNTIuMjE5OQEIAAAABQAAAAExAQAAAAoxNTg4ODQ2MzQyAwAAAAMxNjACAAAABDQxOTQEAAAAATAHAAAACjEyLzMxLzIwMTAIAAAACjEyLzMxLzIwMTAJAAAAATD1C32JRCXeCKYwRYtEJd4IPkNJUS5DVlguSVFfVE9UQUxfUkVWXzFZUl9BTk5fR1JPV1RILklRX0xUTS4xMi8zMS8yMDE3LkwuLlVTRC5IAQAAAMqAAQACAAAABzIzLjQwMDQBCAAAAAUAAAABMQEAAAAKMjAxNjM0OTg5MAMAAAADMTYwAgAAAAQ0MTk0BAAAAAEwBwAAAAoxMi8zMS8yMDE3CAAAAAoxMi8zMS8yMDE3CQAAAAEwenmKiUQl3gijtW2LRCXeCD1DSVEuQ1ZYLklRX1RPVEFMX1JFVl8xWVJfQU5OX0dST1dUSC5JUV9MVE0uMy8zMS8yMDIwLkwuLlVTRC5IAQAAAMqAAQACAAAACC0xNC41MTk1AQgAAAAFAAAAATEBAAAACjIwOTYwODYxNzQDAAAAAzE2MAIAAAAE</t>
  </si>
  <si>
    <t>NDE5NAQAAAABMAcAAAAJMy8zMS8yMDIwCAAAAAkzLzMxLzIwMjAJAAAAATApX8eKRCXeCEcAeYtEJd4IPUNJUS5DT1AuSVFfVE9UQUxfUkVWXzFZUl9BTk5fR1JPV1RILklRX0xUTS4zLzMxLzIwMjMuTC4uVVNELkgBAAAAT4YEAAIAAAAHNDEuNTI0NQEIAAAABQAAAAExAQAAAAstMTk4NTQzMjg1MwMAAAADMTYwAgAAAAQ0MTk0BAAAAAEwBwAAAAkzLzMxLzIwMjMIAAAACTMvMzEvMjAyMwkAAAABMBxSR147Jd4IOoMkjjsl3gg9Q0lRLkNPUC5JUV9UT1RBTF9SRVZfMVlSX0FOTl9HUk9XVEguSVFfTFRNLjYvMzAvMjAyNS5MLi5VU0QuSAEAAABPhgQAAgAAAAYyLjI0ODYBCAAAAAUAAAABMQEAAAALLTE5MzI4NTgzNDADAAAAAzE2MAIAAAAENDE5NAQAAAABMAcAAAAJNi8zMC8yMDI1CAAAAAk2LzMwLzIwMjUJAAAAATDqI9qKRCXeCNkJkotEJd4IPUNJUS5DVlguSVFfVE9UQUxfUkVWXzFZUl9BTk5fR1JPV1RILklRX0xUTS4zLzMxLzIwMTAuTC4uVVNELkgBAAAAyoABAAIAAAAILTI0LjQwOTMBCAAAAAUAAAABMQEAAAAKMTQ1MTI3Njk0MwMAAAADMTYwAgAAAAQ0MTk0BAAAAAEwBwAAAAkzLzMxLzIwMTAIAAAACTMvMzEvMjAxMAkAAAABMAYzfYlEJd4IUvxBi0Ql3gg9Q0lRLkNWWC5JUV9UT1RBTF9SRVZfMVlSX0FOTl9HUk9XVEguSVFfTFRNLjkvMzAvMjAxNS5MLi5VU0QuSAEAAADKgAEAAgAAAAgt</t>
  </si>
  <si>
    <t>MzMuMTU2NgEIAAAABQAAAAExAQAAAAoxODE2MjMwNDE2AwAAAAMxNjACAAAABDQxOTQEAAAAATAHAAAACTkvMzAvMjAxNQgAAAAJOS8zMC8yMDE1CQAAAAEwyJZ8iUQl3gilD1+LRCXeCD1DSVEuWE9NLklRX1RPVEFMX1JFVl8xWVJfQU5OX0dST1dUSC5JUV9MVE0uMy8zMS8yMDE4LkwuLlVTRC5IAQAAAEIzBgACAAAABzE0LjA0NjYBCAAAAAUAAAABMQEAAAAKMTk1OTUwMTUwMgMAAAADMTYwAgAAAAQ0MTk0BAAAAAEwBwAAAAkzLzMxLzIwMTgIAAAACTMvMzEvMjAxOAkAAAABMHp5iolEJd4IXGNvi0Ql3gg9Q0lRLkVPRy5JUV9UT1RBTF9SRVZfMVlSX0FOTl9HUk9XVEguSVFfTFRNLjkvMzAvMjAxOS5MLi5VU0QuSAEAAABcHQQAAgAAAAY1LjAyMjEBCAAAAAUAAAABMQEAAAAKMjA2ODQzMTA1NgMAAAADMTYwAgAAAAQ0MTk0BAAAAAEwBwAAAAk5LzMwLzIwMTkIAAAACTkvMzAvMjAxOQkAAAABMEiGx4pEJd4ITbZ2i0Ql3gg+Q0lRLkNPUC5JUV9UT1RBTF9SRVZfMVlSX0FOTl9HUk9XVEguSVFfTFRNLjEyLzMxLzIwMjQuTC4uVVNELkgBAAAAT4YEAAIAAAAHLTIuNDM4NwEIAAAABQAAAAExAQAAAAstMTk1OTIwMjE3MQMAAAADMTYwAgAAAAQ0MTk0BAAAAAEwBwAAAAoxMi8zMS8yMDI0CAAAAAoxMi8zMS8yMDI0CQAAAAEw6iPaikQl3gjYmI+LRCXeCD1DSVEuQ09QLklRX1RPVEFMX1JFVl8xWVJfQU5O</t>
  </si>
  <si>
    <t>X0dST1dUSC5JUV9MVE0uMy8zMS8yMDE4LkwuLlVTRC5IAQAAAE+GBAACAAAABzE3LjY0NzUBCAAAAAUAAAABMQEAAAAKMTk1OTQ3ODkxOQMAAAADMTYwAgAAAAQ0MTk0BAAAAAEwBwAAAAkzLzMxLzIwMTgIAAAACTMvMzEvMjAxOAkAAAABMElSJl07Jd4Is38vjjsl3gg9Q0lRLkVPRy5JUV9UT1RBTF9SRVZfMVlSX0FOTl9HUk9XVEguSVFfTFRNLjkvMzAvMjAyMy5MLi5VU0QuSAEAAABcHQQAAgAAAAgtMTguMjc4NgEIAAAABQAAAAExAQAAAAstMTk3MDIzMzM4MQMAAAADMTYwAgAAAAQ0MTk0BAAAAAEwBwAAAAk5LzMwLzIwMjMIAAAACTkvMzAvMjAyMwkAAAABMOVK2opEJd4IA3uJi0Ql3gg9Q0lRLkNPUC5JUV9UT1RBTF9SRVZfMVlSX0FOTl9HUk9XVEguSVFfTFRNLjMvMzEvMjAxMC5MLi5VU0QuSAEAAABPhgQAAgAAAAgtMjUuNDUyNgEIAAAABQAAAAExAQAAAAoxNDUxMDgyOTk4AwAAAAMxNjACAAAABDQxOTQEAAAAATAHAAAACTMvMzEvMjAxMAgAAAAJMy8zMS8yMDEwCQAAAAEwJf07XTsl3ghWnzyOOyXeCD1DSVEuQ09QLklRX1RPVEFMX1JFVl8xWVJfQU5OX0dST1dUSC5JUV9MVE0uMy8zMS8yMDE3LkwuLlVTRC5IAQAAAE+GBAACAAAABy0yLjg1NjcBCAAAAAUAAAABMQEAAAAKMTg4NjczMjEyOQMAAAADMTYwAgAAAAQ0MTk0BAAAAAEwBwAAAAkzLzMxLzIwMTcIAAAACTMvMzEvMjAxNwkAAAAB</t>
  </si>
  <si>
    <t>MF95Jl07Jd4IUAYxjjsl3gg9Q0lRLlhPTS5JUV9UT1RBTF9SRVZfMVlSX0FOTl9HUk9XVEguSVFfTFRNLjkvMzAvMjAxOS5MLi5VU0QuSAEAAABCMwYAAgAAAActNS4yOTU4AQgAAAAFAAAAATEBAAAACjIwNjgyNzMxNzADAAAAAzE2MAIAAAAENDE5NAQAAAABMAcAAAAJOS8zMC8yMDE5CAAAAAk5LzMwLzIwMTkJAAAAATBIhseKRCXeCE22dotEJd4IPUNJUS5FT0cuSVFfVE9UQUxfUkVWXzFZUl9BTk5fR1JPV1RILklRX0xUTS45LzMwLzIwMjIuTC4uVVNELkgBAAAAXB0EAAIAAAAHNzMuNDMwNAEIAAAABQAAAAExAQAAAAstMjAyMTM3NTAzMQMAAAADMTYwAgAAAAQ0MTk0BAAAAAEwBwAAAAk5LzMwLzIwMjIIAAAACTkvMzAvMjAyMgkAAAABMP7pxopEJd4IDMCEi0Ql3gg9Q0lRLlhPTS5JUV9UT1RBTF9SRVZfMVlSX0FOTl9HUk9XVEguSVFfTFRNLjkvMzAvMjAxOC5MLi5VU0QuSAEAAABCMwYAAgAAAAcyMS40NTY5AQgAAAAFAAAAATEBAAAACjE5OTA3ODg2MTMDAAAAAzE2MAIAAAAENDE5NAQAAAABMAcAAAAJOS8zMC8yMDE4CAAAAAk5LzMwLzIwMTgJAAAAATBrUoqJRCXeCHQicotEJd4IPUNJUS5DVlguSVFfVE9UQUxfUkVWXzFZUl9BTk5fR1JPV1RILklRX0xUTS45LzMwLzIwMjIuTC4uVVNELkgBAAAAyoABAAIAAAAHNjkuNjcxMgEIAAAABQAAAAExAQAAAAstMjAyMTQwOTAwOAMAAAADMTYwAgAA</t>
  </si>
  <si>
    <t>AAQ0MTk0BAAAAAEwBwAAAAk5LzMwLzIwMjIIAAAACTkvMzAvMjAyMgkAAAABMP7pxopEJd4IDMCEi0Ql3gg9Q0lRLkVPRy5JUV9UT1RBTF9SRVZfMVlSX0FOTl9HUk9XVEguSVFfTFRNLjYvMzAvMjAxNC5MLi5VU0QuSAEAAABcHQQAAgAAAAcyNi4xMTkxAQgAAAAFAAAAATEBAAAACjE3NDk3MzQ0MTIDAAAAAzE2MAIAAAAENDE5NAQAAAABMAcAAAAJNi8zMC8yMDE0CAAAAAk2LzMwLzIwMTQJAAAAATBQBIqJRCXeCDSrVotEJd4IPkNJUS5DVlguSVFfVE9UQUxfUkVWXzFZUl9BTk5fR1JPV1RILklRX0xUTS4xMi8zMS8yMDE1LkwuLlVTRC5IAQAAAMqAAQACAAAACC0zNi4yNjU4AQgAAAAFAAAAATEBAAAACjE4NzU2NzYyMzQDAAAAAzE2MAIAAAAENDE5NAQAAAABMAcAAAAKMTIvMzEvMjAxNQgAAAAKMTIvMzEvMjAxNQkAAAABMKbuiolEJd4IaeRgi0Ql3gg9Q0lRLkNWWC5JUV9UT1RBTF9SRVZfMVlSX0FOTl9HUk9XVEguSVFfTFRNLjYvMzAvMjAxNC5MLi5VU0QuSAEAAADKgAEAAgAAAActMi4wNTc1AQgAAAAFAAAAATEBAAAACjE3NDg4NjU0NjYDAAAAAzE2MAIAAAAENDE5NAQAAAABMAcAAAAJNi8zMC8yMDE0CAAAAAk2LzMwLzIwMTQJAAAAATBQBIqJRCXeCDSrVotEJd4IPkNJUS5DVlguSVFfVE9UQUxfUkVWXzFZUl9BTk5fR1JPV1RILklRX0xUTS4xMi8zMS8yMDExLkwuLlVTRC5IAQAAAMqAAQAC</t>
  </si>
  <si>
    <t>AAAABzI0LjYxODgBCAAAAAUAAAABMQEAAAAKMTY1OTQyNTA1MAMAAAADMTYwAgAAAAQ0MTk0BAAAAAEwBwAAAAoxMi8zMS8yMDExCAAAAAoxMi8zMS8yMDExCQAAAAEw5+R8iUQl3giZzkmLRCXeCD1DSVEuQ09QLklRX1RPVEFMX1JFVl8xWVJfQU5OX0dST1dUSC5JUV9MVE0uOS8zMC8yMDIyLkwuLlVTRC5IAQAAAE+GBAACAAAACDEwOS4wNDk4AQgAAAAFAAAAATEBAAAACy0yMDIxNDc3MzI2AwAAAAMxNjACAAAABDQxOTQEAAAAATAHAAAACTkvMzAvMjAyMggAAAAJOS8zMC8yMDIyCQAAAAEwUPpaXjsl3giYTyqOOyXeCD1DSVEuQ1ZYLklRX1RPVEFMX1JFVl8xWVJfQU5OX0dST1dUSC5JUV9MVE0uNi8zMC8yMDEwLkwuLlVTRC5IAQAAAMqAAQACAAAABy0xLjc1MTcBCAAAAAUAAAABMQEAAAAKMTQ2NDg1NzU3MQMAAAADMTYwAgAAAAQ0MTk0BAAAAAEwBwAAAAk2LzMwLzIwMTAIAAAACTYvMzAvMjAxMAkAAAABMAYzfYlEJd4I2Q1Di0Ql3gg+Q0lRLkVPRy5JUV9UT1RBTF9SRVZfMVlSX0FOTl9HUk9XVEguSVFfTFRNLjEyLzMxLzIwMTQuTC4uVVNELkgBAAAAXB0EAAIAAAAHMTUuNDc4NgEIAAAABQAAAAExAQAAAAoxODI5NDUwNzI0AwAAAAMxNjACAAAABDQxOTQEAAAAATAHAAAACjEyLzMxLzIwMTQIAAAACjEyLzMxLzIwMTQJAAAAATDn5HyJRCXeCKgtWotEJd4IPkNJUS5DVlguSVFfVE9UQUxfUkVW</t>
  </si>
  <si>
    <t>XzFZUl9BTk5fR1JPV1RILklRX0xUTS4xMi8zMS8yMDE0LkwuLlVTRC5IAQAAAMqAAQACAAAABy05LjE0NDcBCAAAAAUAAAABMQEAAAAKMTgyOTA4ODk0MgMAAAADMTYwAgAAAAQ0MTk0BAAAAAEwBwAAAAoxMi8zMS8yMDE0CAAAAAoxMi8zMS8yMDE0CQAAAAEw5+R8iUQl3gioLVqLRCXeCD5DSVEuRU9HLklRX1RPVEFMX1JFVl8xWVJfQU5OX0dST1dUSC5JUV9MVE0uMTIvMzEvMjAxOC5MLi5VU0QuSAEAAABcHQQAAgAAAAc1Mi45Njg3AQgAAAAFAAAAATEBAAAACjIwODE3ODU0MTcDAAAAAzE2MAIAAAAENDE5NAQAAAABMAcAAAAKMTIvMzEvMjAxOAgAAAAKMTIvMzEvMjAxOAkAAAABMG4riolEJd4I9Fpzi0Ql3gg9Q0lRLkNWWC5JUV9UT1RBTF9SRVZfMVlSX0FOTl9HUk9XVEguSVFfTFRNLjkvMzAvMjAyNS5MLi5VU0QuSAEAAADKgAEAAgAAAActMS41NjYxAQgAAAAFAAAAATEBAAAACy0xOTE4MDk2MzIwAwAAAAMxNjACAAAABDQxOTQEAAAAATAHAAAACTkvMzAvMjAyNQgAAAAJOS8zMC8yMDI1CQAAAAEw2vzZikQl3ghjaZOLRCXeCD1DSVEuQ09QLklRX1RPVEFMX1JFVl8xWVJfQU5OX0dST1dUSC5JUV9MVE0uNi8zMC8yMDEzLkwuLlVTRC5IAQAAAE+GBAACAAAABy0zLjUyODIBCAAAAAUAAAABMQEAAAAKMTY4OTYwNTk5NwMAAAADMTYwAgAAAAQ0MTk0BAAAAAEwBwAAAAk2LzMwLzIwMTMIAAAACTYv</t>
  </si>
  <si>
    <t>MzAvMjAxMwkAAAABMDM5Ml07Jd4IQME1jjsl3gg9Q0lRLkVPRy5JUV9UT1RBTF9SRVZfMVlSX0FOTl9HUk9XVEguSVFfTFRNLjYvMzAvMjAxNi5MLi5VU0QuSAEAAABcHQQAAgAAAAgtNDQuNDg2MgEIAAAABQAAAAExAQAAAAoxODUxMzA0NTgyAwAAAAMxNjACAAAABDQxOTQEAAAAATAHAAAACTYvMzAvMjAxNggAAAAJNi8zMC8yMDE2CQAAAAEwoceKiUQl3gi9GGSLRCXeCD5DSVEuQ1ZYLklRX1RPVEFMX1JFVl8xWVJfQU5OX0dST1dUSC5JUV9MVE0uMTIvMzEvMjAxMC5MLi5VU0QuSAEAAADKgAEAAgAAAAcxOS4wMzAzAQgAAAAFAAAAATEBAAAACjE1ODg4NDY0NDADAAAAAzE2MAIAAAAENDE5NAQAAAABMAcAAAAKMTIvMzEvMjAxMAgAAAAKMTIvMzEvMjAxMAkAAAABMPULfYlEJd4IkAlFi0Ql3gg+Q0lRLkNPUC5JUV9UT1RBTF9SRVZfMVlSX0FOTl9HUk9XVEguSVFfTFRNLjEyLzMxLzIwMTQuTC4uVVNELkgBAAAAT4YEAAIAAAAHLTMuMjI3NAEIAAAABQAAAAExAQAAAAoxODI4Njg4MDU3AwAAAAMxNjACAAAABDQxOTQEAAAAATAHAAAACjEyLzMxLzIwMTQIAAAACjEyLzMxLzIwMTQJAAAAATAO6zFdOyXeCI/FM447Jd4IPkNJUS5FT0cuSVFfVE9UQUxfUkVWXzFZUl9BTk5fR1JPV1RILklRX0xUTS4xMi8zMS8yMDIxLkwuLlVTRC5IAQAAAFwdBAACAAAABzk5LjA4MzkBCAAAAAUAAAABMQEAAAALLTIw</t>
  </si>
  <si>
    <t>MDkyMzcyMzgDAAAAAzE2MAIAAAAENDE5NAQAAAABMAcAAAAKMTIvMzEvMjAyMQgAAAAKMTIvMzEvMjAyMQkAAAABMAkRx4pEJd4IrGSBi0Ql3gg+Q0lRLlhPTS5JUV9UT1RBTF9SRVZfMVlSX0FOTl9HUk9XVEguSVFfTFRNLjEyLzMxLzIwMTAuTC4uVVNELkgBAAAAQjMGAAIAAAAHMjMuOTU1OQEIAAAABQAAAAExAQAAAAoxNTg5NTQ3MTY5AwAAAAMxNjACAAAABDQxOTQEAAAAATAHAAAACjEyLzMxLzIwMTAIAAAACjEyLzMxLzIwMTAJAAAAATD1C32JRCXeCJAJRYtEJd4IPUNJUS5DVlguSVFfVE9UQUxfUkVWXzFZUl9BTk5fR1JPV1RILklRX0xUTS42LzMwLzIwMjAuTC4uVVNELkgBAAAAyoABAAIAAAAILTI2LjEyMTcBCAAAAAUAAAABMQEAAAALLTIxMzk3OTczMzQDAAAAAzE2MAIAAAAENDE5NAQAAAABMAcAAAAJNi8zMC8yMDIwCAAAAAk2LzMwLzIwMjAJAAAAATApX8eKRCXeCMI4eotEJd4IPUNJUS5FT0cuSVFfVE9UQUxfUkVWXzFZUl9BTk5fR1JPV1RILklRX0xUTS42LzMwLzIwMjQuTC4uVVNELkgBAAAAXB0EAAIAAAAHLTQuNDQwMQEIAAAABQAAAAExAQAAAAstMTkzMjcxMTYzNAMAAAADMTYwAgAAAAQ0MTk0BAAAAAEwBwAAAAk2LzMwLzIwMjQIAAAACTYvMzAvMjAyNAkAAAABMOVK2opEJd4It9mMi0Ql3gg+Q0lRLkNPUC5JUV9UT1RBTF9SRVZfMVlSX0FOTl9HUk9XVEguSVFfTFRNLjEyLzMx</t>
  </si>
  <si>
    <t>LzIwMTAuTC4uVVNELkgBAAAAT4YEAAIAAAAHLTU4LjQwOQEIAAAABQAAAAExAQAAAAoxNTg4NDUzMjY5AwAAAAMxNjACAAAABDQxOTQEAAAAATAHAAAACjEyLzMxLzIwMTAIAAAACjEyLzMxLzIwMTAJAAAAATBNhzJdOyXeCOHAc5E7Jd4IPUNJUS5FT0cuSVFfVE9UQUxfUkVWXzFZUl9BTk5fR1JPV1RILklRX0xUTS45LzMwLzIwMTYuTC4uVVNELkgBAAAAXB0EAAIAAAAILTMyLjc0MzUBCAAAAAUAAAABMQEAAAAKMTg2Mzc3MDY0MQMAAAADMTYwAgAAAAQ0MTk0BAAAAAEwBwAAAAk5LzMwLzIwMTYIAAAACTkvMzAvMjAxNgkAAAABMKHHiolEJd4Ib8Zli0Ql3gg9Q0lRLlhPTS5JUV9UT1RBTF9SRVZfMVlSX0FOTl9HUk9XVEguSVFfTFRNLjYvMzAvMjAxOS5MLi5VU0QuSAEAAABCMwYAAgAAAAY0LjAyNzQBCAAAAAUAAAABMQEAAAAKMjA0ODMwNDI1NgMAAAADMTYwAgAAAAQ0MTk0BAAAAAEwBwAAAAk2LzMwLzIwMTkIAAAACTYvMzAvMjAxOQkAAAABMEiGx4pEJd4Iz311i0Ql3gg9Q0lRLkNWWC5JUV9UT1RBTF9SRVZfMVlSX0FOTl9HUk9XVEguSVFfTFRNLjYvMzAvMjAyMy5MLi5VU0QuSAEAAADKgAEAAgAAAAY0LjE0MjcBCAAAAAUAAAABMQEAAAALLTE5NzAxMTQyNTcDAAAAAzE2MAIAAAAENDE5NAQAAAABMAcAAAAJNi8zMC8yMDIzCAAAAAk2LzMwLzIwMjMJAAAAATDlStqKRCXeCIVCiItEJd4IPUNJ</t>
  </si>
  <si>
    <t>US5FT0cuSVFfVE9UQUxfUkVWXzFZUl9BTk5fR1JPV1RILklRX0xUTS45LzMwLzIwMjAuTC4uVVNELkgBAAAAXB0EAAIAAAAHLTM0LjIzNgEIAAAABQAAAAExAQAAAAstMjEyMzgzMTc2OAMAAAADMTYwAgAAAAQ0MTk0BAAAAAEwBwAAAAk5LzMwLzIwMjAIAAAACTkvMzAvMjAyMAkAAAABMClfx4pEJd4ITZh7i0Ql3gg+Q0lRLkVPRy5JUV9UT1RBTF9SRVZfMVlSX0FOTl9HUk9XVEguSVFfTFRNLjEyLzMxLzIwMjQuTC4uVVNELkgBAAAAXB0EAAIAAAAGMC44ODA4AQgAAAAFAAAAATEBAAAACy0xOTU3OTY2ODUwAwAAAAMxNjACAAAABDQxOTQEAAAAATAHAAAACjEyLzMxLzIwMjQIAAAACjEyLzMxLzIwMjQJAAAAATDqI9qKRCXeCMFKj4tEJd4IPUNJUS5DVlguSVFfVE9UQUxfUkVWXzFZUl9BTk5fR1JPV1RILklRX0xUTS45LzMwLzIwMTIuTC4uVVNELkgBAAAAyoABAAIAAAAHLTIuMTQwOAEIAAAABQAAAAExAQAAAAoxNjQzOTAyNjc5AwAAAAMxNjACAAAABDQxOTQEAAAAATAHAAAACTkvMzAvMjAxMggAAAAJOS8zMC8yMDEyCQAAAAEwq4eYiUQl3ghiXE2LRCXeCD1DSVEuWE9NLklRX1RPVEFMX1JFVl8xWVJfQU5OX0dST1dUSC5JUV9MVE0uOS8zMC8yMDEyLkwuLlVTRC5IAQAAAEIzBgACAAAABjEuMzI4OAEIAAAABQAAAAExAQAAAAoxNjQzNDgwNDQzAwAAAAMxNjACAAAABDQxOTQEAAAAATAHAAAACTkv</t>
  </si>
  <si>
    <t>MzAvMjAxMggAAAAJOS8zMC8yMDEyCQAAAAEwq4eYiUQl3ghiXE2LRCXeCD1DSVEuRU9HLklRX1RPVEFMX1JFVl8xWVJfQU5OX0dST1dUSC5JUV9MVE0uOS8zMC8yMDE1LkwuLlVTRC5IAQAAAFwdBAACAAAACC0zOC43MjE3AQgAAAAFAAAAATEBAAAACjE4MTYwMTcyODkDAAAAAzE2MAIAAAAENDE5NAQAAAABMAcAAAAJOS8zMC8yMDE1CAAAAAk5LzMwLzIwMTUJAAAAATDIlnyJRCXeCKUPX4tEJd4IPUNJUS5FT0cuSVFfVE9UQUxfUkVWXzFZUl9BTk5fR1JPV1RILklRX0xUTS4zLzMxLzIwMjIuTC4uVVNELkgBAAAAXB0EAAIAAAAIMTE0LjA2OTQBCAAAAAUAAAABMQEAAAALLTIwNDc0NzM2MDADAAAAAzE2MAIAAAAENDE5NAQAAAABMAcAAAAJMy8zMS8yMDIyCAAAAAkzLzMxLzIwMjIJAAAAATAJEceKRCXeCCV2gotEJd4IPUNJUS5DT1AuSVFfVE9UQUxfUkVWXzFZUl9BTk5fR1JPV1RILklRX0xUTS4zLzMxLzIwMTQuTC4uVVNELkgBAAAAT4YEAAIAAAAHLTEuOTE5OQEIAAAABQAAAAExAQAAAAoxNzMyNTgwOTkzAwAAAAMxNjACAAAABDQxOTQEAAAAATAHAAAACTMvMzEvMjAxNAgAAAAJMy8zMS8yMDE0CQAAAAEwIBIyXTsl3gix0jaOOyXeCD1DSVEuWE9NLklRX1RPVEFMX1JFVl8xWVJfQU5OX0dST1dUSC5JUV9MVE0uMy8zMS8yMDEwLkwuLlVTRC5IAQAAAEIzBgACAAAABy0yMC40MzUBCAAAAAUAAAAB</t>
  </si>
  <si>
    <t>MQEAAAAKMTQ1MTIwNzc5NgMAAAADMTYwAgAAAAQ0MTk0BAAAAAEwBwAAAAkzLzMxLzIwMTAIAAAACTMvMzEvMjAxMAkAAAABMAYzfYlEJd4IYyNCi0Ql3gg9Q0lRLlhPTS5JUV9UT1RBTF9SRVZfMVlSX0FOTl9HUk9XVEguSVFfTFRNLjkvMzAvMjAxNS5MLi5VU0QuSAEAAABCMwYAAgAAAAgtMzIuMTMzMQEIAAAABQAAAAExAQAAAAoxODE2MjIxOTY2AwAAAAMxNjACAAAABDQxOTQEAAAAATAHAAAACTkvMzAvMjAxNQgAAAAJOS8zMC8yMDE1CQAAAAEwyJZ8iUQl3gilD1+LRCXeCD1DSVEuWE9NLklRX1RPVEFMX1JFVl8xWVJfQU5OX0dST1dUSC5JUV9MVE0uMy8zMS8yMDE3LkwuLlVTRC5IAQAAAEIzBgACAAAABy0xLjg0NzUBCAAAAAUAAAABMQEAAAAKMTg4NjQ3NjYwNgMAAAADMTYwAgAAAAQ0MTk0BAAAAAEwBwAAAAkzLzMxLzIwMTcIAAAACTMvMzEvMjAxNwkAAAABMI2giolEJd4IwNNoi0Ql3gg9Q0lRLkNWWC5JUV9UT1RBTF9SRVZfMVlSX0FOTl9HUk9XVEguSVFfTFRNLjkvMzAvMjAxOS5MLi5VU0QuSAEAAADKgAEAAgAAAActOS45OTc0AQgAAAAFAAAAATEBAAAACjIwNjg1Mzg4ODQDAAAAAzE2MAIAAAAENDE5NAQAAAABMAcAAAAJOS8zMC8yMDE5CAAAAAk5LzMwLzIwMTkJAAAAATBIhseKRCXeCE22dotEJd4IPUNJUS5FT0cuSVFfVE9UQUxfUkVWXzFZUl9BTk5fR1JPV1RILklRX0xUTS42LzMw</t>
  </si>
  <si>
    <t>LzIwMTEuTC4uVVNELkgBAAAAXB0EAAIAAAAHNDkuMDY3OAEIAAAABQAAAAExAQAAAAoxNTU3Mjc3NzYxAwAAAAMxNjACAAAABDQxOTQEAAAAATAHAAAACTYvMzAvMjAxMQgAAAAJNi8zMC8yMDExCQAAAAEw5+R8iUQl3giSekeLRCXeCD1DSVEuQ09QLklRX1RPVEFMX1JFVl8xWVJfQU5OX0dST1dUSC5JUV9MVE0uOS8zMC8yMDE1LkwuLlVTRC5IAQAAAE+GBAACAAAACC0zNy44NDI3AQgAAAAFAAAAATEBAAAACjE4MTU3NzY5NDQDAAAAAzE2MAIAAAAENDE5NAQAAAABMAcAAAAJOS8zMC8yMDE1CAAAAAk5LzMwLzIwMTUJAAAAATBJUiZdOyXeCHA2No47Jd4IPUNJUS5YT00uSVFfVE9UQUxfUkVWXzFZUl9BTk5fR1JPV1RILklRX0xUTS4zLzMxLzIwMjEuTC4uVVNELkgBAAAAQjMGAAIAAAAHLTI2Ljk1NQEIAAAABQAAAAExAQAAAAstMjA5ODYyODU5MAMAAAADMTYwAgAAAAQ0MTk0BAAAAAEwBwAAAAkzLzMxLzIwMjEIAAAACTMvMzEvMjAyMQkAAAABMDE4x4pEJd4IP+J9i0Ql3gg+Q0lRLkVPRy5JUV9UT1RBTF9SRVZfMVlSX0FOTl9HUk9XVEguSVFfTFRNLjEyLzMxLzIwMTIuTC4uVVNELkgBAAAAXB0EAAIAAAAHMjMuMTkzNQEIAAAABQAAAAExAQAAAAoxNzIwMzQ1ODg1AwAAAAMxNjACAAAABDQxOTQEAAAAATAHAAAACjEyLzMxLzIwMTIIAAAACjEyLzMxLzIwMTIJAAAAATCrh5iJRCXeCNxtTotEJd4I</t>
  </si>
  <si>
    <t>PUNJUS5DT1AuSVFfVE9UQUxfUkVWXzFZUl9BTk5fR1JPV1RILklRX0xUTS4zLzMxLzIwMjEuTC4uVVNELkgBAAAAT4YEAAIAAAAILTI1LjA5MjIBCAAAAAUAAAABMQEAAAALLTIwOTg0NjY4MDADAAAAAzE2MAIAAAAENDE5NAQAAAABMAcAAAAJMy8zMS8yMDIxCAAAAAkzLzMxLzIwMjEJAAAAATBfIVteOyXeCG6zKY47Jd4IPUNJUS5YT00uSVFfVE9UQUxfUkVWXzFZUl9BTk5fR1JPV1RILklRX0xUTS4zLzMxLzIwMjUuTC4uVVNELkgBAAAAQjMGAAIAAAAGMi40OTk5AQgAAAAFAAAAATEBAAAACy0xOTQ2MTU3OTA4AwAAAAMxNjACAAAABDQxOTQEAAAAATAHAAAACTMvMzEvMjAyNQgAAAAJMy8zMS8yMDI1CQAAAAEw6iPaikQl3ghBqpCLRCXeCD5DSVEuQ1ZYLklRX1RPVEFMX1JFVl8xWVJfQU5OX0dST1dUSC5JUV9MVE0uMTIvMzEvMjAxMi5MLi5VU0QuSAEAAADKgAEAAgAAAActNS44MDExAQgAAAAFAAAAATEBAAAACjE3MjAwMzk1MjIDAAAAAzE2MAIAAAAENDE5NAQAAAABMAcAAAAKMTIvMzEvMjAxMggAAAAKMTIvMzEvMjAxMgkAAAABMKuHmIlEJd4I3G1Oi0Ql3gg+Q0lRLkVPRy5JUV9UT1RBTF9SRVZfMVlSX0FOTl9HUk9XVEguSVFfTFRNLjEyLzMxLzIwMTEuTC4uVVNELkgBAAAAXB0EAAIAAAAHNTQuOTA5OQEIAAAABQAAAAExAQAAAAoxNjYwMDQ0MTg0AwAAAAMxNjACAAAABDQxOTQEAAAAATAH</t>
  </si>
  <si>
    <t>AAAACjEyLzMxLzIwMTEIAAAACjEyLzMxLzIwMTEJAAAAATDn5HyJRCXeCJnOSYtEJd4IPUNJUS5DT1AuSVFfVE9UQUxfUkVWXzFZUl9BTk5fR1JPV1RILklRX0xUTS45LzMwLzIwMTguTC4uVVNELkgBAAAAT4YEAAIAAAAHMjUuNTEyMgEIAAAABQAAAAExAQAAAAoxOTg5OTAxODM0AwAAAAMxNjACAAAABDQxOTQEAAAAATAHAAAACTkvMzAvMjAxOAgAAAAJOS8zMC8yMDE4CQAAAAEwRCsmXTsl3ghxVDGOOyXeCD1DSVEuWE9NLklRX1RPVEFMX1JFVl8xWVJfQU5OX0dST1dUSC5JUV9MVE0uOS8zMC8yMDIyLkwuLlVTRC5IAQAAAEIzBgACAAAABzYxLjA3MjgBCAAAAAUAAAABMQEAAAALLTIwMjE4Njc5MDgDAAAAAzE2MAIAAAAENDE5NAQAAAABMAcAAAAJOS8zMC8yMDIyCAAAAAk5LzMwLzIwMjIJAAAAATD+6caKRCXeCAzAhItEJd4IPUNJUS5FT0cuSVFfVE9UQUxfUkVWXzFZUl9BTk5fR1JPV1RILklRX0xUTS42LzMwLzIwMTAuTC4uVVNELkgBAAAAXB0EAAIAAAAGNS4wOTc5AQgAAAAFAAAAATEBAAAACjE0NjUwMTQwNzEDAAAAAzE2MAIAAAAENDE5NAQAAAABMAcAAAAJNi8zMC8yMDEwCAAAAAk2LzMwLzIwMTAJAAAAATAGM32JRCXeCNY0Q4tEJd4IPUNJUS5FT0cuSVFfVE9UQUxfUkVWXzFZUl9BTk5fR1JPV1RILklRX0xUTS42LzMwLzIwMTcuTC4uVVNELkgBAAAAXB0EAAIAAAAHMzQuMTY1NgEIAAAA</t>
  </si>
  <si>
    <t>BQAAAAExAQAAAAoxODk4NDE0ODc2AwAAAAMxNjACAAAABDQxOTQEAAAAATAHAAAACTYvMzAvMjAxNwgAAAAJNi8zMC8yMDE3CQAAAAEwjaCKiUQl3ghRgWqLRCXeCD1DSVEuQ1ZYLklRX1RPVEFMX1JFVl8xWVJfQU5OX0dST1dUSC5JUV9MVE0uNi8zMC8yMDEzLkwuLlVTRC5IAQAAAMqAAQACAAAABy03LjU4MTYBCAAAAAUAAAABMQEAAAAKMTY4OTc3NDk3NAMAAAADMTYwAgAAAAQ0MTk0BAAAAAEwBwAAAAk2LzMwLzIwMTMIAAAACTYvMzAvMjAxMwkAAAABMKHHiolEJd4Iu7dQi0Ql3gg9Q0lRLkNWWC5JUV9UT1RBTF9SRVZfMVlSX0FOTl9HUk9XVEguSVFfTFRNLjYvMzAvMjAxNy5MLi5VU0QuSAEAAADKgAEAAgAAAAcxMS40OTc3AQgAAAAFAAAAATEBAAAACjE4OTgzNTQ1NDMDAAAAAzE2MAIAAAAENDE5NAQAAAABMAcAAAAJNi8zMC8yMDE3CAAAAAk2LzMwLzIwMTcJAAAAATCNoIqJRCXeCFGBaotEJd4IPUNJUS5DT1AuSVFfVE9UQUxfUkVWXzFZUl9BTk5fR1JPV1RILklRX0xUTS4zLzMxLzIwMjAuTC4uVVNELkgBAAAAT4YEAAIAAAAILTE5LjYyNTcBCAAAAAUAAAABMQEAAAAKMjA5NjM3ODQ2NgMAAAADMTYwAgAAAAQ0MTk0BAAAAAEwBwAAAAkzLzMxLzIwMjAIAAAACTMvMzEvMjAyMAkAAAABMGlIW147Jd4Ic3Isjjsl3gg9Q0lRLlhPTS5JUV9UT1RBTF9SRVZfMVlSX0FOTl9HUk9XVEguSVFfTFRN</t>
  </si>
  <si>
    <t>LjMvMzEvMjAyNC5MLi5VU0QuSAEAAABCMwYAAgAAAAgtMTYuMjMzMgEIAAAABQAAAAExAQAAAAstMTk0NjE1NzkyMgMAAAADMTYwAgAAAAQ0MTk0BAAAAAEwBwAAAAkzLzMxLzIwMjQIAAAACTMvMzEvMjAyNAkAAAABMOVK2opEJd4IMqGLi0Ql3gg+Q0lRLkNPUC5JUV9UT1RBTF9SRVZfMVlSX0FOTl9HUk9XVEguSVFfTFRNLjEyLzMxLzIwMTEuTC4uVVNELkgBAAAAT4YEAAIAAAAHMTMuMjY0MgEIAAAABQAAAAExAQAAAAoxNjYwMjQ4ODg2AwAAAAMxNjACAAAABDQxOTQEAAAAATAHAAAACjEyLzMxLzIwMTEIAAAACjEyLzMxLzIwMTEJAAAAATA8YDJdOyXeCEIyOI47Jd4IPUNJUS5DT1AuSVFfVE9UQUxfUkVWXzFZUl9BTk5fR1JPV1RILklRX0xUTS4zLzMxLzIwMjQuTC4uVVNELkgBAAAAT4YEAAIAAAAILTI2Ljg2OTgBCAAAAAUAAAABMQEAAAALLTE5NDQ5NDYyMDYDAAAAAzE2MAIAAAAENDE5NAQAAAABMAcAAAAJMy8zMS8yMDI0CAAAAAkzLzMxLzIwMjQJAAAAATDlStqKRCXeCDKhi4tEJd4IPUNJUS5DT1AuSVFfVE9UQUxfUkVWXzFZUl9BTk5fR1JPV1RILklRX0xUTS42LzMwLzIwMTcuTC4uVVNELkgBAAAAT4YEAAIAAAAHMTYuMDQ3NQEIAAAABQAAAAExAQAAAAoxODk4MDIzMTU0AwAAAAMxNjACAAAABDQxOTQEAAAAATAHAAAACTYvMzAvMjAxNwgAAAAJNi8zMC8yMDE3CQAAAAEwX3kmXTsl3gik</t>
  </si>
  <si>
    <t>MS+OOyXeCD1DSVEuQ09QLklRX1RPVEFMX1JFVl8xWVJfQU5OX0dST1dUSC5JUV9MVE0uOS8zMC8yMDIxLkwuLlVTRC5IAQAAAE+GBAACAAAABzcxLjI5MjIBCAAAAAUAAAABMQEAAAALLTIwNzE5MzMzODEDAAAAAzE2MAIAAAAENDE5NAQAAAABMAcAAAAJOS8zMC8yMDIxCAAAAAk5LzMwLzIwMjEJAAAAATBfIVteOyXeCE79K447Jd4IPUNJUS5YT00uSVFfVE9UQUxfUkVWXzFZUl9BTk5fR1JPV1RILklRX0xUTS45LzMwLzIwMjUuTC4uVVNELkgBAAAAQjMGAAIAAAAHLTQuNTYzNQEIAAAABQAAAAExAQAAAAstMTkxODY1NTA1NwMAAAADMTYwAgAAAAQ0MTk0BAAAAAEwBwAAAAk5LzMwLzIwMjUIAAAACTkvMzAvMjAyNQkAAAABMNr82YpEJd4IY2mTi0Ql3gg+Q0lRLlhPTS5JUV9UT1RBTF9SRVZfMVlSX0FOTl9HUk9XVEguSVFfTFRNLjEyLzMxLzIwMTguTC4uVVNELkgBAAAAQjMGAAIAAAAHMTguNTA5NwEIAAAABQAAAAExAQAAAAoyMDgxNzQ2NTU2AwAAAAMxNjACAAAABDQxOTQEAAAAATAHAAAACjEyLzMxLzIwMTgIAAAACjEyLzMxLzIwMTgJAAAAATAGM32JRCXeCOAzc4tEJd4IPUNJUS5FT0cuSVFfVE9UQUxfUkVWXzFZUl9BTk5fR1JPV1RILklRX0xUTS4zLzMxLzIwMTIuTC4uVVNELkgBAAAAXB0EAAIAAAAHNTMuMjQwMwEIAAAABQAAAAExAQAAAAoxNjE2MTk5NTcxAwAAAAMxNjACAAAABDQxOTQE</t>
  </si>
  <si>
    <t>AAAAATAHAAAACTMvMzEvMjAxMggAAAAJMy8zMS8yMDEyCQAAAAEw2718iUQl3ghM+EqLRCXeCD5DSVEuWE9NLklRX1RPVEFMX1JFVl8xWVJfQU5OX0dST1dUSC5JUV9MVE0uMTIvMzEvMjAxNy5MLi5VU0QuSAEAAABCMwYAAgAAAAcxOC4yMDk4AQgAAAAFAAAAATEBAAAACjIwMTczODExNDEDAAAAAzE2MAIAAAAENDE5NAQAAAABMAcAAAAKMTIvMzEvMjAxNwgAAAAKMTIvMzEvMjAxNwkAAAABMHp5iolEJd4Io7Vti0Ql3gg+Q0lRLlhPTS5JUV9UT1RBTF9SRVZfMVlSX0FOTl9HUk9XVEguSVFfTFRNLjEyLzMxLzIwMjEuTC4uVVNELkgBAAAAQjMGAAIAAAAHNTQuMTUxNgEIAAAABQAAAAExAQAAAAstMjAwNzgzMjcwOQMAAAADMTYwAgAAAAQ0MTk0BAAAAAEwBwAAAAoxMi8zMS8yMDIxCAAAAAoxMi8zMS8yMDIxCQAAAAEwCRHHikQl3giaPYGLRCXeCD1DSVEuWE9NLklRX1RPVEFMX1JFVl8xWVJfQU5OX0dST1dUSC5JUV9MVE0uMy8zMS8yMDE1LkwuLlVTRC5IAQAAAEIzBgACAAAACC0xNC45ODAzAQgAAAAFAAAAATEBAAAACjE3ODk2MTEzMzkDAAAAAzE2MAIAAAAENDE5NAQAAAABMAcAAAAJMy8zMS8yMDE1CAAAAAkzLzMxLzIwMTUJAAAAATDbvXyJRCXeCFjbW4tEJd4IPkNJUS5DT1AuSVFfVE9UQUxfUkVWXzFZUl9BTk5fR1JPV1RILklRX0xUTS4xMi8zMS8yMDIxLkwuLlVTRC5IAQAAAE+GBAACAAAA</t>
  </si>
  <si>
    <t>CDE0Mi44MTg0AQgAAAAFAAAAATEBAAAACy0yMDEwMTI1MDc4AwAAAAMxNjACAAAABDQxOTQEAAAAATAHAAAACjEyLzMxLzIwMjEIAAAACjEyLzMxLzIwMjEJAAAAATBQ+lpeOyXeCDqDJI47Jd4IPUNJUS5DT1AuSVFfVE9UQUxfUkVWXzFZUl9BTk5fR1JPV1RILklRX0xUTS4zLzMxLzIwMTUuTC4uVVNELkgBAAAAT4YEAAIAAAAILTE4Ljg1NTgBCAAAAAUAAAABMQEAAAAKMTc4OTM0NjM5MwMAAAADMTYwAgAAAAQ0MTk0BAAAAAEwBwAAAAkzLzMxLzIwMTUIAAAACTMvMzEvMjAxNQkAAAABMA7rMV07Jd4IFf40jjsl3gg9Q0lRLkVPRy5JUV9UT1RBTF9SRVZfMVlSX0FOTl9HUk9XVEguSVFfTFRNLjMvMzEvMjAxNC5MLi5VU0QuSAEAAABcHQQAAgAAAAczMC41MjE5AQgAAAAFAAAAATEBAAAACjE3MzMzMjE3MTEDAAAAAzE2MAIAAAAENDE5NAQAAAABMAcAAAAJMy8zMS8yMDE0CAAAAAkzLzMxLzIwMTQJAAAAATBQBIqJRCXeCJwkVYtEJd4IPUNJUS5YT00uSVFfVE9UQUxfUkVWXzFZUl9BTk5fR1JPV1RILklRX0xUTS45LzMwLzIwMTYuTC4uVVNELkgBAAAAQjMGAAIAAAAILTI0LjI4NjUBCAAAAAUAAAABMQEAAAAKMTg2MzY4MzQ0MgMAAAADMTYwAgAAAAQ0MTk0BAAAAAEwBwAAAAk5LzMwLzIwMTYIAAAACTkvMzAvMjAxNgkAAAABMKHHiolEJd4IW59li0Ql3gg+Q0lRLlhPTS5JUV9UT1RBTF9SRVZfMVlS</t>
  </si>
  <si>
    <t>X0FOTl9HUk9XVEguSVFfTFRNLjEyLzMxLzIwMjAuTC4uVVNELkgBAAAAQjMGAAIAAAAILTMwLjcxODMBCAAAAAUAAAABMQEAAAALLTIwNTk5MTUyMTUDAAAAAzE2MAIAAAAENDE5NAQAAAABMAcAAAAKMTIvMzEvMjAyMAgAAAAKMTIvMzEvMjAyMAkAAAABMDE4x4pEJd4Iuql8i0Ql3gg9Q0lRLkNPUC5JUV9UT1RBTF9SRVZfMVlSX0FOTl9HUk9XVEguSVFfTFRNLjYvMzAvMjAyMy5MLi5VU0QuSAEAAABPhgQAAgAAAAUyLjgxOAEIAAAABQAAAAExAQAAAAstMTk4NTQzMjk0MAMAAAADMTYwAgAAAAQ0MTk0BAAAAAEwBwAAAAk2LzMwLzIwMjMIAAAACTYvMzAvMjAyMwkAAAABMBxSR147Jd4IOoMkjjsl3gg9Q0lRLkNWWC5JUV9UT1RBTF9SRVZfMVlSX0FOTl9HUk9XVEguSVFfTFRNLjMvMzEvMjAxNC5MLi5VU0QuSAEAAADKgAEAAgAAAActNC4yNzEzAQgAAAAFAAAAATEBAAAACjE3MzI5NDYyNjUDAAAAAzE2MAIAAAAENDE5NAQAAAABMAcAAAAJMy8zMS8yMDE0CAAAAAkzLzMxLzIwMTQJAAAAATBQBIqJRCXeCJwkVYtEJd4IPUNJUS5DT1AuSVFfVE9UQUxfUkVWXzFZUl9BTk5fR1JPV1RILklRX0xUTS45LzMwLzIwMTYuTC4uVVNELkgBAAAAT4YEAAIAAAAHLTM1LjQyOQEIAAAABQAAAAExAQAAAAoxODYzNDYxMDc1AwAAAAMxNjACAAAABDQxOTQEAAAAATAHAAAACTkvMzAvMjAxNggAAAAJOS8zMC8yMDE2</t>
  </si>
  <si>
    <t>CQAAAAEwZaAmXTsl3gjBiDSOOyXeCD5DSVEuQ09QLklRX1RPVEFMX1JFVl8xWVJfQU5OX0dST1dUSC5JUV9MVE0uMTIvMzEvMjAyMC5MLi5VU0QuSAEAAABPhgQAAgAAAAgtNDIuMzczOQEIAAAABQAAAAExAQAAAAstMjA2MDYxMTg3MgMAAAADMTYwAgAAAAQ0MTk0BAAAAAEwBwAAAAoxMi8zMS8yMDIwCAAAAAoxMi8zMS8yMDIwCQAAAAEwXyFbXjsl3gj55iOOOyXeCD5DSVEuWE9NLklRX1RPVEFMX1JFVl8xWVJfQU5OX0dST1dUSC5JUV9MVE0uMTIvMzEvMjAyNC5MLi5VU0QuSAEAAABCMwYAAgAAAAYxLjE1OTMBCAAAAAUAAAABMQEAAAALLTE5NTg5NTM2NDQDAAAAAzE2MAIAAAAENDE5NAQAAAABMAcAAAAKMTIvMzEvMjAyNAgAAAAKMTIvMzEvMjAyNAkAAAABMOoj2opEJd4IwUqPi0Ql3gg9Q0lRLlhPTS5JUV9UT1RBTF9SRVZfMVlSX0FOTl9HUk9XVEguSVFfTFRNLjMvMzEvMjAxNC5MLi5VU0QuSAEAAABCMwYAAgAAAActMy45NjU4AQgAAAAFAAAAATEBAAAACjE3MzI5ODQzNDADAAAAAzE2MAIAAAAENDE5NAQAAAABMAcAAAAJMy8zMS8yMDE0CAAAAAkzLzMxLzIwMTQJAAAAATBQBIqJRCXeCJwkVYtEJd4IPUNJUS5YT00uSVFfVE9UQUxfUkVWXzFZUl9BTk5fR1JPV1RILklRX0xUTS45LzMwLzIwMTEuTC4uVVNELkgBAAAAQjMGAAIAAAAHMjcuODA3MgEIAAAABQAAAAExAQAAAAoxNTc0NzU3MDU2</t>
  </si>
  <si>
    <t>AwAAAAMxNjACAAAABDQxOTQEAAAAATAHAAAACTkvMzAvMjAxMQgAAAAJOS8zMC8yMDExCQAAAAEw5+R8iUQl3gjgpUiLRCXeCD5DSVEuRU9HLklRX1RPVEFMX1JFVl8xWVJfQU5OX0dST1dUSC5JUV9MVE0uMTIvMzEvMjAxNS5MLi5VU0QuSAEAAABcHQQAAgAAAAgtNDcuODU4MQEIAAAABQAAAAExAQAAAAoxODc2NzU0NDIwAwAAAAMxNjACAAAABDQxOTQEAAAAATAHAAAACjEyLzMxLzIwMTUIAAAACjEyLzMxLzIwMTUJAAAAATCm7oqJRCXeCGnkYItEJd4IPUNJUS5DT1AuSVFfVE9UQUxfUkVWXzFZUl9BTk5fR1JPV1RILklRX0xUTS45LzMwLzIwMTkuTC4uVVNELkgBAAAAT4YEAAIAAAAHLTAuOTgyMwEIAAAABQAAAAExAQAAAAoyMDY4MTQ1OTMxAwAAAAMxNjACAAAABDQxOTQEAAAAATAHAAAACTkvMzAvMjAxOQgAAAAJOS8zMC8yMDE5CQAAAAEwaUhbXjsl3ggI9S+OOyXeCD1DSVEuQ09QLklRX1RPVEFMX1JFVl8xWVJfQU5OX0dST1dUSC5JUV9MVE0uOS8zMC8yMDExLkwuLlVTRC5IAQAAAE+GBAACAAAABy00MS43OTkBCAAAAAUAAAABMQEAAAAKMTU3Mzc1OTQxOQMAAAADMTYwAgAAAAQ0MTk0BAAAAAEwBwAAAAk5LzMwLzIwMTEIAAAACTkvMzAvMjAxMQkAAAABME2HMl07Jd4Ibjw8jjsl3gg+Q0lRLkVPRy5JUV9UT1RBTF9SRVZfMVlSX0FOTl9HUk9XVEguSVFfTFRNLjEyLzMxLzIwMTkuTC4uVVNE</t>
  </si>
  <si>
    <t>LkgBAAAAXB0EAAIAAAAHLTEuMTAzMgEIAAAABQAAAAExAQAAAAstMjExMDU5MTIwMwMAAAADMTYwAgAAAAQ0MTk0BAAAAAEwBwAAAAoxMi8zMS8yMDE5CAAAAAoxMi8zMS8yMDE5CQAAAAEwKV/HikQl3gjL7neLRCXeCD1DSVEuRU9HLklRX1RPVEFMX1JFVl8xWVJfQU5OX0dST1dUSC5JUV9MVE0uMy8zMS8yMDI0LkwuLlVTRC5IAQAAAFwdBAACAAAACC0xNy4yMjQyAQgAAAAFAAAAATEBAAAACy0xOTQ2OTg2NDYwAwAAAAMxNjACAAAABDQxOTQEAAAAATAHAAAACTMvMzEvMjAyNAgAAAAJMy8zMS8yMDI0CQAAAAEw5UraikQl3ghEyIuLRCXeCD1DSVEuRU9HLklRX1RPVEFMX1JFVl8xWVJfQU5OX0dST1dUSC5JUV9MVE0uNi8zMC8yMDEzLkwuLlVTRC5IAQAAAFwdBAACAAAABzI2Ljc2MDgBCAAAAAUAAAABMQEAAAAKMTY4OTY2NDMzMQMAAAADMTYwAgAAAAQ0MTk0BAAAAAEwBwAAAAk2LzMwLzIwMTMIAAAACTYvMzAvMjAxMwkAAAABMKHHiolEJd4I0N5Qi0Ql3gg+Q0lRLlhPTS5JUV9UT1RBTF9SRVZfMVlSX0FOTl9HUk9XVEguSVFfTFRNLjEyLzMxLzIwMTUuTC4uVVNELkgBAAAAQjMGAAIAAAAILTMzLjgxODQBCAAAAAUAAAABMQEAAAAKMTg3NzIzMzYwMAMAAAADMTYwAgAAAAQ0MTk0BAAAAAEwBwAAAAoxMi8zMS8yMDE1CAAAAAoxMi8zMS8yMDE1CQAAAAEwpu6KiUQl3ghp5GCLRCXeCD1DSVEuWE9N</t>
  </si>
  <si>
    <t>LklRX1RPVEFMX1JFVl8xWVJfQU5OX0dST1dUSC5JUV9MVE0uMy8zMS8yMDIwLkwuLlVTRC5IAQAAAEIzBgACAAAABy05LjYyNTQBCAAAAAUAAAABMQEAAAAKMjA5NTY5ODU2MgMAAAADMTYwAgAAAAQ0MTk0BAAAAAEwBwAAAAkzLzMxLzIwMjAIAAAACTMvMzEvMjAyMAkAAAABMClfx4pEJd4IRwB5i0Ql3gg9Q0lRLkNWWC5JUV9UT1RBTF9SRVZfMVlSX0FOTl9HUk9XVEguSVFfTFRNLjMvMzEvMjAyNC5MLi5VU0QuSAEAAADKgAEAAgAAAAgtMTcuMzYwNQEIAAAABQAAAAExAQAAAAstMTkzMjU5MDQ1NwMAAAADMTYwAgAAAAQ0MTk0BAAAAAEwBwAAAAkzLzMxLzIwMjQIAAAACTMvMzEvMjAyNAkAAAABMOVK2opEJd4IMqGLi0Ql3gg+Q0lRLlhPTS5JUV9UT1RBTF9SRVZfMVlSX0FOTl9HUk9XVEguSVFfTFRNLjEyLzMxLzIwMTEuTC4uVVNELkgBAAAAQjMGAAIAAAAHMjYuOTE4NQEIAAAABQAAAAExAQAAAAoxNjYwNDcyODUxAwAAAAMxNjACAAAABDQxOTQEAAAAATAHAAAACjEyLzMxLzIwMTEIAAAACjEyLzMxLzIwMTEJAAAAATDn5HyJRCXeCJnOSYtEJd4IPkNJUS5DT1AuSVFfVE9UQUxfUkVWXzFZUl9BTk5fR1JPV1RILklRX0xUTS4xMi8zMS8yMDE1LkwuLlVTRC5IAQAAAE+GBAACAAAACC00NS4xMDkzAQgAAAAFAAAAATEBAAAACjE4NzUyODAyODgDAAAAAzE2MAIAAAAENDE5NAQAAAABMAcAAAAKMTIv</t>
  </si>
  <si>
    <t>MzEvMjAxNQgAAAAKMTIvMzEvMjAxNQkAAAABMGWgJl07Jd4Ir6Ixjjsl3gg9Q0lRLkVPRy5JUV9UT1RBTF9SRVZfMVlSX0FOTl9HUk9XVEguSVFfTFRNLjYvMzAvMjAyMS5MLi5VU0QuSAEAAABcHQQAAgAAAAY0LjYzMzUBCAAAAAUAAAABMQEAAAALLTIwODY1ODQ3NzIDAAAAAzE2MAIAAAAENDE5NAQAAAABMAcAAAAJNi8zMC8yMDIxCAAAAAk2LzMwLzIwMjEJAAAAATAJEceKRCXeCKzzfotEJd4IPUNJUS5FT0cuSVFfVE9UQUxfUkVWXzFZUl9BTk5fR1JPV1RILklRX0xUTS45LzMwLzIwMjUuTC4uVVNELkgBAAAAXB0EAAIAAAAHLTUuMDcwNAEIAAAABQAAAAExAQAAAAstMTkxODE2OTMxNQMAAAADMTYwAgAAAAQ0MTk0BAAAAAEwBwAAAAk5LzMwLzIwMjUIAAAACTkvMzAvMjAyNQkAAAABMNr82YpEJd4IY2mTi0Ql3gg9Q0lRLlhPTS5JUV9UT1RBTF9SRVZfMVlSX0FOTl9HUk9XVEguSVFfTFRNLjYvMzAvMjAxMy5MLi5VU0QuSAEAAABCMwYAAgAAAActOC44ODk5AQgAAAAFAAAAATEBAAAACjE2ODk3NzQ4NjcDAAAAAzE2MAIAAAAENDE5NAQAAAABMAcAAAAJNi8zMC8yMDEzCAAAAAk2LzMwLzIwMTMJAAAAATChx4qJRCXeCLu3UItEJd4IPUNJUS5YT00uSVFfVE9UQUxfUkVWXzFZUl9BTk5fR1JPV1RILklRX0xUTS42LzMwLzIwMTcuTC4uVVNELkgBAAAAQjMGAAIAAAAGNi45ODUyAQgAAAAFAAAAATEB</t>
  </si>
  <si>
    <t>AAAACjE4OTgyNTcyMTIDAAAAAzE2MAIAAAAENDE5NAQAAAABMAcAAAAJNi8zMC8yMDE3CAAAAAk2LzMwLzIwMTcJAAAAATCNoIqJRCXeCFGBaotEJd4IPUNJUS5YT00uSVFfVE9UQUxfUkVWXzFZUl9BTk5fR1JPV1RILklRX0xUTS45LzMwLzIwMjEuTC4uVVNELkgBAAAAQjMGAAIAAAAHMjMuNjk5NQEIAAAABQAAAAExAQAAAAstMjA3MjMzNzE4OAMAAAADMTYwAgAAAAQ0MTk0BAAAAAEwBwAAAAk5LzMwLzIwMjEIAAAACTkvMzAvMjAyMQkAAAABMAkRx4pEJd4IRCyAi0Ql3gg+Q0lRLlhPTS5JUV9UT1RBTF9SRVZfMVlSX0FOTl9HUk9XVEguSVFfTFRNLjEyLzMxLzIwMTQuTC4uVVNELkgBAAAAQjMGAAIAAAAHLTYuNTMwMwEIAAAABQAAAAExAQAAAAoxODI4OTA0ODcwAwAAAAMxNjACAAAABDQxOTQEAAAAATAHAAAACjEyLzMxLzIwMTQIAAAACjEyLzMxLzIwMTQJAAAAATDn5HyJRCXeCKgtWotEJd4IPkNJUS5DVlguSVFfVE9UQUxfUkVWXzFZUl9BTk5fR1JPV1RILklRX0xUTS4xMi8zMS8yMDE4LkwuLlVTRC5IAQAAAMqAAQACAAAABzE4LjQ3NzQBCAAAAAUAAAABMQEAAAAKMjA4MTk4MDI0MgMAAAADMTYwAgAAAAQ0MTk0BAAAAAEwBwAAAAoxMi8zMS8yMDE4CAAAAAoxMi8zMS8yMDE4CQAAAAEwBjN9iUQl3gj0WnOLRCXeCD5DSVEuRU9HLklRX1RPVEFMX1JFVl8xWVJfQU5OX0dST1dUSC5JUV9MVE0u</t>
  </si>
  <si>
    <t>MTIvMzEvMjAyMi5MLi5VU0QuSAEAAABcHQQAAgAAAAc0OS43MTkzAQgAAAAFAAAAATEBAAAACy0xOTU3OTY2ODU2AwAAAAMxNjACAAAABDQxOTQEAAAAATAHAAAACjEyLzMxLzIwMjIIAAAACjEyLzMxLzIwMjIJAAAAATD+6caKRCXeCIz4hYtEJd4IPUNJUS5DVlguSVFfVE9UQUxfUkVWXzFZUl9BTk5fR1JPV1RILklRX0xUTS42LzMwLzIwMTYuTC4uVVNELkgBAAAAyoABAAIAAAAILTMyLjQ3NDcBCAAAAAUAAAABMQEAAAAKMTg1MTY5NTY3MgMAAAADMTYwAgAAAAQ0MTk0BAAAAAEwBwAAAAk2LzMwLzIwMTYIAAAACTYvMzAvMjAxNgkAAAABMKHHiolEJd4IvRhki0Ql3gg9Q0lRLkVPRy5JUV9UT1RBTF9SRVZfMVlSX0FOTl9HUk9XVEguSVFfTFRNLjYvMzAvMjAyMC5MLi5VU0QuSAEAAABcHQQAAgAAAAgtMjUuMzYyNAEIAAAABQAAAAExAQAAAAstMjE0MDExNDE0NwMAAAADMTYwAgAAAAQ0MTk0BAAAAAEwBwAAAAk2LzMwLzIwMjAIAAAACTYvMzAvMjAyMAkAAAABMClfx4pEJd4Iwjh6i0Ql3gg+Q0lRLkNPUC5JUV9UT1RBTF9SRVZfMVlSX0FOTl9HUk9XVEguSVFfTFRNLjEyLzMxLzIwMTguTC4uVVNELkgBAAAAT4YEAAIAAAAHMjUuNDgwMgEIAAAABQAAAAExAQAAAAoyMDgwNTc0NDY4AwAAAAMxNjACAAAABDQxOTQEAAAAATAHAAAACjEyLzMxLzIwMTgIAAAACjEyLzMxLzIwMTgJAAAAATBEKyZdOyXe</t>
  </si>
  <si>
    <t>CLIOLY47Jd4IPkNJUS5DVlguSVFfVE9UQUxfUkVWXzFZUl9BTk5fR1JPV1RILklRX0xUTS4xMi8zMS8yMDIxLkwuLlVTRC5IAQAAAMqAAQACAAAABzY0Ljk1NjEBCAAAAAUAAAABMQEAAAALLTIwMDg1NTc1MTMDAAAAAzE2MAIAAAAENDE5NAQAAAABMAcAAAAKMTIvMzEvMjAyMQgAAAAKMTIvMzEvMjAyMQkAAAABMAkRx4pEJd4IrGSBi0Ql3gg9Q0lRLkVPRy5JUV9UT1RBTF9SRVZfMVlSX0FOTl9HUk9XVEguSVFfTFRNLjkvMzAvMjAxMy5MLi5VU0QuSAEAAABcHQQAAgAAAAcyOC45MjY1AQgAAAAFAAAAATEBAAAACjE3MDQ2MzA1NzEDAAAAAzE2MAIAAAAENDE5NAQAAAABMAcAAAAJOS8zMC8yMDEzCAAAAAk5LzMwLzIwMTMJAAAAATBuK4qJRCXeCEwXUotEJd4IPkNJUS5DT1AuSVFfVE9UQUxfUkVWXzFZUl9BTk5fR1JPV1RILklRX0xUTS4xMi8zMS8yMDE3LkwuLlVTRC5IAQAAAE+GBAACAAAABzI1LjgyODUBCAAAAAUAAAABMQEAAAAKMjAxNTYzNTg0NwMAAAADMTYwAgAAAAQ0MTk0BAAAAAEwBwAAAAoxMi8zMS8yMDE3CAAAAAoxMi8zMS8yMDE3CQAAAAEwX3kmXTsl3ghhvC6OOyXeCD1DSVEuRU9HLklRX1RPVEFMX1JFVl8xWVJfQU5OX0dST1dUSC5JUV9MVE0uNi8zMC8yMDIzLkwuLlVTRC5IAQAAAFwdBAACAAAABy01LjM4MjYBCAAAAAUAAAABMQEAAAALLTE5ODU1MDAzMjMDAAAAAzE2MAIAAAAE</t>
  </si>
  <si>
    <t>NDE5NAQAAAABMAcAAAAJNi8zMC8yMDIzCAAAAAk2LzMwLzIwMjMJAAAAATDlStqKRCXeCIVCiItEJd4IPUNJUS5DVlguSVFfVE9UQUxfUkVWXzFZUl9BTk5fR1JPV1RILklRX0xUTS45LzMwLzIwMTMuTC4uVVNELkgBAAAAyoABAAIAAAAHLTQuODA4MQEIAAAABQAAAAExAQAAAAoxNzA1MjY0MDA5AwAAAAMxNjACAAAABDQxOTQEAAAAATAHAAAACTkvMzAvMjAxMwgAAAAJOS8zMC8yMDEzCQAAAAEwbiuKiUQl3ghB8FGLRCXeCD1DSVEuRU9HLklRX1RPVEFMX1JFVl8xWVJfQU5OX0dST1dUSC5JUV9MVE0uOS8zMC8yMDEyLkwuLlVTRC5IAQAAAFwdBAACAAAABjMxLjU3NwEIAAAABQAAAAExAQAAAAoxNjQzODQ2MTEyAwAAAAMxNjACAAAABDQxOTQEAAAAATAHAAAACTkvMzAvMjAxMggAAAAJOS8zMC8yMDEyCQAAAAEwq4eYiUQl3ghiXE2LRCXeCD1DSVEuQ1ZYLklRX1RPVEFMX1JFVl8xWVJfQU5OX0dST1dUSC5JUV9MVE0uOS8zMC8yMDE2LkwuLlVTRC5IAQAAAMqAAQACAAAACC0yNS44MjEzAQgAAAAFAAAAATEBAAAACjE4NjM4Njc3MDYDAAAAAzE2MAIAAAAENDE5NAQAAAABMAcAAAAJOS8zMC8yMDE2CAAAAAk5LzMwLzIwMTYJAAAAATChx4qJRCXeCG/GZYtEJd4IPUNJUS5DT1AuSVFfVE9UQUxfUkVWXzFZUl9BTk5fR1JPV1RILklRX0xUTS42LzMwLzIwMTkuTC4uVVNELkgBAAAAT4YEAAIAAAAHMTIu</t>
  </si>
  <si>
    <t>NzQ4NgEIAAAABQAAAAExAQAAAAoyMDQ4MDk3Njk1AwAAAAMxNjACAAAABDQxOTQEAAAAATAHAAAACTYvMzAvMjAxOQgAAAAJNi8zMC8yMDE5CQAAAAEwfG9bXjsl3giQwCyOOyXeCD1DSVEuWE9NLklRX1RPVEFMX1JFVl8xWVJfQU5OX0dST1dUSC5JUV9MVE0uNi8zMC8yMDIzLkwuLlVTRC5IAQAAAEIzBgACAAAABjMuMDE3NQEIAAAABQAAAAExAQAAAAstMTkxOTIzNDY3MQMAAAADMTYwAgAAAAQ0MTk0BAAAAAEwBwAAAAk2LzMwLzIwMjMIAAAACTYvMzAvMjAyMwkAAAABMOVK2opEJd4IhUKIi0Ql3gg9Q0lRLlhPTS5JUV9UT1RBTF9SRVZfMVlSX0FOTl9HUk9XVEguSVFfTFRNLjMvMzEvMjAxMS5MLi5VU0QuSAEAAABCMwYAAgAAAAcyMS4wNzI5AQgAAAAFAAAAATEBAAAACjE1NDUwNDM1MzIDAAAAAzE2MAIAAAAENDE5NAQAAAABMAcAAAAJMy8zMS8yMDExCAAAAAkzLzMxLzIwMTEJAAAAATD1C32JRCXeCA9CRotEJd4IPUNJUS5FT0cuSVFfVE9UQUxfUkVWXzFZUl9BTk5fR1JPV1RILklRX0xUTS4zLzMxLzIwMTguTC4uVVNELkgBAAAAXB0EAAIAAAAHNDIuMjgzNQEIAAAABQAAAAExAQAAAAoxOTU5MTU3Njc0AwAAAAMxNjACAAAABDQxOTQEAAAAATAHAAAACTMvMzEvMjAxOAgAAAAJMy8zMS8yMDE4CQAAAAEwenmKiUQl3ghcY2+LRCXeCD5DSVEuQ1ZYLklRX1RPVEFMX1JFVl8xWVJfQU5OX0dST1dU</t>
  </si>
  <si>
    <t>SC5JUV9MVE0uMTIvMzEvMjAyNC5MLi5VU0QuSAEAAADKgAEAAgAAAAYwLjM5NDcBCAAAAAUAAAABMQEAAAALLTE5NTg3NTgzMzcDAAAAAzE2MAIAAAAENDE5NAQAAAABMAcAAAAKMTIvMzEvMjAyNAgAAAAKMTIvMzEvMjAyNAkAAAABMOoj2opEJd4IwUqPi0Ql3gg9Q0lRLkNPUC5JUV9UT1RBTF9SRVZfMVlSX0FOTl9HUk9XVEguSVFfTFRNLjMvMzEvMjAxMS5MLi5VU0QuSAEAAABPhgQAAgAAAActMC4yNjc2AQgAAAAFAAAAATEBAAAACjE1NTcwNTA3MDMDAAAAAzE2MAIAAAAENDE5NAQAAAABMAcAAAAJMy8zMS8yMDExCAAAAAkzLzMxLzIwMTEJAAAAATBNhzJdOyXeCGPxOo47Jd4IPUNJUS5DVlguSVFfVE9UQUxfUkVWXzFZUl9BTk5fR1JPV1RILklRX0xUTS4zLzMxLzIwMTguTC4uVVNELkgBAAAAyoABAAIAAAAHMTkuNTY5NwEIAAAABQAAAAExAQAAAAoxOTU5NDkwODE4AwAAAAMxNjACAAAABDQxOTQEAAAAATAHAAAACTMvMzEvMjAxOAgAAAAJMy8zMS8yMDE4CQAAAAEwenmKiUQl3ghcY2+LRCXeCD1DSVEuQ09QLklRX1RPVEFMX1JFVl8xWVJfQU5OX0dST1dUSC5JUV9MVE0uOS8zMC8yMDEyLkwuLlVTRC5IAQAAAE+GBAACAAAACC00MC42OTk2AQgAAAAFAAAAATEBAAAACjE2NDM0ODA5MTYDAAAAAzE2MAIAAAAENDE5NAQAAAABMAcAAAAJOS8zMC8yMDEyCAAAAAk5LzMwLzIwMTIJAAAAATA8YDJd</t>
  </si>
  <si>
    <t>OyXeCGCjOo47Jd4IJkNJUS5DT1AuSVFfTkkuSVFfQ1EuOS8zMC8yMDI1LkwuLlVTRC5IAQAAAE+GBAACAAAABDE3MjYBCAAAAAUAAAABMQEAAAALLTE5MTgwNDgxNDUDAAAAAzE2MAIAAAACMTUEAAAAATAHAAAACTkvMzAvMjAyNQgAAAAJOS8zMC8yMDI1CQAAAAEw2vzZikQl3ghbQpOLRCXeCCZDSVEuQ09QLklRX05JLklRX0NRLjYvMzAvMjAxMC5MLi5VU0QuSAEAAABPhgQAAgAAAAQ0MTY0AQgAAAAFAAAAATEBAAAACjE0NjQ1NTcyNjUDAAAAAzE2MAIAAAACMTUEAAAAATAHAAAACTYvMzAvMjAxMAgAAAAJNi8zMC8yMDEwCQAAAAEwBjN9iUQl3gjF5kKLRCXeCCZDSVEuQ1ZYLklRX05JLklRX0NRLjMvMzEvMjAxMy5MLi5VU0QuSAEAAADKgAEAAgAAAAQ2MTc4AQgAAAAFAAAAATEBAAAACjE2NzUwMTgyNTcDAAAAAzE2MAIAAAACMTUEAAAAATAHAAAACTMvMzEvMjAxMwgAAAAJMy8zMS8yMDEzCQAAAAEwmGCYiUQl3ghDf0+LRCXeCCZDSVEuQ1ZYLklRX05JLklRX0NRLjMvMzEvMjAxNS5MLi5VU0QuSAEAAADKgAEAAgAAAAQyNTY3AQgAAAAFAAAAATEBAAAACjE3ODk4NTExNTIDAAAAAzE2MAIAAAACMTUEAAAAATAHAAAACTMvMzEvMjAxNQgAAAAJMy8zMS8yMDE1CQAAAAEw2718iUQl3ghCtFuLRCXeCCZDSVEuQ09QLklRX05JLklRX0NRLjYvMzAvMjAxNi5MLi5VU0QuSAEAAABPhgQAAgAAAAUtMTA3</t>
  </si>
  <si>
    <t>MQEIAAAABQAAAAExAQAAAAoxODUxMjY2NTE4AwAAAAMxNjACAAAAAjE1BAAAAAEwBwAAAAk2LzMwLzIwMTYIAAAACTYvMzAvMjAxNgkAAAABMKHHiolEJd4Il8pji0Ql3ggmQ0lRLkNPUC5JUV9OSS5JUV9DUS42LzMwLzIwMTguTC4uVVNELkgBAAAAT4YEAAIAAAAEMTY0MAEIAAAABQAAAAExAQAAAAoxOTc1MTE1ODg0AwAAAAMxNjACAAAAAjE1BAAAAAEwBwAAAAk2LzMwLzIwMTgIAAAACTYvMzAvMjAxOAkAAAABMGtSiolEJd4I+elwi0Ql3ggmQ0lRLkNWWC5JUV9OSS5JUV9DUS4zLzMxLzIwMjEuTC4uVVNELkgBAAAAyoABAAIAAAAEMTM3NwEIAAAABQAAAAExAQAAAAstMjA5ODU2MzczOAMAAAADMTYwAgAAAAIxNQQAAAABMAcAAAAJMy8zMS8yMDIxCAAAAAkzLzMxLzIwMjEJAAAAATAxOMeKRCXeCDK7fYtEJd4IJkNJUS5DVlguSVFfTkkuSVFfQ1EuMy8zMS8yMDIzLkwuLlVTRC5IAQAAAMqAAQACAAAABDY1NzQBCAAAAAUAAAABMQEAAAALLTE5ODQ1NzM4MDQDAAAAAzE2MAIAAAACMTUEAAAAATAHAAAACTMvMzEvMjAyMwgAAAAJMy8zMS8yMDIzCQAAAAEw5UraikQl3ggQCoeLRCXeCCZDSVEuQ09QLklRX05JLklRX0NRLjYvMzAvMjAyNC5MLi5VU0QuSAEAAABPhgQAAgAAAAQyMzI5AQgAAAAFAAAAATEBAAAACy0xOTMyODU4ODgzAwAAAAMxNjACAAAAAjE1BAAAAAEwBwAAAAk2LzMwLzIwMjQIAAAA</t>
  </si>
  <si>
    <t>CTYvMzAvMjAyNAkAAAABMOVK2opEJd4It9mMi0Ql3ggmQ0lRLlhPTS5JUV9OSS5JUV9DUS4zLzMxLzIwMjMuTC4uVVNELkgBAAAAQjMGAAIAAAAFMTE0MzABCAAAAAUAAAABMQEAAAALLTE5OTgwNTY1NTcDAAAAAzE2MAIAAAACMTUEAAAAATAHAAAACTMvMzEvMjAyMwgAAAAJMy8zMS8yMDIzCQAAAAEw5UraikQl3ggQCoeLRCXeCCZDSVEuQ09QLklRX05JLklRX0NRLjMvMzEvMjAxMS5MLi5VU0QuSAEAAABPhgQAAgAAAAQzMDI4AQgAAAAFAAAAATEBAAAACjE1NTcwNTA2OTUDAAAAAzE2MAIAAAACMTUEAAAAATAHAAAACTMvMzEvMjAxMQgAAAAJMy8zMS8yMDExCQAAAAEw9Qt9iUQl3ggBG0aLRCXeCCZDSVEuQ09QLklRX05JLklRX0NRLjMvMzEvMjAxMy5MLi5VU0QuSAEAAABPhgQAAgAAAAQyMTM5AQgAAAAFAAAAATEBAAAACjE2NzU3NDA3ODkDAAAAAzE2MAIAAAACMTUEAAAAATAHAAAACTMvMzEvMjAxMwgAAAAJMy8zMS8yMDEzCQAAAAEwmGCYiUQl3ghDf0+LRCXeCCZDSVEuQ09QLklRX05JLklRX0NRLjMvMzEvMjAxNy5MLi5VU0QuSAEAAABPhgQAAgAAAAM1ODYBCAAAAAUAAAABMQEAAAAKMTg4NjcxNzk3NwMAAAADMTYwAgAAAAIxNQQAAAABMAcAAAAJMy8zMS8yMDE3CAAAAAkzLzMxLzIwMTcJAAAAATCNoIqJRCXeCJWsaItEJd4IJkNJUS5FT0cuSVFfTkkuSVFfQ1EuOS8zMC8yMDEwLkwuLlVT</t>
  </si>
  <si>
    <t>RC5IAQAAAFwdBAACAAAABy03MC45MDYBCAAAAAUAAAABMQEAAAAKMTQ3OTc0ODAyOQMAAAADMTYwAgAAAAIxNQQAAAABMAcAAAAJOS8zMC8yMDEwCAAAAAk5LzMwLzIwMTAJAAAAATAGM32JRCXeCCP4Q4tEJd4IJ0NJUS5YT00uSVFfTkkuSVFfQ1EuMTIvMzEvMjAxMy5MLi5VU0QuSAEAAABCMwYAAgAAAAQ4MzUwAQgAAAAFAAAAATEBAAAACjE3MjA3NjMxNjgDAAAAAzE2MAIAAAACMTUEAAAAATAHAAAACjEyLzMxLzIwMTMIAAAACjEyLzMxLzIwMTMJAAAAATBuK4qJRCXeCN9PU4tEJd4IJ0NJUS5YT00uSVFfTkkuSVFfQ1EuMTIvMzEvMjAxNS5MLi5VU0QuSAEAAABCMwYAAgAAAAQyNzgwAQgAAAAFAAAAATEBAAAACjE4Mjg5MDQ4ODYDAAAAAzE2MAIAAAACMTUEAAAAATAHAAAACjEyLzMxLzIwMTUIAAAACjEyLzMxLzIwMTUJAAAAATCm7oqJRCXeCEeWYItEJd4IJkNJUS5YT00uSVFfTkkuSVFfQ1EuNi8zMC8yMDEwLkwuLlVTRC5IAQAAAEIzBgACAAAABDc1NjABCAAAAAUAAAABMQEAAAAKMTQ2NTAwNDE4NgMAAAADMTYwAgAAAAIxNQQAAAABMAcAAAAJNi8zMC8yMDEwCAAAAAk2LzMwLzIwMTAJAAAAATAGM32JRCXeCNkNQ4tEJd4IJkNJUS5FT0cuSVFfTkkuSVFfQ1EuMy8zMS8yMDExLkwuLlVTRC5IAQAAAFwdBAACAAAABzEzMy45NzMBCAAAAAUAAAABMQEAAAAKMTU0NTY3MDg2OQMAAAADMTYwAgAA</t>
  </si>
  <si>
    <t>AAIxNQQAAAABMAcAAAAJMy8zMS8yMDExCAAAAAkzLzMxLzIwMTEJAAAAATD1C32JRCXeCA9CRotEJd4IJkNJUS5YT00uSVFfTkkuSVFfQ1EuNi8zMC8yMDEyLkwuLlVTRC5IAQAAAEIzBgACAAAABTE1OTEwAQgAAAAFAAAAATEBAAAACjE2NDM0ODM5NzIDAAAAAzE2MAIAAAACMTUEAAAAATAHAAAACTYvMzAvMjAxMggAAAAJNi8zMC8yMDEyCQAAAAEwq4eYiUQl3gh15UuLRCXeCCZDSVEuRU9HLklRX05JLklRX0NRLjMvMzEvMjAxMy5MLi5VU0QuSAEAAABcHQQAAgAAAAc0OTQuNzI1AQgAAAAFAAAAATEBAAAACjE2NzU3NDA1MDcDAAAAAzE2MAIAAAACMTUEAAAAATAHAAAACTMvMzEvMjAxMwgAAAAJMy8zMS8yMDEzCQAAAAEwmGCYiUQl3ghDf0+LRCXeCCZDSVEuWE9NLklRX05JLklRX0NRLjYvMzAvMjAxNC5MLi5VU0QuSAEAAABCMwYAAgAAAAQ4NzgwAQgAAAAFAAAAATEBAAAACjE3NDg4NDQ3ODIDAAAAAzE2MAIAAAACMTUEAAAAATAHAAAACTYvMzAvMjAxNAgAAAAJNi8zMC8yMDE0CQAAAAEwUASKiUQl3ggqhFaLRCXeCCZDSVEuRU9HLklRX05JLklRX0NRLjMvMzEvMjAxNS5MLi5VU0QuSAEAAABcHQQAAgAAAAgtMTY5Ljc0OAEIAAAABQAAAAExAQAAAAoxNzg5NzExMzk2AwAAAAMxNjACAAAAAjE1BAAAAAEwBwAAAAkzLzMxLzIwMTUIAAAACTMvMzEvMjAxNQkAAAABMNu9fIlEJd4IQrRbi0Ql3ggm</t>
  </si>
  <si>
    <t>Q0lRLlhPTS5JUV9OSS5JUV9DUS42LzMwLzIwMTYuTC4uVVNELkgBAAAAQjMGAAIAAAAEMTcwMAEIAAAABQAAAAExAQAAAAoxODc2Mzk5MDk0AwAAAAMxNjACAAAAAjE1BAAAAAEwBwAAAAk2LzMwLzIwMTYIAAAACTYvMzAvMjAxNgkAAAABMKHHiolEJd4Il8pji0Ql3ggmQ0lRLkVPRy5JUV9OSS5JUV9DUS4zLzMxLzIwMTcuTC4uVVNELkgBAAAAXB0EAAIAAAAGMjguNTE3AQgAAAAFAAAAATEBAAAACjE4ODYzMjM2MzADAAAAAzE2MAIAAAACMTUEAAAAATAHAAAACTMvMzEvMjAxNwgAAAAJMy8zMS8yMDE3CQAAAAEwjaCKiUQl3giVrGiLRCXeCCZDSVEuWE9NLklRX05JLklRX0NRLjYvMzAvMjAxOC5MLi5VU0QuSAEAAABCMwYAAgAAAAQzOTUwAQgAAAAFAAAAATEBAAAACjE5NzQ1MjYzMzADAAAAAzE2MAIAAAACMTUEAAAAATAHAAAACTYvMzAvMjAxOAgAAAAJNi8zMC8yMDE4CQAAAAEwa1KKiUQl3gj56XCLRCXeCCZDSVEuRU9HLklRX05JLklRX0NRLjMvMzEvMjAxOS5MLi5VU0QuSAEAAABcHQQAAgAAAAc2MzUuNDI2AQgAAAAFAAAAATEBAAAACjIwMzQwMTk1MTcDAAAAAzE2MAIAAAACMTUEAAAAATAHAAAACTMvMzEvMjAxOQgAAAAJMy8zMS8yMDE5CQAAAAEw9Qt9iUQl3ghZRXSLRCXeCCZDSVEuWE9NLklRX05JLklRX0NRLjYvMzAvMjAyMC5MLi5VU0QuSAEAAABCMwYAAgAAAAUtMTA4MAEIAAAABQAA</t>
  </si>
  <si>
    <t>AAExAQAAAAstMjE0MDA3MjAzOQMAAAADMTYwAgAAAAIxNQQAAAABMAcAAAAJNi8zMC8yMDIwCAAAAAk2LzMwLzIwMjAJAAAAATApX8eKRCXeCK4ReotEJd4IJkNJUS5FT0cuSVFfTkkuSVFfQ1EuMy8zMS8yMDIxLkwuLlVTRC5IAQAAAFwdBAACAAAAAzY3NwEIAAAABQAAAAExAQAAAAstMjA5ODQ5OTE4NQMAAAADMTYwAgAAAAIxNQQAAAABMAcAAAAJMy8zMS8yMDIxCAAAAAkzLzMxLzIwMjEJAAAAATAxOMeKRCXeCDK7fYtEJd4IJkNJUS5YT00uSVFfTkkuSVFfQ1EuNi8zMC8yMDIyLkwuLlVTRC5IAQAAAEIzBgACAAAABTE3ODUwAQgAAAAFAAAAATEBAAAACy0yMDM2MTY2Mjc0AwAAAAMxNjACAAAAAjE1BAAAAAEwBwAAAAk2LzMwLzIwMjIIAAAACTYvMzAvMjAyMgkAAAABMP7pxopEJd4IkIeDi0Ql3ggmQ0lRLkVPRy5JUV9OSS5JUV9DUS4zLzMxLzIwMjMuTC4uVVNELkgBAAAAXB0EAAIAAAAEMjAyMwEIAAAABQAAAAExAQAAAAstMTk5NzE2NzQ5OQMAAAADMTYwAgAAAAIxNQQAAAABMAcAAAAJMy8zMS8yMDIzCAAAAAkzLzMxLzIwMjMJAAAAATDlStqKRCXeCBAKh4tEJd4IJkNJUS5YT00uSVFfTkkuSVFfQ1EuNi8zMC8yMDI0LkwuLlVTRC5IAQAAAEIzBgACAAAABDkyNDABCAAAAAUAAAABMQEAAAALLTE5MzM0NDQxMTMDAAAAAzE2MAIAAAACMTUEAAAAATAHAAAACTYvMzAvMjAyNAgAAAAJNi8zMC8y</t>
  </si>
  <si>
    <t>MDI0CQAAAAEw5UraikQl3gi32YyLRCXeCCZDSVEuRU9HLklRX05JLklRX0NRLjMvMzEvMjAyNS5MLi5VU0QuSAEAAABcHQQAAgAAAAQxNDYzAQgAAAAFAAAAATEBAAAACy0xOTQ2OTg3MjI3AwAAAAMxNjACAAAAAjE1BAAAAAEwBwAAAAkzLzMxLzIwMjUIAAAACTMvMzEvMjAyNQkAAAABMOoj2opEJd4IMoOQi0Ql3ggmQ0lRLkNWWC5JUV9OSS5JUV9DUS4zLzMxLzIwMTEuTC4uVVNELkgBAAAAyoABAAIAAAAENjIxMQEIAAAABQAAAAExAQAAAAoxNTQ1MDI5OTc5AwAAAAMxNjACAAAAAjE1BAAAAAEwBwAAAAkzLzMxLzIwMTEIAAAACTMvMzEvMjAxMQkAAAABMPULfYlEJd4ID0JGi0Ql3ggmQ0lRLkNPUC5JUV9OSS5JUV9DUS42LzMwLzIwMTIuTC4uVVNELkgBAAAAT4YEAAIAAAAEMjI2NwEIAAAABQAAAAExAQAAAAoxNjI5MTk1MjQyAwAAAAMxNjACAAAAAjE1BAAAAAEwBwAAAAk2LzMwLzIwMTIIAAAACTYvMzAvMjAxMgkAAAABMKuHmIlEJd4IdeVLi0Ql3ggmQ0lRLkNPUC5JUV9OSS5JUV9DUS42LzMwLzIwMTQuTC4uVVNELkgBAAAAT4YEAAIAAAAEMjA4MQEIAAAABQAAAAExAQAAAAoxNzQ4Njc4MzY3AwAAAAMxNjACAAAAAjE1BAAAAAEwBwAAAAk2LzMwLzIwMTQIAAAACTYvMzAvMjAxNAkAAAABMFAEiolEJd4IKoRWi0Ql3ggmQ0lRLkNWWC5JUV9OSS5JUV9DUS4zLzMxLzIwMTkuTC4uVVNELkgBAAAA</t>
  </si>
  <si>
    <t>yoABAAIAAAAEMjY0OQEIAAAABQAAAAExAQAAAAoyMDMzNzI4MjA5AwAAAAMxNjACAAAAAjE1BAAAAAEwBwAAAAkzLzMxLzIwMTkIAAAACTMvMzEvMjAxOQkAAAABMPULfYlEJd4IWUV0i0Ql3ggmQ0lRLkNPUC5JUV9OSS5JUV9DUS42LzMwLzIwMjAuTC4uVVNELkgBAAAAT4YEAAIAAAADMjYwAQgAAAAFAAAAATEBAAAACy0yMTM5NzQ0MjE1AwAAAAMxNjACAAAAAjE1BAAAAAEwBwAAAAk2LzMwLzIwMjAIAAAACTYvMzAvMjAyMAkAAAABMClfx4pEJd4IrhF6i0Ql3ggmQ0lRLkNPUC5JUV9OSS5JUV9DUS42LzMwLzIwMjIuTC4uVVNELkgBAAAAT4YEAAIAAAAENTE0NQEIAAAABQAAAAExAQAAAAstMjAyMTQ3NDg2MAMAAAADMTYwAgAAAAIxNQQAAAABMAcAAAAJNi8zMC8yMDIyCAAAAAk2LzMwLzIwMjIJAAAAATD+6caKRCXeCJCHg4tEJd4IJkNJUS5YT00uSVFfTkkuSVFfQ1EuMy8zMS8yMDExLkwuLlVTRC5IAQAAAEIzBgACAAAABTEwNjUwAQgAAAAFAAAAATEBAAAACjE1NDUwMzAwMjIDAAAAAzE2MAIAAAACMTUEAAAAATAHAAAACTMvMzEvMjAxMQgAAAAJMy8zMS8yMDExCQAAAAEw9Qt9iUQl3ggPQkaLRCXeCCdDSVEuRU9HLklRX05JLklRX0NRLjEyLzMxLzIwMTUuTC4uVVNELkgBAAAAXB0EAAIAAAAILTI4NC4yOTYBCAAAAAUAAAABMQEAAAAKMTgyOTQ1MDczNwMAAAADMTYwAgAAAAIxNQQAAAABMAcA</t>
  </si>
  <si>
    <t>AAAKMTIvMzEvMjAxNQgAAAAKMTIvMzEvMjAxNQkAAAABMKbuiolEJd4IYr1gi0Ql3ggmQ0lRLlhPTS5JUV9OSS5JUV9DUS4zLzMxLzIwMTcuTC4uVVNELkgBAAAAQjMGAAIAAAAENDAxMAEIAAAABQAAAAExAQAAAAoxODg2NDc0NjU5AwAAAAMxNjACAAAAAjE1BAAAAAEwBwAAAAkzLzMxLzIwMTcIAAAACTMvMzEvMjAxNwkAAAABMI2giolEJd4Ilaxoi0Ql3ggnQ0lRLkVPRy5JUV9OSS5JUV9DUS4xMi8zMS8yMDIxLkwuLlVTRC5IAQAAAFwdBAACAAAABDE5ODUBCAAAAAUAAAABMQEAAAALLTIwNTk4NDEzNjEDAAAAAzE2MAIAAAACMTUEAAAAATAHAAAACjEyLzMxLzIwMjEIAAAACjEyLzMxLzIwMjEJAAAAATAJEceKRCXeCJo9gYtEJd4IJ0NJUS5FT0cuSVFfTkkuSVFfQ1EuMTIvMzEvMjAyMy5MLi5VU0QuSAEAAABcHQQAAgAAAAQxOTg4AQgAAAAFAAAAATEBAAAACy0xOTU3OTY2ODU1AwAAAAMxNjACAAAAAjE1BAAAAAEwBwAAAAoxMi8zMS8yMDIzCAAAAAoxMi8zMS8yMDIzCQAAAAEw5UraikQl3ghiZYqLRCXeCCdDSVEuQ1ZYLklRX05JLklRX0NRLjEyLzMxLzIwMTEuTC4uVVNELkgBAAAAyoABAAIAAAAENTEyMwEIAAAABQAAAAExAQAAAAoxNTg4ODQ2NjIyAwAAAAMxNjACAAAAAjE1BAAAAAEwBwAAAAoxMi8zMS8yMDExCAAAAAoxMi8zMS8yMDExCQAAAAEw5+R8iUQl3gg1k0mLRCXeCCdDSVEuQ1ZY</t>
  </si>
  <si>
    <t>LklRX05JLklRX0NRLjEyLzMxLzIwMTMuTC4uVVNELkgBAAAAyoABAAIAAAAENDkzMAEIAAAABQAAAAExAQAAAAoxNzIwMDM5MjYzAwAAAAMxNjACAAAAAjE1BAAAAAEwBwAAAAoxMi8zMS8yMDEzCAAAAAoxMi8zMS8yMDEzCQAAAAEwbiuKiUQl3gjfT1OLRCXeCCdDSVEuQ1ZYLklRX05JLklRX0NRLjEyLzMxLzIwMTUuTC4uVVNELkgBAAAAyoABAAIAAAAELTU4OAEIAAAABQAAAAExAQAAAAoxODI5MDg4OTUyAwAAAAMxNjACAAAAAjE1BAAAAAEwBwAAAAoxMi8zMS8yMDE1CAAAAAoxMi8zMS8yMDE1CQAAAAEwpu6KiUQl3ghHlmCLRCXeCCdDSVEuQ1ZYLklRX05JLklRX0NRLjEyLzMxLzIwMTcuTC4uVVNELkgBAAAAyoABAAIAAAAEMzExMQEIAAAABQAAAAExAQAAAAoxOTQ2NjgzOTQ2AwAAAAMxNjACAAAAAjE1BAAAAAEwBwAAAAoxMi8zMS8yMDE3CAAAAAoxMi8zMS8yMDE3CQAAAAEwenmKiUQl3giCZ22LRCXeCCdDSVEuQ1ZYLklRX05JLklRX0NRLjEyLzMxLzIwMTkuTC4uVVNELkgBAAAAyoABAAIAAAAFLTY2MTABCAAAAAUAAAABMQEAAAAKMjA4MTk4MDI0OAMAAAADMTYwAgAAAAIxNQQAAAABMAcAAAAKMTIvMzEvMjAxOQgAAAAKMTIvMzEvMjAxOQkAAAABMClfx4pEJd4IvMd3i0Ql3ggnQ0lRLkNWWC5JUV9OSS5JUV9DUS4xMi8zMS8yMDIxLkwuLlVTRC5IAQAAAMqAAQACAAAABDUwNTUBCAAAAAUA</t>
  </si>
  <si>
    <t>AAABMQEAAAALLTIwNTk3NjgxNDIDAAAAAzE2MAIAAAACMTUEAAAAATAHAAAACjEyLzMxLzIwMjEIAAAACjEyLzMxLzIwMjEJAAAAATAJEceKRCXeCJo9gYtEJd4IJ0NJUS5DVlguSVFfTkkuSVFfQ1EuMTIvMzEvMjAyMy5MLi5VU0QuSAEAAADKgAEAAgAAAAQyMjU5AQgAAAAFAAAAATEBAAAACy0xOTU4NzU4NDE0AwAAAAMxNjACAAAAAjE1BAAAAAEwBwAAAAoxMi8zMS8yMDIzCAAAAAoxMi8zMS8yMDIzCQAAAAEw5UraikQl3ghiZYqLRCXeCCdDSVEuWE9NLklRX05JLklRX0NRLjEyLzMxLzIwMTEuTC4uVVNELkgBAAAAQjMGAAIAAAAEOTQwMAEIAAAABQAAAAExAQAAAAoxNTg5NTQ4NTA2AwAAAAMxNjACAAAAAjE1BAAAAAEwBwAAAAoxMi8zMS8yMDExCAAAAAoxMi8zMS8yMDExCQAAAAEw5+R8iUQl3gg1k0mLRCXeCCdDSVEuWE9NLklRX05JLklRX0NRLjEyLzMxLzIwMTcuTC4uVVNELkgBAAAAQjMGAAIAAAAEODM4MAEIAAAABQAAAAExAQAAAAoxOTQ3NDA0Njc2AwAAAAMxNjACAAAAAjE1BAAAAAEwBwAAAAoxMi8zMS8yMDE3CAAAAAoxMi8zMS8yMDE3CQAAAAEwenmKiUQl3giCZ22LRCXeCCZDSVEuRU9HLklRX05JLklRX0NRLjkvMzAvMjAyMC5MLi5VU0QuSAEAAABcHQQAAgAAAAMtNDIBCAAAAAUAAAABMQEAAAALLTIxMjM4MzE4NDADAAAAAzE2MAIAAAACMTUEAAAAATAHAAAACTkvMzAvMjAyMAgA</t>
  </si>
  <si>
    <t>AAAJOS8zMC8yMDIwCQAAAAEwKV/HikQl3ghBcXuLRCXeCCZDSVEuRU9HLklRX05JLklRX0NRLjkvMzAvMjAyMi5MLi5VU0QuSAEAAABcHQQAAgAAAAQyODU0AQgAAAAFAAAAATEBAAAACy0yMDIxMzgxMDY5AwAAAAMxNjACAAAAAjE1BAAAAAEwBwAAAAk5LzMwLzIwMjIIAAAACTkvMzAvMjAyMgkAAAABMP7pxopEJd4IApmEi0Ql3ggmQ0lRLkVPRy5JUV9OSS5JUV9DUS45LzMwLzIwMjQuTC4uVVNELkgBAAAAXB0EAAIAAAAEMTY3MwEIAAAABQAAAAExAQAAAAstMTkxODE3MTAxNwMAAAADMTYwAgAAAAIxNQQAAAABMAcAAAAJOS8zMC8yMDI0CAAAAAk5LzMwLzIwMjQJAAAAATDqI9qKRCXeCBbEjYtEJd4IJkNJUS5DVlguSVFfTkkuSVFfQ1EuMy8zMS8yMDE3LkwuLlVTRC5IAQAAAMqAAQACAAAABDI2ODIBCAAAAAUAAAABMQEAAAAKMTg4NjYxMzgyOQMAAAADMTYwAgAAAAIxNQQAAAABMAcAAAAJMy8zMS8yMDE3CAAAAAkzLzMxLzIwMTcJAAAAATCNoIqJRCXeCJWsaItEJd4IJkNJUS5DVlguSVFfTkkuSVFfQ1EuMy8zMS8yMDI1LkwuLlVTRC5IAQAAAMqAAQACAAAABDM1MDABCAAAAAUAAAABMQEAAAALLTE5MzI1OTA0NTgDAAAAAzE2MAIAAAACMTUEAAAAATAHAAAACTMvMzEvMjAyNQgAAAAJMy8zMS8yMDI1CQAAAAEw6iPaikQl3ggyg5CLRCXeCCdDSVEuRU9HLklRX05JLklRX0NRLjEyLzMxLzIwMDku</t>
  </si>
  <si>
    <t>TC4uVVNELkgBAAAAXB0EAAIAAAAHNDAwLjQyNwEIAAAABQAAAAExAQAAAAoxNDMyOTgxNzk3AwAAAAMxNjACAAAAAjE1BAAAAAEwBwAAAAoxMi8zMS8yMDA5CAAAAAoxMi8zMS8yMDA5CQAAAAEwBjN9iUQl3gjv6kCLRCXeCCdDSVEuRU9HLklRX05JLklRX0NRLjEyLzMxLzIwMTEuTC4uVVNELkgBAAAAXB0EAAIAAAAHMTIwLjY5OAEIAAAABQAAAAExAQAAAAoxNTg4ODQ2NDEyAwAAAAMxNjACAAAAAjE1BAAAAAEwBwAAAAoxMi8zMS8yMDExCAAAAAoxMi8zMS8yMDExCQAAAAEw5+R8iUQl3giZzkmLRCXeCCZDSVEuWE9NLklRX05JLklRX0NRLjMvMzEvMjAxMy5MLi5VU0QuSAEAAABCMwYAAgAAAAQ5NTAwAQgAAAAFAAAAATEBAAAACjE2NzU5NzY5NDUDAAAAAzE2MAIAAAACMTUEAAAAATAHAAAACTMvMzEvMjAxMwgAAAAJMy8zMS8yMDEzCQAAAAEwmGCYiUQl3ghDf0+LRCXeCCdDSVEuRU9HLklRX05JLklRX0NRLjEyLzMxLzIwMTMuTC4uVVNELkgBAAAAXB0EAAIAAAAHNTgwLjE5NAEIAAAABQAAAAExAQAAAAoxNzIwMzQ1OTAyAwAAAAMxNjACAAAAAjE1BAAAAAEwBwAAAAoxMi8zMS8yMDEzCAAAAAoxMi8zMS8yMDEzCQAAAAEwbiuKiUQl3gjfT1OLRCXeCCZDSVEuWE9NLklRX05JLklRX0NRLjMvMzEvMjAxNS5MLi5VU0QuSAEAAABCMwYAAgAAAAQ0OTQwAQgAAAAFAAAAATEBAAAACjE3ODk2MTAzNDMD</t>
  </si>
  <si>
    <t>AAAAAzE2MAIAAAACMTUEAAAAATAHAAAACTMvMzEvMjAxNQgAAAAJMy8zMS8yMDE1CQAAAAEw2718iUQl3gg6jVuLRCXeCCdDSVEuRU9HLklRX05JLklRX0NRLjEyLzMxLzIwMTcuTC4uVVNELkgBAAAAXB0EAAIAAAAIMjQzMC40NjgBCAAAAAUAAAABMQEAAAAKMTk0NzEwNjY0OAMAAAADMTYwAgAAAAIxNQQAAAABMAcAAAAKMTIvMzEvMjAxNwgAAAAKMTIvMzEvMjAxNwkAAAABMHp5iolEJd4ImY5ti0Ql3ggmQ0lRLlhPTS5JUV9OSS5JUV9DUS4zLzMxLzIwMTkuTC4uVVNELkgBAAAAQjMGAAIAAAAEMjM1MAEIAAAABQAAAAExAQAAAAoyMDMzNzQzODgwAwAAAAMxNjACAAAAAjE1BAAAAAEwBwAAAAkzLzMxLzIwMTkIAAAACTMvMzEvMjAxOQkAAAABMPULfYlEJd4IWUV0i0Ql3ggnQ0lRLkVPRy5JUV9OSS5JUV9DUS4xMi8zMS8yMDE5LkwuLlVTRC5IAQAAAFwdBAACAAAABzYzNi41MjEBCAAAAAUAAAABMQEAAAAKMjA4MTc4NTQzMAMAAAADMTYwAgAAAAIxNQQAAAABMAcAAAAKMTIvMzEvMjAxOQgAAAAKMTIvMzEvMjAxOQkAAAABMClfx4pEJd4IvMd3i0Ql3ggmQ0lRLlhPTS5JUV9OSS5JUV9DUS4zLzMxLzIwMjEuTC4uVVNELkgBAAAAQjMGAAIAAAAEMjczMAEIAAAABQAAAAExAQAAAAstMjA5ODYzMTIzOAMAAAADMTYwAgAAAAIxNQQAAAABMAcAAAAJMy8zMS8yMDIxCAAAAAkzLzMxLzIwMjEJAAAAATAx</t>
  </si>
  <si>
    <t>OMeKRCXeCDK7fYtEJd4IJkNJUS5YT00uSVFfTkkuSVFfQ1EuMy8zMS8yMDI1LkwuLlVTRC5IAQAAAEIzBgACAAAABDc3MTMBCAAAAAUAAAABMQEAAAALLTE5NDYxNTg4MDkDAAAAAzE2MAIAAAACMTUEAAAAATAHAAAACTMvMzEvMjAyNQgAAAAJMy8zMS8yMDI1CQAAAAEw6iPaikQl3ggyg5CLRCXeCCdDSVEuQ1ZYLklRX05JLklRX0NRLjEyLzMxLzIwMDkuTC4uVVNELkgBAAAAyoABAAIAAAAEMzA3MAEIAAAABQAAAAExAQAAAAoxNDMyOTU5MjY0AwAAAAMxNjACAAAAAjE1BAAAAAEwBwAAAAoxMi8zMS8yMDA5CAAAAAoxMi8zMS8yMDA5CQAAAAEwBjN9iUQl3gjv6kCLRCXeCCZDSVEuQ09QLklRX05JLklRX0NRLjMvMzEvMjAxNS5MLi5VU0QuSAEAAABPhgQAAgAAAAMyNzIBCAAAAAUAAAABMQEAAAAKMTc4OTM0NDUxNAMAAAADMTYwAgAAAAIxNQQAAAABMAcAAAAJMy8zMS8yMDE1CAAAAAkzLzMxLzIwMTUJAAAAATDbvXyJRCXeCDqNW4tEJd4IJkNJUS5DT1AuSVFfTkkuSVFfQ1EuMy8zMS8yMDE5LkwuLlVTRC5IAQAAAE+GBAACAAAABDE4MzMBCAAAAAUAAAABMQEAAAAKMjAzMzQ2NjE3MQMAAAADMTYwAgAAAAIxNQQAAAABMAcAAAAJMy8zMS8yMDE5CAAAAAkzLzMxLzIwMTkJAAAAATD1C32JRCXeCFlFdItEJd4IJkNJUS5DT1AuSVFfTkkuSVFfQ1EuMy8zMS8yMDIxLkwuLlVTRC5IAQAAAE+GBAACAAAA</t>
  </si>
  <si>
    <t>Azk4MgEIAAAABQAAAAExAQAAAAstMjA5ODQ3MDMzMgMAAAADMTYwAgAAAAIxNQQAAAABMAcAAAAJMy8zMS8yMDIxCAAAAAkzLzMxLzIwMjEJAAAAATAxOMeKRCXeCDK7fYtEJd4IJkNJUS5DT1AuSVFfTkkuSVFfQ1EuMy8zMS8yMDIzLkwuLlVTRC5IAQAAAE+GBAACAAAABDI5MjABCAAAAAUAAAABMQEAAAALLTE5ODU0MzI4NTQDAAAAAzE2MAIAAAACMTUEAAAAATAHAAAACTMvMzEvMjAyMwgAAAAJMy8zMS8yMDIzCQAAAAEw5UraikQl3gjw4oaLRCXeCCZDSVEuQ09QLklRX05JLklRX0NRLjMvMzEvMjAyNS5MLi5VU0QuSAEAAABPhgQAAgAAAAQyODQ5AQgAAAAFAAAAATEBAAAACy0xOTQ0OTQ2NzY2AwAAAAMxNjACAAAAAjE1BAAAAAEwBwAAAAkzLzMxLzIwMjUIAAAACTMvMzEvMjAyNQkAAAABMOoj2opEJd4IQaqQi0Ql3ggnQ0lRLlhPTS5JUV9OSS5JUV9DUS4xMi8zMS8yMDA5LkwuLlVTRC5IAQAAAEIzBgACAAAABDYwNTABCAAAAAUAAAABMQEAAAAKMTQzNDA5MzA0MwMAAAADMTYwAgAAAAIxNQQAAAABMAcAAAAKMTIvMzEvMjAwOQgAAAAKMTIvMzEvMjAwOQkAAAABMAYzfYlEJd4I7+pAi0Ql3ggmQ0lRLkVPRy5JUV9OSS5JUV9DUS45LzMwLzIwMTIuTC4uVVNELkgBAAAAXB0EAAIAAAAHMzU1LjQ5MQEIAAAABQAAAAExAQAAAAoxNjQzODM4NjYyAwAAAAMxNjACAAAAAjE1BAAAAAEwBwAAAAk5LzMw</t>
  </si>
  <si>
    <t>LzIwMTIIAAAACTkvMzAvMjAxMgkAAAABMKuHmIlEJd4IYlxNi0Ql3ggmQ0lRLkVPRy5JUV9OSS5JUV9DUS45LzMwLzIwMTQuTC4uVVNELkgBAAAAXB0EAAIAAAAIMTEwMy42MTgBCAAAAAUAAAABMQEAAAAKMTc2MzI2MzczNQMAAAADMTYwAgAAAAIxNQQAAAABMAcAAAAJOS8zMC8yMDE0CAAAAAk5LzMwLzIwMTQJAAAAATBQBIqJRCXeCPJ/WItEJd4IJkNJUS5FT0cuSVFfTkkuSVFfQ1EuOS8zMC8yMDE2LkwuLlVTRC5IAQAAAFwdBAACAAAABC0xOTABCAAAAAUAAAABMQEAAAAKMTg2Mzc2OTY2MQMAAAADMTYwAgAAAAIxNQQAAAABMAcAAAAJOS8zMC8yMDE2CAAAAAk5LzMwLzIwMTYJAAAAATChx4qJRCXeCEt4ZYtEJd4IJkNJUS5FT0cuSVFfTkkuSVFfQ1EuOS8zMC8yMDE4LkwuLlVTRC5IAQAAAFwdBAACAAAACDExOTAuOTUyAQgAAAAFAAAAATEBAAAACjE5OTA3MzM3MDcDAAAAAzE2MAIAAAACMTUEAAAAATAHAAAACTkvMzAvMjAxOAgAAAAJOS8zMC8yMDE4CQAAAAEwa1KKiUQl3ghk+3GLRCXeCCdDSVEuWE9NLklRX05JLklRX0NRLjEyLzMxLzIwMTkuTC4uVVNELkgBAAAAQjMGAAIAAAAENTY5MAEIAAAABQAAAAExAQAAAAoyMDgxNzQ2NTUxAwAAAAMxNjACAAAAAjE1BAAAAAEwBwAAAAoxMi8zMS8yMDE5CAAAAAoxMi8zMS8yMDE5CQAAAAEwKV/HikQl3gi8x3eLRCXeCCdDSVEuWE9NLklRX05JLklR</t>
  </si>
  <si>
    <t>X0NRLjEyLzMxLzIwMjEuTC4uVVNELkgBAAAAQjMGAAIAAAAEODg3MAEIAAAABQAAAAExAQAAAAstMjA1OTkxNTI4MwMAAAADMTYwAgAAAAIxNQQAAAABMAcAAAAKMTIvMzEvMjAyMQgAAAAKMTIvMzEvMjAyMQkAAAABMAkRx4pEJd4Imj2Bi0Ql3ggnQ0lRLlhPTS5JUV9OSS5JUV9DUS4xMi8zMS8yMDIzLkwuLlVTRC5IAQAAAEIzBgACAAAABDc2MzABCAAAAAUAAAABMQEAAAALLTE5NTg5NTM2MTcDAAAAAzE2MAIAAAACMTUEAAAAATAHAAAACjEyLzMxLzIwMjMIAAAACjEyLzMxLzIwMjMJAAAAATDlStqKRCXeCGJliotEJd4IJ0NJUS5DT1AuSVFfTkkuSVFfQ1EuMTIvMzEvMjAwOS5MLi5VU0QuSAEAAABPhgQAAgAAAAQxMjg1AQgAAAAFAAAAATEBAAAACjE0MzkyOTI3NTcDAAAAAzE2MAIAAAACMTUEAAAAATAHAAAACjEyLzMxLzIwMDkIAAAACjEyLzMxLzIwMDkJAAAAATAGM32JRCXeCPERQYtEJd4IJkNJUS5DVlguSVFfTkkuSVFfQ1EuOS8zMC8yMDEwLkwuLlVTRC5IAQAAAMqAAQACAAAABDM3NjgBCAAAAAUAAAABMQEAAAAKMTQ4MDA2NzE4MgMAAAADMTYwAgAAAAIxNQQAAAABMAcAAAAJOS8zMC8yMDEwCAAAAAk5LzMwLzIwMTAJAAAAATAGM32JRCXeCBTRQ4tEJd4IJ0NJUS5DT1AuSVFfTkkuSVFfQ1EuMTIvMzEvMjAxMS5MLi5VU0QuSAEAAABPhgQAAgAAAAQzMzkwAQgAAAAFAAAAATEBAAAACjE1</t>
  </si>
  <si>
    <t>ODg0NTQ3MzEDAAAAAzE2MAIAAAACMTUEAAAAATAHAAAACjEyLzMxLzIwMTEIAAAACjEyLzMxLzIwMTEJAAAAATDn5HyJRCXeCDWTSYtEJd4IJkNJUS5DVlguSVFfTkkuSVFfQ1EuOS8zMC8yMDEyLkwuLlVTRC5IAQAAAMqAAQACAAAABDUyNTMBCAAAAAUAAAABMQEAAAAKMTY0Mzg3ODI0OAMAAAADMTYwAgAAAAIxNQQAAAABMAcAAAAJOS8zMC8yMDEyCAAAAAk5LzMwLzIwMTIJAAAAATCrh5iJRCXeCF81TYtEJd4IJ0NJUS5DT1AuSVFfTkkuSVFfQ1EuMTIvMzEvMjAxMy5MLi5VU0QuSAEAAABPhgQAAgAAAAQyNDg3AQgAAAAFAAAAATEBAAAACjE3MjA1ODQyNzEDAAAAAzE2MAIAAAACMTUEAAAAATAHAAAACjEyLzMxLzIwMTMIAAAACjEyLzMxLzIwMTMJAAAAATBuK4qJRCXeCNooU4tEJd4IJkNJUS5DVlguSVFfTkkuSVFfQ1EuOS8zMC8yMDE0LkwuLlVTRC5IAQAAAMqAAQACAAAABDU1OTMBCAAAAAUAAAABMQEAAAAKMTc2MzMyOTI2NAMAAAADMTYwAgAAAAIxNQQAAAABMAcAAAAJOS8zMC8yMDE0CAAAAAk5LzMwLzIwMTQJAAAAATBQBIqJRCXeCOxYWItEJd4IJ0NJUS5DT1AuSVFfTkkuSVFfQ1EuMTIvMzEvMjAxNS5MLi5VU0QuSAEAAABPhgQAAgAAAAUtMzQ1MAEIAAAABQAAAAExAQAAAAoxODI4Njg4MDYxAwAAAAMxNjACAAAAAjE1BAAAAAEwBwAAAAoxMi8zMS8yMDE1CAAAAAoxMi8zMS8yMDE1CQAA</t>
  </si>
  <si>
    <t>AAEwpu6KiUQl3ghHlmCLRCXeCCZDSVEuQ1ZYLklRX05JLklRX0NRLjkvMzAvMjAxNi5MLi5VU0QuSAEAAADKgAEAAgAAAAQxMjgzAQgAAAAFAAAAATEBAAAACjE4NjM4NjQ2MjYDAAAAAzE2MAIAAAACMTUEAAAAATAHAAAACTkvMzAvMjAxNggAAAAJOS8zMC8yMDE2CQAAAAEwoceKiUQl3ghLeGWLRCXeCCdDSVEuQ09QLklRX05JLklRX0NRLjEyLzMxLzIwMTcuTC4uVVNELkgBAAAAT4YEAAIAAAAEMTU3OQEIAAAABQAAAAExAQAAAAoxOTQ2MDA1NzQ4AwAAAAMxNjACAAAAAjE1BAAAAAEwBwAAAAoxMi8zMS8yMDE3CAAAAAoxMi8zMS8yMDE3CQAAAAEwenmKiUQl3giCZ22LRCXeCCZDSVEuQ1ZYLklRX05JLklRX0NRLjkvMzAvMjAxOC5MLi5VU0QuSAEAAADKgAEAAgAAAAQ0MDQ3AQgAAAAFAAAAATEBAAAACjE5OTA5ODY4OTYDAAAAAzE2MAIAAAACMTUEAAAAATAHAAAACTkvMzAvMjAxOAgAAAAJOS8zMC8yMDE4CQAAAAEwa1KKiUQl3ghk+3GLRCXeCCdDSVEuQ09QLklRX05JLklRX0NRLjEyLzMxLzIwMTkuTC4uVVNELkgBAAAAT4YEAAIAAAADNzIwAQgAAAAFAAAAATEBAAAACjIwODA1NzQ0OTADAAAAAzE2MAIAAAACMTUEAAAAATAHAAAACjEyLzMxLzIwMTkIAAAACjEyLzMxLzIwMTkJAAAAATApX8eKRCXeCLzHd4tEJd4IJkNJUS5DVlguSVFfTkkuSVFfQ1EuOS8zMC8yMDIwLkwuLlVTRC5IAQAAAMqA</t>
  </si>
  <si>
    <t>AQACAAAABC0yMDcBCAAAAAUAAAABMQEAAAALLTIxMjM2MDQ4MzADAAAAAzE2MAIAAAACMTUEAAAAATAHAAAACTkvMzAvMjAyMAgAAAAJOS8zMC8yMDIwCQAAAAEwKV/HikQl3ghBcXuLRCXeCCdDSVEuQ09QLklRX05JLklRX0NRLjEyLzMxLzIwMjEuTC4uVVNELkgBAAAAT4YEAAIAAAAEMjYyNwEIAAAABQAAAAExAQAAAAstMjA2MDYxMTkyOAMAAAADMTYwAgAAAAIxNQQAAAABMAcAAAAKMTIvMzEvMjAyMQgAAAAKMTIvMzEvMjAyMQkAAAABMAkRx4pEJd4IjRaBi0Ql3ggmQ0lRLkNWWC5JUV9OSS5JUV9DUS45LzMwLzIwMjIuTC4uVVNELkgBAAAAyoABAAIAAAAFMTEyMzEBCAAAAAUAAAABMQEAAAALLTIwMjE0MTExMDADAAAAAzE2MAIAAAACMTUEAAAAATAHAAAACTkvMzAvMjAyMggAAAAJOS8zMC8yMDIyCQAAAAEw/unGikQl3ggCmYSLRCXeCCdDSVEuQ09QLklRX05JLklRX0NRLjEyLzMxLzIwMjMuTC4uVVNELkgBAAAAT4YEAAIAAAAEMzAwNwEIAAAABQAAAAExAQAAAAstMTk1OTIwMjE3NwMAAAADMTYwAgAAAAIxNQQAAAABMAcAAAAKMTIvMzEvMjAyMwgAAAAKMTIvMzEvMjAyMwkAAAABMOVK2opEJd4IYmWKi0Ql3ggmQ0lRLkNWWC5JUV9OSS5JUV9DUS45LzMwLzIwMjQuTC4uVVNELkgBAAAAyoABAAIAAAAENDQ4NwEIAAAABQAAAAExAQAAAAstMTkxODA5ODEzNAMAAAADMTYwAgAAAAIxNQQAAAAB</t>
  </si>
  <si>
    <t>MAcAAAAJOS8zMC8yMDI0CAAAAAk5LzMwLzIwMjQJAAAAATDqI9qKRCXeCDMSjotEJd4IJkNJUS5YT00uSVFfTkkuSVFfQ1EuOS8zMC8yMDEwLkwuLlVTRC5IAQAAAEIzBgACAAAABDczNTABCAAAAAUAAAABMQEAAAAKMTQ4MDU5NDU3MAMAAAADMTYwAgAAAAIxNQQAAAABMAcAAAAJOS8zMC8yMDEwCAAAAAk5LzMwLzIwMTAJAAAAATAGM32JRCXeCBTRQ4tEJd4IJkNJUS5FT0cuSVFfTkkuSVFfQ1EuNi8zMC8yMDExLkwuLlVTRC5IAQAAAFwdBAACAAAABzI5NS41NzQBCAAAAAUAAAABMQEAAAAKMTU1NzI2NDk2OQMAAAADMTYwAgAAAAIxNQQAAAABMAcAAAAJNi8zMC8yMDExCAAAAAk2LzMwLzIwMTEJAAAAATDn5HyJRCXeCIhTR4tEJd4IJkNJUS5YT00uSVFfTkkuSVFfQ1EuOS8zMC8yMDEyLkwuLlVTRC5IAQAAAEIzBgACAAAABDk1NzABCAAAAAUAAAABMQEAAAAKMTY0MzQ3MjgyMgMAAAADMTYwAgAAAAIxNQQAAAABMAcAAAAJOS8zMC8yMDEyCAAAAAk5LzMwLzIwMTIJAAAAATCrh5iJRCXeCF81TYtEJd4IJkNJUS5FT0cuSVFfTkkuSVFfQ1EuNi8zMC8yMDEzLkwuLlVTRC5IAQAAAFwdBAACAAAABzY1OS42OTIBCAAAAAUAAAABMQEAAAAKMTY4OTY1NTM3OAMAAAADMTYwAgAAAAIxNQQAAAABMAcAAAAJNi8zMC8yMDEzCAAAAAk2LzMwLzIwMTMJAAAAATCYYJiJRCXeCLu3UItEJd4IJkNJUS5YT00uSVFf</t>
  </si>
  <si>
    <t>TkkuSVFfQ1EuOS8zMC8yMDE0LkwuLlVTRC5IAQAAAEIzBgACAAAABDgwNzABCAAAAAUAAAABMQEAAAAKMTc2MjgzNzIzMgMAAAADMTYwAgAAAAIxNQQAAAABMAcAAAAJOS8zMC8yMDE0CAAAAAk5LzMwLzIwMTQJAAAAATBQBIqJRCXeCOxYWItEJd4IJkNJUS5FT0cuSVFfTkkuSVFfQ1EuNi8zMC8yMDE1LkwuLlVTRC5IAQAAAFwdBAACAAAABTUuMjY4AQgAAAAFAAAAATEBAAAACjE4MDE3ODI0ODUDAAAAAzE2MAIAAAACMTUEAAAAATAHAAAACTYvMzAvMjAxNQgAAAAJNi8zMC8yMDE1CQAAAAEwyJZ8iUQl3gjgOl2LRCXeCCZDSVEuWE9NLklRX05JLklRX0NRLjkvMzAvMjAxNi5MLi5VU0QuSAEAAABCMwYAAgAAAAQyNjUwAQgAAAAFAAAAATEBAAAACjE4NjM2Nzc5OTkDAAAAAzE2MAIAAAACMTUEAAAAATAHAAAACTkvMzAvMjAxNggAAAAJOS8zMC8yMDE2CQAAAAEwoceKiUQl3ghLeGWLRCXeCCZDSVEuRU9HLklRX05JLklRX0NRLjYvMzAvMjAxNy5MLi5VU0QuSAEAAABcHQQAAgAAAAYyMy4wNTMBCAAAAAUAAAABMQEAAAAKMTg5ODQxNDQxNgMAAAADMTYwAgAAAAIxNQQAAAABMAcAAAAJNi8zMC8yMDE3CAAAAAk2LzMwLzIwMTcJAAAAATCNoIqJRCXeCERaaotEJd4IJkNJUS5YT00uSVFfTkkuSVFfQ1EuOS8zMC8yMDE4LkwuLlVTRC5IAQAAAEIzBgACAAAABDYyNDABCAAAAAUAAAABMQEAAAAKMTk5MDc4</t>
  </si>
  <si>
    <t>NzExMQMAAAADMTYwAgAAAAIxNQQAAAABMAcAAAAJOS8zMC8yMDE4CAAAAAk5LzMwLzIwMTgJAAAAATBrUoqJRCXeCGT7cYtEJd4IJkNJUS5FT0cuSVFfTkkuSVFfQ1EuNi8zMC8yMDE5LkwuLlVTRC5IAQAAAFwdBAACAAAABzg0Ny44NDEBCAAAAAUAAAABMQEAAAAKMjA0ODYyNzQ4NwMAAAADMTYwAgAAAAIxNQQAAAABMAcAAAAJNi8zMC8yMDE5CAAAAAk2LzMwLzIwMTkJAAAAATDAb3yJRCXeCM99dYtEJd4IJkNJUS5YT00uSVFfTkkuSVFfQ1EuOS8zMC8yMDIwLkwuLlVTRC5IAQAAAEIzBgACAAAABC02ODABCAAAAAUAAAABMQEAAAALLTIxMjM5MjkyMjEDAAAAAzE2MAIAAAACMTUEAAAAATAHAAAACTkvMzAvMjAyMAgAAAAJOS8zMC8yMDIwCQAAAAEwKV/HikQl3ghBcXuLRCXeCCZDSVEuRU9HLklRX05JLklRX0NRLjYvMzAvMjAyMS5MLi5VU0QuSAEAAABcHQQAAgAAAAM5MDcBCAAAAAUAAAABMQEAAAALLTIwODY1ODQ4OTkDAAAAAzE2MAIAAAACMTUEAAAAATAHAAAACTYvMzAvMjAyMQgAAAAJNi8zMC8yMDIxCQAAAAEwMTjHikQl3gis836LRCXeCCZDSVEuWE9NLklRX05JLklRX0NRLjkvMzAvMjAyMi5MLi5VU0QuSAEAAABCMwYAAgAAAAUxOTY2MAEIAAAABQAAAAExAQAAAAstMjAyMTg2OTcwOAMAAAADMTYwAgAAAAIxNQQAAAABMAcAAAAJOS8zMC8yMDIyCAAAAAk5LzMwLzIwMjIJAAAAATD+6caK</t>
  </si>
  <si>
    <t>RCXeCAKZhItEJd4IJkNJUS5FT0cuSVFfTkkuSVFfQ1EuNi8zMC8yMDIzLkwuLlVTRC5IAQAAAFwdBAACAAAABDE1NTMBCAAAAAUAAAABMQEAAAALLTE5ODU1MDMxMTADAAAAAzE2MAIAAAACMTUEAAAAATAHAAAACTYvMzAvMjAyMwgAAAAJNi8zMC8yMDIzCQAAAAEw5UraikQl3giFQoiLRCXeCCZDSVEuRU9HLklRX05JLklRX0NRLjYvMzAvMjAyNS5MLi5VU0QuSAEAAABcHQQAAgAAAAQxMzQ1AQgAAAAFAAAAATEBAAAACy0xOTMyNzEyNDcxAwAAAAMxNjACAAAAAjE1BAAAAAEwBwAAAAk2LzMwLzIwMjUIAAAACTYvMzAvMjAyNQkAAAABMOoj2opEJd4I2QmSi0Ql3ggmQ0lRLkNWWC5JUV9OSS5JUV9DUS42LzMwLzIwMTEuTC4uVVNELkgBAAAAyoABAAIAAAAENzczMgEIAAAABQAAAAExAQAAAAoxNTU3Mzk2NzUzAwAAAAMxNjACAAAAAjE1BAAAAAEwBwAAAAk2LzMwLzIwMTEIAAAACTYvMzAvMjAxMQkAAAABMOfkfIlEJd4IiFNHi0Ql3ggmQ0lRLkNPUC5JUV9OSS5JUV9DUS45LzMwLzIwMTIuTC4uVVNELkgBAAAAT4YEAAIAAAAEMTc5OAEIAAAABQAAAAExAQAAAAoxNjQzNDcyODk2AwAAAAMxNjACAAAAAjE1BAAAAAEwBwAAAAk5LzMwLzIwMTIIAAAACTkvMzAvMjAxMgkAAAABMKuHmIlEJd4IXzVNi0Ql3ggmQ0lRLkNWWC5JUV9OSS5JUV9DUS42LzMwLzIwMTUuTC4uVVNELkgBAAAAyoABAAIAAAADNTcx</t>
  </si>
  <si>
    <t>AQgAAAAFAAAAATEBAAAACjE4MDE4OTUxOTIDAAAAAzE2MAIAAAACMTUEAAAAATAHAAAACTYvMzAvMjAxNQgAAAAJNi8zMC8yMDE1CQAAAAEwyJZ8iUQl3gjgOl2LRCXeCCZDSVEuQ09QLklRX05JLklRX0NRLjkvMzAvMjAxNi5MLi5VU0QuSAEAAABPhgQAAgAAAAUtMTA0MAEIAAAABQAAAAExAQAAAAoxODYzNDYwMTM4AwAAAAMxNjACAAAAAjE1BAAAAAEwBwAAAAk5LzMwLzIwMTYIAAAACTkvMzAvMjAxNgkAAAABMKHHiolEJd4IS3hli0Ql3ggmQ0lRLkNWWC5JUV9OSS5JUV9DUS42LzMwLzIwMTkuTC4uVVNELkgBAAAAyoABAAIAAAAENDMwNQEIAAAABQAAAAExAQAAAAoyMDQ4Mjk5OTAyAwAAAAMxNjACAAAAAjE1BAAAAAEwBwAAAAk2LzMwLzIwMTkIAAAACTYvMzAvMjAxOQkAAAABMMBvfIlEJd4Iz311i0Ql3ggmQ0lRLkNPUC5JUV9OSS5JUV9DUS45LzMwLzIwMjAuTC4uVVNELkgBAAAAT4YEAAIAAAAELTQ1MAEIAAAABQAAAAExAQAAAAstMjEyMzU3ODM4NQMAAAADMTYwAgAAAAIxNQQAAAABMAcAAAAJOS8zMC8yMDIwCAAAAAk5LzMwLzIwMjAJAAAAATApX8eKRCXeCEFxe4tEJd4IJkNJUS5DVlguSVFfTkkuSVFfQ1EuNi8zMC8yMDIzLkwuLlVTRC5IAQAAAMqAAQACAAAABDYwMTABCAAAAAUAAAABMQEAAAALLTE5NzAxMTQyNTgDAAAAAzE2MAIAAAACMTUEAAAAATAHAAAACTYvMzAvMjAyMwgAAAAJ</t>
  </si>
  <si>
    <t>Ni8zMC8yMDIzCQAAAAEw5UraikQl3ghtG4iLRCXeCCZDSVEuQ09QLklRX05JLklRX0NRLjkvMzAvMjAyNC5MLi5VU0QuSAEAAABPhgQAAgAAAAQyMDU5AQgAAAAFAAAAATEBAAAACy0xOTE4MDQ4MTIyAwAAAAMxNjACAAAAAjE1BAAAAAEwBwAAAAk5LzMwLzIwMjQIAAAACTkvMzAvMjAyNAkAAAABMOoj2opEJd4IIeuNi0Ql3ggmQ0lRLlhPTS5JUV9OSS5JUV9DUS45LzMwLzIwMjQuTC4uVVNELkgBAAAAQjMGAAIAAAAEODYxMAEIAAAABQAAAAExAQAAAAstMTkxODY3NTM0NgMAAAADMTYwAgAAAAIxNQQAAAABMAcAAAAJOS8zMC8yMDI0CAAAAAk5LzMwLzIwMjQJAAAAATDqI9qKRCXeCDMSjotEJd4IJkNJUS5DT1AuSVFfTkkuSVFfQ1EuOS8zMC8yMDEwLkwuLlVTRC5IAQAAAE+GBAACAAAABDMwNTUBCAAAAAUAAAABMQEAAAAKMTQ3OTc0ODY3NwMAAAADMTYwAgAAAAIxNQQAAAABMAcAAAAJOS8zMC8yMDEwCAAAAAk5LzMwLzIwMTAJAAAAATAGM32JRCXeCBTRQ4tEJd4IJkNJUS5DVlguSVFfTkkuSVFfQ1EuNi8zMC8yMDEzLkwuLlVTRC5IAQAAAMqAAQACAAAABDUzNjUBCAAAAAUAAAABMQEAAAAKMTY4OTc2MzQ5NgMAAAADMTYwAgAAAAIxNQQAAAABMAcAAAAJNi8zMC8yMDEzCAAAAAk2LzMwLzIwMTMJAAAAATCYYJiJRCXeCLu3UItEJd4IJkNJUS5DT1AuSVFfTkkuSVFfQ1EuOS8zMC8yMDE0LkwuLlVT</t>
  </si>
  <si>
    <t>RC5IAQAAAE+GBAACAAAABDI3MDQBCAAAAAUAAAABMQEAAAAKMTc2MjYwMjM2NAMAAAADMTYwAgAAAAIxNQQAAAABMAcAAAAJOS8zMC8yMDE0CAAAAAk5LzMwLzIwMTQJAAAAATBQBIqJRCXeCOxYWItEJd4IJkNJUS5DVlguSVFfTkkuSVFfQ1EuNi8zMC8yMDE3LkwuLlVTRC5IAQAAAMqAAQACAAAABDE0NTABCAAAAAUAAAABMQEAAAAKMTg5ODM1Mzg0NQMAAAADMTYwAgAAAAIxNQQAAAABMAcAAAAJNi8zMC8yMDE3CAAAAAk2LzMwLzIwMTcJAAAAATCNoIqJRCXeCERaaotEJd4IJkNJUS5DT1AuSVFfTkkuSVFfQ1EuOS8zMC8yMDE4LkwuLlVTRC5IAQAAAE+GBAACAAAABDE4NjEBCAAAAAUAAAABMQEAAAAKMTk4OTkwMTI2OAMAAAADMTYwAgAAAAIxNQQAAAABMAcAAAAJOS8zMC8yMDE4CAAAAAk5LzMwLzIwMTgJAAAAATBrUoqJRCXeCGT7cYtEJd4IJkNJUS5DVlguSVFfTkkuSVFfQ1EuNi8zMC8yMDIxLkwuLlVTRC5IAQAAAMqAAQACAAAABDMwODIBCAAAAAUAAAABMQEAAAALLTIwODY0OTEzMDYDAAAAAzE2MAIAAAACMTUEAAAAATAHAAAACTYvMzAvMjAyMQgAAAAJNi8zMC8yMDIxCQAAAAEwMTjHikQl3ginzH6LRCXeCCZDSVEuQ09QLklRX05JLklRX0NRLjkvMzAvMjAyMi5MLi5VU0QuSAEAAABPhgQAAgAAAAQ0NTI3AQgAAAAFAAAAATEBAAAACy0yMDIxNDg3OTUwAwAAAAMxNjACAAAAAjE1BAAAAAEw</t>
  </si>
  <si>
    <t>BwAAAAk5LzMwLzIwMjIIAAAACTkvMzAvMjAyMgkAAAABMP7pxopEJd4IApmEi0Ql3ggmQ0lRLkNWWC5JUV9OSS5JUV9DUS42LzMwLzIwMjUuTC4uVVNELkgBAAAAyoABAAIAAAAEMjQ5MAEIAAAABQAAAAExAQAAAAstMTkxODA5NDYyMwMAAAADMTYwAgAAAAIxNQQAAAABMAcAAAAJNi8zMC8yMDI1CAAAAAk2LzMwLzIwMjUJAAAAATDqI9qKRCXeCMjikYtEJd4IJkNJUS5DVlguSVFfTkkuSVFfQ1EuNi8zMC8yMDEyLkwuLlVTRC5IAQAAAMqAAQACAAAABDcyMTABCAAAAAUAAAABMQEAAAAKMTYzMDAwNzU3NQMAAAADMTYwAgAAAAIxNQQAAAABMAcAAAAJNi8zMC8yMDEyCAAAAAk2LzMwLzIwMTIJAAAAATCrh5iJRCXeCMwgTItEJd4IJkNJUS5YT00uSVFfTkkuSVFfQ1EuOS8zMC8yMDEzLkwuLlVTRC5IAQAAAEIzBgACAAAABDc4NzABCAAAAAUAAAABMQEAAAAKMTcwNDkxMDg1OQMAAAADMTYwAgAAAAIxNQQAAAABMAcAAAAJOS8zMC8yMDEzCAAAAAk5LzMwLzIwMTMJAAAAATBuK4qJRCXeCEHwUYtEJd4IJ0NJUS5DT1AuSVFfTkkuSVFfQ1EuMTIvMzEvMjAxNC5MLi5VU0QuSAEAAABPhgQAAgAAAAMtMzkBCAAAAAUAAAABMQEAAAAKMTc3NzQ0MjY3NAMAAAADMTYwAgAAAAIxNQQAAAABMAcAAAAKMTIvMzEvMjAxNAgAAAAKMTIvMzEvMjAxNAkAAAABMPULfYlEJd4Ij99Zi0Ql3ggnQ0lRLkVPRy5JUV9OSS5J</t>
  </si>
  <si>
    <t>UV9DUS4xMi8zMS8yMDE4LkwuLlVTRC5IAQAAAFwdBAACAAAABzg5Mi43NjgBCAAAAAUAAAABMQEAAAAKMjAxODE2OTAxNgMAAAADMTYwAgAAAAIxNQQAAAABMAcAAAAKMTIvMzEvMjAxOAgAAAAKMTIvMzEvMjAxOAkAAAABMG4riolEJd4I4DNzi0Ql3ggmQ0lRLkNWWC5JUV9OSS5JUV9DUS4zLzMxLzIwMjAuTC4uVVNELkgBAAAAyoABAAIAAAAEMzU5OQEIAAAABQAAAAExAQAAAAoyMDk2MDg1OTIyAwAAAAMxNjACAAAAAjE1BAAAAAEwBwAAAAkzLzMxLzIwMjAIAAAACTMvMzEvMjAyMAkAAAABMClfx4pEJd4IK9l4i0Ql3ggmQ0lRLlhPTS5JUV9OSS5JUV9DUS42LzMwLzIwMjEuTC4uVVNELkgBAAAAQjMGAAIAAAAENDY5MAEIAAAABQAAAAExAQAAAAstMjA4NjYxNTAyOQMAAAADMTYwAgAAAAIxNQQAAAABMAcAAAAJNi8zMC8yMDIxCAAAAAk2LzMwLzIwMjEJAAAAATAxOMeKRCXeCKfMfotEJd4IJkNJUS5DVlguSVFfTkkuSVFfQ1EuMy8zMS8yMDEwLkwuLlVTRC5IAQAAAMqAAQACAAAABDQ1NTIBCAAAAAUAAAABMQEAAAAKMTQ1MTI2MjU3MAMAAAADMTYwAgAAAAIxNQQAAAABMAcAAAAJMy8zMS8yMDEwCAAAAAkzLzMxLzIwMTAJAAAAATAGM32JRCXeCFL8QYtEJd4IJkNJUS5DVlguSVFfTkkuSVFfQ1EuOS8zMC8yMDE3LkwuLlVTRC5IAQAAAMqAAQACAAAABDE5NTIBCAAAAAUAAAABMQEAAAAKMTkyMDUz</t>
  </si>
  <si>
    <t>NTQ3MwMAAAADMTYwAgAAAAIxNQQAAAABMAcAAAAJOS8zMC8yMDE3CAAAAAk5LzMwLzIwMTcJAAAAATB6eYqJRCXeCA8IbItEJd4IJkNJUS5DT1AuSVFfTkkuSVFfQ1EuMy8zMS8yMDIwLkwuLlVTRC5IAQAAAE+GBAACAAAABS0xNzM5AQgAAAAFAAAAATEBAAAACjIwOTYzNzc5NTYDAAAAAzE2MAIAAAACMTUEAAAAATAHAAAACTMvMzEvMjAyMAgAAAAJMy8zMS8yMDIwCQAAAAEwKV/HikQl3ggr2XiLRCXeCCZDSVEuRU9HLklRX05JLklRX0NRLjMvMzEvMjAyNC5MLi5VU0QuSAEAAABcHQQAAgAAAAQxNzg5AQgAAAAFAAAAATEBAAAACy0xOTQ2OTg3MjA5AwAAAAMxNjACAAAAAjE1BAAAAAEwBwAAAAkzLzMxLzIwMjQIAAAACTMvMzEvMjAyNAkAAAABMOVK2opEJd4IMqGLi0Ql3ggnQ0lRLkNPUC5JUV9OSS5JUV9DUS4xMi8zMS8yMDE4LkwuLlVTRC5IAQAAAE+GBAACAAAABDE4NjgBCAAAAAUAAAABMQEAAAAKMjAxNTYzNTg2MAMAAAADMTYwAgAAAAIxNQQAAAABMAcAAAAKMTIvMzEvMjAxOAgAAAAKMTIvMzEvMjAxOAkAAAABMG4riolEJd4I0Axzi0Ql3ggnQ0lRLkVPRy5JUV9OSS5JUV9DUS4xMi8zMS8yMDIyLkwuLlVTRC5IAQAAAFwdBAACAAAABDIyNzcBCAAAAAUAAAABMQEAAAALLTIwMDkyMzcyMTkDAAAAAzE2MAIAAAACMTUEAAAAATAHAAAACjEyLzMxLzIwMjIIAAAACjEyLzMxLzIwMjIJAAAAATD+</t>
  </si>
  <si>
    <t>6caKRCXeCIz4hYtEJd4IJkNJUS5DT1AuSVFfTkkuSVFfQ1EuMy8zMS8yMDEwLkwuLlVTRC5IAQAAAE+GBAACAAAABDIwOTgBCAAAAAUAAAABMQEAAAAKMTQ1MTA3MjU1NAMAAAADMTYwAgAAAAIxNQQAAAABMAcAAAAJMy8zMS8yMDEwCAAAAAkzLzMxLzIwMTAJAAAAATAGM32JRCXeCFL8QYtEJd4IJkNJUS5YT00uSVFfTkkuSVFfQ1EuNi8zMC8yMDE1LkwuLlVTRC5IAQAAAEIzBgACAAAABDQxOTABCAAAAAUAAAABMQEAAAAKMTgwMTYxNjg4MAMAAAADMTYwAgAAAAIxNQQAAAABMAcAAAAJNi8zMC8yMDE1CAAAAAk2LzMwLzIwMTUJAAAAATDIlnyJRCXeCOA6XYtEJd4IJ0NJUS5DVlguSVFfTkkuSVFfQ1EuMTIvMzEvMjAyMi5MLi5VU0QuSAEAAADKgAEAAgAAAAQ2MzUzAQgAAAAFAAAAATEBAAAACy0yMDA4NTU3NDg4AwAAAAMxNjACAAAAAjE1BAAAAAEwBwAAAAoxMi8zMS8yMDIyCAAAAAoxMi8zMS8yMDIyCQAAAAEw/unGikQl3giD0YWLRCXeCCZDSVEuQ09QLklRX05JLklRX0NRLjYvMzAvMjAyNS5MLi5VU0QuSAEAAABPhgQAAgAAAAQxOTcxAQgAAAAFAAAAATEBAAAACy0xOTMyODU4ODU5AwAAAAMxNjACAAAAAjE1BAAAAAEwBwAAAAk2LzMwLzIwMjUIAAAACTYvMzAvMjAyNQkAAAABMOoj2opEJd4IyOKRi0Ql3ggnQ0lRLkNWWC5JUV9OSS5JUV9DUS4xMi8zMS8yMDEyLkwuLlVTRC5IAQAAAMqAAQAC</t>
  </si>
  <si>
    <t>AAAABDcyNDUBCAAAAAUAAAABMQEAAAAKMTY1OTQyMDgwMwMAAAADMTYwAgAAAAIxNQQAAAABMAcAAAAKMTIvMzEvMjAxMggAAAAKMTIvMzEvMjAxMgkAAAABMKuHmIlEJd4IwEZOi0Ql3ggmQ0lRLkNPUC5JUV9OSS5JUV9DUS4zLzMxLzIwMjQuTC4uVVNELkgBAAAAT4YEAAIAAAAEMjU1MQEIAAAABQAAAAExAQAAAAstMTk0NDk0NjgwNAMAAAADMTYwAgAAAAIxNQQAAAABMAcAAAAJMy8zMS8yMDI0CAAAAAkzLzMxLzIwMjQJAAAAATDlStqKRCXeCETIi4tEJd4IJkNJUS5FT0cuSVFfTkkuSVFfQ1EuNi8zMC8yMDE0LkwuLlVTRC5IAQAAAFwdBAACAAAABzcwNi4zNTMBCAAAAAUAAAABMQEAAAAKMTc0OTcyNzk5MAMAAAADMTYwAgAAAAIxNQQAAAABMAcAAAAJNi8zMC8yMDE0CAAAAAk2LzMwLzIwMTQJAAAAATBQBIqJRCXeCCqEVotEJd4IJkNJUS5FT0cuSVFfTkkuSVFfQ1EuMy8zMS8yMDEyLkwuLlVTRC5IAQAAAFwdBAACAAAABzMyNC4wMDkBCAAAAAUAAAABMQEAAAAKMTYxNjE5MDQ5NwMAAAADMTYwAgAAAAIxNQQAAAABMAcAAAAJMy8zMS8yMDEyCAAAAAkzLzMxLzIwMTIJAAAAATDbvXyJRCXeCEz4SotEJd4IJkNJUS5YT00uSVFfTkkuSVFfQ1EuOS8zMC8yMDE1LkwuLlVTRC5IAQAAAEIzBgACAAAABDQyNDABCAAAAAUAAAABMQEAAAAKMTgxNjIyMTEwNAMAAAADMTYwAgAAAAIxNQQAAAABMAcAAAAJ</t>
  </si>
  <si>
    <t>OS8zMC8yMDE1CAAAAAk5LzMwLzIwMTUJAAAAATDIlnyJRCXeCIjBXotEJd4IJkNJUS5DVlguSVFfTkkuSVFfQ1EuMy8zMS8yMDIyLkwuLlVTRC5IAQAAAMqAAQACAAAABDYyNTkBCAAAAAUAAAABMQEAAAALLTIwMzU3MDY3NjkDAAAAAzE2MAIAAAACMTUEAAAAATAHAAAACTMvMzEvMjAyMggAAAAJMy8zMS8yMDIyCQAAAAEwCRHHikQl3ggTT4KLRCXeCCZDSVEuWE9NLklRX05JLklRX0NRLjYvMzAvMjAxMy5MLi5VU0QuSAEAAABCMwYAAgAAAAQ2ODYwAQgAAAAFAAAAATEBAAAACjE2ODk3NjM5NjgDAAAAAzE2MAIAAAACMTUEAAAAATAHAAAACTYvMzAvMjAxMwgAAAAJNi8zMC8yMDEzCQAAAAEwmGCYiUQl3gitkFCLRCXeCCdDSVEuWE9NLklRX05JLklRX0NRLjEyLzMxLzIwMTAuTC4uVVNELkgBAAAAQjMGAAIAAAAEOTI1MAEIAAAABQAAAAExAQAAAAoxNTIzODA3NDA1AwAAAAMxNjACAAAAAjE1BAAAAAEwBwAAAAoxMi8zMS8yMDEwCAAAAAoxMi8zMS8yMDEwCQAAAAEw9Qt9iUQl3giQCUWLRCXeCCdDSVEuRU9HLklRX05JLklRX0NRLjEyLzMxLzIwMTQuTC4uVVNELkgBAAAAXB0EAAIAAAAHNDQ0LjU4OAEIAAAABQAAAAExAQAAAAoxNzc3NzU2MzU3AwAAAAMxNjACAAAAAjE1BAAAAAEwBwAAAAoxMi8zMS8yMDE0CAAAAAoxMi8zMS8yMDE0CQAAAAEw9Qt9iUQl3gidBlqLRCXeCCZDSVEuQ09QLklRX05J</t>
  </si>
  <si>
    <t>LklRX0NRLjMvMzEvMjAxNi5MLi5VU0QuSAEAAABPhgQAAgAAAAUtMTQ2OQEIAAAABQAAAAExAQAAAAoxODQwNDI1MDc5AwAAAAMxNjACAAAAAjE1BAAAAAEwBwAAAAkzLzMxLzIwMTYIAAAACTMvMzEvMjAxNgkAAAABMKHHiolEJd4IAkRii0Ql3ggmQ0lRLkVPRy5JUV9OSS5JUV9DUS4zLzMxLzIwMjAuTC4uVVNELkgBAAAAXB0EAAIAAAACMTABCAAAAAUAAAABMQEAAAAKMjA5NjA1MDA0OAMAAAADMTYwAgAAAAIxNQQAAAABMAcAAAAJMy8zMS8yMDIwCAAAAAkzLzMxLzIwMjAJAAAAATApX8eKRCXeCCvZeItEJd4IJkNJUS5YT00uSVFfTkkuSVFfQ1EuOS8zMC8yMDIzLkwuLlVTRC5IAQAAAEIzBgACAAAABDkwNzABCAAAAAUAAAABMQEAAAALLTE5NzA3NTUzNDQDAAAAAzE2MAIAAAACMTUEAAAAATAHAAAACTkvMzAvMjAyMwgAAAAJOS8zMC8yMDIzCQAAAAEw5UraikQl3gjpU4mLRCXeCCZDSVEuRU9HLklRX05JLklRX0NRLjMvMzEvMjAxMC5MLi5VU0QuSAEAAABcHQQAAgAAAAcxMTguMDE1AQgAAAAFAAAAATEBAAAACjE0NTIwOTg5ODYDAAAAAzE2MAIAAAACMTUEAAAAATAHAAAACTMvMzEvMjAxMAgAAAAJMy8zMS8yMDEwCQAAAAEwBjN9iUQl3ghW1UGLRCXeCCZDSVEuQ09QLklRX05JLklRX0NRLjkvMzAvMjAyMy5MLi5VU0QuSAEAAABPhgQAAgAAAAQyNzk4AQgAAAAFAAAAATEBAAAACy0xOTcxMDQ5</t>
  </si>
  <si>
    <t>NjQzAwAAAAMxNjACAAAAAjE1BAAAAAEwBwAAAAk5LzMwLzIwMjMIAAAACTkvMzAvMjAyMwkAAAABMOVK2opEJd4I3SyJi0Ql3ggnQ0lRLkNWWC5JUV9OSS5JUV9DUS4xMi8zMS8yMDE4LkwuLlVTRC5IAQAAAMqAAQACAAAABDM3MzABCAAAAAUAAAABMQEAAAAKMjAxNjM0OTkxOQMAAAADMTYwAgAAAAIxNQQAAAABMAcAAAAKMTIvMzEvMjAxOAgAAAAKMTIvMzEvMjAxOAkAAAABMG4riolEJd4I4DNzi0Ql3ggmQ0lRLkNPUC5JUV9OSS5JUV9DUS42LzMwLzIwMjEuTC4uVVNELkgBAAAAT4YEAAIAAAAEMjA5MQEIAAAABQAAAAExAQAAAAstMjA4NjQyMzMxNQMAAAADMTYwAgAAAAIxNQQAAAABMAcAAAAJNi8zMC8yMDIxCAAAAAk2LzMwLzIwMjEJAAAAATAxOMeKRCXeCKfMfotEJd4IJkNJUS5FT0cuSVFfTkkuSVFfQ1EuNi8zMC8yMDE2LkwuLlVTRC5IAQAAAFwdBAACAAAACC0yOTIuNTU4AQgAAAAFAAAAATEBAAAACjE4NTEyOTc2MTgDAAAAAzE2MAIAAAACMTUEAAAAATAHAAAACTYvMzAvMjAxNggAAAAJNi8zMC8yMDE2CQAAAAEwoceKiUQl3giXymOLRCXeCCZDSVEuRU9HLklRX05JLklRX0NRLjMvMzEvMjAxNC5MLi5VU0QuSAEAAABcHQQAAgAAAAc2NjAuOTI4AQgAAAAFAAAAATEBAAAACjE3MzMzMTI4NjQDAAAAAzE2MAIAAAACMTUEAAAAATAHAAAACTMvMzEvMjAxNAgAAAAJMy8zMS8yMDE0CQAAAAEw</t>
  </si>
  <si>
    <t>UASKiUQl3giH/VSLRCXeCCZDSVEuWE9NLklRX05JLklRX0NRLjkvMzAvMjAxNy5MLi5VU0QuSAEAAABCMwYAAgAAAAQzOTcwAQgAAAAFAAAAATEBAAAACjE5MjAwMTc4MDUDAAAAAzE2MAIAAAACMTUEAAAAATAHAAAACTkvMzAvMjAxNwgAAAAJOS8zMC8yMDE3CQAAAAEwenmKiUQl3ggPCGyLRCXeCCZDSVEuQ1ZYLklRX05JLklRX0NRLjMvMzEvMjAyNC5MLi5VU0QuSAEAAADKgAEAAgAAAAQ1NTAxAQgAAAAFAAAAATEBAAAACy0xOTMyNTkwNDU5AwAAAAMxNjACAAAAAjE1BAAAAAEwBwAAAAkzLzMxLzIwMjQIAAAACTMvMzEvMjAyNAkAAAABMOVK2opEJd4IMqGLi0Ql3ggmQ0lRLkNWWC5JUV9OSS5JUV9DUS4zLzMxLzIwMTQuTC4uVVNELkgBAAAAyoABAAIAAAAENDUxMgEIAAAABQAAAAExAQAAAAoxNzMyOTQ1NzkzAwAAAAMxNjACAAAAAjE1BAAAAAEwBwAAAAkzLzMxLzIwMTQIAAAACTMvMzEvMjAxNAkAAAABMFAEiolEJd4Ih/1Ui0Ql3ggmQ0lRLkNPUC5JUV9OSS5JUV9DUS45LzMwLzIwMTcuTC4uVVNELkgBAAAAT4YEAAIAAAADNDIwAQgAAAAFAAAAATEBAAAACjE5MTczMTk0MTUDAAAAAzE2MAIAAAACMTUEAAAAATAHAAAACTkvMzAvMjAxNwgAAAAJOS8zMC8yMDE3CQAAAAEwenmKiUQl3gjq4GuLRCXeCCZDSVEuRU9HLklRX05JLklRX0NRLjkvMzAvMjAyMS5MLi5VU0QuSAEAAABcHQQAAgAAAAQx</t>
  </si>
  <si>
    <t>MDk1AQgAAAAFAAAAATEBAAAACy0yMDcyMTczNjEzAwAAAAMxNjACAAAAAjE1BAAAAAEwBwAAAAk5LzMwLzIwMjEIAAAACTkvMzAvMjAyMQkAAAABMAkRx4pEJd4IMAWAi0Ql3ggmQ0lRLkNPUC5JUV9OSS5JUV9DUS42LzMwLzIwMTUuTC4uVVNELkgBAAAAT4YEAAIAAAAELTE3OQEIAAAABQAAAAExAQAAAAoxODAxNDQ3ODMyAwAAAAMxNjACAAAAAjE1BAAAAAEwBwAAAAk2LzMwLzIwMTUIAAAACTYvMzAvMjAxNQkAAAABMMiWfIlEJd4I4Dpdi0Ql3ggmQ0lRLkVPRy5JUV9OSS5JUV9DUS45LzMwLzIwMTEuTC4uVVNELkgBAAAAXB0EAAIAAAAHNTQwLjg3OAEIAAAABQAAAAExAQAAAAoxNTc0MzkwNjAwAwAAAAMxNjACAAAAAjE1BAAAAAEwBwAAAAk5LzMwLzIwMTEIAAAACTkvMzAvMjAxMQkAAAABMOfkfIlEJd4I4KVIi0Ql3ggmQ0lRLkNWWC5JUV9OSS5JUV9DUS45LzMwLzIwMjEuTC4uVVNELkgBAAAAyoABAAIAAAAENjExMQEIAAAABQAAAAExAQAAAAstMjA3MjEyNDAzMQMAAAADMTYwAgAAAAIxNQQAAAABMAcAAAAJOS8zMC8yMDIxCAAAAAk5LzMwLzIwMjEJAAAAATAJEceKRCXeCDAFgItEJd4IJkNJUS5FT0cuSVFfTkkuSVFfQ1EuNi8zMC8yMDI0LkwuLlVTRC5IAQAAAFwdBAACAAAABDE2OTABCAAAAAUAAAABMQEAAAALLTE5MzI3MTI0NTgDAAAAAzE2MAIAAAACMTUEAAAAATAHAAAACTYvMzAvMjAy</t>
  </si>
  <si>
    <t>NAgAAAAJNi8zMC8yMDI0CQAAAAEw5UraikQl3giisoyLRCXeCCdDSVEuQ09QLklRX05JLklRX0NRLjEyLzMxLzIwMTYuTC4uVVNELkgBAAAAT4YEAAIAAAADLTM1AQgAAAAFAAAAATEBAAAACjE4NzUyODAyOTcDAAAAAzE2MAIAAAACMTUEAAAAATAHAAAACjEyLzMxLzIwMTYIAAAACjEyLzMxLzIwMTYJAAAAATCNoIqJRCXeCPYlZ4tEJd4IJ0NJUS5FT0cuSVFfTkkuSVFfQ1EuMTIvMzEvMjAyMC5MLi5VU0QuSAEAAABcHQQAAgAAAAMzMzcBCAAAAAUAAAABMQEAAAALLTIxMTA1OTExODQDAAAAAzE2MAIAAAACMTUEAAAAATAHAAAACjEyLzMxLzIwMjAIAAAACjEyLzMxLzIwMjAJAAAAATAxOMeKRCXeCLqpfItEJd4IJkNJUS5DVlguSVFfTkkuSVFfQ1EuMy8zMS8yMDEyLkwuLlVTRC5IAQAAAMqAAQACAAAABDY0NzEBCAAAAAUAAAABMQEAAAAKMTYxNTMwMjM5MAMAAAADMTYwAgAAAAIxNQQAAAABMAcAAAAJMy8zMS8yMDEyCAAAAAkzLzMxLzIwMTIJAAAAATDbvXyJRCXeCEz4SotEJd4IJkNJUS5FT0cuSVFfTkkuSVFfQ1EuOS8zMC8yMDE5LkwuLlVTRC5IAQAAAFwdBAACAAAABzYxNS4xMjIBCAAAAAUAAAABMQEAAAAKMjA2ODQzMTAxOQMAAAADMTYwAgAAAAIxNQQAAAABMAcAAAAJOS8zMC8yMDE5CAAAAAk5LzMwLzIwMTkJAAAAATBIhseKRCXeCEOPdotEJd4IJ0NJUS5YT00uSVFfTkkuSVFfQ1EuMTIv</t>
  </si>
  <si>
    <t>MzEvMjAyMC5MLi5VU0QuSAEAAABCMwYAAgAAAAYtMjAwNzABCAAAAAUAAAABMQEAAAALLTIxMTEwNzM4MTYDAAAAAzE2MAIAAAACMTUEAAAAATAHAAAACjEyLzMxLzIwMjAIAAAACjEyLzMxLzIwMjAJAAAAATAxOMeKRCXeCL2CfItEJd4IJkNJUS5DT1AuSVFfTkkuSVFfQ1EuMy8zMS8yMDEyLkwuLlVTRC5IAQAAAE+GBAACAAAABDI5MzcBCAAAAAUAAAABMQEAAAAKMTYxNDk3ODQ1MQMAAAADMTYwAgAAAAIxNQQAAAABMAcAAAAJMy8zMS8yMDEyCAAAAAkzLzMxLzIwMTIJAAAAATDbvXyJRCXeCEz4SotEJd4IJ0NJUS5DT1AuSVFfTkkuSVFfQ1EuMTIvMzEvMjAyMC5MLi5VU0QuSAEAAABPhgQAAgAAAAQtNzcyAQgAAAAFAAAAATEBAAAACy0yMTExNjQzMzIyAwAAAAMxNjACAAAAAjE1BAAAAAEwBwAAAAoxMi8zMS8yMDIwCAAAAAoxMi8zMS8yMDIwCQAAAAEwMTjHikQl3gi9gnyLRCXeCCZDSVEuWE9NLklRX05JLklRX0NRLjYvMzAvMjAxNy5MLi5VU0QuSAEAAABCMwYAAgAAAAQzMzUwAQgAAAAFAAAAATEBAAAACjE4OTgyNTU4NTcDAAAAAzE2MAIAAAACMTUEAAAAATAHAAAACTYvMzAvMjAxNwgAAAAJNi8zMC8yMDE3CQAAAAEwjaCKiUQl3ghEWmqLRCXeCCZDSVEuRU9HLklRX05JLklRX0NRLjkvMzAvMjAyMy5MLi5VU0QuSAEAAABcHQQAAgAAAAQyMDMwAQgAAAAFAAAAATEBAAAACy0xOTcwMjM1MDc3</t>
  </si>
  <si>
    <t>AwAAAAMxNjACAAAAAjE1BAAAAAEwBwAAAAk5LzMwLzIwMjMIAAAACTkvMzAvMjAyMwkAAAABMOVK2opEJd4I6VOJi0Ql3ggnQ0lRLkNWWC5JUV9OSS5JUV9DUS4xMi8zMS8yMDE0LkwuLlVTRC5IAQAAAMqAAQACAAAABDM0NzEBCAAAAAUAAAABMQEAAAAKMTc3Nzk3MzUwNwMAAAADMTYwAgAAAAIxNQQAAAABMAcAAAAKMTIvMzEvMjAxNAgAAAAKMTIvMzEvMjAxNAkAAAABMPULfYlEJd4InQZai0Ql3ggmQ0lRLkVPRy5JUV9OSS5JUV9DUS42LzMwLzIwMjIuTC4uVVNELkgBAAAAXB0EAAIAAAAEMjIzOAEIAAAABQAAAAExAQAAAAstMjAzNTc1NDk1OQMAAAADMTYwAgAAAAIxNQQAAAABMAcAAAAJNi8zMC8yMDIyCAAAAAk2LzMwLzIwMjIJAAAAATD+6caKRCXeCJCHg4tEJd4IJkNJUS5DVlguSVFfTkkuSVFfQ1EuNi8zMC8yMDIyLkwuLlVTRC5IAQAAAMqAAQACAAAABTExNjIyAQgAAAAFAAAAATEBAAAACy0yMDIxNDA4NDMyAwAAAAMxNjACAAAAAjE1BAAAAAEwBwAAAAk2LzMwLzIwMjIIAAAACTYvMzAvMjAyMgkAAAABMP7pxopEJd4IkIeDi0Ql3ggmQ0lRLlhPTS5JUV9OSS5JUV9DUS42LzMwLzIwMTEuTC4uVVNELkgBAAAAQjMGAAIAAAAFMTA2ODABCAAAAAUAAAABMQEAAAAKMTU1NzA3MjIzNwMAAAADMTYwAgAAAAIxNQQAAAABMAcAAAAJNi8zMC8yMDExCAAAAAk2LzMwLzIwMTEJAAAAATDn5HyJRCXe</t>
  </si>
  <si>
    <t>CIhTR4tEJd4IJkNJUS5DT1AuSVFfTkkuSVFfQ1EuOS8zMC8yMDEzLkwuLlVTRC5IAQAAAE+GBAACAAAABDI0ODABCAAAAAUAAAABMQEAAAAKMTcwNDc4NjI0NAMAAAADMTYwAgAAAAIxNQQAAAABMAcAAAAJOS8zMC8yMDEzCAAAAAk5LzMwLzIwMTMJAAAAATBuK4qJRCXeCDLJUYtEJd4IJkNJUS5FT0cuSVFfTkkuSVFfQ1EuOS8zMC8yMDE3LkwuLlVTRC5IAQAAAFwdBAACAAAABzEwMC41NDEBCAAAAAUAAAABMQEAAAAKMTkxNzcyNDU5MAMAAAADMTYwAgAAAAIxNQQAAAABMAcAAAAJOS8zMC8yMDE3CAAAAAk5LzMwLzIwMTcJAAAAATB6eYqJRCXeCA8IbItEJd4IJkNJUS5YT00uSVFfTkkuSVFfQ1EuMy8zMS8yMDIwLkwuLlVTRC5IAQAAAEIzBgACAAAABC02MTABCAAAAAUAAAABMQEAAAAKMjA5NTY5NzQ5NQMAAAADMTYwAgAAAAIxNQQAAAABMAcAAAAJMy8zMS8yMDIwCAAAAAkzLzMxLzIwMjAJAAAAATApX8eKRCXeCCvZeItEJd4IJkNJUS5DT1AuSVFfTkkuSVFfQ1EuNi8zMC8yMDExLkwuLlVTRC5IAQAAAE+GBAACAAAABDM0MDIBCAAAAAUAAAABMQEAAAAKMTU1NzAyNjI5MgMAAAADMTYwAgAAAAIxNQQAAAABMAcAAAAJNi8zMC8yMDExCAAAAAk2LzMwLzIwMTEJAAAAATDn5HyJRCXeCIhTR4tEJd4IJ0NJUS5YT00uSVFfTkkuSVFfQ1EuMTIvMzEvMjAxOC5MLi5VU0QuSAEAAABCMwYAAgAAAAQ2MDAw</t>
  </si>
  <si>
    <t>AQgAAAAFAAAAATEBAAAACjIwMTczODExNTYDAAAAAzE2MAIAAAACMTUEAAAAATAHAAAACjEyLzMxLzIwMTgIAAAACjEyLzMxLzIwMTgJAAAAATBuK4qJRCXeCNAMc4tEJd4IJkNJUS5YT00uSVFfTkkuSVFfQ1EuMy8zMS8yMDEwLkwuLlVTRC5IAQAAAEIzBgACAAAABDYzMDABCAAAAAUAAAABMQEAAAAKMTQ1MTE5NTc4MwMAAAADMTYwAgAAAAIxNQQAAAABMAcAAAAJMy8zMS8yMDEwCAAAAAkzLzMxLzIwMTAJAAAAATAGM32JRCXeCFL8QYtEJd4IJkNJUS5DVlguSVFfTkkuSVFfQ1EuNi8zMC8yMDE2LkwuLlVTRC5IAQAAAMqAAQACAAAABS0xNDcwAQgAAAAFAAAAATEBAAAACjE4NTE2OTE0MDkDAAAAAzE2MAIAAAACMTUEAAAAATAHAAAACTYvMzAvMjAxNggAAAAJNi8zMC8yMDE2CQAAAAEwoceKiUQl3giXymOLRCXeCCZDSVEuWE9NLklRX05JLklRX0NRLjYvMzAvMjAyNS5MLi5VU0QuSAEAAABCMwYAAgAAAAQ3MDgyAQgAAAAFAAAAATEBAAAACy0xOTMzNDQ0MTEwAwAAAAMxNjACAAAAAjE1BAAAAAEwBwAAAAk2LzMwLzIwMjUIAAAACTYvMzAvMjAyNQkAAAABMOoj2opEJd4IyOKRi0Ql3ggnQ0lRLkVPRy5JUV9OSS5JUV9DUS4xMi8zMS8yMDEyLkwuLlVTRC5IAQAAAFwdBAACAAAACC01MDQuOTk5AQgAAAAFAAAAATEBAAAACjE2NjAwNDQzMDADAAAAAzE2MAIAAAACMTUEAAAAATAHAAAACjEyLzMxLzIw</t>
  </si>
  <si>
    <t>MTIIAAAACjEyLzMxLzIwMTIJAAAAATCrh5iJRCXeCMBGTotEJd4IJkNJUS5YT00uSVFfTkkuSVFfQ1EuMy8zMS8yMDI0LkwuLlVTRC5IAQAAAEIzBgACAAAABDgyMjABCAAAAAUAAAABMQEAAAALLTE5NDYxNTg4MDYDAAAAAzE2MAIAAAACMTUEAAAAATAHAAAACTMvMzEvMjAyNAgAAAAJMy8zMS8yMDI0CQAAAAEw5UraikQl3ggyoYuLRCXeCCZDSVEuWE9NLklRX05JLklRX0NRLjMvMzEvMjAxNC5MLi5VU0QuSAEAAABCMwYAAgAAAAQ5MTAwAQgAAAAFAAAAATEBAAAACjE3MzI5ODI0MDkDAAAAAzE2MAIAAAACMTUEAAAAATAHAAAACTMvMzEvMjAxNAgAAAAJMy8zMS8yMDE0CQAAAAEwUASKiUQl3giG1lSLRCXeCCZDSVEuRU9HLklRX05JLklRX0NRLjYvMzAvMjAyMC5MLi5VU0QuSAEAAABcHQQAAgAAAAQtOTEwAQgAAAAFAAAAATEBAAAACy0yMTQwMTE1MzMxAwAAAAMxNjACAAAAAjE1BAAAAAEwBwAAAAk2LzMwLzIwMjAIAAAACTYvMzAvMjAyMAkAAAABMClfx4pEJd4Iwjh6i0Ql3ggnQ0lRLlhPTS5JUV9OSS5JUV9DUS4xMi8zMS8yMDIyLkwuLlVTRC5IAQAAAEIzBgACAAAABTEyNzUwAQgAAAAFAAAAATEBAAAACy0yMDA3ODMyNjI0AwAAAAMxNjACAAAAAjE1BAAAAAEwBwAAAAoxMi8zMS8yMDIyCAAAAAoxMi8zMS8yMDIyCQAAAAEw/unGikQl3giD0YWLRCXeCCZDSVEuQ09QLklRX05JLklRX0NRLjMv</t>
  </si>
  <si>
    <t>MzEvMjAxOC5MLi5VU0QuSAEAAABPhgQAAgAAAAM4ODgBCAAAAAUAAAABMQEAAAAKMTk1OTQ3NzI0MAMAAAADMTYwAgAAAAIxNQQAAAABMAcAAAAJMy8zMS8yMDE4CAAAAAkzLzMxLzIwMTgJAAAAATB6eYqJRCXeCEs8b4tEJd4IJkNJUS5DVlguSVFfTkkuSVFfQ1EuNi8zMC8yMDI0LkwuLlVTRC5IAQAAAMqAAQACAAAABDQ0MzQBCAAAAAUAAAABMQEAAAALLTE5MTgwOTQ2MzUDAAAAAzE2MAIAAAACMTUEAAAAATAHAAAACTYvMzAvMjAyNAgAAAAJNi8zMC8yMDI0CQAAAAEw5UraikQl3giisoyLRCXeCCZDSVEuQ09QLklRX05JLklRX0NRLjYvMzAvMjAyMy5MLi5VU0QuSAEAAABPhgQAAgAAAAQyMjMyAQgAAAAFAAAAATEBAAAACy0xOTg1NDM1NTczAwAAAAMxNjACAAAAAjE1BAAAAAEwBwAAAAk2LzMwLzIwMjMIAAAACTYvMzAvMjAyMwkAAAABMOVK2opEJd4IbRuIi0Ql3ggnQ0lRLkNWWC5JUV9OSS5JUV9DUS4xMi8zMS8yMDEwLkwuLlVTRC5IAQAAAMqAAQACAAAABDUyOTUBCAAAAAUAAAABMQEAAAAKMTUxOTU2NzI3NwMAAAADMTYwAgAAAAIxNQQAAAABMAcAAAAKMTIvMzEvMjAxMAgAAAAKMTIvMzEvMjAxMAkAAAABMPULfYlEJd4IkAlFi0Ql3ggmQ0lRLkNWWC5JUV9OSS5JUV9DUS45LzMwLzIwMTkuTC4uVVNELkgBAAAAyoABAAIAAAAEMjU4MAEIAAAABQAAAAExAQAAAAoyMDY4NTM4NDA0AwAAAAMx</t>
  </si>
  <si>
    <t>NjACAAAAAjE1BAAAAAEwBwAAAAk5LzMwLzIwMTkIAAAACTkvMzAvMjAxOQkAAAABMEiGx4pEJd4IQ492i0Ql3ggnQ0lRLkNPUC5JUV9OSS5JUV9DUS4xMi8zMS8yMDEwLkwuLlVTRC5IAQAAAE+GBAACAAAABDIwNDEBCAAAAAUAAAABMQEAAAAKMTUxNzYxNzA5NAMAAAADMTYwAgAAAAIxNQQAAAABMAcAAAAKMTIvMzEvMjAxMAgAAAAKMTIvMzEvMjAxMAkAAAABMPULfYlEJd4IhOJEi0Ql3ggnQ0lRLkNWWC5JUV9OSS5JUV9DUS4xMi8zMS8yMDI0LkwuLlVTRC5IAQAAAMqAAQACAAAABDMyMzkBCAAAAAUAAAABMQEAAAALLTE5NTg3NTc2MDADAAAAAzE2MAIAAAACMTUEAAAAATAHAAAACjEyLzMxLzIwMjQIAAAACjEyLzMxLzIwMjQJAAAAATDqI9qKRCXeCKkjj4tEJd4IJkNJUS5DT1AuSVFfTkkuSVFfQ1EuNi8zMC8yMDE3LkwuLlVTRC5IAQAAAE+GBAACAAAABS0zNDQwAQgAAAAFAAAAATEBAAAACjE4OTgwMjI5OTADAAAAAzE2MAIAAAACMTUEAAAAATAHAAAACTYvMzAvMjAxNwgAAAAJNi8zMC8yMDE3CQAAAAEwjaCKiUQl3ghEWmqLRCXeCCdDSVEuWE9NLklRX05JLklRX0NRLjEyLzMxLzIwMjQuTC4uVVNELkgBAAAAQjMGAAIAAAAENzYxMAEIAAAABQAAAAExAQAAAAstMTk1ODk1MzYzMQMAAAADMTYwAgAAAAIxNQQAAAABMAcAAAAKMTIvMzEvMjAyNAgAAAAKMTIvMzEvMjAyNAkAAAABMOoj2opEJd4I</t>
  </si>
  <si>
    <t>ynGPi0Ql3ggnQ0lRLlhPTS5JUV9OSS5JUV9DUS4xMi8zMS8yMDE0LkwuLlVTRC5IAQAAAEIzBgACAAAABDY1NzABCAAAAAUAAAABMQEAAAAKMTc3NzYzNDg4NQMAAAADMTYwAgAAAAIxNQQAAAABMAcAAAAKMTIvMzEvMjAxNAgAAAAKMTIvMzEvMjAxNAkAAAABMPULfYlEJd4InQZai0Ql3ggnQ0lRLkNPUC5JUV9OSS5JUV9DUS4xMi8zMS8yMDI0LkwuLlVTRC5IAQAAAE+GBAACAAAABDIzMDYBCAAAAAUAAAABMQEAAAALLTE5NTkyMDIxNzMDAAAAAzE2MAIAAAACMTUEAAAAATAHAAAACjEyLzMxLzIwMjQIAAAACjEyLzMxLzIwMjQJAAAAATDqI9qKRCXeCMFKj4tEJd4IJ0NJUS5YT00uSVFfTkkuSVFfQ1EuMTIvMzEvMjAxMi5MLi5VU0QuSAEAAABCMwYAAgAAAAQ5OTUwAQgAAAAFAAAAATEBAAAACjE2NjA0NzM5MTcDAAAAAzE2MAIAAAACMTUEAAAAATAHAAAACjEyLzMxLzIwMTIIAAAACjEyLzMxLzIwMTIJAAAAATCrh5iJRCXeCMBGTotEJd4IJkNJUS5DT1AuSVFfTkkuSVFfQ1EuMy8zMS8yMDE0LkwuLlVTRC5IAQAAAE+GBAACAAAABDIxMjMBCAAAAAUAAAABMQEAAAAKMTczMjU3OTQyOQMAAAADMTYwAgAAAAIxNQQAAAABMAcAAAAJMy8zMS8yMDE0CAAAAAkzLzMxLzIwMTQJAAAAATBQBIqJRCXeCIbWVItEJd4IJkNJUS5FT0cuSVFfTkkuSVFfQ1EuMy8zMS8yMDE4LkwuLlVTRC5IAQAAAFwdBAACAAAA</t>
  </si>
  <si>
    <t>BzYzOC41ODkBCAAAAAUAAAABMQEAAAAKMTk1OTE1NjkxNwMAAAADMTYwAgAAAAIxNQQAAAABMAcAAAAJMy8zMS8yMDE4CAAAAAkzLzMxLzIwMTgJAAAAATB6eYqJRCXeCEs8b4tEJd4IJkNJUS5DVlguSVFfTkkuSVFfQ1EuOS8zMC8yMDExLkwuLlVTRC5IAQAAAMqAAQACAAAABDc4MjkBCAAAAAUAAAABMQEAAAAKMTU3NDczNDYwNgMAAAADMTYwAgAAAAIxNQQAAAABMAcAAAAJOS8zMC8yMDExCAAAAAk5LzMwLzIwMTEJAAAAATDn5HyJRCXeCOClSItEJd4IJkNJUS5DVlguSVFfTkkuSVFfQ1EuNi8zMC8yMDIwLkwuLlVTRC5IAQAAAMqAAQACAAAABS04MjcwAQgAAAAFAAAAATEBAAAACy0yMTM5Nzk5OTQxAwAAAAMxNjACAAAAAjE1BAAAAAEwBwAAAAk2LzMwLzIwMjAIAAAACTYvMzAvMjAyMAkAAAABMClfx4pEJd4IrhF6i0Ql3ggmQ0lRLlhPTS5JUV9OSS5JUV9DUS45LzMwLzIwMjEuTC4uVVNELkgBAAAAQjMGAAIAAAAENjc1MAEIAAAABQAAAAExAQAAAAstMjA3MjMzNzU2OAMAAAADMTYwAgAAAAIxNQQAAAABMAcAAAAJOS8zMC8yMDIxCAAAAAk5LzMwLzIwMjEJAAAAATAJEceKRCXeCDAFgItEJd4IJ0NJUS5DT1AuSVFfTkkuSVFfQ1EuMTIvMzEvMjAyMi5MLi5VU0QuSAEAAABPhgQAAgAAAAQzMjQ5AQgAAAAFAAAAATEBAAAACy0yMDEwMTI1MDEyAwAAAAMxNjACAAAAAjE1BAAAAAEwBwAAAAoxMi8z</t>
  </si>
  <si>
    <t>MS8yMDIyCAAAAAoxMi8zMS8yMDIyCQAAAAEw/unGikQl3giD0YWLRCXeCCZDSVEuRU9HLklRX05JLklRX0NRLjYvMzAvMjAxMC5MLi5VU0QuSAEAAABcHQQAAgAAAAY1OS44NzIBCAAAAAUAAAABMQEAAAAKMTQ2NTAwNDU0MwMAAAADMTYwAgAAAAIxNQQAAAABMAcAAAAJNi8zMC8yMDEwCAAAAAk2LzMwLzIwMTAJAAAAATAGM32JRCXeCNkNQ4tEJd4IJ0NJUS5DT1AuSVFfTkkuSVFfQ1EuMTIvMzEvMjAxMi5MLi5VU0QuSAEAAABPhgQAAgAAAAQxNDI2AQgAAAAFAAAAATEBAAAACjE2NjAyNDc4ODkDAAAAAzE2MAIAAAACMTUEAAAAATAHAAAACjEyLzMxLzIwMTIIAAAACjEyLzMxLzIwMTIJAAAAATCrh5iJRCXeCMBGTotEJd4IJkNJUS5DVlguSVFfTkkuSVFfQ1EuMy8zMS8yMDE4LkwuLlVTRC5IAQAAAMqAAQACAAAABDM2MzgBCAAAAAUAAAABMQEAAAAKMTk1OTQ4OTYwMQMAAAADMTYwAgAAAAIxNQQAAAABMAcAAAAJMy8zMS8yMDE4CAAAAAkzLzMxLzIwMTgJAAAAATB6eYqJRCXeCEs8b4tEJd4IJkNJUS5DT1AuSVFfTkkuSVFfQ1EuOS8zMC8yMDIxLkwuLlVTRC5IAQAAAE+GBAACAAAABDIzNzkBCAAAAAUAAAABMQEAAAALLTIwNzE5MzM2MzUDAAAAAzE2MAIAAAACMTUEAAAAATAHAAAACTkvMzAvMjAyMQgAAAAJOS8zMC8yMDIxCQAAAAEwCRHHikQl3ggwBYCLRCXeCCZDSVEuRU9HLklRX05JLklRX0NR</t>
  </si>
  <si>
    <t>LjkvMzAvMjAyNS5MLi5VU0QuSAEAAABcHQQAAgAAAAQxNDcxAQgAAAAFAAAAATEBAAAACy0xOTE4MTcxMDM1AwAAAAMxNjACAAAAAjE1BAAAAAEwBwAAAAk5LzMwLzIwMjUIAAAACTkvMzAvMjAyNQkAAAABMNr82YpEJd4IW0KTi0Ql3ggmQ0lRLkVPRy5JUV9OSS5JUV9DUS45LzMwLzIwMTUuTC4uVVNELkgBAAAAXB0EAAIAAAAJLTQwNzUuNzM5AQgAAAAFAAAAATEBAAAACjE4MTYwMTYxNzYDAAAAAzE2MAIAAAACMTUEAAAAATAHAAAACTkvMzAvMjAxNQgAAAAJOS8zMC8yMDE1CQAAAAEwyJZ8iUQl3giX6F6LRCXeCCZDSVEuWE9NLklRX05JLklRX0NRLjMvMzEvMjAxOC5MLi5VU0QuSAEAAABCMwYAAgAAAAQ0NjUwAQgAAAAFAAAAATEBAAAACjE5NTk0OTYzOTcDAAAAAzE2MAIAAAACMTUEAAAAATAHAAAACTMvMzEvMjAxOAgAAAAJMy8zMS8yMDE4CQAAAAEwenmKiUQl3ghLPG+LRCXeCCdDSVEuWE9NLklRX05JLklRX0NRLjEyLzMxLzIwMTYuTC4uVVNELkgBAAAAQjMGAAIAAAAEMTY4MAEIAAAABQAAAAExAQAAAAoxODc3MjMzNjE2AwAAAAMxNjACAAAAAjE1BAAAAAEwBwAAAAoxMi8zMS8yMDE2CAAAAAoxMi8zMS8yMDE2CQAAAAEwjaCKiUQl3gj2JWeLRCXeCCZDSVEuRU9HLklRX05JLklRX0NRLjMvMzEvMjAyMi5MLi5VU0QuSAEAAABcHQQAAgAAAAMzOTABCAAAAAUAAAABMQEAAAALLTIwNDc0NzM2</t>
  </si>
  <si>
    <t>NzEDAAAAAzE2MAIAAAACMTUEAAAAATAHAAAACTMvMzEvMjAyMggAAAAJMy8zMS8yMDIyCQAAAAEwCRHHikQl3ggTT4KLRCXeCCZDSVEuWE9NLklRX05JLklRX0NRLjkvMzAvMjAyNS5MLi5VU0QuSAEAAABCMwYAAgAAAAQ3NTQ4AQgAAAAFAAAAATEBAAAACy0xOTE4Njc1MzMyAwAAAAMxNjACAAAAAjE1BAAAAAEwBwAAAAk5LzMwLzIwMjUIAAAACTkvMzAvMjAyNQkAAAABMNr82YpEJd4IW0KTi0Ql3ggmQ0lRLkNWWC5JUV9OSS5JUV9DUS42LzMwLzIwMTQuTC4uVVNELkgBAAAAyoABAAIAAAAENTY2NQEIAAAABQAAAAExAQAAAAoxNzQ4ODU1MzQ2AwAAAAMxNjACAAAAAjE1BAAAAAEwBwAAAAk2LzMwLzIwMTQIAAAACTYvMzAvMjAxNAkAAAABMFAEiolEJd4IKoRWi0Ql3ggmQ0lRLlhPTS5JUV9OSS5JUV9DUS42LzMwLzIwMjMuTC4uVVNELkgBAAAAQjMGAAIAAAAENzg4MAEIAAAABQAAAAExAQAAAAstMTkxOTIzNDY3MgMAAAADMTYwAgAAAAIxNQQAAAABMAcAAAAJNi8zMC8yMDIzCAAAAAk2LzMwLzIwMjMJAAAAATDlStqKRCXeCG0biItEJd4IJ0NJUS5FT0cuSVFfTkkuSVFfQ1EuMTIvMzEvMjAxMC5MLi5VU0QuSAEAAABcHQQAAgAAAAY1My42NzMBCAAAAAUAAAABMQEAAAAKMTU2MjE3NjY1MQMAAAADMTYwAgAAAAIxNQQAAAABMAcAAAAKMTIvMzEvMjAxMAgAAAAKMTIvMzEvMjAxMAkAAAABMPULfYlE</t>
  </si>
  <si>
    <t>Jd4IkAlFi0Ql3ggnQ0lRLkNWWC5JUV9OSS5JUV9DUS4xMi8zMS8yMDIwLkwuLlVTRC5IAQAAAMqAAQACAAAABC02NjUBCAAAAAUAAAABMQEAAAALLTIxMTA4ODI4MjADAAAAAzE2MAIAAAACMTUEAAAAATAHAAAACjEyLzMxLzIwMjAIAAAACjEyLzMxLzIwMjAJAAAAATAxOMeKRCXeCLqpfItEJd4IJkNJUS5YT00uSVFfTkkuSVFfQ1EuMy8zMS8yMDEyLkwuLlVTRC5IAQAAAEIzBgACAAAABDk0NTABCAAAAAUAAAABMQEAAAAKMTYxNTA0Nzg0MwMAAAADMTYwAgAAAAIxNQQAAAABMAcAAAAJMy8zMS8yMDEyCAAAAAkzLzMxLzIwMTIJAAAAATDbvXyJRCXeCEz4SotEJd4IJkNJUS5DT1AuSVFfTkkuSVFfQ1EuMy8zMS8yMDIyLkwuLlVTRC5IAQAAAE+GBAACAAAABDU3NTkBCAAAAAUAAAABMQEAAAALLTIwNDcyNTE3NDgDAAAAAzE2MAIAAAACMTUEAAAAATAHAAAACTMvMzEvMjAyMggAAAAJMy8zMS8yMDIyCQAAAAEwCRHHikQl3ggTT4KLRCXeCCZDSVEuRU9HLklRX05JLklRX0NRLjMvMzEvMjAxNi5MLi5VU0QuSAEAAABcHQQAAgAAAAgtNDcxLjc3NgEIAAAABQAAAAExAQAAAAoxODQwOTYzMTc5AwAAAAMxNjACAAAAAjE1BAAAAAEwBwAAAAkzLzMxLzIwMTYIAAAACTMvMzEvMjAxNgkAAAABMKHHiolEJd4IDWtii0Ql3ggmQ0lRLkNWWC5JUV9OSS5JUV9DUS42LzMwLzIwMTguTC4uVVNELkgBAAAAyoABAAIA</t>
  </si>
  <si>
    <t>AAAEMzQwOQEIAAAABQAAAAExAQAAAAoxOTc0NTI2MzY5AwAAAAMxNjACAAAAAjE1BAAAAAEwBwAAAAk2LzMwLzIwMTgIAAAACTYvMzAvMjAxOAkAAAABMGtSiolEJd4I+elwi0Ql3ggmQ0lRLkVPRy5JUV9OSS5JUV9DUS45LzMwLzIwMTMuTC4uVVNELkgBAAAAXB0EAAIAAAAHNDYyLjQ5OAEIAAAABQAAAAExAQAAAAoxNzA0NjI5MTAyAwAAAAMxNjACAAAAAjE1BAAAAAEwBwAAAAk5LzMwLzIwMTMIAAAACTkvMzAvMjAxMwkAAAABMG4riolEJd4IQfBRi0Ql3ggmQ0lRLkNWWC5JUV9OSS5JUV9DUS45LzMwLzIwMjMuTC4uVVNELkgBAAAAyoABAAIAAAAENjUyNgEIAAAABQAAAAExAQAAAAstMTk3MDEyMTkzNgMAAAADMTYwAgAAAAIxNQQAAAABMAcAAAAJOS8zMC8yMDIzCAAAAAk5LzMwLzIwMjMJAAAAATDlStqKRCXeCOlTiYtEJd4IJkNJUS5DVlguSVFfTkkuSVFfQ1EuOS8zMC8yMDEzLkwuLlVTRC5IAQAAAMqAAQACAAAABDQ5NTABCAAAAAUAAAABMQEAAAAKMTcwNTI1MDg4OAMAAAADMTYwAgAAAAIxNQQAAAABMAcAAAAJOS8zMC8yMDEzCAAAAAk5LzMwLzIwMTMJAAAAATBuK4qJRCXeCEHwUYtEJd4IJ0NJUS5FT0cuSVFfTkkuSVFfQ1EuMTIvMzEvMjAxNi5MLi5VU0QuSAEAAABcHQQAAgAAAAgtMTQyLjM1MgEIAAAABQAAAAExAQAAAAoxODc2NzU0NDk5AwAAAAMxNjACAAAAAjE1BAAAAAEwBwAAAAox</t>
  </si>
  <si>
    <t>Mi8zMS8yMDE2CAAAAAoxMi8zMS8yMDE2CQAAAAEwjaCKiUQl3ggITWeLRCXeCCZDSVEuWE9NLklRX05JLklRX0NRLjYvMzAvMjAxOS5MLi5VU0QuSAEAAABCMwYAAgAAAAQzMTMwAQgAAAAFAAAAATEBAAAACjIwNDgzMDM1NzQDAAAAAzE2MAIAAAACMTUEAAAAATAHAAAACTYvMzAvMjAxOQgAAAAJNi8zMC8yMDE5CQAAAAEwwG98iUQl3gjEVnWLRCXeCCZDSVEuWE9NLklRX05JLklRX0NRLjkvMzAvMjAxMS5MLi5VU0QuSAEAAABCMwYAAgAAAAUxMDMzMAEIAAAABQAAAAExAQAAAAoxNTc0NzM0ODIyAwAAAAMxNjACAAAAAjE1BAAAAAEwBwAAAAk5LzMwLzIwMTEIAAAACTkvMzAvMjAxMQkAAAABMOfkfIlEJd4I4KVIi0Ql3ggmQ0lRLkNWWC5JUV9OSS5JUV9DUS42LzMwLzIwMTAuTC4uVVNELkgBAAAAyoABAAIAAAAENTQwOQEIAAAABQAAAAExAQAAAAoxNDY0ODQ0MjE2AwAAAAMxNjACAAAAAjE1BAAAAAEwBwAAAAk2LzMwLzIwMTAIAAAACTYvMzAvMjAxMAkAAAABMAYzfYlEJd4I2Q1Di0Ql3ggnQ0lRLkNWWC5JUV9OSS5JUV9DUS4xMi8zMS8yMDE2LkwuLlVTRC5IAQAAAMqAAQACAAAAAzQxNQEIAAAABQAAAAExAQAAAAoxODc1Njc2MjQxAwAAAAMxNjACAAAAAjE1BAAAAAEwBwAAAAoxMi8zMS8yMDE2CAAAAAoxMi8zMS8yMDE2CQAAAAEwjaCKiUQl3gj2JWeLRCXeCCZDSVEuQ09QLklRX05JLklRX0NR</t>
  </si>
  <si>
    <t>LjYvMzAvMjAxOS5MLi5VU0QuSAEAAABPhgQAAgAAAAQxNTgwAQgAAAAFAAAAATEBAAAACjIwNDgwOTcyNTkDAAAAAzE2MAIAAAACMTUEAAAAATAHAAAACTYvMzAvMjAxOQgAAAAJNi8zMC8yMDE5CQAAAAEwwG98iUQl3gjEVnWLRCXeCCZDSVEuQ09QLklRX05JLklRX0NRLjkvMzAvMjAxMS5MLi5VU0QuSAEAAABPhgQAAgAAAAQyNjE2AQgAAAAFAAAAATEBAAAACjE1NzM3NDYxMTIDAAAAAzE2MAIAAAACMTUEAAAAATAHAAAACTkvMzAvMjAxMQgAAAAJOS8zMC8yMDExCQAAAAEw5+R8iUQl3gjgpUiLRCXeCCZDSVEuQ1ZYLklRX05JLklRX0NRLjkvMzAvMjAyNS5MLi5VU0QuSAEAAADKgAEAAgAAAAQzNTM5AQgAAAAFAAAAATEBAAAACy0xOTE4MDk4MDU5AwAAAAMxNjACAAAAAjE1BAAAAAEwBwAAAAk5LzMwLzIwMjUIAAAACTkvMzAvMjAyNQkAAAABMNr82YpEJd4IW0KTi0Ql3ggmQ0lRLkNWWC5JUV9OSS5JUV9DUS45LzMwLzIwMTUuTC4uVVNELkgBAAAAyoABAAIAAAAEMjAzNwEIAAAABQAAAAExAQAAAAoxODE2MjMwMTAzAwAAAAMxNjACAAAAAjE1BAAAAAEwBwAAAAk5LzMwLzIwMTUIAAAACTkvMzAvMjAxNQkAAAABMMiWfIlEJd4IiMFei0Ql3ggmQ0lRLkNPUC5JUV9OSS5JUV9DUS45LzMwLzIwMTUuTC4uVVNELkgBAAAAT4YEAAIAAAAFLTEwNzEBCAAAAAUAAAABMQEAAAAKMTgxNTc3MjY4OAMAAAAD</t>
  </si>
  <si>
    <t>MTYwAgAAAAIxNQQAAAABMAcAAAAJOS8zMC8yMDE1CAAAAAk5LzMwLzIwMTUJAAAAATDIlnyJRCXeCIjBXotEJd4IJkNJUS5YT00uSVFfTkkuSVFfQ1EuMy8zMS8yMDIyLkwuLlVTRC5IAQAAAEIzBgACAAAABDU0ODABCAAAAAUAAAABMQEAAAALLTIwNDc4OTgxOTkDAAAAAzE2MAIAAAACMTUEAAAAATAHAAAACTMvMzEvMjAyMggAAAAJMy8zMS8yMDIyCQAAAAEwCRHHikQl3ggTT4KLRCXeCCZDSVEuQ09QLklRX05JLklRX0NRLjYvMzAvMjAxMy5MLi5VU0QuSAEAAABPhgQAAgAAAAQyMDUwAQgAAAAFAAAAATEBAAAACjE2ODk1OTc5OTUDAAAAAzE2MAIAAAACMTUEAAAAATAHAAAACTYvMzAvMjAxMwgAAAAJNi8zMC8yMDEzCQAAAAEwmGCYiUQl3gitkFCLRCXeCCZDSVEuRU9HLklRX05JLklRX0NRLjYvMzAvMjAxOC5MLi5VU0QuSAEAAABcHQQAAgAAAAc2OTYuNzMxAQgAAAAFAAAAATEBAAAACjE5NzMzNDEzNTYDAAAAAzE2MAIAAAACMTUEAAAAATAHAAAACTYvMzAvMjAxOAgAAAAJNi8zMC8yMDE4CQAAAAEwa1KKiUQl3gj56XCLRCXeCCZDSVEuWE9NLklRX05JLklRX0NRLjkvMzAvMjAxOS5MLi5VU0QuSAEAAABCMwYAAgAAAAQzMTcwAQgAAAAFAAAAATEBAAAACjIwNjgyNzI4MTUDAAAAAzE2MAIAAAACMTUEAAAAATAHAAAACTkvMzAvMjAxOQgAAAAJOS8zMC8yMDE5CQAAAAEwSIbHikQl3ghDj3aLRCXe</t>
  </si>
  <si>
    <t>CCdDSVEuRU9HLklRX05JLklRX0NRLjEyLzMxLzIwMjQuTC4uVVNELkgBAAAAXB0EAAIAAAAEMTI1MQEIAAAABQAAAAExAQAAAAstMTk1Nzk2Njg1MgMAAAADMTYwAgAAAAIxNQQAAAABMAcAAAAKMTIvMzEvMjAyNAgAAAAKMTIvMzEvMjAyNAkAAAABMOoj2opEJd4IqSOPi0Ql3ggmQ0lRLkNWWC5JUV9OSS5JUV9DUS4zLzMxLzIwMTYuTC4uVVNELkgBAAAAyoABAAIAAAAELTcyNQEIAAAABQAAAAExAQAAAAoxODQwMzkwNTE0AwAAAAMxNjACAAAAAjE1BAAAAAEwBwAAAAkzLzMxLzIwMTYIAAAACTMvMzEvMjAxNgkAAAABMKHHiolEJd4IAkRii0Ql3ggmQ0lRLkNPUC5JUV9OSS5JUV9DUS45LzMwLzIwMTkuTC4uVVNELkgBAAAAT4YEAAIAAAAEMzA1NgEIAAAABQAAAAExAQAAAAoyMDY4MTQ0ODY3AwAAAAMxNjACAAAAAjE1BAAAAAEwBwAAAAk5LzMwLzIwMTkIAAAACTkvMzAvMjAxOQkAAAABMEiGx4pEJd4IQ492i0Ql3ggmQ0lRLlhPTS5JUV9OSS5JUV9DUS4zLzMxLzIwMTYuTC4uVVNELkgBAAAAQjMGAAIAAAAEMTgxMAEIAAAABQAAAAExAQAAAAoxODg2NDc2ODAyAwAAAAMxNjACAAAAAjE1BAAAAAEwBwAAAAkzLzMxLzIwMTYIAAAACTMvMzEvMjAxNgkAAAABMKHHiolEJd4IAkRii0Ql3ggmQ0lRLkVPRy5JUV9OSS5JUV9DUS42LzMwLzIwMTIuTC4uVVNELkgBAAAAXB0EAAIAAAAHMzk1Ljc3OAEIAAAA</t>
  </si>
  <si>
    <t>BQAAAAExAQAAAAoxNjI5NTIwNTI1AwAAAAMxNjACAAAAAjE1BAAAAAEwBwAAAAk2LzMwLzIwMTIIAAAACTYvMzAvMjAxMgkAAAABMKuHmIlEJd4IzCBMi0Ql3ggnQ0lRLkNPUC5JUV9OSS5JUV9MVE0uOS8zMC8yMDI1LkwuLlVTRC5IAQAAAE+GBAACAAAABDg4NTIBCAAAAAUAAAABMQEAAAALLTE5MTgwNDU0MjEDAAAAAzE2MAIAAAACMTUEAAAAATAHAAAACTkvMzAvMjAyNQgAAAAJOS8zMC8yMDI1CQAAAAEw2vzZikQl3ghCG5OLRCXeCCdDSVEuWE9NLklRX05JLklRX0xUTS42LzMwLzIwMTYuTC4uVVNELkgBAAAAQjMGAAIAAAAFMTA1MzABCAAAAAUAAAABMQEAAAAKMTg3NjM5OTA5NQMAAAADMTYwAgAAAAIxNQQAAAABMAcAAAAJNi8zMC8yMDE2CAAAAAk2LzMwLzIwMTYJAAAAATChx4qJRCXeCIejY4tEJd4IJ0NJUS5FT0cuSVFfTkkuSVFfTFRNLjMvMzEvMjAxOS5MLi5VU0QuSAEAAABcHQQAAgAAAAgzNDE1Ljg3NwEIAAAABQAAAAExAQAAAAoyMDM0MDIwMDk0AwAAAAMxNjACAAAAAjE1BAAAAAEwBwAAAAkzLzMxLzIwMTkIAAAACTMvMzEvMjAxOQkAAAABMPULfYlEJd4IPB50i0Ql3ggnQ0lRLlhPTS5JUV9OSS5JUV9MVE0uNi8zMC8yMDIwLkwuLlVTRC5IAQAAAEIzBgACAAAABDcxNzABCAAAAAUAAAABMQEAAAALLTIxNDAwNzA5NTADAAAAAzE2MAIAAAACMTUEAAAAATAHAAAACTYvMzAvMjAyMAgA</t>
  </si>
  <si>
    <t>AAAJNi8zMC8yMDIwCQAAAAEwKV/HikQl3gin6nmLRCXeCCdDSVEuRU9HLklRX05JLklRX0xUTS4zLzMxLzIwMjEuTC4uVVNELkgBAAAAXB0EAAIAAAACNjIBCAAAAAUAAAABMQEAAAALLTIwOTg0OTgzNjEDAAAAAzE2MAIAAAACMTUEAAAAATAHAAAACTMvMzEvMjAyMQgAAAAJMy8zMS8yMDIxCQAAAAEwMTjHikQl3ggyu32LRCXeCCdDSVEuWE9NLklRX05JLklRX0xUTS42LzMwLzIwMjIuTC4uVVNELkgBAAAAQjMGAAIAAAAFMzg5NTABCAAAAAUAAAABMQEAAAALLTIwMzYxNjU2ODkDAAAAAzE2MAIAAAACMTUEAAAAATAHAAAACTYvMzAvMjAyMggAAAAJNi8zMC8yMDIyCQAAAAEw/unGikQl3giBYIOLRCXeCCdDSVEuRU9HLklRX05JLklRX0xUTS4zLzMxLzIwMjMuTC4uVVNELkgBAAAAXB0EAAIAAAAEOTM5MgEIAAAABQAAAAExAQAAAAstMTk5NzE2NzM3NgMAAAADMTYwAgAAAAIxNQQAAAABMAcAAAAJMy8zMS8yMDIzCAAAAAkzLzMxLzIwMjMJAAAAATDlStqKRCXeCPDihotEJd4IJ0NJUS5FT0cuSVFfTkkuSVFfTFRNLjMvMzEvMjAyNS5MLi5VU0QuSAEAAABcHQQAAgAAAAQ2MDc3AQgAAAAFAAAAATEBAAAACy0xOTQ2OTg2NDQ1AwAAAAMxNjACAAAAAjE1BAAAAAEwBwAAAAkzLzMxLzIwMjUIAAAACTMvMzEvMjAyNQkAAAABMOoj2opEJd4IMoOQi0Ql3ggnQ0lRLkNWWC5JUV9OSS5JUV9MVE0uMy8zMS8y</t>
  </si>
  <si>
    <t>MDExLkwuLlVTRC5IAQAAAMqAAQACAAAABTIwNjgzAQgAAAAFAAAAATEBAAAACjE1NDUwNDMzMjADAAAAAzE2MAIAAAACMTUEAAAAATAHAAAACTMvMzEvMjAxMQgAAAAJMy8zMS8yMDExCQAAAAEw9Qt9iUQl3ggBG0aLRCXeCCdDSVEuQ09QLklRX05JLklRX0xUTS42LzMwLzIwMTIuTC4uVVNELkgBAAAAT4YEAAIAAAAFMTEyMTABCAAAAAUAAAABMQEAAAAKMTYyOTIxMDMwNwMAAAADMTYwAgAAAAIxNQQAAAABMAcAAAAJNi8zMC8yMDEyCAAAAAk2LzMwLzIwMTIJAAAAATCrh5iJRCXeCMwgTItEJd4IJ0NJUS5DVlguSVFfTkkuSVFfTFRNLjMvMzEvMjAxNS5MLi5VU0QuSAEAAADKgAEAAgAAAAUxNzI5NgEIAAAABQAAAAExAQAAAAoxNzg5ODU0ODk0AwAAAAMxNjACAAAAAjE1BAAAAAEwBwAAAAkzLzMxLzIwMTUIAAAACTMvMzEvMjAxNQkAAAABMNu9fIlEJd4IJWZbi0Ql3ggnQ0lRLkNPUC5JUV9OSS5JUV9MVE0uNi8zMC8yMDE2LkwuLlVTRC5IAQAAAE+GBAACAAAABS03MDYxAQgAAAAFAAAAATEBAAAACjE4NTEyNjc0NzUDAAAAAzE2MAIAAAACMTUEAAAAATAHAAAACTYvMzAvMjAxNggAAAAJNi8zMC8yMDE2CQAAAAEwoceKiUQl3git8WOLRCXeCCdDSVEuQ1ZYLklRX05JLklRX0xUTS4zLzMxLzIwMTkuTC4uVVNELkgBAAAAyoABAAIAAAAFMTM4MzUBCAAAAAUAAAABMQEAAAAKMjAzMzcyODM0MwMAAAAD</t>
  </si>
  <si>
    <t>MTYwAgAAAAIxNQQAAAABMAcAAAAJMy8zMS8yMDE5CAAAAAkzLzMxLzIwMTkJAAAAATD1C32JRCXeCDwedItEJd4IJ0NJUS5DVlguSVFfTkkuSVFfTFRNLjMvMzEvMjAyMS5MLi5VU0QuSAEAAADKgAEAAgAAAAUtNzc2NQEIAAAABQAAAAExAQAAAAstMjA5ODU2MzQ4MAMAAAADMTYwAgAAAAIxNQQAAAABMAcAAAAJMy8zMS8yMDIxCAAAAAkzLzMxLzIwMjEJAAAAATAxOMeKRCXeCCOUfYtEJd4IJ0NJUS5DT1AuSVFfTkkuSVFfTFRNLjYvMzAvMjAyMi5MLi5VU0QuSAEAAABPhgQAAgAAAAUxNTkxMAEIAAAABQAAAAExAQAAAAstMjAyMTQ3NDg1OQMAAAADMTYwAgAAAAIxNQQAAAABMAcAAAAJNi8zMC8yMDIyCAAAAAk2LzMwLzIwMjIJAAAAATD+6caKRCXeCJCHg4tEJd4IJ0NJUS5DT1AuSVFfTkkuSVFfTFRNLjYvMzAvMjAyNC5MLi5VU0QuSAEAAABPhgQAAgAAAAUxMDY4NQEIAAAABQAAAAExAQAAAAstMTkzMjg1ODM0OQMAAAADMTYwAgAAAAIxNQQAAAABMAcAAAAJNi8zMC8yMDI0CAAAAAk2LzMwLzIwMjQJAAAAATDlStqKRCXeCKKyjItEJd4IKENJUS5FT0cuSVFfTkkuSVFfTFRNLjEyLzMxLzIwMTEuTC4uVVNELkgBAAAAXB0EAAIAAAAIMTA5MS4xMjMBCAAAAAUAAAABMQEAAAAKMTY2MDA0NDE4NAMAAAADMTYwAgAAAAIxNQQAAAABMAcAAAAKMTIvMzEvMjAxMQgAAAAKMTIvMzEvMjAxMQkAAAABMOfk</t>
  </si>
  <si>
    <t>fIlEJd4INZNJi0Ql3ggnQ0lRLlhPTS5JUV9OSS5JUV9MVE0uMy8zMS8yMDEzLkwuLlVTRC5IAQAAAEIzBgACAAAABTQ0OTMwAQgAAAAFAAAAATEBAAAACjE2NzU5OTA3MDYDAAAAAzE2MAIAAAACMTUEAAAAATAHAAAACTMvMzEvMjAxMwgAAAAJMy8zMS8yMDEzCQAAAAEwmGCYiUQl3ggsWE+LRCXeCChDSVEuRU9HLklRX05JLklRX0xUTS4xMi8zMS8yMDE3LkwuLlVTRC5IAQAAAFwdBAACAAAACDI1ODIuNTc5AQgAAAAFAAAAATEBAAAACjIwMTgxNjkwMTcDAAAAAzE2MAIAAAACMTUEAAAAATAHAAAACjEyLzMxLzIwMTcIAAAACjEyLzMxLzIwMTcJAAAAATB6eYqJRCXeCHVAbYtEJd4IJ0NJUS5YT00uSVFfTkkuSVFfTFRNLjMvMzEvMjAxOS5MLi5VU0QuSAEAAABCMwYAAgAAAAUxODU0MAEIAAAABQAAAAExAQAAAAoyMDMzNzQ0MjIyAwAAAAMxNjACAAAAAjE1BAAAAAEwBwAAAAkzLzMxLzIwMTkIAAAACTMvMzEvMjAxOQkAAAABMPULfYlEJd4IPB50i0Ql3ggoQ0lRLkVPRy5JUV9OSS5JUV9MVE0uMTIvMzEvMjAyMS5MLi5VU0QuSAEAAABcHQQAAgAAAAQ0NjY0AQgAAAAFAAAAATEBAAAACy0yMDA5MjM3MjM4AwAAAAMxNjACAAAAAjE1BAAAAAEwBwAAAAoxMi8zMS8yMDIxCAAAAAoxMi8zMS8yMDIxCQAAAAEwCRHHikQl3giNFoGLRCXeCCdDSVEuWE9NLklRX05JLklRX0xUTS4zLzMxLzIwMjMuTC4uVVNE</t>
  </si>
  <si>
    <t>LkgBAAAAQjMGAAIAAAAFNjE2OTABCAAAAAUAAAABMQEAAAALLTE5OTgwNTU5ODADAAAAAzE2MAIAAAACMTUEAAAAATAHAAAACTMvMzEvMjAyMwgAAAAJMy8zMS8yMDIzCQAAAAEw5UraikQl3gjw4oaLRCXeCCdDSVEuWE9NLklRX05JLklRX0xUTS42LzMwLzIwMTAuTC4uVVNELkgBAAAAQjMGAAIAAAAFMjQ2NDABCAAAAAUAAAABMQEAAAAKMTQ2NTAxNDQxMQMAAAADMTYwAgAAAAIxNQQAAAABMAcAAAAJNi8zMC8yMDEwCAAAAAk2LzMwLzIwMTAJAAAAATAGM32JRCXeCLG/QotEJd4IJ0NJUS5FT0cuSVFfTkkuSVFfTFRNLjMvMzEvMjAxMS5MLi5VU0QuSAEAAABcHQQAAgAAAAcxNzYuNjEyAQgAAAAFAAAAATEBAAAACjE1NDU2ODczNDEDAAAAAzE2MAIAAAACMTUEAAAAATAHAAAACTMvMzEvMjAxMQgAAAAJMy8zMS8yMDExCQAAAAEw9Qt9iUQl3ggBG0aLRCXeCCdDSVEuWE9NLklRX05JLklRX0xUTS42LzMwLzIwMTIuTC4uVVNELkgBAAAAQjMGAAIAAAAFNDUwOTABCAAAAAUAAAABMQEAAAAKMTY0MzQ4Mzk3MwMAAAADMTYwAgAAAAIxNQQAAAABMAcAAAAJNi8zMC8yMDEyCAAAAAk2LzMwLzIwMTIJAAAAATCrh5iJRCXeCHXlS4tEJd4IJ0NJUS5FT0cuSVFfTkkuSVFfTFRNLjMvMzEvMjAxMy5MLi5VU0QuSAEAAABcHQQAAgAAAAc3NDAuOTk1AQgAAAAFAAAAATEBAAAACjE2NzU3NTA2MDQDAAAAAzE2MAIA</t>
  </si>
  <si>
    <t>AAACMTUEAAAAATAHAAAACTMvMzEvMjAxMwgAAAAJMy8zMS8yMDEzCQAAAAEwmGCYiUQl3ggsWE+LRCXeCCdDSVEuWE9NLklRX05JLklRX0xUTS42LzMwLzIwMTQuTC4uVVNELkgBAAAAQjMGAAIAAAAFMzQxMDABCAAAAAUAAAABMQEAAAAKMTc0ODg0Njg2NwMAAAADMTYwAgAAAAIxNQQAAAABMAcAAAAJNi8zMC8yMDE0CAAAAAk2LzMwLzIwMTQJAAAAATBQBIqJRCXeCBddVotEJd4IJ0NJUS5FT0cuSVFfTkkuSVFfTFRNLjMvMzEvMjAxNS5MLi5VU0QuSAEAAABcHQQAAgAAAAgyMDg0LjgxMQEIAAAABQAAAAExAQAAAAoxNzg5NzExNzIyAwAAAAMxNjACAAAAAjE1BAAAAAEwBwAAAAkzLzMxLzIwMTUIAAAACTMvMzEvMjAxNQkAAAABMNu9fIlEJd4IOo1bi0Ql3ggnQ0lRLkVPRy5JUV9OSS5JUV9MVE0uMy8zMS8yMDE3LkwuLlVTRC5IAQAAAFwdBAACAAAACC01OTYuMzkzAQgAAAAFAAAAATEBAAAACjE4ODYzMjQwODcDAAAAAzE2MAIAAAACMTUEAAAAATAHAAAACTMvMzEvMjAxNwgAAAAJMy8zMS8yMDE3CQAAAAEwjaCKiUQl3giHhWiLRCXeCCdDSVEuWE9NLklRX05JLklRX0xUTS42LzMwLzIwMTguTC4uVVNELkgBAAAAQjMGAAIAAAAFMjA5NTABCAAAAAUAAAABMQEAAAAKMTk3NDUyODM3NwMAAAADMTYwAgAAAAIxNQQAAAABMAcAAAAJNi8zMC8yMDE4CAAAAAk2LzMwLzIwMTgJAAAAATBrUoqJRCXeCOCb</t>
  </si>
  <si>
    <t>cItEJd4IJ0NJUS5YT00uSVFfTkkuSVFfTFRNLjYvMzAvMjAyNC5MLi5VU0QuSAEAAABCMwYAAgAAAAUzNDE2MAEIAAAABQAAAAExAQAAAAstMTkzMzQ0MzM2NAMAAAADMTYwAgAAAAIxNQQAAAABMAcAAAAJNi8zMC8yMDI0CAAAAAk2LzMwLzIwMjQJAAAAATDlStqKRCXeCLfZjItEJd4IJ0NJUS5DT1AuSVFfTkkuSVFfTFRNLjYvMzAvMjAxMC5MLi5VU0QuSAEAAABPhgQAAgAAAAQ5MDE3AQgAAAAFAAAAATEBAAAACjE0NjQ1NzI5MzQDAAAAAzE2MAIAAAACMTUEAAAAATAHAAAACTYvMzAvMjAxMAgAAAAJNi8zMC8yMDEwCQAAAAEwBjN9iUQl3gixv0KLRCXeCCdDSVEuQ1ZYLklRX05JLklRX0xUTS4zLzMxLzIwMTMuTC4uVVNELkgBAAAAyoABAAIAAAAFMjU4ODYBCAAAAAUAAAABMQEAAAAKMTY3NTA0MTcwOQMAAAADMTYwAgAAAAIxNQQAAAABMAcAAAAJMy8zMS8yMDEzCAAAAAkzLzMxLzIwMTMJAAAAATCYYJiJRCXeCCxYT4tEJd4IJ0NJUS5DT1AuSVFfTkkuSVFfTFRNLjYvMzAvMjAxNC5MLi5VU0QuSAEAAABPhgQAAgAAAAQ5MTcxAQgAAAAFAAAAATEBAAAACjE3NDg2OTEyODUDAAAAAzE2MAIAAAACMTUEAAAAATAHAAAACTYvMzAvMjAxNAgAAAAJNi8zMC8yMDE0CQAAAAEwUASKiUQl3gg0q1aLRCXeCCdDSVEuQ1ZYLklRX05JLklRX0xUTS4zLzMxLzIwMTcuTC4uVVNELkgBAAAAyoABAAIAAAAEMjkx</t>
  </si>
  <si>
    <t>MAEIAAAABQAAAAExAQAAAAoxODg2NjE3MjEyAwAAAAMxNjACAAAAAjE1BAAAAAEwBwAAAAkzLzMxLzIwMTcIAAAACTMvMzEvMjAxNwkAAAABMI2giolEJd4Ih4Voi0Ql3ggnQ0lRLkNPUC5JUV9OSS5JUV9MVE0uNi8zMC8yMDE4LkwuLlVTRC5IAQAAAE+GBAACAAAABDQ1MjcBCAAAAAUAAAABMQEAAAAKMTk3NTExNjU4MQMAAAADMTYwAgAAAAIxNQQAAAABMAcAAAAJNi8zMC8yMDE4CAAAAAk2LzMwLzIwMTgJAAAAATBrUoqJRCXeCPnpcItEJd4IJ0NJUS5DT1AuSVFfTkkuSVFfTFRNLjYvMzAvMjAyMC5MLi5VU0QuSAEAAABPhgQAAgAAAAQyMjk3AQgAAAAFAAAAATEBAAAACy0yMTM5NzQyMDY5AwAAAAMxNjACAAAAAjE1BAAAAAEwBwAAAAk2LzMwLzIwMjAIAAAACTYvMzAvMjAyMAkAAAABMClfx4pEJd4Iwjh6i0Ql3ggnQ0lRLkNWWC5JUV9OSS5JUV9MVE0uMy8zMS8yMDIzLkwuLlVTRC5IAQAAAMqAAQACAAAABTM1NzgwAQgAAAAFAAAAATEBAAAACy0xOTg0NTczNzgyAwAAAAMxNjACAAAAAjE1BAAAAAEwBwAAAAkzLzMxLzIwMjMIAAAACTMvMzEvMjAyMwkAAAABMOVK2opEJd4I8OKGi0Ql3ggnQ0lRLkNWWC5JUV9OSS5JUV9MVE0uMy8zMS8yMDI1LkwuLlVTRC5IAQAAAMqAAQACAAAABTE1NjYwAQgAAAAFAAAAATEBAAAACy0xOTMyNTkwNDU2AwAAAAMxNjACAAAAAjE1BAAAAAEwBwAAAAkzLzMxLzIw</t>
  </si>
  <si>
    <t>MjUIAAAACTMvMzEvMjAyNQkAAAABMOoj2opEJd4IMlyQi0Ql3ggoQ0lRLkVPRy5JUV9OSS5JUV9MVE0uMTIvMzEvMjAwOS5MLi5VU0QuSAEAAABcHQQAAgAAAAc1NDYuNjI3AQgAAAAFAAAAATEBAAAACjE1NjIxNzY2MDkDAAAAAzE2MAIAAAACMTUEAAAAATAHAAAACjEyLzMxLzIwMDkIAAAACjEyLzMxLzIwMDkJAAAAATAGM32JRCXeCNHDQItEJd4IJ0NJUS5YT00uSVFfTkkuSVFfTFRNLjMvMzEvMjAxMS5MLi5VU0QuSAEAAABCMwYAAgAAAAUzNDgxMAEIAAAABQAAAAExAQAAAAoxNTQ1MDQzNTMyAwAAAAMxNjACAAAAAjE1BAAAAAEwBwAAAAkzLzMxLzIwMTEIAAAACTMvMzEvMjAxMQkAAAABMPULfYlEJd4IARtGi0Ql3ggoQ0lRLkVPRy5JUV9OSS5JUV9MVE0uMTIvMzEvMjAxMy5MLi5VU0QuSAEAAABcHQQAAgAAAAgyMTk3LjEwOQEIAAAABQAAAAExAQAAAAoxNzc3NzU2MzQ4AwAAAAMxNjACAAAAAjE1BAAAAAEwBwAAAAoxMi8zMS8yMDEzCAAAAAoxMi8zMS8yMDEzCQAAAAEwbiuKiUQl3gi2AVOLRCXeCCdDSVEuWE9NLklRX05JLklRX0xUTS4zLzMxLzIwMTUuTC4uVVNELkgBAAAAQjMGAAIAAAAFMjgzNjABCAAAAAUAAAABMQEAAAAKMTc4OTYxMTMzOQMAAAADMTYwAgAAAAIxNQQAAAABMAcAAAAJMy8zMS8yMDE1CAAAAAkzLzMxLzIwMTUJAAAAATDbvXyJRCXeCCVmW4tEJd4IKENJUS5FT0cuSVFf</t>
  </si>
  <si>
    <t>TkkuSVFfTFRNLjEyLzMxLzIwMTUuTC4uVVNELkgBAAAAXB0EAAIAAAAJLTQ1MjQuNTE1AQgAAAAFAAAAATEBAAAACjE4NzY3NTQ0MjADAAAAAzE2MAIAAAACMTUEAAAAATAHAAAACjEyLzMxLzIwMTUIAAAACjEyLzMxLzIwMTUJAAAAATCm7oqJRCXeCDlvYItEJd4IJ0NJUS5YT00uSVFfTkkuSVFfTFRNLjMvMzEvMjAxNy5MLi5VU0QuSAEAAABCMwYAAgAAAAUxMDA0MAEIAAAABQAAAAExAQAAAAoxODg2NDc2NjA2AwAAAAMxNjACAAAAAjE1BAAAAAEwBwAAAAkzLzMxLzIwMTcIAAAACTMvMzEvMjAxNwkAAAABMI2giolEJd4Ih4Voi0Ql3ggoQ0lRLkVPRy5JUV9OSS5JUV9MVE0uMTIvMzEvMjAxOS5MLi5VU0QuSAEAAABcHQQAAgAAAAQyNzM1AQgAAAAFAAAAATEBAAAACy0yMTEwNTkxMjAzAwAAAAMxNjACAAAAAjE1BAAAAAEwBwAAAAoxMi8zMS8yMDE5CAAAAAoxMi8zMS8yMDE5CQAAAAEwKV/HikQl3gi3oHeLRCXeCCdDSVEuWE9NLklRX05JLklRX0xUTS4zLzMxLzIwMjEuTC4uVVNELkgBAAAAQjMGAAIAAAAGLTE5MTAwAQgAAAAFAAAAATEBAAAACy0yMDk4NjI4NTkwAwAAAAMxNjACAAAAAjE1BAAAAAEwBwAAAAkzLzMxLzIwMjEIAAAACTMvMzEvMjAyMQkAAAABMDE4x4pEJd4II5R9i0Ql3ggoQ0lRLkVPRy5JUV9OSS5JUV9MVE0uMTIvMzEvMjAyMy5MLi5VU0QuSAEAAABcHQQAAgAAAAQ3NTk0AQgA</t>
  </si>
  <si>
    <t>AAAFAAAAATEBAAAACy0xOTU3OTY2ODUzAwAAAAMxNjACAAAAAjE1BAAAAAEwBwAAAAoxMi8zMS8yMDIzCAAAAAoxMi8zMS8yMDIzCQAAAAEw5UraikQl3ghVPoqLRCXeCCdDSVEuWE9NLklRX05JLklRX0xUTS4zLzMxLzIwMjUuTC4uVVNELkgBAAAAQjMGAAIAAAAFMzMxNzMBCAAAAAUAAAABMQEAAAALLTE5NDYxNTc5MDgDAAAAAzE2MAIAAAACMTUEAAAAATAHAAAACTMvMzEvMjAyNQgAAAAJMy8zMS8yMDI1CQAAAAEw6iPaikQl3ghBqpCLRCXeCChDSVEuQ1ZYLklRX05JLklRX0xUTS4xMi8zMS8yMDA5LkwuLlVTRC5IAQAAAMqAAQACAAAABTEwNDgzAQgAAAAFAAAAATEBAAAACjE1MTk1Njc5NDEDAAAAAzE2MAIAAAACMTUEAAAAATAHAAAACjEyLzMxLzIwMDkIAAAACjEyLzMxLzIwMDkJAAAAATAGM32JRCXeCNHDQItEJd4IJ0NJUS5FT0cuSVFfTkkuSVFfTFRNLjMvMzEvMjAxNC5MLi5VU0QuSAEAAABcHQQAAgAAAAgyMzYzLjMxMgEIAAAABQAAAAExAQAAAAoxNzMzMzIxNzExAwAAAAMxNjACAAAAAjE1BAAAAAEwBwAAAAkzLzMxLzIwMTQIAAAACTMvMzEvMjAxNAkAAAABMFAEiolEJd4IhtZUi0Ql3ggnQ0lRLkNPUC5JUV9OSS5JUV9MVE0uOS8zMC8yMDE1LkwuLlVTRC5IAQAAAE+GBAACAAAABS0xMDE3AQgAAAAFAAAAATEBAAAACjE4MTU3NzY5NDQDAAAAAzE2MAIAAAACMTUEAAAAATAHAAAACTkv</t>
  </si>
  <si>
    <t>MzAvMjAxNQgAAAAJOS8zMC8yMDE1CQAAAAEwyJZ8iUQl3giX6F6LRCXeCCdDSVEuWE9NLklRX05JLklRX0xUTS45LzMwLzIwMTYuTC4uVVNELkgBAAAAQjMGAAIAAAAEODk0MAEIAAAABQAAAAExAQAAAAoxODYzNjgzNDQyAwAAAAMxNjACAAAAAjE1BAAAAAEwBwAAAAk5LzMwLzIwMTYIAAAACTkvMzAvMjAxNgkAAAABMKHHiolEJd4IO1Fli0Ql3ggoQ0lRLkNWWC5JUV9OSS5JUV9MVE0uMTIvMzEvMjAyMC5MLi5VU0QuSAEAAADKgAEAAgAAAAUtNTU0MwEIAAAABQAAAAExAQAAAAstMjA1OTc2ODIyOAMAAAADMTYwAgAAAAIxNQQAAAABMAcAAAAKMTIvMzEvMjAyMAgAAAAKMTIvMzEvMjAyMAkAAAABMDE4x4pEJd4IvYJ8i0Ql3ggnQ0lRLkNWWC5JUV9OSS5JUV9MVE0uOS8zMC8yMDIyLkwuLlVTRC5IAQAAAMqAAQACAAAABTM0MTY3AQgAAAAFAAAAATEBAAAACy0yMDIxNDA5MDA4AwAAAAMxNjACAAAAAjE1BAAAAAEwBwAAAAk5LzMwLzIwMjIIAAAACTkvMzAvMjAyMgkAAAABMP7pxopEJd4I/HGEi0Ql3ggoQ0lRLkNWWC5JUV9OSS5JUV9MVE0uMTIvMzEvMjAxNS5MLi5VU0QuSAEAAADKgAEAAgAAAAQ0NTg3AQgAAAAFAAAAATEBAAAACjE4NzU2NzYyMzQDAAAAAzE2MAIAAAACMTUEAAAAATAHAAAACjEyLzMxLzIwMTUIAAAACjEyLzMxLzIwMTUJAAAAATCm7oqJRCXeCDlvYItEJd4IJ0NJUS5DT1AuSVFf</t>
  </si>
  <si>
    <t>TkkuSVFfTFRNLjkvMzAvMjAyMS5MLi5VU0QuSAEAAABPhgQAAgAAAAQ0NjgwAQgAAAAFAAAAATEBAAAACy0yMDcxOTMzMzgxAwAAAAMxNjACAAAAAjE1BAAAAAEwBwAAAAk5LzMwLzIwMjEIAAAACTkvMzAvMjAyMQkAAAABMAkRx4pEJd4IRCyAi0Ql3ggnQ0lRLkNPUC5JUV9OSS5JUV9MVE0uNi8zMC8yMDIzLkwuLlVTRC5IAQAAAE+GBAACAAAABTEyOTI4AQgAAAAFAAAAATEBAAAACy0xOTg1NDMyOTQwAwAAAAMxNjACAAAAAjE1BAAAAAEwBwAAAAk2LzMwLzIwMjMIAAAACTYvMzAvMjAyMwkAAAABMOVK2opEJd4IhUKIi0Ql3ggoQ0lRLlhPTS5JUV9OSS5JUV9MVE0uMTIvMzEvMjAwOS5MLi5VU0QuSAEAAABCMwYAAgAAAAUxOTI4MAEIAAAABQAAAAExAQAAAAoxNTIzODA2NDYxAwAAAAMxNjACAAAAAjE1BAAAAAEwBwAAAAoxMi8zMS8yMDA5CAAAAAoxMi8zMS8yMDA5CQAAAAEwBjN9iUQl3gjxEUGLRCXeCCdDSVEuQ09QLklRX05JLklRX0xUTS45LzMwLzIwMTYuTC4uVVNELkgBAAAAT4YEAAIAAAAFLTcwMzABCAAAAAUAAAABMQEAAAAKMTg2MzQ2MTA3NQMAAAADMTYwAgAAAAIxNQQAAAABMAcAAAAJOS8zMC8yMDE2CAAAAAk5LzMwLzIwMTYJAAAAATChx4qJRCXeCFufZYtEJd4IKENJUS5DT1AuSVFfTkkuSVFfTFRNLjEyLzMxLzIwMTQuTC4uVVNELkgBAAAAT4YEAAIAAAAENjg2OQEIAAAABQAAAAEx</t>
  </si>
  <si>
    <t>AQAAAAoxODI4Njg4MDU3AwAAAAMxNjACAAAAAjE1BAAAAAEwBwAAAAoxMi8zMS8yMDE0CAAAAAoxMi8zMS8yMDE0CQAAAAEw9Qt9iUQl3gidBlqLRCXeCChDSVEuQ1ZYLklRX05JLklRX0xUTS4xMi8zMS8yMDIxLkwuLlVTRC5IAQAAAMqAAQACAAAABTE1NjI1AQgAAAAFAAAAATEBAAAACy0yMDA4NTU3NTEzAwAAAAMxNjACAAAAAjE1BAAAAAEwBwAAAAoxMi8zMS8yMDIxCAAAAAoxMi8zMS8yMDIxCQAAAAEwCRHHikQl3giNFoGLRCXeCCdDSVEuRU9HLklRX05JLklRX0xUTS45LzMwLzIwMTEuTC4uVVNELkgBAAAAXB0EAAIAAAAIMTAyNC4wOTgBCAAAAAUAAAABMQEAAAAKMTU3NDM5MTQwNwMAAAADMTYwAgAAAAIxNQQAAAABMAcAAAAJOS8zMC8yMDExCAAAAAk5LzMwLzIwMTEJAAAAATDn5HyJRCXeCEpqSItEJd4IJ0NJUS5FT0cuSVFfTkkuSVFfTFRNLjYvMzAvMjAxOS5MLi5VU0QuSAEAAABcHQQAAgAAAAgzNTY2Ljk4NwEIAAAABQAAAAExAQAAAAoyMDQ4NjI5NDAzAwAAAAMxNjACAAAAAjE1BAAAAAEwBwAAAAk2LzMwLzIwMTkIAAAACTYvMzAvMjAxOQkAAAABMMBvfIlEJd4IxFZ1i0Ql3ggnQ0lRLkNPUC5JUV9OSS5JUV9MVE0uOS8zMC8yMDIyLkwuLlVTRC5IAQAAAE+GBAACAAAABTE4MDU4AQgAAAAFAAAAATEBAAAACy0yMDIxNDc3MzI2AwAAAAMxNjACAAAAAjE1BAAAAAEwBwAAAAk5LzMwLzIw</t>
  </si>
  <si>
    <t>MjIIAAAACTkvMzAvMjAyMgkAAAABMP7pxopEJd4IDMCEi0Ql3ggnQ0lRLkNWWC5JUV9OSS5JUV9MVE0uNi8zMC8yMDEzLkwuLlVTRC5IAQAAAMqAAQACAAAABTI0MDQxAQgAAAAFAAAAATEBAAAACjE2ODk3NzQ5NzQDAAAAAzE2MAIAAAACMTUEAAAAATAHAAAACTYvMzAvMjAxMwgAAAAJNi8zMC8yMDEzCQAAAAEwmGCYiUQl3gitkFCLRCXeCCdDSVEuWE9NLklRX05JLklRX0xUTS4zLzMxLzIwMjAuTC4uVVNELkgBAAAAQjMGAAIAAAAFMTEzODABCAAAAAUAAAABMQEAAAAKMjA5NTY5ODU2MgMAAAADMTYwAgAAAAIxNQQAAAABMAcAAAAJMy8zMS8yMDIwCAAAAAkzLzMxLzIwMjAJAAAAATApX8eKRCXeCCvZeItEJd4IKENJUS5YT00uSVFfTkkuSVFfTFRNLjEyLzMxLzIwMjEuTC4uVVNELkgBAAAAQjMGAAIAAAAFMjMwNDABCAAAAAUAAAABMQEAAAALLTIwMDc4MzI3MDkDAAAAAzE2MAIAAAACMTUEAAAAATAHAAAACjEyLzMxLzIwMjEIAAAACjEyLzMxLzIwMjEJAAAAATAJEceKRCXeCI0WgYtEJd4IJ0NJUS5FT0cuSVFfTkkuSVFfTFRNLjkvMzAvMjAxMi5MLi5VU0QuSAEAAABcHQQAAgAAAAgxMTk1Ljk3NgEIAAAABQAAAAExAQAAAAoxNjQzODQ2MTEyAwAAAAMxNjACAAAAAjE1BAAAAAEwBwAAAAk5LzMwLzIwMTIIAAAACTkvMzAvMjAxMgkAAAABMKuHmIlEJd4IXzVNi0Ql3ggnQ0lRLkNWWC5JUV9OSS5J</t>
  </si>
  <si>
    <t>UV9MVE0uNi8zMC8yMDI0LkwuLlVTRC5IAQAAAMqAAQACAAAABTE4NzIwAQgAAAAFAAAAATEBAAAACy0xOTE4MDk0NjM0AwAAAAMxNjACAAAAAjE1BAAAAAEwBwAAAAk2LzMwLzIwMjQIAAAACTYvMzAvMjAyNAkAAAABMOVK2opEJd4It9mMi0Ql3ggoQ0lRLkVPRy5JUV9OSS5JUV9MVE0uMTIvMzEvMjAxMC5MLi5VU0QuSAEAAABcHQQAAgAAAAcxNjAuNjU0AQgAAAAFAAAAATEBAAAACjE1ODg4NDYzNDIDAAAAAzE2MAIAAAACMTUEAAAAATAHAAAACjEyLzMxLzIwMTAIAAAACjEyLzMxLzIwMTAJAAAAATD1C32JRCXeCITiRItEJd4IJ0NJUS5FT0cuSVFfTkkuSVFfTFRNLjkvMzAvMjAxOC5MLi5VU0QuSAEAAABcHQQAAgAAAAc0OTU2Ljc0AQgAAAAFAAAAATEBAAAACjE5OTA3MzQ4MDkDAAAAAzE2MAIAAAACMTUEAAAAATAHAAAACTkvMzAvMjAxOAgAAAAJOS8zMC8yMDE4CQAAAAEwa1KKiUQl3ghT1HGLRCXeCCdDSVEuQ09QLklRX05JLklRX0xUTS4zLzMxLzIwMjAuTC4uVVNELkgBAAAAT4YEAAIAAAAEMzYxNwEIAAAABQAAAAExAQAAAAoyMDk2Mzc4NDY2AwAAAAMxNjACAAAAAjE1BAAAAAEwBwAAAAkzLzMxLzIwMjAIAAAACTMvMzEvMjAyMAkAAAABMClfx4pEJd4IRwB5i0Ql3ggnQ0lRLkVPRy5JUV9OSS5JUV9MVE0uOS8zMC8yMDIzLkwuLlVTRC5IAQAAAFwdBAACAAAABDc4ODMBCAAAAAUAAAABMQEA</t>
  </si>
  <si>
    <t>AAALLTE5NzAyMzMzODEDAAAAAzE2MAIAAAACMTUEAAAAATAHAAAACTkvMzAvMjAyMwgAAAAJOS8zMC8yMDIzCQAAAAEw5UraikQl3gjdLImLRCXeCCdDSVEuRU9HLklRX05JLklRX0xUTS42LzMwLzIwMjUuTC4uVVNELkgBAAAAXB0EAAIAAAAENTczMgEIAAAABQAAAAExAQAAAAstMTkzMjcxMTYxOAMAAAADMTYwAgAAAAIxNQQAAAABMAcAAAAJNi8zMC8yMDI1CAAAAAk2LzMwLzIwMjUJAAAAATDqI9qKRCXeCLW7kYtEJd4IJ0NJUS5YT00uSVFfTkkuSVFfTFRNLjkvMzAvMjAxMS5MLi5VU0QuSAEAAABCMwYAAgAAAAU0MDkxMAEIAAAABQAAAAExAQAAAAoxNTc0NzU3MDU2AwAAAAMxNjACAAAAAjE1BAAAAAEwBwAAAAk5LzMwLzIwMTEIAAAACTkvMzAvMjAxMQkAAAABMOfkfIlEJd4ISmpIi0Ql3ggoQ0lRLkVPRy5JUV9OSS5JUV9MVE0uMTIvMzEvMjAxNi5MLi5VU0QuSAEAAABcHQQAAgAAAAktMTA5Ni42ODYBCAAAAAUAAAABMQEAAAAKMTk0NzEwNjY0MAMAAAADMTYwAgAAAAIxNQQAAAABMAcAAAAKMTIvMzEvMjAxNggAAAAKMTIvMzEvMjAxNgkAAAABMI2giolEJd4I8/5mi0Ql3ggnQ0lRLkNPUC5JUV9OSS5JUV9MVE0uNi8zMC8yMDEzLkwuLlVTRC5IAQAAAE+GBAACAAAABDc0MTMBCAAAAAUAAAABMQEAAAAKMTY4OTYwNTk5NwMAAAADMTYwAgAAAAIxNQQAAAABMAcAAAAJNi8zMC8yMDEzCAAAAAk2</t>
  </si>
  <si>
    <t>LzMwLzIwMTMJAAAAATCYYJiJRCXeCLu3UItEJd4IJ0NJUS5FT0cuSVFfTkkuSVFfTFRNLjkvMzAvMjAyNC5MLi5VU0QuSAEAAABcHQQAAgAAAAQ3MTQwAQgAAAAFAAAAATEBAAAACy0xOTE4MTY5MzMxAwAAAAMxNjACAAAAAjE1BAAAAAEwBwAAAAk5LzMwLzIwMjQIAAAACTkvMzAvMjAyNAkAAAABMOoj2opEJd4IIeuNi0Ql3ggnQ0lRLkVPRy5JUV9OSS5JUV9MVE0uMy8zMS8yMDEwLkwuLlVTRC5IAQAAAFwdBAACAAAABzUwNS45MzIBCAAAAAUAAAABMQEAAAAKMTQ1MjEwODY4MgMAAAADMTYwAgAAAAIxNQQAAAABMAcAAAAJMy8zMS8yMDEwCAAAAAkzLzMxLzIwMTAJAAAAATAGM32JRCXeCFL8QYtEJd4IJ0NJUS5YT00uSVFfTkkuSVFfTFRNLjkvMzAvMjAxMi5MLi5VU0QuSAEAAABCMwYAAgAAAAU0NDMzMAEIAAAABQAAAAExAQAAAAoxNjQzNDgwNDQzAwAAAAMxNjACAAAAAjE1BAAAAAEwBwAAAAk5LzMwLzIwMTIIAAAACTkvMzAvMjAxMgkAAAABMKuHmIlEJd4IPw5Ni0Ql3ggnQ0lRLkNPUC5JUV9OSS5JUV9MVE0uNi8zMC8yMDE5LkwuLlVTRC5IAQAAAE+GBAACAAAABDcxNDIBCAAAAAUAAAABMQEAAAAKMjA0ODA5NzY5NQMAAAADMTYwAgAAAAIxNQQAAAABMAcAAAAJNi8zMC8yMDE5CAAAAAk2LzMwLzIwMTkJAAAAATDAb3yJRCXeCM99dYtEJd4IKENJUS5FT0cuSVFfTkkuSVFfTFRNLjEyLzMxLzIw</t>
  </si>
  <si>
    <t>MjIuTC4uVVNELkgBAAAAXB0EAAIAAAAENzc1OQEIAAAABQAAAAExAQAAAAstMTk1Nzk2Njg1NgMAAAADMTYwAgAAAAIxNQQAAAABMAcAAAAKMTIvMzEvMjAyMggAAAAKMTIvMzEvMjAyMgkAAAABMP7pxopEJd4Ig9GFi0Ql3ggnQ0lRLkNPUC5JUV9OSS5JUV9MVE0uOS8zMC8yMDEwLkwuLlVTRC5IAQAAAE+GBAACAAAABTEwNjAyAQgAAAAFAAAAATEBAAAACjE0Nzk3NjE4NjkDAAAAAzE2MAIAAAACMTUEAAAAATAHAAAACTkvMzAvMjAxMAgAAAAJOS8zMC8yMDEwCQAAAAEwBjN9iUQl3ggj+EOLRCXeCCdDSVEuRU9HLklRX05JLklRX0xUTS42LzMwLzIwMTIuTC4uVVNELkgBAAAAXB0EAAIAAAAIMTM4MS4zNjMBCAAAAAUAAAABMQEAAAAKMTYyOTUyMTM3MQMAAAADMTYwAgAAAAIxNQQAAAABMAcAAAAJNi8zMC8yMDEyCAAAAAk2LzMwLzIwMTIJAAAAATCrh5iJRCXeCHXlS4tEJd4IKENJUS5YT00uSVFfTkkuSVFfTFRNLjEyLzMxLzIwMTQuTC4uVVNELkgBAAAAQjMGAAIAAAAFMzI1MjABCAAAAAUAAAABMQEAAAAKMTgyODkwNDg3MAMAAAADMTYwAgAAAAIxNQQAAAABMAcAAAAKMTIvMzEvMjAxNAgAAAAKMTIvMzEvMjAxNAkAAAABMPULfYlEJd4IdLhZi0Ql3ggnQ0lRLkVPRy5JUV9OSS5JUV9MVE0uMy8zMS8yMDIwLkwuLlVTRC5IAQAAAFwdBAACAAAACDIxMDkuNDg0AQgAAAAFAAAAATEBAAAACjIwOTYw</t>
  </si>
  <si>
    <t>NTA1OTADAAAAAzE2MAIAAAACMTUEAAAAATAHAAAACTMvMzEvMjAyMAgAAAAJMy8zMS8yMDIwCQAAAAEwKV/HikQl3ggr2XiLRCXeCCdDSVEuQ09QLklRX05JLklRX0xUTS4zLzMxLzIwMjUuTC4uVVNELkgBAAAAT4YEAAIAAAAEOTU0MwEIAAAABQAAAAExAQAAAAstMTk0NDk0NjE3NgMAAAADMTYwAgAAAAIxNQQAAAABMAcAAAAJMy8zMS8yMDI1CAAAAAkzLzMxLzIwMjUJAAAAATDqI9qKRCXeCEGqkItEJd4IJ0NJUS5DVlguSVFfTkkuSVFfTFRNLjMvMzEvMjAxNC5MLi5VU0QuSAEAAADKgAEAAgAAAAUxOTc1NwEIAAAABQAAAAExAQAAAAoxNzMyOTQ2MjY1AwAAAAMxNjACAAAAAjE1BAAAAAEwBwAAAAkzLzMxLzIwMTQIAAAACTMvMzEvMjAxNAkAAAABMFAEiolEJd4Ia69Ui0Ql3ggnQ0lRLkVPRy5JUV9OSS5JUV9MVE0uNi8zMC8yMDE4LkwuLlVTRC5IAQAAAFwdBAACAAAACDM4NjYuMzI5AQgAAAAFAAAAATEBAAAACjE5NzMzNDIwNzADAAAAAzE2MAIAAAACMTUEAAAAATAHAAAACTYvMzAvMjAxOAgAAAAJNi8zMC8yMDE4CQAAAAEwa1KKiUQl3gjtwnCLRCXeCChDSVEuWE9NLklRX05JLklRX0xUTS4xMi8zMS8yMDIwLkwuLlVTRC5IAQAAAEIzBgACAAAABi0yMjQ0MAEIAAAABQAAAAExAQAAAAstMjA1OTkxNTIxNQMAAAADMTYwAgAAAAIxNQQAAAABMAcAAAAKMTIvMzEvMjAyMAgAAAAKMTIvMzEvMjAy</t>
  </si>
  <si>
    <t>MAkAAAABMDE4x4pEJd4IvYJ8i0Ql3ggnQ0lRLlhPTS5JUV9OSS5JUV9MVE0uOS8zMC8yMDIyLkwuLlVTRC5IAQAAAEIzBgACAAAABTUxODYwAQgAAAAFAAAAATEBAAAACy0yMDIxODY3OTA4AwAAAAMxNjACAAAAAjE1BAAAAAEwBwAAAAk5LzMwLzIwMjIIAAAACTkvMzAvMjAyMgkAAAABMP7pxopEJd4I/HGEi0Ql3ggnQ0lRLkNWWC5JUV9OSS5JUV9MVE0uNi8zMC8yMDEyLkwuLlVTRC5IAQAAAMqAAQACAAAABTI2NjMzAQgAAAAFAAAAATEBAAAACjE2MzAwMTkxMzYDAAAAAzE2MAIAAAACMTUEAAAAATAHAAAACTYvMzAvMjAxMggAAAAJNi8zMC8yMDEyCQAAAAEwq4eYiUQl3gh15UuLRCXeCCdDSVEuRU9HLklRX05JLklRX0xUTS42LzMwLzIwMTMuTC4uVVNELkgBAAAAXB0EAAIAAAAIMTAwNC45MDkBCAAAAAUAAAABMQEAAAAKMTY4OTY2NDMzMQMAAAADMTYwAgAAAAIxNQQAAAABMAcAAAAJNi8zMC8yMDEzCAAAAAk2LzMwLzIwMTMJAAAAATCYYJiJRCXeCK2QUItEJd4IKENJUS5YT00uSVFfTkkuSVFfTFRNLjEyLzMxLzIwMTUuTC4uVVNELkgBAAAAQjMGAAIAAAAFMTYxNTABCAAAAAUAAAABMQEAAAAKMTg3NzIzMzYwMAMAAAADMTYwAgAAAAIxNQQAAAABMAcAAAAKMTIvMzEvMjAxNQgAAAAKMTIvMzEvMjAxNQkAAAABMKbuiolEJd4IOW9gi0Ql3ggnQ0lRLkNWWC5JUV9OSS5JUV9MVE0uMy8zMS8yMDIw</t>
  </si>
  <si>
    <t>LkwuLlVTRC5IAQAAAMqAAQACAAAABDM4NzQBCAAAAAUAAAABMQEAAAAKMjA5NjA4NjE3NAMAAAADMTYwAgAAAAIxNQQAAAABMAcAAAAJMy8zMS8yMDIwCAAAAAkzLzMxLzIwMjAJAAAAATApX8eKRCXeCCvZeItEJd4IKENJUS5DT1AuSVFfTkkuSVFfTFRNLjEyLzMxLzIwMDkuTC4uVVNELkgBAAAAT4YEAAIAAAAENDQxNAEIAAAABQAAAAExAQAAAAoxNTE3NjE3MDc3AwAAAAMxNjACAAAAAjE1BAAAAAEwBwAAAAoxMi8zMS8yMDA5CAAAAAoxMi8zMS8yMDA5CQAAAAEwBjN9iUQl3gjv6kCLRCXeCCdDSVEuWE9NLklRX05JLklRX0xUTS4zLzMxLzIwMTQuTC4uVVNELkgBAAAAQjMGAAIAAAAFMzIxODABCAAAAAUAAAABMQEAAAAKMTczMjk4NDM0MAMAAAADMTYwAgAAAAIxNQQAAAABMAcAAAAJMy8zMS8yMDE0CAAAAAkzLzMxLzIwMTQJAAAAATBQBIqJRCXeCGuvVItEJd4IJ0NJUS5DVlguSVFfTkkuSVFfTFRNLjYvMzAvMjAxOC5MLi5VU0QuSAEAAADKgAEAAgAAAAUxMjExMAEIAAAABQAAAAExAQAAAAoxOTc0NTI4Mzc2AwAAAAMxNjACAAAAAjE1BAAAAAEwBwAAAAk2LzMwLzIwMTgIAAAACTYvMzAvMjAxOAkAAAABMGtSiolEJd4I4Jtwi0Ql3ggoQ0lRLkNPUC5JUV9OSS5JUV9MVE0uMTIvMzEvMjAyMC5MLi5VU0QuSAEAAABPhgQAAgAAAAUtMjcwMQEIAAAABQAAAAExAQAAAAstMjA2MDYxMTg3MgMAAAAD</t>
  </si>
  <si>
    <t>MTYwAgAAAAIxNQQAAAABMAcAAAAKMTIvMzEvMjAyMAgAAAAKMTIvMzEvMjAyMAkAAAABMDE4x4pEJd4Iuql8i0Ql3ggnQ0lRLkVPRy5JUV9OSS5JUV9MVE0uNi8zMC8yMDI0LkwuLlVTRC5IAQAAAFwdBAACAAAABDc0OTcBCAAAAAUAAAABMQEAAAALLTE5MzI3MTE2MzQDAAAAAzE2MAIAAAACMTUEAAAAATAHAAAACTYvMzAvMjAyNAgAAAAJNi8zMC8yMDI0CQAAAAEw5UraikQl3giZi4yLRCXeCChDSVEuQ09QLklRX05JLklRX0xUTS4xMi8zMS8yMDE1LkwuLlVTRC5IAQAAAE+GBAACAAAABS00NDI4AQgAAAAFAAAAATEBAAAACjE4NzUyODAyODgDAAAAAzE2MAIAAAACMTUEAAAAATAHAAAACjEyLzMxLzIwMTUIAAAACjEyLzMxLzIwMTUJAAAAATCm7oqJRCXeCGK9YItEJd4IJ0NJUS5FT0cuSVFfTkkuSVFfTFRNLjkvMzAvMjAxNy5MLi5VU0QuSAEAAABcHQQAAgAAAAU5Ljc1OQEIAAAABQAAAAExAQAAAAoxOTE3NzI0ODY0AwAAAAMxNjACAAAAAjE1BAAAAAEwBwAAAAk5LzMwLzIwMTcIAAAACTkvMzAvMjAxNwkAAAABMHp5iolEJd4I6uBri0Ql3ggnQ0lRLkNWWC5JUV9OSS5JUV9MVE0uOS8zMC8yMDExLkwuLlVTRC5IAQAAAMqAAQACAAAABTI3MDY3AQgAAAAFAAAAATEBAAAACjE1NzQ3NTY0MzcDAAAAAzE2MAIAAAACMTUEAAAAATAHAAAACTkvMzAvMjAxMQgAAAAJOS8zMC8yMDExCQAAAAEw5+R8iUQl</t>
  </si>
  <si>
    <t>3ghKakiLRCXeCCdDSVEuQ09QLklRX05JLklRX0xUTS4zLzMxLzIwMTQuTC4uVVNELkgBAAAAT4YEAAIAAAAEOTE0MAEIAAAABQAAAAExAQAAAAoxNzMyNTgwOTkzAwAAAAMxNjACAAAAAjE1BAAAAAEwBwAAAAkzLzMxLzIwMTQIAAAACTMvMzEvMjAxNAkAAAABMFAEiolEJd4Ih/1Ui0Ql3ggnQ0lRLkNWWC5JUV9OSS5JUV9MVE0uNi8zMC8yMDE5LkwuLlVTRC5IAQAAAMqAAQACAAAABTE0NzMxAQgAAAAFAAAAATEBAAAACjIwNDgzMDM1OTUDAAAAAzE2MAIAAAACMTUEAAAAATAHAAAACTYvMzAvMjAxOQgAAAAJNi8zMC8yMDE5CQAAAAEwwG98iUQl3gjEVnWLRCXeCCdDSVEuWE9NLklRX05JLklRX0xUTS42LzMwLzIwMTMuTC4uVVNELkgBAAAAQjMGAAIAAAAFMzU4ODABCAAAAAUAAAABMQEAAAAKMTY4OTc3NDg2NwMAAAADMTYwAgAAAAIxNQQAAAABMAcAAAAJNi8zMC8yMDEzCAAAAAk2LzMwLzIwMTMJAAAAATCYYJiJRCXeCK2QUItEJd4IJ0NJUS5DVlguSVFfTkkuSVFfTFRNLjkvMzAvMjAxNy5MLi5VU0QuSAEAAADKgAEAAgAAAAQ2NDk5AQgAAAAFAAAAATEBAAAACjE5MjA1MzU2OTgDAAAAAzE2MAIAAAACMTUEAAAAATAHAAAACTkvMzAvMjAxNwgAAAAJOS8zMC8yMDE3CQAAAAEwenmKiUQl3gjq4GuLRCXeCChDSVEuQ09QLklRX05JLklRX0xUTS4xMi8zMS8yMDIxLkwuLlVTRC5IAQAAAE+GBAACAAAA</t>
  </si>
  <si>
    <t>BDgwNzkBCAAAAAUAAAABMQEAAAALLTIwMTAxMjUwNzgDAAAAAzE2MAIAAAACMTUEAAAAATAHAAAACjEyLzMxLzIwMjEIAAAACjEyLzMxLzIwMjEJAAAAATAJEceKRCXeCJo9gYtEJd4IJ0NJUS5DVlguSVFfTkkuSVFfTFRNLjkvMzAvMjAxMi5MLi5VU0QuSAEAAADKgAEAAgAAAAUyNDA1NwEIAAAABQAAAAExAQAAAAoxNjQzOTAyNjc5AwAAAAMxNjACAAAAAjE1BAAAAAEwBwAAAAk5LzMwLzIwMTIIAAAACTkvMzAvMjAxMgkAAAABMKuHmIlEJd4IPw5Ni0Ql3ggnQ0lRLkNPUC5JUV9OSS5JUV9MVE0uMy8zMS8yMDE1LkwuLlVTRC5IAQAAAE+GBAACAAAABDUwMTgBCAAAAAUAAAABMQEAAAAKMTc4OTM0NjM5MwMAAAADMTYwAgAAAAIxNQQAAAABMAcAAAAJMy8zMS8yMDE1CAAAAAkzLzMxLzIwMTUJAAAAATDbvXyJRCXeCEK0W4tEJd4IJ0NJUS5YT00uSVFfTkkuSVFfTFRNLjYvMzAvMjAxOS5MLi5VU0QuSAEAAABCMwYAAgAAAAUxNzcyMAEIAAAABQAAAAExAQAAAAoyMDQ4MzA0MjU2AwAAAAMxNjACAAAAAjE1BAAAAAEwBwAAAAk2LzMwLzIwMTkIAAAACTYvMzAvMjAxOQkAAAABMMBvfIlEJd4IxFZ1i0Ql3ggoQ0lRLkNWWC5JUV9OSS5JUV9MVE0uMTIvMzEvMjAxMC5MLi5VU0QuSAEAAADKgAEAAgAAAAUxOTAyNAEIAAAABQAAAAExAQAAAAoxNTg4ODQ2NDQwAwAAAAMxNjACAAAAAjE1BAAAAAEwBwAAAAox</t>
  </si>
  <si>
    <t>Mi8zMS8yMDEwCAAAAAoxMi8zMS8yMDEwCQAAAAEw9Qt9iUQl3giE4kSLRCXeCCdDSVEuWE9NLklRX05JLklRX0xUTS45LzMwLzIwMTcuTC4uVVNELkgBAAAAQjMGAAIAAAAFMTMwMTABCAAAAAUAAAABMQEAAAAKMTkyMDAxODUzMAMAAAADMTYwAgAAAAIxNQQAAAABMAcAAAAJOS8zMC8yMDE3CAAAAAk5LzMwLzIwMTcJAAAAATB6eYqJRCXeCNy5a4tEJd4IJ0NJUS5DVlguSVFfTkkuSVFfTFRNLjkvMzAvMjAxOC5MLi5VU0QuSAEAAADKgAEAAgAAAAUxNDIwNQEIAAAABQAAAAExAQAAAAoxOTkwOTg4MTM2AwAAAAMxNjACAAAAAjE1BAAAAAEwBwAAAAk5LzMwLzIwMTgIAAAACTkvMzAvMjAxOAkAAAABMGtSiolEJd4IU9Rxi0Ql3ggnQ0lRLkNPUC5JUV9OSS5JUV9MVE0uMy8zMS8yMDIxLkwuLlVTRC5IAQAAAE+GBAACAAAAAjIwAQgAAAAFAAAAATEBAAAACy0yMDk4NDY2ODAwAwAAAAMxNjACAAAAAjE1BAAAAAEwBwAAAAkzLzMxLzIwMjEIAAAACTMvMzEvMjAyMQkAAAABMDE4x4pEJd4IP+J9i0Ql3ggnQ0lRLkNWWC5JUV9OSS5JUV9MVE0uOS8zMC8yMDIzLkwuLlVTRC5IAQAAAMqAAQACAAAABTI1NDYzAQgAAAAFAAAAATEBAAAACy0xOTcwMTE2MjM2AwAAAAMxNjACAAAAAjE1BAAAAAEwBwAAAAk5LzMwLzIwMjMIAAAACTkvMzAvMjAyMwkAAAABMOVK2opEJd4I3SyJi0Ql3ggnQ0lRLkNWWC5JUV9OSS5J</t>
  </si>
  <si>
    <t>UV9MVE0uNi8zMC8yMDI1LkwuLlVTRC5IAQAAAMqAAQACAAAABTEzNzE2AQgAAAAFAAAAATEBAAAACy0xOTE4MDk0NjIyAwAAAAMxNjACAAAAAjE1BAAAAAEwBwAAAAk2LzMwLzIwMjUIAAAACTYvMzAvMjAyNQkAAAABMOoj2opEJd4ItbuRi0Ql3ggnQ0lRLkNPUC5JUV9OSS5JUV9MVE0uOS8zMC8yMDExLkwuLlVTRC5IAQAAAE+GBAACAAAABTExMDg3AQgAAAAFAAAAATEBAAAACjE1NzM3NTk0MTkDAAAAAzE2MAIAAAACMTUEAAAAATAHAAAACTkvMzAvMjAxMQgAAAAJOS8zMC8yMDExCQAAAAEw5+R8iUQl3gjgpUiLRCXeCChDSVEuQ1ZYLklRX05JLklRX0xUTS4xMi8zMS8yMDE2LkwuLlVTRC5IAQAAAMqAAQACAAAABC00OTcBCAAAAAUAAAABMQEAAAAKMTk0NjY4Mzg4MgMAAAADMTYwAgAAAAIxNQQAAAABMAcAAAAKMTIvMzEvMjAxNggAAAAKMTIvMzEvMjAxNgkAAAABMI2giolEJd4I8/5mi0Ql3ggoQ0lRLlhPTS5JUV9OSS5JUV9MVE0uMTIvMzEvMjAxMC5MLi5VU0QuSAEAAABCMwYAAgAAAAUzMDQ2MAEIAAAABQAAAAExAQAAAAoxNTg5NTQ3MTY5AwAAAAMxNjACAAAAAjE1BAAAAAEwBwAAAAoxMi8zMS8yMDEwCAAAAAoxMi8zMS8yMDEwCQAAAAEw9Qt9iUQl3giE4kSLRCXeCChDSVEuQ1ZYLklRX05JLklRX0xUTS4xMi8zMS8yMDExLkwuLlVTRC5IAQAAAMqAAQACAAAABTI2ODk1AQgAAAAFAAAAATEB</t>
  </si>
  <si>
    <t>AAAACjE2NTk0MjUwNTADAAAAAzE2MAIAAAACMTUEAAAAATAHAAAACjEyLzMxLzIwMTEIAAAACjEyLzMxLzIwMTEJAAAAATDn5HyJRCXeCDWTSYtEJd4IJ0NJUS5FT0cuSVFfTkkuSVFfTFRNLjMvMzEvMjAxNi5MLi5VU0QuSAEAAABcHQQAAgAAAAktNDgyNi41NDMBCAAAAAUAAAABMQEAAAAKMTg0MDk2NDQ4NwMAAAADMTYwAgAAAAIxNQQAAAABMAcAAAAJMy8zMS8yMDE2CAAAAAkzLzMxLzIwMTYJAAAAATChx4qJRCXeCOccYotEJd4IJ0NJUS5DT1AuSVFfTkkuSVFfTFRNLjkvMzAvMjAxNy5MLi5VU0QuSAEAAABPhgQAAgAAAAUtMjQ2OQEIAAAABQAAAAExAQAAAAoxOTE3MzE5NzQwAwAAAAMxNjACAAAAAjE1BAAAAAEwBwAAAAk5LzMwLzIwMTcIAAAACTkvMzAvMjAxNwkAAAABMHp5iolEJd4IDwhsi0Ql3ggnQ0lRLlhPTS5JUV9OSS5JUV9MVE0uOS8zMC8yMDE4LkwuLlVTRC5IAQAAAEIzBgACAAAABTIzMjIwAQgAAAAFAAAAATEBAAAACjE5OTA3ODg2MTMDAAAAAzE2MAIAAAACMTUEAAAAATAHAAAACTkvMzAvMjAxOAgAAAAJOS8zMC8yMDE4CQAAAAEwa1KKiUQl3ghT1HGLRCXeCCdDSVEuWE9NLklRX05JLklRX0xUTS45LzMwLzIwMjMuTC4uVVNELkgBAAAAQjMGAAIAAAAFNDExMzABCAAAAAUAAAABMQEAAAALLTE5NzA2NDE2NDEDAAAAAzE2MAIAAAACMTUEAAAAATAHAAAACTkvMzAvMjAyMwgAAAAJ</t>
  </si>
  <si>
    <t>OS8zMC8yMDIzCQAAAAEw5UraikQl3gjdLImLRCXeCCdDSVEuQ1ZYLklRX05JLklRX0xUTS45LzMwLzIwMjQuTC4uVVNELkgBAAAAyoABAAIAAAAFMTY2ODEBCAAAAAUAAAABMQEAAAALLTE5MTgwOTYzNjMDAAAAAzE2MAIAAAACMTUEAAAAATAHAAAACTkvMzAvMjAyNAgAAAAJOS8zMC8yMDI0CQAAAAEw6iPaikQl3ggh642LRCXeCCdDSVEuWE9NLklRX05JLklRX0xUTS42LzMwLzIwMjUuTC4uVVNELkgBAAAAQjMGAAIAAAAFMzEwMTUBCAAAAAUAAAABMQEAAAALLTE5MzM0NDMzNjMDAAAAAzE2MAIAAAACMTUEAAAAATAHAAAACTYvMzAvMjAyNQgAAAAJNi8zMC8yMDI1CQAAAAEw6iPaikQl3gi1u5GLRCXeCCdDSVEuQ1ZYLklRX05JLklRX0xUTS4zLzMxLzIwMTAuTC4uVVNELkgBAAAAyoABAAIAAAAFMTMxOTgBCAAAAAUAAAABMQEAAAAKMTQ1MTI3Njk0MwMAAAADMTYwAgAAAAIxNQQAAAABMAcAAAAJMy8zMS8yMDEwCAAAAAkzLzMxLzIwMTAJAAAAATAGM32JRCXeCFbVQYtEJd4IJ0NJUS5DT1AuSVFfTkkuSVFfTFRNLjkvMzAvMjAxMi5MLi5VU0QuSAEAAABPhgQAAgAAAAUxMDM5MgEIAAAABQAAAAExAQAAAAoxNjQzNDgwOTE2AwAAAAMxNjACAAAAAjE1BAAAAAEwBwAAAAk5LzMwLzIwMTIIAAAACTkvMzAvMjAxMgkAAAABMKuHmIlEJd4IYlxNi0Ql3ggnQ0lRLkVPRy5JUV9OSS5JUV9MVE0uNi8zMC8y</t>
  </si>
  <si>
    <t>MDE0LkwuLlVTRC5IAQAAAFwdBAACAAAACDI0MDkuOTczAQgAAAAFAAAAATEBAAAACjE3NDk3MzQ0MTIDAAAAAzE2MAIAAAACMTUEAAAAATAHAAAACTYvMzAvMjAxNAgAAAAJNi8zMC8yMDE0CQAAAAEwUASKiUQl3ggXXVaLRCXeCChDSVEuWE9NLklRX05JLklRX0xUTS4xMi8zMS8yMDE2LkwuLlVTRC5IAQAAAEIzBgACAAAABDc4NDABCAAAAAUAAAABMQEAAAAKMTk0NzQwNDY1NAMAAAADMTYwAgAAAAIxNQQAAAABMAcAAAAKMTIvMzEvMjAxNggAAAAKMTIvMzEvMjAxNgkAAAABMI2giolEJd4I8/5mi0Ql3ggoQ0lRLkNWWC5JUV9OSS5JUV9MVE0uMTIvMzEvMjAxNy5MLi5VU0QuSAEAAADKgAEAAgAAAAQ5MTk1AQgAAAAFAAAAATEBAAAACjIwMTYzNDk4OTADAAAAAzE2MAIAAAACMTUEAAAAATAHAAAACjEyLzMxLzIwMTcIAAAACjEyLzMxLzIwMTcJAAAAATB6eYqJRCXeCHVAbYtEJd4IKENJUS5DVlguSVFfTkkuSVFfTFRNLjEyLzMxLzIwMjIuTC4uVVNELkgBAAAAyoABAAIAAAAFMzU0NjUBCAAAAAUAAAABMQEAAAALLTE5NTg3NTgwMzEDAAAAAzE2MAIAAAACMTUEAAAAATAHAAAACjEyLzMxLzIwMjIIAAAACjEyLzMxLzIwMjIJAAAAATD+6caKRCXeCIPRhYtEJd4IKENJUS5DT1AuSVFfTkkuSVFfTFRNLjEyLzMxLzIwMTAuTC4uVVNELkgBAAAAT4YEAAIAAAAFMTEzNTgBCAAAAAUAAAABMQEAAAAKMTU4</t>
  </si>
  <si>
    <t>ODQ1MzI2OQMAAAADMTYwAgAAAAIxNQQAAAABMAcAAAAKMTIvMzEvMjAxMAgAAAAKMTIvMzEvMjAxMAkAAAABMPULfYlEJd4IkAlFi0Ql3ggoQ0lRLlhPTS5JUV9OSS5JUV9MVE0uMTIvMzEvMjAxMS5MLi5VU0QuSAEAAABCMwYAAgAAAAU0MTA2MAEIAAAABQAAAAExAQAAAAoxNjYwNDcyODUxAwAAAAMxNjACAAAAAjE1BAAAAAEwBwAAAAoxMi8zMS8yMDExCAAAAAoxMi8zMS8yMDExCQAAAAEw5+R8iUQl3gg1k0mLRCXeCCdDSVEuQ1ZYLklRX05JLklRX0xUTS4zLzMxLzIwMTYuTC4uVVNELkgBAAAAyoABAAIAAAAEMTI5NQEIAAAABQAAAAExAQAAAAoxODQwMzkzODIxAwAAAAMxNjACAAAAAjE1BAAAAAEwBwAAAAkzLzMxLzIwMTYIAAAACTMvMzEvMjAxNgkAAAABMKHHiolEJd4I5xxii0Ql3ggnQ0lRLkNPUC5JUV9OSS5JUV9MVE0uOS8zMC8yMDE4LkwuLlVTRC5IAQAAAE+GBAACAAAABDU5NjgBCAAAAAUAAAABMQEAAAAKMTk4OTkwMTgzNAMAAAADMTYwAgAAAAIxNQQAAAABMAcAAAAJOS8zMC8yMDE4CAAAAAk5LzMwLzIwMTgJAAAAATBrUoqJRCXeCGT7cYtEJd4IJ0NJUS5FT0cuSVFfTkkuSVFfTFRNLjYvMzAvMjAyMC5MLi5VU0QuSAEAAABcHQQAAgAAAAczNTEuNjQzAQgAAAAFAAAAATEBAAAACy0yMTQwMTE0MTQ3AwAAAAMxNjACAAAAAjE1BAAAAAEwBwAAAAk2LzMwLzIwMjAIAAAACTYvMzAvMjAy</t>
  </si>
  <si>
    <t>MAkAAAABMClfx4pEJd4IrhF6i0Ql3ggnQ0lRLkVPRy5JUV9OSS5JUV9MVE0uMy8zMS8yMDIyLkwuLlVTRC5IAQAAAFwdBAACAAAABDQzNzcBCAAAAAUAAAABMQEAAAALLTIwNDc0NzM2MDADAAAAAzE2MAIAAAACMTUEAAAAATAHAAAACTMvMzEvMjAyMggAAAAJMy8zMS8yMDIyCQAAAAEwCRHHikQl3ggCKIKLRCXeCCdDSVEuQ09QLklRX05JLklRX0xUTS45LzMwLzIwMjMuTC4uVVNELkgBAAAAT4YEAAIAAAAFMTExOTkBCAAAAAUAAAABMQEAAAALLTE5NzEwNDY3MDMDAAAAAzE2MAIAAAACMTUEAAAAATAHAAAACTkvMzAvMjAyMwgAAAAJOS8zMC8yMDIzCQAAAAEw5UraikQl3gjpU4mLRCXeCCdDSVEuWE9NLklRX05JLklRX0xUTS45LzMwLzIwMjQuTC4uVVNELkgBAAAAQjMGAAIAAAAFMzM3MDABCAAAAAUAAAABMQEAAAALLTE5MTg2NTUwMDkDAAAAAzE2MAIAAAACMTUEAAAAATAHAAAACTkvMzAvMjAyNAgAAAAJOS8zMC8yMDI0CQAAAAEw6iPaikQl3ggh642LRCXeCCdDSVEuQ09QLklRX05JLklRX0xUTS42LzMwLzIwMjUuTC4uVVNELkgBAAAAT4YEAAIAAAAEOTE4NQEIAAAABQAAAAExAQAAAAstMTkzMjg1ODM0MAMAAAADMTYwAgAAAAIxNQQAAAABMAcAAAAJNi8zMC8yMDI1CAAAAAk2LzMwLzIwMjUJAAAAATDqI9qKRCXeCNkJkotEJd4IJ0NJUS5YT00uSVFfTkkuSVFfTFRNLjMvMzEvMjAxMC5MLi5V</t>
  </si>
  <si>
    <t>U0QuSAEAAABCMwYAAgAAAAUyMTAzMAEIAAAABQAAAAExAQAAAAoxNDUxMjA3Nzk2AwAAAAMxNjACAAAAAjE1BAAAAAEwBwAAAAkzLzMxLzIwMTAIAAAACTMvMzEvMjAxMAkAAAABMAYzfYlEJd4IVtVBi0Ql3ggoQ0lRLkNPUC5JUV9OSS5JUV9MVE0uMTIvMzEvMjAxNy5MLi5VU0QuSAEAAABPhgQAAgAAAAQtODU1AQgAAAAFAAAAATEBAAAACjIwMTU2MzU4NDcDAAAAAzE2MAIAAAACMTUEAAAAATAHAAAACjEyLzMxLzIwMTcIAAAACjEyLzMxLzIwMTcJAAAAATB6eYqJRCXeCJmObYtEJd4IJ0NJUS5DT1AuSVFfTkkuSVFfTFRNLjMvMzEvMjAxOS5MLi5VU0QuSAEAAABPhgQAAgAAAAQ3MjAyAQgAAAAFAAAAATEBAAAACjIwMzM0NjY3MDMDAAAAAzE2MAIAAAACMTUEAAAAATAHAAAACTMvMzEvMjAxOQgAAAAJMy8zMS8yMDE5CQAAAAEw9Qt9iUQl3ghbbHSLRCXeCChDSVEuQ09QLklRX05JLklRX0xUTS4xMi8zMS8yMDIzLkwuLlVTRC5IAQAAAE+GBAACAAAABTEwOTU3AQgAAAAFAAAAATEBAAAACy0xOTU5MjAyMTc1AwAAAAMxNjACAAAAAjE1BAAAAAEwBwAAAAoxMi8zMS8yMDIzCAAAAAoxMi8zMS8yMDIzCQAAAAEw5UraikQl3ghyjIqLRCXeCChDSVEuQ09QLklRX05JLklRX0xUTS4xMi8zMS8yMDExLkwuLlVTRC5IAQAAAE+GBAACAAAABTEyNDM2AQgAAAAFAAAAATEBAAAACjE2NjAyNDg4ODYDAAAAAzE2</t>
  </si>
  <si>
    <t>MAIAAAACMTUEAAAAATAHAAAACjEyLzMxLzIwMTEIAAAACjEyLzMxLzIwMTEJAAAAATDn5HyJRCXeCJnOSYtEJd4IJ0NJUS5FT0cuSVFfTkkuSVFfTFRNLjYvMzAvMjAyMi5MLi5VU0QuSAEAAABcHQQAAgAAAAQ1NzA4AQgAAAAFAAAAATEBAAAACy0yMDM1NzU0MzQ4AwAAAAMxNjACAAAAAjE1BAAAAAEwBwAAAAk2LzMwLzIwMjIIAAAACTYvMzAvMjAyMgkAAAABMP7pxopEJd4IgWCDi0Ql3ggnQ0lRLkVPRy5JUV9OSS5JUV9MVE0uOS8zMC8yMDE5LkwuLlVTRC5IAQAAAFwdBAACAAAACDI5OTEuMTU3AQgAAAAFAAAAATEBAAAACjIwNjg0MzEwNTYDAAAAAzE2MAIAAAACMTUEAAAAATAHAAAACTkvMzAvMjAxOQgAAAAJOS8zMC8yMDE5CQAAAAEwSIbHikQl3ggxaHaLRCXeCCdDSVEuRU9HLklRX05JLklRX0xUTS45LzMwLzIwMTMuTC4uVVNELkgBAAAAXB0EAAIAAAAIMTExMS45MTYBCAAAAAUAAAABMQEAAAAKMTcwNDYzMDU3MQMAAAADMTYwAgAAAAIxNQQAAAABMAcAAAAJOS8zMC8yMDEzCAAAAAk5LzMwLzIwMTMJAAAAATBuK4qJRCXeCDLJUYtEJd4IJ0NJUS5DVlguSVFfTkkuSVFfTFRNLjYvMzAvMjAxNi5MLi5VU0QuSAEAAADKgAEAAgAAAAQtNzQ2AQgAAAAFAAAAATEBAAAACjE4NTE2OTU2NzIDAAAAAzE2MAIAAAACMTUEAAAAATAHAAAACTYvMzAvMjAxNggAAAAJNi8zMC8yMDE2CQAAAAEwoceKiUQl</t>
  </si>
  <si>
    <t>3giHo2OLRCXeCCdDSVEuQ1ZYLklRX05JLklRX0xUTS42LzMwLzIwMjIuTC4uVVNELkgBAAAAyoABAAIAAAAFMjkwNDcBCAAAAAUAAAABMQEAAAALLTIwMjE0MDg0MzEDAAAAAzE2MAIAAAACMTUEAAAAATAHAAAACTYvMzAvMjAyMggAAAAJNi8zMC8yMDIyCQAAAAEw/unGikQl3giBYIOLRCXeCChDSVEuQ1ZYLklRX05JLklRX0xUTS4xMi8zMS8yMDE0LkwuLlVTRC5IAQAAAMqAAQACAAAABTE5MjQxAQgAAAAFAAAAATEBAAAACjE4MjkwODg5NDIDAAAAAzE2MAIAAAACMTUEAAAAATAHAAAACjEyLzMxLzIwMTQIAAAACjEyLzMxLzIwMTQJAAAAATD1C32JRCXeCHS4WYtEJd4IJ0NJUS5FT0cuSVFfTkkuSVFfTFRNLjkvMzAvMjAxNi5MLi5VU0QuSAEAAABcHQQAAgAAAAgtMTIzOC42MwEIAAAABQAAAAExAQAAAAoxODYzNzcwNjQxAwAAAAMxNjACAAAAAjE1BAAAAAEwBwAAAAk5LzMwLzIwMTYIAAAACTkvMzAvMjAxNgkAAAABMKHHiolEJd4IO1Fli0Ql3ggnQ0lRLlhPTS5JUV9OSS5JUV9MVE0uOS8zMC8yMDE5LkwuLlVTRC5IAQAAAEIzBgACAAAABTE0NjUwAQgAAAAFAAAAATEBAAAACjIwNjgyNzMxNzADAAAAAzE2MAIAAAACMTUEAAAAATAHAAAACTkvMzAvMjAxOQgAAAAJOS8zMC8yMDE5CQAAAAEwSIbHikQl3ggxaHaLRCXeCCdDSVEuQ1ZYLklRX05JLklRX0xUTS42LzMwLzIwMTAuTC4uVVNELkgBAAAA</t>
  </si>
  <si>
    <t>yoABAAIAAAAFMTY4NjIBCAAAAAUAAAABMQEAAAAKMTQ2NDg1NzU3MQMAAAADMTYwAgAAAAIxNQQAAAABMAcAAAAJNi8zMC8yMDEwCAAAAAk2LzMwLzIwMTAJAAAAATAGM32JRCXeCLG/QotEJd4IJ0NJUS5DVlguSVFfTkkuSVFfTFRNLjkvMzAvMjAxNi5MLi5VU0QuSAEAAADKgAEAAgAAAAUtMTUwMAEIAAAABQAAAAExAQAAAAoxODYzODY3NzA2AwAAAAMxNjACAAAAAjE1BAAAAAEwBwAAAAk5LzMwLzIwMTYIAAAACTkvMzAvMjAxNgkAAAABMKHHiolEJd4IO1Fli0Ql3ggoQ0lRLlhPTS5JUV9OSS5JUV9MVE0uMTIvMzEvMjAyMi5MLi5VU0QuSAEAAABCMwYAAgAAAAU1NTc0MAEIAAAABQAAAAExAQAAAAstMTk1ODk1MzU5OAMAAAADMTYwAgAAAAIxNQQAAAABMAcAAAAKMTIvMzEvMjAyMggAAAAKMTIvMzEvMjAyMgkAAAABMP7pxopEJd4Ia6qFi0Ql3ggnQ0lRLkNPUC5JUV9OSS5JUV9MVE0uOS8zMC8yMDEzLkwuLlVTRC5IAQAAAE+GBAACAAAABDgwOTUBCAAAAAUAAAABMQEAAAAKMTcwNDc5MzIzNgMAAAADMTYwAgAAAAIxNQQAAAABMAcAAAAJOS8zMC8yMDEzCAAAAAk5LzMwLzIwMTMJAAAAATBuK4qJRCXeCEHwUYtEJd4IJ0NJUS5FT0cuSVFfTkkuSVFfTFRNLjkvMzAvMjAxMC5MLi5VU0QuSAEAAABcHQQAAgAAAAc1MDcuNDA4AQgAAAAFAAAAATEBAAAACjE0Nzk3NjE1NDcDAAAAAzE2MAIAAAACMTUE</t>
  </si>
  <si>
    <t>AAAAATAHAAAACTkvMzAvMjAxMAgAAAAJOS8zMC8yMDEwCQAAAAEwBjN9iUQl3ggU0UOLRCXeCChDSVEuQ09QLklRX05JLklRX0xUTS4xMi8zMS8yMDE2LkwuLlVTRC5IAQAAAE+GBAACAAAABS0zNjE1AQgAAAAFAAAAATEBAAAACjE5NDYwMDU3NDQDAAAAAzE2MAIAAAACMTUEAAAAATAHAAAACjEyLzMxLzIwMTYIAAAACjEyLzMxLzIwMTYJAAAAATCNoIqJRCXeCAhNZ4tEJd4IJ0NJUS5YT00uSVFfTkkuSVFfTFRNLjMvMzEvMjAxMi5MLi5VU0QuSAEAAABCMwYAAgAAAAUzOTg2MAEIAAAABQAAAAExAQAAAAoxNjE1MDQ4MjkyAwAAAAMxNjACAAAAAjE1BAAAAAEwBwAAAAkzLzMxLzIwMTIIAAAACTMvMzEvMjAxMgkAAAABMNu9fIlEJd4I27xKi0Ql3ggnQ0lRLkNPUC5JUV9OSS5JUV9MVE0uNi8zMC8yMDIxLkwuLlVTRC5IAQAAAE+GBAACAAAABDE4NTEBCAAAAAUAAAABMQEAAAALLTIwODY0MjA1ODIDAAAAAzE2MAIAAAACMTUEAAAAATAHAAAACTYvMzAvMjAyMQgAAAAJNi8zMC8yMDIxCQAAAAEwMTjHikQl3gis836LRCXeCChDSVEuWE9NLklRX05JLklRX0xUTS4xMi8zMS8yMDEzLkwuLlVTRC5IAQAAAEIzBgACAAAABTMyNTgwAQgAAAAFAAAAATEBAAAACjE3Nzc2MzQ4NjkDAAAAAzE2MAIAAAACMTUEAAAAATAHAAAACjEyLzMxLzIwMTMIAAAACjEyLzMxLzIwMTMJAAAAATBuK4qJRCXeCLYBU4tEJd4I</t>
  </si>
  <si>
    <t>J0NJUS5DT1AuSVFfTkkuSVFfTFRNLjMvMzEvMjAxMi5MLi5VU0QuSAEAAABPhgQAAgAAAAUxMjM0NQEIAAAABQAAAAExAQAAAAoxNjE0OTg4NTkzAwAAAAMxNjACAAAAAjE1BAAAAAEwBwAAAAkzLzMxLzIwMTIIAAAACTMvMzEvMjAxMgkAAAABMNu9fIlEJd4ITPhKi0Ql3ggnQ0lRLkNPUC5JUV9OSS5JUV9MVE0uOS8zMC8yMDI0LkwuLlVTRC5IAQAAAE+GBAACAAAABDk5NDYBCAAAAAUAAAABMQEAAAALLTE5MTgwNDU0NDEDAAAAAzE2MAIAAAACMTUEAAAAATAHAAAACTkvMzAvMjAyNAgAAAAJOS8zMC8yMDI0CQAAAAEw6iPaikQl3ggh642LRCXeCCdDSVEuRU9HLklRX05JLklRX0xUTS45LzMwLzIwMjEuTC4uVVNELkgBAAAAXB0EAAIAAAAEMzAxNgEIAAAABQAAAAExAQAAAAstMjA3MjE3MTczNgMAAAADMTYwAgAAAAIxNQQAAAABMAcAAAAJOS8zMC8yMDIxCAAAAAk5LzMwLzIwMjEJAAAAATAJEceKRCXeCBDef4tEJd4IKENJUS5FT0cuSVFfTkkuSVFfTFRNLjEyLzMxLzIwMTguTC4uVVNELkgBAAAAXB0EAAIAAAAHMzQxOS4wNAEIAAAABQAAAAExAQAAAAoyMDgxNzg1NDE3AwAAAAMxNjACAAAAAjE1BAAAAAEwBwAAAAoxMi8zMS8yMDE4CAAAAAoxMi8zMS8yMDE4CQAAAAEwa1KKiUQl3gjQDHOLRCXeCChDSVEuRU9HLklRX05JLklRX0xUTS4xMi8zMS8yMDEyLkwuLlVTRC5IAQAAAFwdBAACAAAABzU3</t>
  </si>
  <si>
    <t>MC4yNzkBCAAAAAUAAAABMQEAAAAKMTcyMDM0NTg4NQMAAAADMTYwAgAAAAIxNQQAAAABMAcAAAAKMTIvMzEvMjAxMggAAAAKMTIvMzEvMjAxMgkAAAABMKuHmIlEJd4IwEZOi0Ql3ggoQ0lRLkNWWC5JUV9OSS5JUV9MVE0uMTIvMzEvMjAyNC5MLi5VU0QuSAEAAADKgAEAAgAAAAUxNzY2MQEIAAAABQAAAAExAQAAAAstMTk1ODc1ODMzNwMAAAADMTYwAgAAAAIxNQQAAAABMAcAAAAKMTIvMzEvMjAyNAgAAAAKMTIvMzEvMjAyNAkAAAABMOoj2opEJd4IwUqPi0Ql3ggoQ0lRLlhPTS5JUV9OSS5JUV9MVE0uMTIvMzEvMjAxOC5MLi5VU0QuSAEAAABCMwYAAgAAAAUyMDg0MAEIAAAABQAAAAExAQAAAAoyMDgxNzQ2NTU2AwAAAAMxNjACAAAAAjE1BAAAAAEwBwAAAAoxMi8zMS8yMDE4CAAAAAoxMi8zMS8yMDE4CQAAAAEwbiuKiUQl3gjQDHOLRCXeCCdDSVEuQ1ZYLklRX05JLklRX0xUTS42LzMwLzIwMjMuTC4uVVNELkgBAAAAyoABAAIAAAAFMzAxNjgBCAAAAAUAAAABMQEAAAALLTE5NzAxMTQyNTcDAAAAAzE2MAIAAAACMTUEAAAAATAHAAAACTYvMzAvMjAyMwgAAAAJNi8zMC8yMDIzCQAAAAEw5UraikQl3ghc9IeLRCXeCCdDSVEuRU9HLklRX05JLklRX0xUTS42LzMwLzIwMTEuTC4uVVNELkgBAAAAXB0EAAIAAAAHNDEyLjMxNAEIAAAABQAAAAExAQAAAAoxNTU3Mjc3NzYxAwAAAAMxNjACAAAAAjE1BAAA</t>
  </si>
  <si>
    <t>AAEwBwAAAAk2LzMwLzIwMTEIAAAACTYvMzAvMjAxMQkAAAABMOfkfIlEJd4IdSxHi0Ql3ggnQ0lRLlhPTS5JUV9OSS5JUV9MVE0uMy8zMS8yMDE2LkwuLlVTRC5IAQAAAEIzBgACAAAABTEzMDIwAQgAAAAFAAAAATEBAAAACjE4ODY0NzY4MDMDAAAAAzE2MAIAAAACMTUEAAAAATAHAAAACTMvMzEvMjAxNggAAAAJMy8zMS8yMDE2CQAAAAEwoceKiUQl3gjnHGKLRCXeCChDSVEuQ09QLklRX05JLklRX0xUTS4xMi8zMS8yMDI0LkwuLlVTRC5IAQAAAE+GBAACAAAABDkyNDUBCAAAAAUAAAABMQEAAAALLTE5NTkyMDIxNzEDAAAAAzE2MAIAAAACMTUEAAAAATAHAAAACjEyLzMxLzIwMjQIAAAACjEyLzMxLzIwMjQJAAAAATDqI9qKRCXeCKkjj4tEJd4IJ0NJUS5YT00uSVFfTkkuSVFfTFRNLjkvMzAvMjAyMC5MLi5VU0QuSAEAAABCMwYAAgAAAAQzMzIwAQgAAAAFAAAAATEBAAAACy0yMTIzOTI3MjIzAwAAAAMxNjACAAAAAjE1BAAAAAEwBwAAAAk5LzMwLzIwMjAIAAAACTkvMzAvMjAyMAkAAAABMClfx4pEJd4IMUp7i0Ql3ggoQ0lRLkNPUC5JUV9OSS5JUV9MVE0uMTIvMzEvMjAxMi5MLi5VU0QuSAEAAABPhgQAAgAAAAQ4NDI4AQgAAAAFAAAAATEBAAAACjE3MjA1ODQ0OTIDAAAAAzE2MAIAAAACMTUEAAAAATAHAAAACjEyLzMxLzIwMTIIAAAACjEyLzMxLzIwMTIJAAAAATCrh5iJRCXeCNxtTotEJd4IJ0NJ</t>
  </si>
  <si>
    <t>US5DT1AuSVFfTkkuSVFfTFRNLjYvMzAvMjAxNy5MLi5VU0QuSAEAAABPhgQAAgAAAAUtMzkyOQEIAAAABQAAAAExAQAAAAoxODk4MDIzMTU0AwAAAAMxNjACAAAAAjE1BAAAAAEwBwAAAAk2LzMwLzIwMTcIAAAACTYvMzAvMjAxNwkAAAABMI2giolEJd4IRFpqi0Ql3ggoQ0lRLlhPTS5JUV9OSS5JUV9MVE0uMTIvMzEvMjAxNy5MLi5VU0QuSAEAAABCMwYAAgAAAAUxOTcxMAEIAAAABQAAAAExAQAAAAoyMDE3MzgxMTQxAwAAAAMxNjACAAAAAjE1BAAAAAEwBwAAAAoxMi8zMS8yMDE3CAAAAAoxMi8zMS8yMDE3CQAAAAEwenmKiUQl3gh1QG2LRCXeCCdDSVEuQ09QLklRX05JLklRX0xUTS4zLzMxLzIwMTAuTC4uVVNELkgBAAAAT4YEAAIAAAAENTcxMgEIAAAABQAAAAExAQAAAAoxNDUxMDgyOTk4AwAAAAMxNjACAAAAAjE1BAAAAAEwBwAAAAkzLzMxLzIwMTAIAAAACTMvMzEvMjAxMAkAAAABMAYzfYlEJd4IVtVBi0Ql3ggnQ0lRLkNPUC5JUV9OSS5JUV9MVE0uNi8zMC8yMDExLkwuLlVTRC5IAQAAAE+GBAACAAAABTExNTI2AQgAAAAFAAAAATEBAAAACjE1NTcwMzc0NzQDAAAAAzE2MAIAAAACMTUEAAAAATAHAAAACTYvMzAvMjAxMQgAAAAJNi8zMC8yMDExCQAAAAEw5+R8iUQl3giIU0eLRCXeCCdDSVEuQ09QLklRX05JLklRX0xUTS4zLzMxLzIwMTMuTC4uVVNELkgBAAAAT4YEAAIAAAAENzYzMAEIAAAA</t>
  </si>
  <si>
    <t>BQAAAAExAQAAAAoxNjc1NzQ5ODYzAwAAAAMxNjACAAAAAjE1BAAAAAEwBwAAAAkzLzMxLzIwMTMIAAAACTMvMzEvMjAxMwkAAAABMJhgmIlEJd4IQ39Pi0Ql3ggnQ0lRLkVPRy5JUV9OSS5JUV9MVE0uNi8zMC8yMDE2LkwuLlVTRC5IAQAAAFwdBAACAAAACS01MTI0LjM2OQEIAAAABQAAAAExAQAAAAoxODUxMzA0NTgyAwAAAAMxNjACAAAAAjE1BAAAAAEwBwAAAAk2LzMwLzIwMTYIAAAACTYvMzAvMjAxNgkAAAABMKHHiolEJd4Ih6Nji0Ql3ggoQ0lRLkVPRy5JUV9OSS5JUV9MVE0uMTIvMzEvMjAyMC5MLi5VU0QuSAEAAABcHQQAAgAAAAQtNjA1AQgAAAAFAAAAATEBAAAACy0yMDU5ODQxMzQ3AwAAAAMxNjACAAAAAjE1BAAAAAEwBwAAAAoxMi8zMS8yMDIwCAAAAAoxMi8zMS8yMDIwCQAAAAEwMTjHikQl3gi9gnyLRCXeCChDSVEuRU9HLklRX05JLklRX0xUTS4xMi8zMS8yMDE0LkwuLlVTRC5IAQAAAFwdBAACAAAACDI5MTUuNDg3AQgAAAAFAAAAATEBAAAACjE4Mjk0NTA3MjQDAAAAAzE2MAIAAAACMTUEAAAAATAHAAAACjEyLzMxLzIwMTQIAAAACjEyLzMxLzIwMTQJAAAAATD1C32JRCXeCHS4WYtEJd4IJ0NJUS5FT0cuSVFfTkkuSVFfTFRNLjkvMzAvMjAyNS5MLi5VU0QuSAEAAABcHQQAAgAAAAQ1NTMwAQgAAAAFAAAAATEBAAAACy0xOTE4MTY5MzE1AwAAAAMxNjACAAAAAjE1BAAAAAEwBwAAAAk5</t>
  </si>
  <si>
    <t>LzMwLzIwMjUIAAAACTkvMzAvMjAyNQkAAAABMNr82YpEJd4IW0KTi0Ql3ggnQ0lRLkNWWC5JUV9OSS5JUV9MVE0uOS8zMC8yMDE5LkwuLlVTRC5IAQAAAMqAAQACAAAABTEzMjY0AQgAAAAFAAAAATEBAAAACjIwNjg1Mzg4ODQDAAAAAzE2MAIAAAACMTUEAAAAATAHAAAACTkvMzAvMjAxOQgAAAAJOS8zMC8yMDE5CQAAAAEwSIbHikQl3ggxaHaLRCXeCCdDSVEuRU9HLklRX05JLklRX0xUTS4zLzMxLzIwMjQuTC4uVVNELkgBAAAAXB0EAAIAAAAENzM2MAEIAAAABQAAAAExAQAAAAstMTk0Njk4NjQ2MAMAAAADMTYwAgAAAAIxNQQAAAABMAcAAAAJMy8zMS8yMDI0CAAAAAkzLzMxLzIwMjQJAAAAATDlStqKRCXeCCN6i4tEJd4IJ0NJUS5FT0cuSVFfTkkuSVFfTFRNLjYvMzAvMjAxMC5MLi5VU0QuSAEAAABcHQQAAgAAAAY1ODIuNTEBCAAAAAUAAAABMQEAAAAKMTQ2NTAxNDA3MQMAAAADMTYwAgAAAAIxNQQAAAABMAcAAAAJNi8zMC8yMDEwCAAAAAk2LzMwLzIwMTAJAAAAATAGM32JRCXeCLG/QotEJd4IJ0NJUS5DVlguSVFfTkkuSVFfTFRNLjMvMzEvMjAxOC5MLi5VU0QuSAEAAADKgAEAAgAAAAUxMDE1MQEIAAAABQAAAAExAQAAAAoxOTU5NDkwODE4AwAAAAMxNjACAAAAAjE1BAAAAAEwBwAAAAkzLzMxLzIwMTgIAAAACTMvMzEvMjAxOAkAAAABMHp5iolEJd4IQhVvi0Ql3ggnQ0lRLkNWWC5JUV9OSS5J</t>
  </si>
  <si>
    <t>UV9MVE0uMy8zMS8yMDI0LkwuLlVTRC5IAQAAAMqAAQACAAAABTIwMjk2AQgAAAAFAAAAATEBAAAACy0xOTMyNTkwNDU3AwAAAAMxNjACAAAAAjE1BAAAAAEwBwAAAAkzLzMxLzIwMjQIAAAACTMvMzEvMjAyNAkAAAABMOVK2opEJd4II3qLi0Ql3ggnQ0lRLkVPRy5JUV9OSS5JUV9MVE0uMy8zMS8yMDEyLkwuLlVTRC5IAQAAAFwdBAACAAAACDEyODEuMTU5AQgAAAAFAAAAATEBAAAACjE2MTYxOTk1NzEDAAAAAzE2MAIAAAACMTUEAAAAATAHAAAACTMvMzEvMjAxMggAAAAJMy8zMS8yMDEyCQAAAAEw2718iUQl3gjbvEqLRCXeCCdDSVEuQ1ZYLklRX05JLklRX0xUTS42LzMwLzIwMjEuTC4uVVNELkgBAAAAyoABAAIAAAAEMzU4NwEIAAAABQAAAAExAQAAAAstMjA4NjQ4ODk1NAMAAAADMTYwAgAAAAIxNQQAAAABMAcAAAAJNi8zMC8yMDIxCAAAAAk2LzMwLzIwMjEJAAAAATAxOMeKRCXeCKfMfotEJd4IJ0NJUS5DVlguSVFfTkkuSVFfTFRNLjYvMzAvMjAxNS5MLi5VU0QuSAEAAADKgAEAAgAAAAUxMjIwMgEIAAAABQAAAAExAQAAAAoxODAxODk3Mjc4AwAAAAMxNjACAAAAAjE1BAAAAAEwBwAAAAk2LzMwLzIwMTUIAAAACTYvMzAvMjAxNQkAAAABMMiWfIlEJd4I2BNdi0Ql3ggnQ0lRLkNPUC5JUV9OSS5JUV9MVE0uOS8zMC8yMDE5LkwuLlVTRC5IAQAAAE+GBAACAAAABDgzMzcBCAAAAAUAAAABMQEAAAAK</t>
  </si>
  <si>
    <t>MjA2ODE0NTkzMQMAAAADMTYwAgAAAAIxNQQAAAABMAcAAAAJOS8zMC8yMDE5CAAAAAk5LzMwLzIwMTkJAAAAATBIhseKRCXeCE22dotEJd4IJ0NJUS5DVlguSVFfTkkuSVFfTFRNLjMvMzEvMjAxMi5MLi5VU0QuSAEAAADKgAEAAgAAAAUyNzE1NQEIAAAABQAAAAExAQAAAAoxNjE1MzE0OTk3AwAAAAMxNjACAAAAAjE1BAAAAAEwBwAAAAkzLzMxLzIwMTIIAAAACTMvMzEvMjAxMgkAAAABMNu9fIlEJd4I27xKi0Ql3ggnQ0lRLlhPTS5JUV9OSS5JUV9MVE0uNi8zMC8yMDIxLkwuLlVTRC5IAQAAAEIzBgACAAAABi0xMzMzMAEIAAAABQAAAAExAQAAAAstMjA4NjYwOTY1OAMAAAADMTYwAgAAAAIxNQQAAAABMAcAAAAJNi8zMC8yMDIxCAAAAAk2LzMwLzIwMjEJAAAAATAxOMeKRCXeCKfMfotEJd4IJ0NJUS5YT00uSVFfTkkuSVFfTFRNLjYvMzAvMjAxNS5MLi5VU0QuSAEAAABCMwYAAgAAAAUyMzc3MAEIAAAABQAAAAExAQAAAAoxODAxNjE3NDc5AwAAAAMxNjACAAAAAjE1BAAAAAEwBwAAAAk2LzMwLzIwMTUIAAAACTYvMzAvMjAxNQkAAAABMMiWfIlEJd4I2BNdi0Ql3ggnQ0lRLkNPUC5JUV9OSS5JUV9MVE0uMy8zMS8yMDE4LkwuLlVTRC5IAQAAAE+GBAACAAAABC01NTMBCAAAAAUAAAABMQEAAAAKMTk1OTQ3ODkxOQMAAAADMTYwAgAAAAIxNQQAAAABMAcAAAAJMy8zMS8yMDE4CAAAAAkzLzMxLzIwMTgJ</t>
  </si>
  <si>
    <t>AAAAATB6eYqJRCXeCFxjb4tEJd4IJ0NJUS5DT1AuSVFfTkkuSVFfTFRNLjMvMzEvMjAyNC5MLi5VU0QuSAEAAABPhgQAAgAAAAUxMDU4OAEIAAAABQAAAAExAQAAAAstMTk0NDk0NjIwNgMAAAADMTYwAgAAAAIxNQQAAAABMAcAAAAJMy8zMS8yMDI0CAAAAAkzLzMxLzIwMjQJAAAAATDlStqKRCXeCDKhi4tEJd4IKENJUS5YT00uSVFfTkkuSVFfTFRNLjEyLzMxLzIwMTkuTC4uVVNELkgBAAAAQjMGAAIAAAAFMTQzNDABCAAAAAUAAAABMQEAAAALLTIxMTEwNzM4MjADAAAAAzE2MAIAAAACMTUEAAAAATAHAAAACjEyLzMxLzIwMTkIAAAACjEyLzMxLzIwMTkJAAAAATApX8eKRCXeCLegd4tEJd4IJ0NJUS5DT1AuSVFfTkkuSVFfTFRNLjYvMzAvMjAxNS5MLi5VU0QuSAEAAABPhgQAAgAAAAQyNzU4AQgAAAAFAAAAATEBAAAACjE4MDE0NDgxMTQDAAAAAzE2MAIAAAACMTUEAAAAATAHAAAACTYvMzAvMjAxNQgAAAAJNi8zMC8yMDE1CQAAAAEwyJZ8iUQl3gj9YV2LRCXeCChDSVEuQ09QLklRX05JLklRX0xUTS4xMi8zMS8yMDE5LkwuLlVTRC5IAQAAAE+GBAACAAAABDcxODkBCAAAAAUAAAABMQEAAAALLTIxMTE2NDMzMjkDAAAAAzE2MAIAAAACMTUEAAAAATAHAAAACjEyLzMxLzIwMTkIAAAACjEyLzMxLzIwMTkJAAAAATApX8eKRCXeCLzHd4tEJd4IKENJUS5DT1AuSVFfTkkuSVFfTFRNLjEyLzMxLzIwMTMu</t>
  </si>
  <si>
    <t>TC4uVVNELkgBAAAAT4YEAAIAAAAEOTE1NgEIAAAABQAAAAExAQAAAAoxNzc3NDQyNjYwAwAAAAMxNjACAAAAAjE1BAAAAAEwBwAAAAoxMi8zMS8yMDEzCAAAAAoxMi8zMS8yMDEzCQAAAAEwbiuKiUQl3gjfT1OLRCXeCCdDSVEuQ09QLklRX05JLklRX0xUTS4zLzMxLzIwMTcuTC4uVVNELkgBAAAAT4YEAAIAAAAFLTE1NjABCAAAAAUAAAABMQEAAAAKMTg4NjczMjEyOQMAAAADMTYwAgAAAAIxNQQAAAABMAcAAAAJMy8zMS8yMDE3CAAAAAkzLzMxLzIwMTcJAAAAATCNoIqJRCXeCMDTaItEJd4IJ0NJUS5DVlguSVFfTkkuSVFfTFRNLjkvMzAvMjAyMS5MLi5VU0QuSAEAAADKgAEAAgAAAAQ5OTA1AQgAAAAFAAAAATEBAAAACy0yMDcyMTIyMDQwAwAAAAMxNjACAAAAAjE1BAAAAAEwBwAAAAk5LzMwLzIwMjEIAAAACTkvMzAvMjAyMQkAAAABMAkRx4pEJd4IEN5/i0Ql3ggoQ0lRLkVPRy5JUV9OSS5JUV9MVE0uMTIvMzEvMjAyNC5MLi5VU0QuSAEAAABcHQQAAgAAAAQ2NDAzAQgAAAAFAAAAATEBAAAACy0xOTU3OTY2ODUwAwAAAAMxNjACAAAAAjE1BAAAAAEwBwAAAAoxMi8zMS8yMDI0CAAAAAoxMi8zMS8yMDI0CQAAAAEw6iPaikQl3giR/I6LRCXeCCdDSVEuQ1ZYLklRX05JLklRX0xUTS42LzMwLzIwMTQuTC4uVVNELkgBAAAAyoABAAIAAAAFMjAwNTcBCAAAAAUAAAABMQEAAAAKMTc0ODg2NTQ2NgMAAAAD</t>
  </si>
  <si>
    <t>MTYwAgAAAAIxNQQAAAABMAcAAAAJNi8zMC8yMDE0CAAAAAk2LzMwLzIwMTQJAAAAATBQBIqJRCXeCBddVotEJd4IKENJUS5DVlguSVFfTkkuSVFfTFRNLjEyLzMxLzIwMTguTC4uVVNELkgBAAAAyoABAAIAAAAFMTQ4MjQBCAAAAAUAAAABMQEAAAAKMjA4MTk4MDI0MgMAAAADMTYwAgAAAAIxNQQAAAABMAcAAAAKMTIvMzEvMjAxOAgAAAAKMTIvMzEvMjAxOAkAAAABMGtSiolEJd4I0Axzi0Ql3ggnQ0lRLlhPTS5JUV9OSS5JUV9MVE0uOS8zMC8yMDIxLkwuLlVTRC5IAQAAAEIzBgACAAAABS01OTAwAQgAAAAFAAAAATEBAAAACy0yMDcyMzM3MTg4AwAAAAMxNjACAAAAAjE1BAAAAAEwBwAAAAk5LzMwLzIwMjEIAAAACTkvMzAvMjAyMQkAAAABMAkRx4pEJd4IEN5/i0Ql3ggnQ0lRLlhPTS5JUV9OSS5JUV9MVE0uOS8zMC8yMDE1LkwuLlVTRC5IAQAAAEIzBgACAAAABTE5OTQwAQgAAAAFAAAAATEBAAAACjE4MTYyMjE5NjYDAAAAAzE2MAIAAAACMTUEAAAAATAHAAAACTkvMzAvMjAxNQgAAAAJOS8zMC8yMDE1CQAAAAEwyJZ8iUQl3gh3ml6LRCXeCCdDSVEuRU9HLklRX05JLklRX0xUTS45LzMwLzIwMTQuTC4uVVNELkgBAAAAXB0EAAIAAAAIMzA1MS4wOTMBCAAAAAUAAAABMQEAAAAKMTc2MzI2NDcwNQMAAAADMTYwAgAAAAIxNQQAAAABMAcAAAAJOS8zMC8yMDE0CAAAAAk5LzMwLzIwMTQJAAAAATBQBIqJ</t>
  </si>
  <si>
    <t>RCXeCOxYWItEJd4IJ0NJUS5DVlguSVFfTkkuSVFfTFRNLjYvMzAvMjAxNy5MLi5VU0QuSAEAAADKgAEAAgAAAAQ1ODMwAQgAAAAFAAAAATEBAAAACjE4OTgzNTQ1NDMDAAAAAzE2MAIAAAACMTUEAAAAATAHAAAACTYvMzAvMjAxNwgAAAAJNi8zMC8yMDE3CQAAAAEwjaCKiUQl3ggzM2qLRCXeCCdDSVEuQ1ZYLklRX05JLklRX0xUTS4zLzMxLzIwMjIuTC4uVVNELkgBAAAAyoABAAIAAAAFMjA1MDcBCAAAAAUAAAABMQEAAAALLTIwMzU3MDY3NjQDAAAAAzE2MAIAAAACMTUEAAAAATAHAAAACTMvMzEvMjAyMggAAAAJMy8zMS8yMDIyCQAAAAEwCRHHikQl3ggCKIKLRCXeCChDSVEuWE9NLklRX05JLklRX0xUTS4xMi8zMS8yMDEyLkwuLlVTRC5IAQAAAEIzBgACAAAABTQ0ODgwAQgAAAAFAAAAATEBAAAACjE3MjA3NjMwODcDAAAAAzE2MAIAAAACMTUEAAAAATAHAAAACjEyLzMxLzIwMTIIAAAACjEyLzMxLzIwMTIJAAAAATCrh5iJRCXeCLUfTotEJd4IKENJUS5DT1AuSVFfTkkuSVFfTFRNLjEyLzMxLzIwMTguTC4uVVNELkgBAAAAT4YEAAIAAAAENjI1NwEIAAAABQAAAAExAQAAAAoyMDgwNTc0NDY4AwAAAAMxNjACAAAAAjE1BAAAAAEwBwAAAAoxMi8zMS8yMDE4CAAAAAoxMi8zMS8yMDE4CQAAAAEwbiuKiUQl3gjgM3OLRCXeCCdDSVEuWE9NLklRX05JLklRX0xUTS42LzMwLzIwMjMuTC4uVVNELkgBAAAA</t>
  </si>
  <si>
    <t>QjMGAAIAAAAFNTE3MjABCAAAAAUAAAABMQEAAAALLTE5MTkyMzQ2NzEDAAAAAzE2MAIAAAACMTUEAAAAATAHAAAACTYvMzAvMjAyMwgAAAAJNi8zMC8yMDIzCQAAAAEw5UraikQl3ghc9IeLRCXeCChDSVEuQ1ZYLklRX05JLklRX0xUTS4xMi8zMS8yMDIzLkwuLlVTRC5IAQAAAMqAAQACAAAABTIxMzY5AQgAAAAFAAAAATEBAAAACy0xOTU4NzU3Nzk1AwAAAAMxNjACAAAAAjE1BAAAAAEwBwAAAAoxMi8zMS8yMDIzCAAAAAoxMi8zMS8yMDIzCQAAAAEw5UraikQl3ghVPoqLRCXeCCdDSVEuWE9NLklRX05JLklRX0xUTS45LzMwLzIwMTQuTC4uVVNELkgBAAAAQjMGAAIAAAAFMzQzMDABCAAAAAUAAAABMQEAAAAKMTc2MjgzOTEyMQMAAAADMTYwAgAAAAIxNQQAAAABMAcAAAAJOS8zMC8yMDE0CAAAAAk5LzMwLzIwMTQJAAAAATBQBIqJRCXeCNQxWItEJd4IJ0NJUS5DT1AuSVFfTkkuSVFfTFRNLjkvMzAvMjAyMC5MLi5VU0QuSAEAAABPhgQAAgAAAAUtMTIwOQEIAAAABQAAAAExAQAAAAstMjEyMzU3NTk3OAMAAAADMTYwAgAAAAIxNQQAAAABMAcAAAAJOS8zMC8yMDIwCAAAAAk5LzMwLzIwMjAJAAAAATApX8eKRCXeCEFxe4tEJd4IJ0NJUS5YT00uSVFfTkkuSVFfTFRNLjYvMzAvMjAxMS5MLi5VU0QuSAEAAABCMwYAAgAAAAUzNzkzMAEIAAAABQAAAAExAQAAAAoxNTU3MDcyMzU0AwAAAAMxNjACAAAAAjE1</t>
  </si>
  <si>
    <t>BAAAAAEwBwAAAAk2LzMwLzIwMTEIAAAACTYvMzAvMjAxMQkAAAABMOfkfIlEJd4IdSxHi0Ql3ggnQ0lRLkVPRy5JUV9OSS5JUV9MVE0uMy8zMS8yMDE4LkwuLlVTRC5IAQAAAFwdBAACAAAACDMxOTIuNjUxAQgAAAAFAAAAATEBAAAACjE5NTkxNTc2NzQDAAAAAzE2MAIAAAACMTUEAAAAATAHAAAACTMvMzEvMjAxOAgAAAAJMy8zMS8yMDE4CQAAAAEwenmKiUQl3ghCFW+LRCXeCCdDSVEuQ1ZYLklRX05JLklRX0xUTS45LzMwLzIwMTMuTC4uVVNELkgBAAAAyoABAAIAAAAFMjM3MzgBCAAAAAUAAAABMQEAAAAKMTcwNTI2NDAwOQMAAAADMTYwAgAAAAIxNQQAAAABMAcAAAAJOS8zMC8yMDEzCAAAAAk5LzMwLzIwMTMJAAAAATBuK4qJRCXeCDLJUYtEJd4IJ0NJUS5FT0cuSVFfTkkuSVFfTFRNLjYvMzAvMjAyMS5MLi5VU0QuSAEAAABcHQQAAgAAAAQxODc5AQgAAAAFAAAAATEBAAAACy0yMDg2NTg0NzcyAwAAAAMxNjACAAAAAjE1BAAAAAEwBwAAAAk2LzMwLzIwMjEIAAAACTYvMzAvMjAyMQkAAAABMDE4x4pEJd4Ip8x+i0Ql3ggnQ0lRLkNWWC5JUV9OSS5JUV9MVE0uOS8zMC8yMDI1LkwuLlVTRC5IAQAAAMqAAQACAAAABTEyNzY4AQgAAAAFAAAAATEBAAAACy0xOTE4MDk2MzIwAwAAAAMxNjACAAAAAjE1BAAAAAEwBwAAAAk5LzMwLzIwMjUIAAAACTkvMzAvMjAyNQkAAAABMNr82YpEJd4IW0KTi0Ql3ggn</t>
  </si>
  <si>
    <t>Q0lRLkVPRy5JUV9OSS5JUV9MVE0uNi8zMC8yMDE1LkwuLlVTRC5IAQAAAFwdBAACAAAACDEzODMuNzI2AQgAAAAFAAAAATEBAAAACjE4MDE3ODUwMzkDAAAAAzE2MAIAAAACMTUEAAAAATAHAAAACTYvMzAvMjAxNQgAAAAJNi8zMC8yMDE1CQAAAAEwyJZ8iUQl3gjYE12LRCXeCCdDSVEuRU9HLklRX05JLklRX0xUTS45LzMwLzIwMjIuTC4uVVNELkgBAAAAXB0EAAIAAAAENzQ2NwEIAAAABQAAAAExAQAAAAstMjAyMTM3NTAzMQMAAAADMTYwAgAAAAIxNQQAAAABMAcAAAAJOS8zMC8yMDIyCAAAAAk5LzMwLzIwMjIJAAAAATD+6caKRCXeCAKZhItEJd4IJ0NJUS5YT00uSVFfTkkuSVFfTFRNLjkvMzAvMjAxMy5MLi5VU0QuSAEAAABCMwYAAgAAAAUzNDE4MAEIAAAABQAAAAExAQAAAAoxNzA0OTI3ODk2AwAAAAMxNjACAAAAAjE1BAAAAAEwBwAAAAk5LzMwLzIwMTMIAAAACTkvMzAvMjAxMwkAAAABMG4riolEJd4IMslRi0Ql3ggnQ0lRLlhPTS5JUV9OSS5JUV9MVE0uOS8zMC8yMDI1LkwuLlVTRC5IAQAAAEIzBgACAAAABTI5OTUzAQgAAAAFAAAAATEBAAAACy0xOTE4NjU1MDU3AwAAAAMxNjACAAAAAjE1BAAAAAEwBwAAAAk5LzMwLzIwMjUIAAAACTkvMzAvMjAyNQkAAAABMNr82YpEJd4IQhuTi0Ql3ggnQ0lRLlhPTS5JUV9OSS5JUV9MVE0uMy8zMS8yMDE4LkwuLlVTRC5IAQAAAEIzBgACAAAABTIwMzUw</t>
  </si>
  <si>
    <t>AQgAAAAFAAAAATEBAAAACjE5NTk1MDE1MDIDAAAAAzE2MAIAAAACMTUEAAAAATAHAAAACTMvMzEvMjAxOAgAAAAJMy8zMS8yMDE4CQAAAAEwenmKiUQl3ghCFW+LRCXeCCdDSVEuWE9NLklRX05JLklRX0xUTS4zLzMxLzIwMjQuTC4uVVNELkgBAAAAQjMGAAIAAAAFMzI4MDABCAAAAAUAAAABMQEAAAALLTE5NDYxNTc5MjIDAAAAAzE2MAIAAAACMTUEAAAAATAHAAAACTMvMzEvMjAyNAgAAAAJMy8zMS8yMDI0CQAAAAEw5UraikQl3ggyoYuLRCXeCChDSVEuQ1ZYLklRX05JLklRX0xUTS4xMi8zMS8yMDE5LkwuLlVTRC5IAQAAAMqAAQACAAAABDI5MjQBCAAAAAUAAAABMQEAAAALLTIxMTA4ODI4MjYDAAAAAzE2MAIAAAACMTUEAAAAATAHAAAACjEyLzMxLzIwMTkIAAAACjEyLzMxLzIwMTkJAAAAATApX8eKRCXeCLegd4tEJd4IKENJUS5DVlguSVFfTkkuSVFfTFRNLjEyLzMxLzIwMTMuTC4uVVNELkgBAAAAyoABAAIAAAAFMjE0MjMBCAAAAAUAAAABMQEAAAAKMTc3Nzk3MzQ5NAMAAAADMTYwAgAAAAIxNQQAAAABMAcAAAAKMTIvMzEvMjAxMwgAAAAKMTIvMzEvMjAxMwkAAAABMG4riolEJd4ItgFTi0Ql3ggoQ0lRLkNPUC5JUV9OSS5JUV9MVE0uMTIvMzEvMjAyMi5MLi5VU0QuSAEAAABPhgQAAgAAAAUxODY4MAEIAAAABQAAAAExAQAAAAstMTk1OTIwMjE3OAMAAAADMTYwAgAAAAIxNQQAAAABMAcAAAAK</t>
  </si>
  <si>
    <t>MTIvMzEvMjAyMggAAAAKMTIvMzEvMjAyMgkAAAABMP7pxopEJd4IjPiFi0Ql3ggnQ0lRLkNWWC5JUV9OSS5JUV9MVE0uOS8zMC8yMDEwLkwuLlVTRC5IAQAAAMqAAQACAAAABTE2Nzk5AQgAAAAFAAAAATEBAAAACjE0ODAwNzQwNDkDAAAAAzE2MAIAAAACMTUEAAAAATAHAAAACTkvMzAvMjAxMAgAAAAJOS8zMC8yMDEwCQAAAAEwBjN9iUQl3ggU0UOLRCXeCCdDSVEuWE9NLklRX05JLklRX0xUTS45LzMwLzIwMTAuTC4uVVNELkgBAAAAQjMGAAIAAAAFMjcyNjABCAAAAAUAAAABMQEAAAAKMTQ4MDYxNTcxOAMAAAADMTYwAgAAAAIxNQQAAAABMAcAAAAJOS8zMC8yMDEwCAAAAAk5LzMwLzIwMTAJAAAAATAGM32JRCXeCAaqQ4tEJd4IJ0NJUS5DT1AuSVFfTkkuSVFfTFRNLjMvMzEvMjAyMy5MLi5VU0QuSAEAAABPhgQAAgAAAAUxNTg0MQEIAAAABQAAAAExAQAAAAstMTk4NTQzMjg1MwMAAAADMTYwAgAAAAIxNQQAAAABMAcAAAAJMy8zMS8yMDIzCAAAAAkzLzMxLzIwMjMJAAAAATDlStqKRCXeCBAKh4tEJd4IJ0NJUS5FT0cuSVFfTkkuSVFfTFRNLjkvMzAvMjAxNS5MLi5VU0QuSAEAAABcHQQAAgAAAAktMzc5NS42MzEBCAAAAAUAAAABMQEAAAAKMTgxNjAxNzI4OQMAAAADMTYwAgAAAAIxNQQAAAABMAcAAAAJOS8zMC8yMDE1CAAAAAk5LzMwLzIwMTUJAAAAATDIlnyJRCXeCHeaXotEJd4IJ0NJUS5DT1Au</t>
  </si>
  <si>
    <t>SVFfTkkuSVFfTFRNLjMvMzEvMjAxMS5MLi5VU0QuSAEAAABPhgQAAgAAAAUxMjI4OAEIAAAABQAAAAExAQAAAAoxNTU3MDUwNzAzAwAAAAMxNjACAAAAAjE1BAAAAAEwBwAAAAkzLzMxLzIwMTEIAAAACTMvMzEvMjAxMQkAAAABMPULfYlEJd4ID0JGi0Ql3ggnQ0lRLkNWWC5JUV9OSS5JUV9MVE0uNi8zMC8yMDIwLkwuLlVTRC5IAQAAAMqAAQACAAAABS04NzAxAQgAAAAFAAAAATEBAAAACy0yMTM5Nzk3MzM0AwAAAAMxNjACAAAAAjE1BAAAAAEwBwAAAAk2LzMwLzIwMjAIAAAACTYvMzAvMjAyMAkAAAABMClfx4pEJd4Ip+p5i0Ql3ggnQ0lRLkNWWC5JUV9OSS5JUV9MVE0uOS8zMC8yMDE1LkwuLlVTRC5IAQAAAMqAAQACAAAABDg2NDYBCAAAAAUAAAABMQEAAAAKMTgxNjIzMDQxNgMAAAADMTYwAgAAAAIxNQQAAAABMAcAAAAJOS8zMC8yMDE1CAAAAAk5LzMwLzIwMTUJAAAAATDIlnyJRCXeCHeaXotEJd4IJ0NJUS5FT0cuSVFfTkkuSVFfTFRNLjYvMzAvMjAxNy5MLi5VU0QuSAEAAABcHQQAAgAAAAgtMjgwLjc4MgEIAAAABQAAAAExAQAAAAoxODk4NDE0ODc2AwAAAAMxNjACAAAAAjE1BAAAAAEwBwAAAAk2LzMwLzIwMTcIAAAACTYvMzAvMjAxNwkAAAABMI2giolEJd4IMzNqi0Ql3ggnQ0lRLkVPRy5JUV9OSS5JUV9MVE0uNi8zMC8yMDIzLkwuLlVTRC5IAQAAAFwdBAACAAAABDg3MDcBCAAAAAUAAAAB</t>
  </si>
  <si>
    <t>MQEAAAALLTE5ODU1MDAzMjMDAAAAAzE2MAIAAAACMTUEAAAAATAHAAAACTYvMzAvMjAyMwgAAAAJNi8zMC8yMDIzCQAAAAEw5UraikQl3ghtG4iLRCXeCCdDSVEuRU9HLklRX05JLklRX0xUTS45LzMwLzIwMjAuTC4uVVNELkgBAAAAXB0EAAIAAAAILTMwNS40NzkBCAAAAAUAAAABMQEAAAALLTIxMjM4MzE3NjgDAAAAAzE2MAIAAAACMTUEAAAAATAHAAAACTkvMzAvMjAyMAgAAAAJOS8zMC8yMDIwCQAAAAEwKV/HikQl3ghBcXuLRCXeCChDSVEuQ1ZYLklRX05JLklRX0xUTS4xMi8zMS8yMDEyLkwuLlVTRC5IAQAAAMqAAQACAAAABTI2MTc5AQgAAAAFAAAAATEBAAAACjE3MjAwMzk1MjIDAAAAAzE2MAIAAAACMTUEAAAAATAHAAAACjEyLzMxLzIwMTIIAAAACjEyLzMxLzIwMTIJAAAAATCrh5iJRCXeCLUfTotEJd4IKENJUS5YT00uSVFfTkkuSVFfTFRNLjEyLzMxLzIwMjQuTC4uVVNELkgBAAAAQjMGAAIAAAAFMzM2ODABCAAAAAUAAAABMQEAAAALLTE5NTg5NTM2NDQDAAAAAzE2MAIAAAACMTUEAAAAATAHAAAACjEyLzMxLzIwMjQIAAAACjEyLzMxLzIwMjQJAAAAATDqI9qKRCXeCKkjj4tEJd4IJ0NJUS5DVlguSVFfTkkuSVFfTFRNLjkvMzAvMjAyMC5MLi5VU0QuSAEAAADKgAEAAgAAAAYtMTE0ODgBCAAAAAUAAAABMQEAAAALLTIxMjM2MDQyNjkDAAAAAzE2MAIAAAACMTUEAAAAATAHAAAACTkvMzAv</t>
  </si>
  <si>
    <t>MjAyMAgAAAAJOS8zMC8yMDIwCQAAAAEwKV/HikQl3ggxSnuLRCXeCCdDSVEuQ1ZYLklRX05JLklRX0xUTS45LzMwLzIwMTQuTC4uVVNELkgBAAAAyoABAAIAAAAFMjA3MDABCAAAAAUAAAABMQEAAAAKMTc2MzMzMDM4OQMAAAADMTYwAgAAAAIxNQQAAAABMAcAAAAJOS8zMC8yMDE0CAAAAAk5LzMwLzIwMTQJAAAAATBQBIqJRCXeCNQxWItEJd4IJ0NJUS5YT00uSVFfTkkuSVFfTFRNLjYvMzAvMjAxNy5MLi5VU0QuSAEAAABCMwYAAgAAAAUxMTY5MAEIAAAABQAAAAExAQAAAAoxODk4MjU3MjEyAwAAAAMxNjACAAAAAjE1BAAAAAEwBwAAAAk2LzMwLzIwMTcIAAAACTYvMzAvMjAxNwkAAAABMI2giolEJd4IKQxqi0Ql3ggnQ0lRLlhPTS5JUV9OSS5JUV9MVE0uMy8zMS8yMDIyLkwuLlVTRC5IAQAAAEIzBgACAAAABTI1NzkwAQgAAAAFAAAAATEBAAAACy0yMDQ3ODkwNTU3AwAAAAMxNjACAAAAAjE1BAAAAAEwBwAAAAkzLzMxLzIwMjIIAAAACTMvMzEvMjAyMgkAAAABMAkRx4pEJd4IAiiCi0Ql3ggnQ0lRLkNWWC5JUV9OSS5JUV9MVE0uNi8zMC8yMDExLkwuLlVTRC5IAQAAAMqAAQACAAAABTIzMDA2AQgAAAAFAAAAATEBAAAACjE1NTc0MDUyNzIDAAAAAzE2MAIAAAACMTUEAAAAATAHAAAACTYvMzAvMjAxMQgAAAAJNi8zMC8yMDExCQAAAAEw5+R8iUQl3gh1LEeLRCXeCCdDSVEuQ09QLklRX05JLklRX0xU</t>
  </si>
  <si>
    <t>TS4zLzMxLzIwMTYuTC4uVVNELkgBAAAAT4YEAAIAAAAFLTYxNjkBCAAAAAUAAAABMQEAAAAKMTg0MDQyNzk2OQMAAAADMTYwAgAAAAIxNQQAAAABMAcAAAAJMy8zMS8yMDE2CAAAAAkzLzMxLzIwMTYJAAAAATChx4qJRCXeCA1rYotEJd4IJ0NJUS5DT1AuSVFfTkkuSVFfTFRNLjMvMzEvMjAyMi5MLi5VU0QuSAEAAABPhgQAAgAAAAUxMjg1NgEIAAAABQAAAAExAQAAAAstMjA0NzI1MDY2MwMAAAADMTYwAgAAAAIxNQQAAAABMAcAAAAJMy8zMS8yMDIyCAAAAAkzLzMxLzIwMjIJAAAAATAJEceKRCXeCBNPgotEJd4IKENJUS5YT00uSVFfTkkuSVFfTFRNLjEyLzMxLzIwMjMuTC4uVVNELkgBAAAAQjMGAAIAAAAFMzYwMTABCAAAAAUAAAABMQEAAAALLTE5NTg5NTM2MTADAAAAAzE2MAIAAAACMTUEAAAAATAHAAAACjEyLzMxLzIwMjMIAAAACjEyLzMxLzIwMjMJAAAAATDlStqKRCXeCFU+iotEJd4IJ0NJUS5DT1AuSVFfTkkuSVFfTFRNLjkvMzAvMjAxNC5MLi5VU0QuSAEAAABPhgQAAgAAAAQ5Mzk1AQgAAAAFAAAAATEBAAAACjE3NjI2MDg3NTgDAAAAAzE2MAIAAAACMTUEAAAAATAHAAAACTkvMzAvMjAxNAgAAAAJOS8zMC8yMDE0CQAAAAEwUASKiUQl3gjyf1iLRCXeCDZDSVEuQ09QLklRX05JXzFZUl9BTk5fR1JPV1RILklRX0xUTS45LzMwLzIwMjUuTC4uVVNELkgBAAAAT4YEAAIAAAAILTEwLjk5OTQB</t>
  </si>
  <si>
    <t>CAAAAAUAAAABMQEAAAALLTE5MTgwNDU0MjEDAAAAAzE2MAIAAAAENDE5OQQAAAABMAcAAAAJOS8zMC8yMDI1CAAAAAk5LzMwLzIwMjUJAAAAATDa/NmKRCXeCEIbk4tEJd4INUNJUS5DT1AuSVFfTklfMVlSX0FOTl9HUk9XVEguSVFfQ1EuOS8zMC8yMDI1LkwuLlVTRC5IAQAAAE+GBAACAAAACC0xNi4xNzI5AQgAAAAFAAAAATEBAAAACy0xOTE4MDQ4MTQ1AwAAAAMxNjACAAAABDQxOTkEAAAAATAHAAAACTkvMzAvMjAyNQgAAAAJOS8zMC8yMDI1CQAAAAEw2vzZikQl3ghbQpOLRCXeCDZDSVEuQ09QLklRX05JXzFZUl9BTk5fR1JPV1RILklRX0NRLjEyLzMxLzIwMDkuTC4uVVNELkgBAAAAT4YEAAMAAAACTk0BCAAAAAUAAAABMQEAAAAKMTQzOTI5Mjc1NwMAAAADMTYwAgAAAAQ0MTk5BAAAAAEwBwAAAAoxMi8zMS8yMDA5CAAAAAoxMi8zMS8yMDA5CQAAAAEwBjN9iUQl3gjv6kCLRCXeCDVDSVEuQ1ZYLklRX05JXzFZUl9BTk5fR1JPV1RILklRX0NRLjkvMzAvMjAxMC5MLi5VU0QuSAEAAADKgAEAAgAAAActMS42NDQ1AQgAAAAFAAAAATEBAAAACjE0ODAwNjcxODIDAAAAAzE2MAIAAAAENDE5OQQAAAABMAcAAAAJOS8zMC8yMDEwCAAAAAk5LzMwLzIwMTAJAAAAATAGM32JRCXeCAaqQ4tEJd4INkNJUS5DT1AuSVFfTklfMVlSX0FOTl9HUk9XVEguSVFfQ1EuMTIvMzEvMjAxMS5MLi5VU0QuSAEAAABPhgQA</t>
  </si>
  <si>
    <t>AgAAAAY2Ni4wOTUBCAAAAAUAAAABMQEAAAAKMTU4ODQ1NDczMQMAAAADMTYwAgAAAAQ0MTk5BAAAAAEwBwAAAAoxMi8zMS8yMDExCAAAAAoxMi8zMS8yMDExCQAAAAEw5+R8iUQl3gg1k0mLRCXeCDVDSVEuQ1ZYLklRX05JXzFZUl9BTk5fR1JPV1RILklRX0NRLjkvMzAvMjAxMi5MLi5VU0QuSAEAAADKgAEAAgAAAAgtMzIuOTAzNAEIAAAABQAAAAExAQAAAAoxNjQzODc4MjQ4AwAAAAMxNjACAAAABDQxOTkEAAAAATAHAAAACTkvMzAvMjAxMggAAAAJOS8zMC8yMDEyCQAAAAEwq4eYiUQl3ggw50yLRCXeCDZDSVEuQ09QLklRX05JXzFZUl9BTk5fR1JPV1RILklRX0NRLjEyLzMxLzIwMTMuTC4uVVNELkgBAAAAT4YEAAIAAAAHNzQuNDAzOQEIAAAABQAAAAExAQAAAAoxNzIwNTg0MjcxAwAAAAMxNjACAAAABDQxOTkEAAAAATAHAAAACjEyLzMxLzIwMTMIAAAACjEyLzMxLzIwMTMJAAAAATBuK4qJRCXeCNooU4tEJd4INUNJUS5DVlguSVFfTklfMVlSX0FOTl9HUk9XVEguSVFfQ1EuOS8zMC8yMDE0LkwuLlVTRC5IAQAAAMqAAQACAAAABzEyLjk4OTgBCAAAAAUAAAABMQEAAAAKMTc2MzMyOTI2NAMAAAADMTYwAgAAAAQ0MTk5BAAAAAEwBwAAAAk5LzMwLzIwMTQIAAAACTkvMzAvMjAxNAkAAAABMFAEiolEJd4IwwpYi0Ql3gg2Q0lRLkNPUC5JUV9OSV8xWVJfQU5OX0dST1dUSC5JUV9DUS4xMi8zMS8yMDE1</t>
  </si>
  <si>
    <t>LkwuLlVTRC5IAQAAAE+GBAADAAAAAk5NAQgAAAAFAAAAATEBAAAACjE4Mjg2ODgwNjEDAAAAAzE2MAIAAAAENDE5OQQAAAABMAcAAAAKMTIvMzEvMjAxNQgAAAAKMTIvMzEvMjAxNQkAAAABMKbuiolEJd4IR5Zgi0Ql3gg1Q0lRLkNWWC5JUV9OSV8xWVJfQU5OX0dST1dUSC5JUV9DUS45LzMwLzIwMTYuTC4uVVNELkgBAAAAyoABAAIAAAAILTM3LjAxNTMBCAAAAAUAAAABMQEAAAAKMTg2Mzg2NDYyNgMAAAADMTYwAgAAAAQ0MTk5BAAAAAEwBwAAAAk5LzMwLzIwMTYIAAAACTkvMzAvMjAxNgkAAAABMKHHiolEJd4IJipli0Ql3gg2Q0lRLkNPUC5JUV9OSV8xWVJfQU5OX0dST1dUSC5JUV9DUS4xMi8zMS8yMDE3LkwuLlVTRC5IAQAAAE+GBAADAAAAAk5NAQgAAAAFAAAAATEBAAAACjE5NDYwMDU3NDgDAAAAAzE2MAIAAAAENDE5OQQAAAABMAcAAAAKMTIvMzEvMjAxNwgAAAAKMTIvMzEvMjAxNwkAAAABMHp5iolEJd4Igmdti0Ql3gg1Q0lRLkNWWC5JUV9OSV8xWVJfQU5OX0dST1dUSC5JUV9DUS45LzMwLzIwMTguTC4uVVNELkgBAAAAyoABAAIAAAAIMTA3LjMyNTgBCAAAAAUAAAABMQEAAAAKMTk5MDk4Njg5NgMAAAADMTYwAgAAAAQ0MTk5BAAAAAEwBwAAAAk5LzMwLzIwMTgIAAAACTkvMzAvMjAxOAkAAAABMGtSiolEJd4IRK1xi0Ql3gg2Q0lRLkNPUC5JUV9OSV8xWVJfQU5OX0dST1dUSC5JUV9DUS4x</t>
  </si>
  <si>
    <t>Mi8zMS8yMDE5LkwuLlVTRC5IAQAAAE+GBAACAAAACC02MS40NTYyAQgAAAAFAAAAATEBAAAACjIwODA1NzQ0OTADAAAAAzE2MAIAAAAENDE5OQQAAAABMAcAAAAKMTIvMzEvMjAxOQgAAAAKMTIvMzEvMjAxOQkAAAABMClfx4pEJd4It6B3i0Ql3gg1Q0lRLkNWWC5JUV9OSV8xWVJfQU5OX0dST1dUSC5JUV9DUS45LzMwLzIwMjAuTC4uVVNELkgBAAAAyoABAAMAAAACTk0BCAAAAAUAAAABMQEAAAALLTIxMjM2MDQ4MzADAAAAAzE2MAIAAAAENDE5OQQAAAABMAcAAAAJOS8zMC8yMDIwCAAAAAk5LzMwLzIwMjAJAAAAATApX8eKRCXeCDFKe4tEJd4INkNJUS5DT1AuSVFfTklfMVlSX0FOTl9HUk9XVEguSVFfQ1EuMTIvMzEvMjAyMS5MLi5VU0QuSAEAAABPhgQAAwAAAAJOTQEIAAAABQAAAAExAQAAAAstMjA2MDYxMTkyOAMAAAADMTYwAgAAAAQ0MTk5BAAAAAEwBwAAAAoxMi8zMS8yMDIxCAAAAAoxMi8zMS8yMDIxCQAAAAEwCRHHikQl3giNFoGLRCXeCDVDSVEuQ1ZYLklRX05JXzFZUl9BTk5fR1JPV1RILklRX0NRLjkvMzAvMjAyMi5MLi5VU0QuSAEAAADKgAEAAgAAAAc4My43ODMzAQgAAAAFAAAAATEBAAAACy0yMDIxNDExMTAwAwAAAAMxNjACAAAABDQxOTkEAAAAATAHAAAACTkvMzAvMjAyMggAAAAJOS8zMC8yMDIyCQAAAAEw/unGikQl3gjiSoSLRCXeCDZDSVEuQ09QLklRX05JXzFZUl9BTk5fR1JP</t>
  </si>
  <si>
    <t>V1RILklRX0NRLjEyLzMxLzIwMjMuTC4uVVNELkgBAAAAT4YEAAIAAAAHLTcuNDQ4NQEIAAAABQAAAAExAQAAAAstMTk1OTIwMjE3NwMAAAADMTYwAgAAAAQ0MTk5BAAAAAEwBwAAAAoxMi8zMS8yMDIzCAAAAAoxMi8zMS8yMDIzCQAAAAEw5UraikQl3ghiZYqLRCXeCDVDSVEuQ1ZYLklRX05JXzFZUl9BTk5fR1JPV1RILklRX0NRLjkvMzAvMjAyNC5MLi5VU0QuSAEAAADKgAEAAgAAAAgtMzEuMjQ0MwEIAAAABQAAAAExAQAAAAstMTkxODA5ODEzNAMAAAADMTYwAgAAAAQ0MTk5BAAAAAEwBwAAAAk5LzMwLzIwMjQIAAAACTkvMzAvMjAyNAkAAAABMOoj2opEJd4IFsSNi0Ql3gg1Q0lRLlhPTS5JUV9OSV8xWVJfQU5OX0dST1dUSC5JUV9DUS45LzMwLzIwMTAuTC4uVVNELkgBAAAAQjMGAAIAAAAHNTUuMzkxMQEIAAAABQAAAAExAQAAAAoxNDgwNTk0NTcwAwAAAAMxNjACAAAABDQxOTkEAAAAATAHAAAACTkvMzAvMjAxMAgAAAAJOS8zMC8yMDEwCQAAAAEwBjN9iUQl3ggU0UOLRCXeCDVDSVEuRU9HLklRX05JXzFZUl9BTk5fR1JPV1RILklRX0NRLjYvMzAvMjAxMS5MLi5VU0QuSAEAAABcHQQAAgAAAAgzOTMuNjc2NQEIAAAABQAAAAExAQAAAAoxNTU3MjY0OTY5AwAAAAMxNjACAAAABDQxOTkEAAAAATAHAAAACTYvMzAvMjAxMQgAAAAJNi8zMC8yMDExCQAAAAEw5+R8iUQl3ghfBUeLRCXeCDVDSVEuWE9N</t>
  </si>
  <si>
    <t>LklRX05JXzFZUl9BTk5fR1JPV1RILklRX0NRLjkvMzAvMjAxMi5MLi5VU0QuSAEAAABCMwYAAgAAAActNy4zNTczAQgAAAAFAAAAATEBAAAACjE2NDM0NzI4MjIDAAAAAzE2MAIAAAAENDE5OQQAAAABMAcAAAAJOS8zMC8yMDEyCAAAAAk5LzMwLzIwMTIJAAAAATCrh5iJRCXeCF81TYtEJd4INUNJUS5FT0cuSVFfTklfMVlSX0FOTl9HUk9XVEguSVFfQ1EuNi8zMC8yMDEzLkwuLlVTRC5IAQAAAFwdBAACAAAABzY2LjY4MjMBCAAAAAUAAAABMQEAAAAKMTY4OTY1NTM3OAMAAAADMTYwAgAAAAQ0MTk5BAAAAAEwBwAAAAk2LzMwLzIwMTMIAAAACTYvMzAvMjAxMwkAAAABMJhgmIlEJd4Io2lQi0Ql3gg1Q0lRLlhPTS5JUV9OSV8xWVJfQU5OX0dST1dUSC5JUV9DUS45LzMwLzIwMTQuTC4uVVNELkgBAAAAQjMGAAIAAAAGMi41NDEyAQgAAAAFAAAAATEBAAAACjE3NjI4MzcyMzIDAAAAAzE2MAIAAAAENDE5OQQAAAABMAcAAAAJOS8zMC8yMDE0CAAAAAk5LzMwLzIwMTQJAAAAATBQBIqJRCXeCOxYWItEJd4INUNJUS5FT0cuSVFfTklfMVlSX0FOTl9HUk9XVEguSVFfQ1EuNi8zMC8yMDE1LkwuLlVTRC5IAQAAAFwdBAACAAAACC05OS4yNTQyAQgAAAAFAAAAATEBAAAACjE4MDE3ODI0ODUDAAAAAzE2MAIAAAAENDE5OQQAAAABMAcAAAAJNi8zMC8yMDE1CAAAAAk2LzMwLzIwMTUJAAAAATDbvXyJRCXeCMzsXItE</t>
  </si>
  <si>
    <t>Jd4INUNJUS5YT00uSVFfTklfMVlSX0FOTl9HUk9XVEguSVFfQ1EuOS8zMC8yMDE2LkwuLlVTRC5IAQAAAEIzBgACAAAABS0zNy41AQgAAAAFAAAAATEBAAAACjE4NjM2Nzc5OTkDAAAAAzE2MAIAAAAENDE5OQQAAAABMAcAAAAJOS8zMC8yMDE2CAAAAAk5LzMwLzIwMTYJAAAAATChx4qJRCXeCEt4ZYtEJd4INUNJUS5YT00uSVFfTklfMVlSX0FOTl9HUk9XVEguSVFfQ1EuOS8zMC8yMDE4LkwuLlVTRC5IAQAAAEIzBgACAAAABzU3LjE3ODgBCAAAAAUAAAABMQEAAAAKMTk5MDc4NzExMQMAAAADMTYwAgAAAAQ0MTk5BAAAAAEwBwAAAAk5LzMwLzIwMTgIAAAACTkvMzAvMjAxOAkAAAABMGtSiolEJd4IZPtxi0Ql3gg1Q0lRLkVPRy5JUV9OSV8xWVJfQU5OX0dST1dUSC5JUV9DUS42LzMwLzIwMjEuTC4uVVNELkgBAAAAXB0EAAMAAAACTk0BCAAAAAUAAAABMQEAAAALLTIwODY1ODQ4OTkDAAAAAzE2MAIAAAAENDE5OQQAAAABMAcAAAAJNi8zMC8yMDIxCAAAAAk2LzMwLzIwMjEJAAAAATAxOMeKRCXeCJKlfotEJd4INUNJUS5YT00uSVFfTklfMVlSX0FOTl9HUk9XVEguSVFfQ1EuOS8zMC8yMDIyLkwuLlVTRC5IAQAAAEIzBgACAAAACDE5MS4yNTkyAQgAAAAFAAAAATEBAAAACy0yMDIxODY5NzA4AwAAAAMxNjACAAAABDQxOTkEAAAAATAHAAAACTkvMzAvMjAyMggAAAAJOS8zMC8yMDIyCQAAAAEw/unGikQl</t>
  </si>
  <si>
    <t>3ggCmYSLRCXeCDVDSVEuWE9NLklRX05JXzFZUl9BTk5fR1JPV1RILklRX0NRLjkvMzAvMjAyNC5MLi5VU0QuSAEAAABCMwYAAgAAAActNS4wNzE3AQgAAAAFAAAAATEBAAAACy0xOTE4Njc1MzQ2AwAAAAMxNjACAAAABDQxOTkEAAAAATAHAAAACTkvMzAvMjAyNAgAAAAJOS8zMC8yMDI0CQAAAAEw6iPaikQl3ggWxI2LRCXeCDVDSVEuQ1ZYLklRX05JXzFZUl9BTk5fR1JPV1RILklRX0NRLjYvMzAvMjAxMS5MLi5VU0QuSAEAAADKgAEAAgAAAAc0Mi45NDY5AQgAAAAFAAAAATEBAAAACjE1NTczOTY3NTMDAAAAAzE2MAIAAAAENDE5OQQAAAABMAcAAAAJNi8zMC8yMDExCAAAAAk2LzMwLzIwMTEJAAAAATDn5HyJRCXeCF8FR4tEJd4INUNJUS5DT1AuSVFfTklfMVlSX0FOTl9HUk9XVEguSVFfQ1EuOS8zMC8yMDEyLkwuLlVTRC5IAQAAAE+GBAACAAAACC0zMS4yNjkyAQgAAAAFAAAAATEBAAAACjE2NDM0NzI4OTYDAAAAAzE2MAIAAAAENDE5OQQAAAABMAcAAAAJOS8zMC8yMDEyCAAAAAk5LzMwLzIwMTIJAAAAATCrh5iJRCXeCF81TYtEJd4INUNJUS5DT1AuSVFfTklfMVlSX0FOTl9HUk9XVEguSVFfQ1EuOS8zMC8yMDE0LkwuLlVTRC5IAQAAAE+GBAACAAAABjkuMDMyMgEIAAAABQAAAAExAQAAAAoxNzYyNjAyMzY0AwAAAAMxNjACAAAABDQxOTkEAAAAATAHAAAACTkvMzAvMjAxNAgAAAAJOS8zMC8yMDE0</t>
  </si>
  <si>
    <t>CQAAAAEwUASKiUQl3gjsWFiLRCXeCDVDSVEuQ1ZYLklRX05JXzFZUl9BTk5fR1JPV1RILklRX0NRLjYvMzAvMjAxNy5MLi5VU0QuSAEAAADKgAEAAwAAAAJOTQEIAAAABQAAAAExAQAAAAoxODk4MzUzODQ1AwAAAAMxNjACAAAABDQxOTkEAAAAATAHAAAACTYvMzAvMjAxNwgAAAAJNi8zMC8yMDE3CQAAAAEwjaCKiUQl3ggW5WmLRCXeCDVDSVEuQ09QLklRX05JXzFZUl9BTk5fR1JPV1RILklRX0NRLjkvMzAvMjAxOC5MLi5VU0QuSAEAAABPhgQAAgAAAAgzNDMuMDk1MgEIAAAABQAAAAExAQAAAAoxOTg5OTAxMjY4AwAAAAMxNjACAAAABDQxOTkEAAAAATAHAAAACTkvMzAvMjAxOAgAAAAJOS8zMC8yMDE4CQAAAAEwa1KKiUQl3ghk+3GLRCXeCDVDSVEuQ1ZYLklRX05JXzFZUl9BTk5fR1JPV1RILklRX0NRLjYvMzAvMjAyMS5MLi5VU0QuSAEAAADKgAEAAwAAAAJOTQEIAAAABQAAAAExAQAAAAstMjA4NjQ5MTMwNgMAAAADMTYwAgAAAAQ0MTk5BAAAAAEwBwAAAAk2LzMwLzIwMjEIAAAACTYvMzAvMjAyMQkAAAABMDE4x4pEJd4IkqV+i0Ql3gg1Q0lRLkNPUC5JUV9OSV8xWVJfQU5OX0dST1dUSC5JUV9DUS45LzMwLzIwMjIuTC4uVVNELkgBAAAAT4YEAAIAAAAFOTAuMjkBCAAAAAUAAAABMQEAAAALLTIwMjE0ODc5NTADAAAAAzE2MAIAAAAENDE5OQQAAAABMAcAAAAJOS8zMC8yMDIyCAAAAAk5LzMwLzIw</t>
  </si>
  <si>
    <t>MjIJAAAAATD+6caKRCXeCAKZhItEJd4INUNJUS5DVlguSVFfTklfMVlSX0FOTl9HUk9XVEguSVFfQ1EuNi8zMC8yMDI1LkwuLlVTRC5IAQAAAMqAAQACAAAACC00My44NDMxAQgAAAAFAAAAATEBAAAACy0xOTE4MDk0NjIzAwAAAAMxNjACAAAABDQxOTkEAAAAATAHAAAACTYvMzAvMjAyNQgAAAAJNi8zMC8yMDI1CQAAAAEw6iPaikQl3gillJGLRCXeCDVDSVEuWE9NLklRX05JXzFZUl9BTk5fR1JPV1RILklRX0NRLjYvMzAvMjAxMS5MLi5VU0QuSAEAAABCMwYAAgAAAAc0MS4yNjk4AQgAAAAFAAAAATEBAAAACjE1NTcwNzIyMzcDAAAAAzE2MAIAAAAENDE5OQQAAAABMAcAAAAJNi8zMC8yMDExCAAAAAk2LzMwLzIwMTEJAAAAATDn5HyJRCXeCIhTR4tEJd4INUNJUS5FT0cuSVFfTklfMVlSX0FOTl9HUk9XVEguSVFfQ1EuMy8zMS8yMDE0LkwuLlVTRC5IAQAAAFwdBAACAAAABjMzLjU5NQEIAAAABQAAAAExAQAAAAoxNzMzMzEyODY0AwAAAAMxNjACAAAABDQxOTkEAAAAATAHAAAACTMvMzEvMjAxNAgAAAAJMy8zMS8yMDE0CQAAAAEwbiuKiUQl3ghTiFSLRCXeCDVDSVEuWE9NLklRX05JXzFZUl9BTk5fR1JPV1RILklRX0NRLjYvMzAvMjAxNS5MLi5VU0QuSAEAAABCMwYAAgAAAActNTIuMjc4AQgAAAAFAAAAATEBAAAACjE4MDE2MTY4ODADAAAAAzE2MAIAAAAENDE5OQQAAAABMAcAAAAJNi8zMC8yMDE1</t>
  </si>
  <si>
    <t>CAAAAAk2LzMwLzIwMTUJAAAAATDIlnyJRCXeCOA6XYtEJd4INUNJUS5FT0cuSVFfTklfMVlSX0FOTl9HUk9XVEguSVFfQ1EuMy8zMS8yMDE4LkwuLlVTRC5IAQAAAFwdBAACAAAACTIxMzkuMzI3NAEIAAAABQAAAAExAQAAAAoxOTU5MTU2OTE3AwAAAAMxNjACAAAABDQxOTkEAAAAATAHAAAACTMvMzEvMjAxOAgAAAAJMy8zMS8yMDE4CQAAAAEwenmKiUQl3ggh7m6LRCXeCDVDSVEuWE9NLklRX05JXzFZUl9BTk5fR1JPV1RILklRX0NRLjYvMzAvMjAxOS5MLi5VU0QuSAEAAABCMwYAAgAAAAgtMjAuNzU5NQEIAAAABQAAAAExAQAAAAoyMDQ4MzAzNTc0AwAAAAMxNjACAAAABDQxOTkEAAAAATAHAAAACTYvMzAvMjAxOQgAAAAJNi8zMC8yMDE5CQAAAAEwwG98iUQl3gjEVnWLRCXeCDVDSVEuRU9HLklRX05JXzFZUl9BTk5fR1JPV1RILklRX0NRLjMvMzEvMjAyMi5MLi5VU0QuSAEAAABcHQQAAgAAAActNDIuMzkzAQgAAAAFAAAAATEBAAAACy0yMDQ3NDczNjcxAwAAAAMxNjACAAAABDQxOTkEAAAAATAHAAAACTMvMzEvMjAyMggAAAAJMy8zMS8yMDIyCQAAAAEwCRHHikQl3gjqAIKLRCXeCDVDSVEuWE9NLklRX05JXzFZUl9BTk5fR1JPV1RILklRX0NRLjYvMzAvMjAyMy5MLi5VU0QuSAEAAABCMwYAAgAAAAgtNTUuODU0NAEIAAAABQAAAAExAQAAAAstMTkxOTIzNDY3MgMAAAADMTYwAgAAAAQ0MTk5BAAA</t>
  </si>
  <si>
    <t>AAEwBwAAAAk2LzMwLzIwMjMIAAAACTYvMzAvMjAyMwkAAAABMOVK2opEJd4IbRuIi0Ql3gg1Q0lRLkVPRy5JUV9OSV8xWVJfQU5OX0dST1dUSC5JUV9DUS4zLzMxLzIwMjQuTC4uVVNELkgBAAAAXB0EAAIAAAAHLTExLjU2NwEIAAAABQAAAAExAQAAAAstMTk0Njk4NzIwOQMAAAADMTYwAgAAAAQ0MTk5BAAAAAEwBwAAAAkzLzMxLzIwMjQIAAAACTMvMzEvMjAyNAkAAAABMOVK2opEJd4IGFOLi0Ql3gg1Q0lRLlhPTS5JUV9OSV8xWVJfQU5OX0dST1dUSC5JUV9DUS42LzMwLzIwMjUuTC4uVVNELkgBAAAAQjMGAAIAAAAHLTIzLjM1NQEIAAAABQAAAAExAQAAAAstMTkzMzQ0NDExMAMAAAADMTYwAgAAAAQ0MTk5BAAAAAEwBwAAAAk2LzMwLzIwMjUIAAAACTYvMzAvMjAyNQkAAAABMOoj2opEJd4IyOKRi0Ql3gg1Q0lRLkNWWC5JUV9OSV8xWVJfQU5OX0dST1dUSC5JUV9DUS4zLzMxLzIwMTAuTC4uVVNELkgBAAAAyoABAAIAAAAIMTQ3Ljc5NTMBCAAAAAUAAAABMQEAAAAKMTQ1MTI2MjU3MAMAAAADMTYwAgAAAAQ0MTk5BAAAAAEwBwAAAAkzLzMxLzIwMTAIAAAACTMvMzEvMjAxMAkAAAABMAYzfYlEJd4IVtVBi0Ql3gg1Q0lRLkNPUC5JUV9OSV8xWVJfQU5OX0dST1dUSC5JUV9DUS42LzMwLzIwMTEuTC4uVVNELkgBAAAAT4YEAAIAAAAILTE4LjI5OTgBCAAAAAUAAAABMQEAAAAKMTU1NzAyNjI5MgMAAAAD</t>
  </si>
  <si>
    <t>MTYwAgAAAAQ0MTk5BAAAAAEwBwAAAAk2LzMwLzIwMTEIAAAACTYvMzAvMjAxMQkAAAABMOfkfIlEJd4IdSxHi0Ql3gg1Q0lRLkVPRy5JUV9OSV8xWVJfQU5OX0dST1dUSC5JUV9DUS42LzMwLzIwMTcuTC4uVVNELkgBAAAAXB0EAAMAAAACTk0BCAAAAAUAAAABMQEAAAAKMTg5ODQxNDQxNgMAAAADMTYwAgAAAAQ0MTk5BAAAAAEwBwAAAAk2LzMwLzIwMTcIAAAACTYvMzAvMjAxNwkAAAABMI2giolEJd4IKQxqi0Ql3gg1Q0lRLkVPRy5JUV9OSV8xWVJfQU5OX0dST1dUSC5JUV9DUS42LzMwLzIwMTkuTC4uVVNELkgBAAAAXB0EAAIAAAAHMjEuNjg4NAEIAAAABQAAAAExAQAAAAoyMDQ4NjI3NDg3AwAAAAMxNjACAAAABDQxOTkEAAAAATAHAAAACTYvMzAvMjAxOQgAAAAJNi8zMC8yMDE5CQAAAAEwwG98iUQl3girL3WLRCXeCDVDSVEuWE9NLklRX05JXzFZUl9BTk5fR1JPV1RILklRX0NRLjkvMzAvMjAyMC5MLi5VU0QuSAEAAABCMwYAAwAAAAJOTQEIAAAABQAAAAExAQAAAAstMjEyMzkyOTIyMQMAAAADMTYwAgAAAAQ0MTk5BAAAAAEwBwAAAAk5LzMwLzIwMjAIAAAACTkvMzAvMjAyMAkAAAABMClfx4pEJd4IQXF7i0Ql3gg1Q0lRLkVPRy5JUV9OSV8xWVJfQU5OX0dST1dUSC5JUV9DUS42LzMwLzIwMjMuTC4uVVNELkgBAAAAXB0EAAIAAAAILTMwLjYwNzcBCAAAAAUAAAABMQEAAAALLTE5ODU1MDMxMTAD</t>
  </si>
  <si>
    <t>AAAAAzE2MAIAAAAENDE5OQQAAAABMAcAAAAJNi8zMC8yMDIzCAAAAAk2LzMwLzIwMjMJAAAAATDlStqKRCXeCFz0h4tEJd4INUNJUS5FT0cuSVFfTklfMVlSX0FOTl9HUk9XVEguSVFfQ1EuNi8zMC8yMDI1LkwuLlVTRC5IAQAAAFwdBAACAAAACC0yMC40MTQzAQgAAAAFAAAAATEBAAAACy0xOTMyNzEyNDcxAwAAAAMxNjACAAAABDQxOTkEAAAAATAHAAAACTYvMzAvMjAyNQgAAAAJNi8zMC8yMDI1CQAAAAEw6iPaikQl3gillJGLRCXeCDVDSVEuQ09QLklRX05JXzFZUl9BTk5fR1JPV1RILklRX0NRLjkvMzAvMjAxMC5MLi5VU0QuSAEAAABPhgQAAgAAAAgxMDcuODIzMQEIAAAABQAAAAExAQAAAAoxNDc5NzQ4Njc3AwAAAAMxNjACAAAABDQxOTkEAAAAATAHAAAACTkvMzAvMjAxMAgAAAAJOS8zMC8yMDEwCQAAAAEwBjN9iUQl3ggU0UOLRCXeCDVDSVEuQ1ZYLklRX05JXzFZUl9BTk5fR1JPV1RILklRX0NRLjYvMzAvMjAxMy5MLi5VU0QuSAEAAADKgAEAAgAAAAgtMjUuNTg5NQEIAAAABQAAAAExAQAAAAoxNjg5NzYzNDk2AwAAAAMxNjACAAAABDQxOTkEAAAAATAHAAAACTYvMzAvMjAxMwgAAAAJNi8zMC8yMDEzCQAAAAEwmGCYiUQl3gijaVCLRCXeCDVDSVEuQ1ZYLklRX05JXzFZUl9BTk5fR1JPV1RILklRX0NRLjYvMzAvMjAxNS5MLi5VU0QuSAEAAADKgAEAAgAAAAgtODkuOTIwNgEIAAAABQAAAAEx</t>
  </si>
  <si>
    <t>AQAAAAoxODAxODk1MTkyAwAAAAMxNjACAAAABDQxOTkEAAAAATAHAAAACTYvMzAvMjAxNQgAAAAJNi8zMC8yMDE1CQAAAAEwyJZ8iUQl3gjM7FyLRCXeCDVDSVEuQ09QLklRX05JXzFZUl9BTk5fR1JPV1RILklRX0NRLjkvMzAvMjAxNi5MLi5VU0QuSAEAAABPhgQAAwAAAAJOTQEIAAAABQAAAAExAQAAAAoxODYzNDYwMTM4AwAAAAMxNjACAAAABDQxOTkEAAAAATAHAAAACTkvMzAvMjAxNggAAAAJOS8zMC8yMDE2CQAAAAEwoceKiUQl3ghLeGWLRCXeCDVDSVEuQ1ZYLklRX05JXzFZUl9BTk5fR1JPV1RILklRX0NRLjYvMzAvMjAxOS5MLi5VU0QuSAEAAADKgAEAAgAAAAcyNi4yODMzAQgAAAAFAAAAATEBAAAACjIwNDgyOTk5MDIDAAAAAzE2MAIAAAAENDE5OQQAAAABMAcAAAAJNi8zMC8yMDE5CAAAAAk2LzMwLzIwMTkJAAAAATDAb3yJRCXeCKsvdYtEJd4INUNJUS5DT1AuSVFfTklfMVlSX0FOTl9HUk9XVEguSVFfQ1EuOS8zMC8yMDIwLkwuLlVTRC5IAQAAAE+GBAADAAAAAk5NAQgAAAAFAAAAATEBAAAACy0yMTIzNTc4Mzg1AwAAAAMxNjACAAAABDQxOTkEAAAAATAHAAAACTkvMzAvMjAyMAgAAAAJOS8zMC8yMDIwCQAAAAEwKV/HikQl3ghBcXuLRCXeCDVDSVEuQ1ZYLklRX05JXzFZUl9BTk5fR1JPV1RILklRX0NRLjYvMzAvMjAyMy5MLi5VU0QuSAEAAADKgAEAAgAAAAgtNDguMjg3OAEIAAAABQAA</t>
  </si>
  <si>
    <t>AAExAQAAAAstMTk3MDExNDI1OAMAAAADMTYwAgAAAAQ0MTk5BAAAAAEwBwAAAAk2LzMwLzIwMjMIAAAACTYvMzAvMjAyMwkAAAABMOVK2opEJd4IXPSHi0Ql3gg1Q0lRLkNPUC5JUV9OSV8xWVJfQU5OX0dST1dUSC5JUV9DUS45LzMwLzIwMjQuTC4uVVNELkgBAAAAT4YEAAIAAAAILTI2LjQxMTgBCAAAAAUAAAABMQEAAAALLTE5MTgwNDgxMjIDAAAAAzE2MAIAAAAENDE5OQQAAAABMAcAAAAJOS8zMC8yMDI0CAAAAAk5LzMwLzIwMjQJAAAAATDqI9qKRCXeCBbEjYtEJd4INUNJUS5FT0cuSVFfTklfMVlSX0FOTl9HUk9XVEguSVFfQ1EuMy8zMS8yMDEwLkwuLlVTRC5IAQAAAFwdBAACAAAACC0yNS42NDEyAQgAAAAFAAAAATEBAAAACjE0NTIwOTg5ODYDAAAAAzE2MAIAAAAENDE5OQQAAAABMAcAAAAJMy8zMS8yMDEwCAAAAAkzLzMxLzIwMTAJAAAAATAGM32JRCXeCFbVQYtEJd4INUNJUS5FT0cuSVFfTklfMVlSX0FOTl9HUk9XVEguSVFfQ1EuMy8zMS8yMDEyLkwuLlVTRC5IAQAAAFwdBAACAAAACDE0MS44NDY0AQgAAAAFAAAAATEBAAAACjE2MTYxOTA0OTcDAAAAAzE2MAIAAAAENDE5OQQAAAABMAcAAAAJMy8zMS8yMDEyCAAAAAkzLzMxLzIwMTIJAAAAATDbvXyJRCXeCNu8SotEJd4INUNJUS5YT00uSVFfTklfMVlSX0FOTl9HUk9XVEguSVFfQ1EuNi8zMC8yMDEzLkwuLlVTRC5IAQAAAEIzBgACAAAA</t>
  </si>
  <si>
    <t>CC01Ni44ODI1AQgAAAAFAAAAATEBAAAACjE2ODk3NjM5NjgDAAAAAzE2MAIAAAAENDE5OQQAAAABMAcAAAAJNi8zMC8yMDEzCAAAAAk2LzMwLzIwMTMJAAAAATCYYJiJRCXeCK2QUItEJd4INUNJUS5FT0cuSVFfTklfMVlSX0FOTl9HUk9XVEguSVFfQ1EuMy8zMS8yMDE2LkwuLlVTRC5IAQAAAFwdBAADAAAAAk5NAQgAAAAFAAAAATEBAAAACjE4NDA5NjMxNzkDAAAAAzE2MAIAAAAENDE5OQQAAAABMAcAAAAJMy8zMS8yMDE2CAAAAAkzLzMxLzIwMTYJAAAAATChx4qJRCXeCNP1YYtEJd4INUNJUS5YT00uSVFfTklfMVlSX0FOTl9HUk9XVEguSVFfQ1EuNi8zMC8yMDE3LkwuLlVTRC5IAQAAAEIzBgACAAAABzk3LjA1ODgBCAAAAAUAAAABMQEAAAAKMTg5ODI1NTg1NwMAAAADMTYwAgAAAAQ0MTk5BAAAAAEwBwAAAAk2LzMwLzIwMTcIAAAACTYvMzAvMjAxNwkAAAABMI2giolEJd4IMzNqi0Ql3gg1Q0lRLkVPRy5JUV9OSV8xWVJfQU5OX0dST1dUSC5JUV9DUS4zLzMxLzIwMjAuTC4uVVNELkgBAAAAXB0EAAIAAAAILTk4LjQyNjMBCAAAAAUAAAABMQEAAAAKMjA5NjA1MDA0OAMAAAADMTYwAgAAAAQ0MTk5BAAAAAEwBwAAAAkzLzMxLzIwMjAIAAAACTMvMzEvMjAyMAkAAAABMClfx4pEJd4IHrJ4i0Ql3gg1Q0lRLlhPTS5JUV9OSV8xWVJfQU5OX0dST1dUSC5JUV9DUS42LzMwLzIwMjEuTC4uVVNELkgBAAAA</t>
  </si>
  <si>
    <t>QjMGAAMAAAACTk0BCAAAAAUAAAABMQEAAAALLTIwODY2MTUwMjkDAAAAAzE2MAIAAAAENDE5OQQAAAABMAcAAAAJNi8zMC8yMDIxCAAAAAk2LzMwLzIwMjEJAAAAATAxOMeKRCXeCKfMfotEJd4INUNJUS5DVlguSVFfTklfMVlSX0FOTl9HUk9XVEguSVFfQ1EuMy8zMS8yMDEyLkwuLlVTRC5IAQAAAMqAAQACAAAABjQuMTg2MQEIAAAABQAAAAExAQAAAAoxNjE1MzAyMzkwAwAAAAMxNjACAAAABDQxOTkEAAAAATAHAAAACTMvMzEvMjAxMggAAAAJMy8zMS8yMDEyCQAAAAEw2718iUQl3gjbvEqLRCXeCDVDSVEuQ09QLklRX05JXzFZUl9BTk5fR1JPV1RILklRX0NRLjYvMzAvMjAxMy5MLi5VU0QuSAEAAABPhgQAAgAAAActOS41NzIyAQgAAAAFAAAAATEBAAAACjE2ODk1OTc5OTUDAAAAAzE2MAIAAAAENDE5OQQAAAABMAcAAAAJNi8zMC8yMDEzCAAAAAk2LzMwLzIwMTMJAAAAATCYYJiJRCXeCK2QUItEJd4INUNJUS5FT0cuSVFfTklfMVlSX0FOTl9HUk9XVEguSVFfQ1EuOS8zMC8yMDEwLkwuLlVTRC5IAQAAAFwdBAADAAAAAk5NAQgAAAAFAAAAATEBAAAACjE0Nzk3NDgwMjkDAAAAAzE2MAIAAAAENDE5OQQAAAABMAcAAAAJOS8zMC8yMDEwCAAAAAk5LzMwLzIwMTAJAAAAATAGM32JRCXeCAaqQ4tEJd4INUNJUS5DVlguSVFfTklfMVlSX0FOTl9HUk9XVEguSVFfQ1EuOS8zMC8yMDExLkwuLlVTRC5IAQAA</t>
  </si>
  <si>
    <t>AMqAAQACAAAABzEwNy43NzYBCAAAAAUAAAABMQEAAAAKMTU3NDczNDYwNgMAAAADMTYwAgAAAAQ0MTk5BAAAAAEwBwAAAAk5LzMwLzIwMTEIAAAACTkvMzAvMjAxMQkAAAABMOfkfIlEJd4IAi9Ii0Ql3gg1Q0lRLkNPUC5JUV9OSV8xWVJfQU5OX0dST1dUSC5JUV9DUS4zLzMxLzIwMTUuTC4uVVNELkgBAAAAT4YEAAIAAAAHLTg3LjE4OAEIAAAABQAAAAExAQAAAAoxNzg5MzQ0NTE0AwAAAAMxNjACAAAABDQxOTkEAAAAATAHAAAACTMvMzEvMjAxNQgAAAAJMy8zMS8yMDE1CQAAAAEw2718iUQl3gg6jVuLRCXeCDVDSVEuQ09QLklRX05JXzFZUl9BTk5fR1JPV1RILklRX0NRLjMvMzEvMjAxNi5MLi5VU0QuSAEAAABPhgQAAwAAAAJOTQEIAAAABQAAAAExAQAAAAoxODQwNDI1MDc5AwAAAAMxNjACAAAABDQxOTkEAAAAATAHAAAACTMvMzEvMjAxNggAAAAJMy8zMS8yMDE2CQAAAAEwoceKiUQl3ggCRGKLRCXeCDZDSVEuQ1ZYLklRX05JXzFZUl9BTk5fR1JPV1RILklRX0NRLjEyLzMxLzIwMTcuTC4uVVNELkgBAAAAyoABAAIAAAAINjQ5LjYzODUBCAAAAAUAAAABMQEAAAAKMTk0NjY4Mzk0NgMAAAADMTYwAgAAAAQ0MTk5BAAAAAEwBwAAAAoxMi8zMS8yMDE3CAAAAAoxMi8zMS8yMDE3CQAAAAEwenmKiUQl3ghoGW2LRCXeCDZDSVEuQ1ZYLklRX05JXzFZUl9BTk5fR1JPV1RILklRX0NRLjEyLzMxLzIwMTgu</t>
  </si>
  <si>
    <t>TC4uVVNELkgBAAAAyoABAAIAAAAHMTkuODk3MQEIAAAABQAAAAExAQAAAAoyMDE2MzQ5OTE5AwAAAAMxNjACAAAABDQxOTkEAAAAATAHAAAACjEyLzMxLzIwMTgIAAAACjEyLzMxLzIwMTgJAAAAATBrUoqJRCXeCMTlcotEJd4INUNJUS5DT1AuSVFfTklfMVlSX0FOTl9HUk9XVEguSVFfQ1EuOS8zMC8yMDE5LkwuLlVTRC5IAQAAAE+GBAACAAAABzY0LjIxMjcBCAAAAAUAAAABMQEAAAAKMjA2ODE0NDg2NwMAAAADMTYwAgAAAAQ0MTk5BAAAAAEwBwAAAAk5LzMwLzIwMTkIAAAACTkvMzAvMjAxOQkAAAABMEiGx4pEJd4IQ492i0Ql3gg1Q0lRLkNWWC5JUV9OSV8xWVJfQU5OX0dST1dUSC5JUV9DUS42LzMwLzIwMjIuTC4uVVNELkgBAAAAyoABAAIAAAAIMjc3LjA5MjcBCAAAAAUAAAABMQEAAAALLTIwMjE0MDg0MzIDAAAAAzE2MAIAAAAENDE5OQQAAAABMAcAAAAJNi8zMC8yMDIyCAAAAAk2LzMwLzIwMjIJAAAAATAJEceKRCXeCHM5g4tEJd4INUNJUS5DT1AuSVFfTklfMVlSX0FOTl9HUk9XVEguSVFfQ1EuMy8zMS8yMDIzLkwuLlVTRC5IAQAAAE+GBAACAAAACC00OS4yOTY4AQgAAAAFAAAAATEBAAAACy0xOTg1NDMyODU0AwAAAAMxNjACAAAABDQxOTkEAAAAATAHAAAACTMvMzEvMjAyMwgAAAAJMy8zMS8yMDIzCQAAAAEw5UraikQl3gjw4oaLRCXeCDVDSVEuQ09QLklRX05JXzFZUl9BTk5fR1JPV1RI</t>
  </si>
  <si>
    <t>LklRX0NRLjMvMzEvMjAyNC5MLi5VU0QuSAEAAABPhgQAAgAAAActMTIuNjM3AQgAAAAFAAAAATEBAAAACy0xOTQ0OTQ2ODA0AwAAAAMxNjACAAAABDQxOTkEAAAAATAHAAAACTMvMzEvMjAyNAgAAAAJMy8zMS8yMDI0CQAAAAEw5UraikQl3ggjeouLRCXeCDVDSVEuQ1ZYLklRX05JXzFZUl9BTk5fR1JPV1RILklRX0NRLjYvMzAvMjAxNC5MLi5VU0QuSAEAAADKgAEAAgAAAAY1LjU5MTcBCAAAAAUAAAABMQEAAAAKMTc0ODg1NTM0NgMAAAADMTYwAgAAAAQ0MTk5BAAAAAEwBwAAAAk2LzMwLzIwMTQIAAAACTYvMzAvMjAxNAkAAAABMFAEiolEJd4IDzZWi0Ql3gg1Q0lRLlhPTS5JUV9OSV8xWVJfQU5OX0dST1dUSC5JUV9DUS45LzMwLzIwMTEuTC4uVVNELkgBAAAAQjMGAAIAAAAHNDAuNTQ0MgEIAAAABQAAAAExAQAAAAoxNTc0NzM0ODIyAwAAAAMxNjACAAAABDQxOTkEAAAAATAHAAAACTkvMzAvMjAxMQgAAAAJOS8zMC8yMDExCQAAAAEw5+R8iUQl3ghKakiLRCXeCDVDSVEuRU9HLklRX05JXzFZUl9BTk5fR1JPV1RILklRX0NRLjMvMzEvMjAxNy5MLi5VU0QuSAEAAABcHQQAAwAAAAJOTQEIAAAABQAAAAExAQAAAAoxODg2MzIzNjMwAwAAAAMxNjACAAAABDQxOTkEAAAAATAHAAAACTMvMzEvMjAxNwgAAAAJMy8zMS8yMDE3CQAAAAEwjaCKiUQl3ghyXmiLRCXeCDZDSVEuWE9NLklRX05JXzFZUl9BTk5f</t>
  </si>
  <si>
    <t>R1JPV1RILklRX0NRLjEyLzMxLzIwMTguTC4uVVNELkgBAAAAQjMGAAIAAAAHLTI4LjQwMQEIAAAABQAAAAExAQAAAAoyMDE3MzgxMTU2AwAAAAMxNjACAAAABDQxOTkEAAAAATAHAAAACjEyLzMxLzIwMTgIAAAACjEyLzMxLzIwMTgJAAAAATBrUoqJRCXeCNAMc4tEJd4INUNJUS5FT0cuSVFfTklfMVlSX0FOTl9HUk9XVEguSVFfQ1EuOS8zMC8yMDIwLkwuLlVTRC5IAQAAAFwdBAADAAAAAk5NAQgAAAAFAAAAATEBAAAACy0yMTIzODMxODQwAwAAAAMxNjACAAAABDQxOTkEAAAAATAHAAAACTkvMzAvMjAyMAgAAAAJOS8zMC8yMDIwCQAAAAEwKV/HikQl3ggxSnuLRCXeCDVDSVEuRU9HLklRX05JXzFZUl9BTk5fR1JPV1RILklRX0NRLjkvMzAvMjAyMS5MLi5VU0QuSAEAAABcHQQAAwAAAAJOTQEIAAAABQAAAAExAQAAAAstMjA3MjE3MzYxMwMAAAADMTYwAgAAAAQ0MTk5BAAAAAEwBwAAAAk5LzMwLzIwMjEIAAAACTkvMzAvMjAyMQkAAAABMAkRx4pEJd4I/7Z/i0Ql3gg1Q0lRLlhPTS5JUV9OSV8xWVJfQU5OX0dST1dUSC5JUV9DUS42LzMwLzIwMjIuTC4uVVNELkgBAAAAQjMGAAIAAAAHMjgwLjU5NwEIAAAABQAAAAExAQAAAAstMjAzNjE2NjI3NAMAAAADMTYwAgAAAAQ0MTk5BAAAAAEwBwAAAAk2LzMwLzIwMjIIAAAACTYvMzAvMjAyMgkAAAABMAkRx4pEJd4IkIeDi0Ql3gg1Q0lRLkVPRy5JUV9OSV8x</t>
  </si>
  <si>
    <t>WVJfQU5OX0dST1dUSC5JUV9DUS4zLzMxLzIwMjUuTC4uVVNELkgBAAAAXB0EAAIAAAAILTE4LjIyMjUBCAAAAAUAAAABMQEAAAALLTE5NDY5ODcyMjcDAAAAAzE2MAIAAAAENDE5OQQAAAABMAcAAAAJMy8zMS8yMDI1CAAAAAkzLzMxLzIwMjUJAAAAATDqI9qKRCXeCDJckItEJd4INUNJUS5FT0cuSVFfTklfMVlSX0FOTl9HUk9XVEguSVFfQ1EuOS8zMC8yMDEzLkwuLlVTRC5IAQAAAFwdBAACAAAABzMwLjEwMTEBCAAAAAUAAAABMQEAAAAKMTcwNDYyOTEwMgMAAAADMTYwAgAAAAQ0MTk5BAAAAAEwBwAAAAk5LzMwLzIwMTMIAAAACTkvMzAvMjAxMwkAAAABMG4riolEJd4IMKJRi0Ql3gg1Q0lRLlhPTS5JUV9OSV8xWVJfQU5OX0dST1dUSC5JUV9DUS42LzMwLzIwMTQuTC4uVVNELkgBAAAAQjMGAAIAAAAHMjcuOTg4MwEIAAAABQAAAAExAQAAAAoxNzQ4ODQ0NzgyAwAAAAMxNjACAAAABDQxOTkEAAAAATAHAAAACTYvMzAvMjAxNAgAAAAJNi8zMC8yMDE0CQAAAAEwUASKiUQl3ggqhFaLRCXeCDVDSVEuQ09QLklRX05JXzFZUl9BTk5fR1JPV1RILklRX0NRLjkvMzAvMjAxMS5MLi5VU0QuSAEAAABPhgQAAgAAAAgtMTQuMzY5OQEIAAAABQAAAAExAQAAAAoxNTczNzQ2MTEyAwAAAAMxNjACAAAABDQxOTkEAAAAATAHAAAACTkvMzAvMjAxMQgAAAAJOS8zMC8yMDExCQAAAAEw5+R8iUQl3ghKakiLRCXeCDVD</t>
  </si>
  <si>
    <t>SVEuQ09QLklRX05JXzFZUl9BTk5fR1JPV1RILklRX0NRLjYvMzAvMjAxNS5MLi5VU0QuSAEAAABPhgQAAwAAAAJOTQEIAAAABQAAAAExAQAAAAoxODAxNDQ3ODMyAwAAAAMxNjACAAAABDQxOTkEAAAAATAHAAAACTYvMzAvMjAxNQgAAAAJNi8zMC8yMDE1CQAAAAEwyJZ8iUQl3gjgOl2LRCXeCDVDSVEuQ1ZYLklRX05JXzFZUl9BTk5fR1JPV1RILklRX0NRLjMvMzEvMjAxNy5MLi5VU0QuSAEAAADKgAEAAwAAAAJOTQEIAAAABQAAAAExAQAAAAoxODg2NjEzODI5AwAAAAMxNjACAAAABDQxOTkEAAAAATAHAAAACTMvMzEvMjAxNwgAAAAJMy8zMS8yMDE3CQAAAAEwjaCKiUQl3ghyXmiLRCXeCDZDSVEuQ09QLklRX05JXzFZUl9BTk5fR1JPV1RILklRX0NRLjEyLzMxLzIwMTguTC4uVVNELkgBAAAAT4YEAAIAAAAHMTguMzAyNwEIAAAABQAAAAExAQAAAAoyMDE1NjM1ODYwAwAAAAMxNjACAAAABDQxOTkEAAAAATAHAAAACjEyLzMxLzIwMTgIAAAACjEyLzMxLzIwMTgJAAAAATBrUoqJRCXeCNAMc4tEJd4INUNJUS5DT1AuSVFfTklfMVlSX0FOTl9HUk9XVEguSVFfQ1EuNi8zMC8yMDIyLkwuLlVTRC5IAQAAAE+GBAACAAAACDE0Ni4wNTQ1AQgAAAAFAAAAATEBAAAACy0yMDIxNDc0ODYwAwAAAAMxNjACAAAABDQxOTkEAAAAATAHAAAACTYvMzAvMjAyMggAAAAJNi8zMC8yMDIyCQAAAAEwCRHHikQl3giBYIOL</t>
  </si>
  <si>
    <t>RCXeCDZDSVEuRU9HLklRX05JXzFZUl9BTk5fR1JPV1RILklRX0NRLjEyLzMxLzIwMDkuTC4uVVNELkgBAAAAXB0EAAIAAAAILTEzLjIyODQBCAAAAAUAAAABMQEAAAAKMTQzMjk4MTc5NwMAAAADMTYwAgAAAAQ0MTk5BAAAAAEwBwAAAAoxMi8zMS8yMDA5CAAAAAoxMi8zMS8yMDA5CQAAAAEwBjN9iUQl3gjMnECLRCXeCDVDSVEuRU9HLklRX05JXzFZUl9BTk5fR1JPV1RILklRX0NRLjkvMzAvMjAxMi5MLi5VU0QuSAEAAABcHQQAAgAAAAgtMzQuMjc1MgEIAAAABQAAAAExAQAAAAoxNjQzODM4NjYyAwAAAAMxNjACAAAABDQxOTkEAAAAATAHAAAACTkvMzAvMjAxMggAAAAJOS8zMC8yMDEyCQAAAAEwq4eYiUQl3ggw50yLRCXeCDVDSVEuQ09QLklRX05JXzFZUl9BTk5fR1JPV1RILklRX0NRLjYvMzAvMjAxNC5MLi5VU0QuSAEAAABPhgQAAgAAAAYxLjUxMjEBCAAAAAUAAAABMQEAAAAKMTc0ODY3ODM2NwMAAAADMTYwAgAAAAQ0MTk5BAAAAAEwBwAAAAk2LzMwLzIwMTQIAAAACTYvMzAvMjAxNAkAAAABMFAEiolEJd4IKoRWi0Ql3gg1Q0lRLlhPTS5JUV9OSV8xWVJfQU5OX0dST1dUSC5JUV9DUS4zLzMxLzIwMTcuTC4uVVNELkgBAAAAQjMGAAIAAAAIMTIxLjU0NjkBCAAAAAUAAAABMQEAAAAKMTg4NjQ3NDY1OQMAAAADMTYwAgAAAAQ0MTk5BAAAAAEwBwAAAAkzLzMxLzIwMTcIAAAACTMvMzEvMjAxNwkA</t>
  </si>
  <si>
    <t>AAABMI2giolEJd4Ilaxoi0Ql3gg2Q0lRLkVPRy5JUV9OSV8xWVJfQU5OX0dST1dUSC5JUV9DUS4xMi8zMS8yMDIwLkwuLlVTRC5IAQAAAFwdBAACAAAABy00Ny4wNTYBCAAAAAUAAAABMQEAAAALLTIxMTA1OTExODQDAAAAAzE2MAIAAAAENDE5OQQAAAABMAcAAAAKMTIvMzEvMjAyMAgAAAAKMTIvMzEvMjAyMAkAAAABMDE4x4pEJd4Io1t8i0Ql3gg1Q0lRLlhPTS5JUV9OSV8xWVJfQU5OX0dST1dUSC5JUV9DUS4zLzMxLzIwMjUuTC4uVVNELkgBAAAAQjMGAAIAAAAHLTYuMTY3OQEIAAAABQAAAAExAQAAAAstMTk0NjE1ODgwOQMAAAADMTYwAgAAAAQ0MTk5BAAAAAEwBwAAAAkzLzMxLzIwMjUIAAAACTMvMzEvMjAyNQkAAAABMOoj2opEJd4IMoOQi0Ql3gg2Q0lRLkNWWC5JUV9OSV8xWVJfQU5OX0dST1dUSC5JUV9DUS4xMi8zMS8yMDA5LkwuLlVTRC5IAQAAAMqAAQACAAAABy0zNy4yODMBCAAAAAUAAAABMQEAAAAKMTQzMjk1OTI2NAMAAAADMTYwAgAAAAQ0MTk5BAAAAAEwBwAAAAoxMi8zMS8yMDA5CAAAAAoxMi8zMS8yMDA5CQAAAAEwBjN9iUQl3gjv6kCLRCXeCDVDSVEuWE9NLklRX05JXzFZUl9BTk5fR1JPV1RILklRX0NRLjkvMzAvMjAxMy5MLi5VU0QuSAEAAABCMwYAAgAAAAgtMTcuNzYzOQEIAAAABQAAAAExAQAAAAoxNzA0OTEwODU5AwAAAAMxNjACAAAABDQxOTkEAAAAATAHAAAACTkvMzAv</t>
  </si>
  <si>
    <t>MjAxMwgAAAAJOS8zMC8yMDEzCQAAAAEwbiuKiUQl3ggyyVGLRCXeCDZDSVEuWE9NLklRX05JXzFZUl9BTk5fR1JPV1RILklRX0NRLjEyLzMxLzIwMTcuTC4uVVNELkgBAAAAQjMGAAIAAAAIMzk4LjgwOTUBCAAAAAUAAAABMQEAAAAKMTk0NzQwNDY3NgMAAAADMTYwAgAAAAQ0MTk5BAAAAAEwBwAAAAoxMi8zMS8yMDE3CAAAAAoxMi8zMS8yMDE3CQAAAAEwenmKiUQl3giCZ22LRCXeCDZDSVEuRU9HLklRX05JXzFZUl9BTk5fR1JPV1RILklRX0NRLjEyLzMxLzIwMTAuTC4uVVNELkgBAAAAXB0EAAIAAAAILTg2LjU5NjEBCAAAAAUAAAABMQEAAAAKMTU2MjE3NjY1MQMAAAADMTYwAgAAAAQ0MTk5BAAAAAEwBwAAAAoxMi8zMS8yMDEwCAAAAAoxMi8zMS8yMDEwCQAAAAEw9Qt9iUQl3gh3u0SLRCXeCDVDSVEuQ1ZYLklRX05JXzFZUl9BTk5fR1JPV1RILklRX0NRLjMvMzEvMjAxOC5MLi5VU0QuSAEAAADKgAEAAgAAAAYzNS42NDUBCAAAAAUAAAABMQEAAAAKMTk1OTQ4OTYwMQMAAAADMTYwAgAAAAQ0MTk5BAAAAAEwBwAAAAkzLzMxLzIwMTgIAAAACTMvMzEvMjAxOAkAAAABMHp5iolEJd4IIe5ui0Ql3gg1Q0lRLkNWWC5JUV9OSV8xWVJfQU5OX0dST1dUSC5JUV9DUS45LzMwLzIwMjEuTC4uVVNELkgBAAAAyoABAAMAAAACTk0BCAAAAAUAAAABMQEAAAALLTIwNzIxMjQwMzEDAAAAAzE2MAIAAAAENDE5OQQA</t>
  </si>
  <si>
    <t>AAABMAcAAAAJOS8zMC8yMDIxCAAAAAk5LzMwLzIwMjEJAAAAATAJEceKRCXeCP+2f4tEJd4INUNJUS5DT1AuSVFfTklfMVlSX0FOTl9HUk9XVEguSVFfQ1EuNi8zMC8yMDIzLkwuLlVTRC5IAQAAAE+GBAACAAAACC01Ni42MTgxAQgAAAAFAAAAATEBAAAACy0xOTg1NDM1NTczAwAAAAMxNjACAAAABDQxOTkEAAAAATAHAAAACTYvMzAvMjAyMwgAAAAJNi8zMC8yMDIzCQAAAAEw5UraikQl3ghtG4iLRCXeCDVDSVEuQ1ZYLklRX05JXzFZUl9BTk5fR1JPV1RILklRX0NRLjMvMzEvMjAyNS5MLi5VU0QuSAEAAADKgAEAAgAAAAgtMzYuMzc1MwEIAAAABQAAAAExAQAAAAstMTkzMjU5MDQ1OAMAAAADMTYwAgAAAAQ0MTk5BAAAAAEwBwAAAAkzLzMxLzIwMjUIAAAACTMvMzEvMjAyNQkAAAABMOoj2opEJd4IMoOQi0Ql3gg2Q0lRLkNWWC5JUV9OSV8xWVJfQU5OX0dST1dUSC5JUV9DUS4xMi8zMS8yMDEwLkwuLlVTRC5IAQAAAMqAAQACAAAABzcyLjQ3NTUBCAAAAAUAAAABMQEAAAAKMTUxOTU2NzI3NwMAAAADMTYwAgAAAAQ0MTk5BAAAAAEwBwAAAAoxMi8zMS8yMDEwCAAAAAoxMi8zMS8yMDEwCQAAAAEw9Qt9iUQl3gh3u0SLRCXeCDVDSVEuQ1ZYLklRX05JXzFZUl9BTk5fR1JPV1RILklRX0NRLjkvMzAvMjAxMy5MLi5VU0QuSAEAAADKgAEAAgAAAActNS43NjgyAQgAAAAFAAAAATEBAAAACjE3MDUyNTA4ODgD</t>
  </si>
  <si>
    <t>AAAAAzE2MAIAAAAENDE5OQQAAAABMAcAAAAJOS8zMC8yMDEzCAAAAAk5LzMwLzIwMTMJAAAAATBuK4qJRCXeCDCiUYtEJd4INUNJUS5FT0cuSVFfTklfMVlSX0FOTl9HUk9XVEguSVFfQ1EuNi8zMC8yMDE2LkwuLlVTRC5IAQAAAFwdBAADAAAAAk5NAQgAAAAFAAAAATEBAAAACjE4NTEyOTc2MTgDAAAAAzE2MAIAAAAENDE5OQQAAAABMAcAAAAJNi8zMC8yMDE2CAAAAAk2LzMwLzIwMTYJAAAAATChx4qJRCXeCIl8Y4tEJd4INUNJUS5YT00uSVFfTklfMVlSX0FOTl9HUk9XVEguSVFfQ1EuMy8zMS8yMDE4LkwuLlVTRC5IAQAAAEIzBgACAAAABTE1Ljk2AQgAAAAFAAAAATEBAAAACjE5NTk0OTYzOTcDAAAAAzE2MAIAAAAENDE5OQQAAAABMAcAAAAJMy8zMS8yMDE4CAAAAAkzLzMxLzIwMTgJAAAAATB6eYqJRCXeCEs8b4tEJd4INkNJUS5FT0cuSVFfTklfMVlSX0FOTl9HUk9XVEguSVFfQ1EuMTIvMzEvMjAxOS5MLi5VU0QuSAEAAABcHQQAAgAAAAgtMjguNzAyNgEIAAAABQAAAAExAQAAAAoyMDgxNzg1NDMwAwAAAAMxNjACAAAABDQxOTkEAAAAATAHAAAACjEyLzMxLzIwMTkIAAAACjEyLzMxLzIwMTkJAAAAATApX8eKRCXeCK95d4tEJd4INUNJUS5YT00uSVFfTklfMVlSX0FOTl9HUk9XVEguSVFfQ1EuOS8zMC8yMDIxLkwuLlVTRC5IAQAAAEIzBgADAAAAAk5NAQgAAAAFAAAAATEBAAAACy0yMDcyMzM3</t>
  </si>
  <si>
    <t>NTY4AwAAAAMxNjACAAAABDQxOTkEAAAAATAHAAAACTkvMzAvMjAyMQgAAAAJOS8zMC8yMDIxCQAAAAEwCRHHikQl3ggwBYCLRCXeCDVDSVEuRU9HLklRX05JXzFZUl9BTk5fR1JPV1RILklRX0NRLjYvMzAvMjAyNC5MLi5VU0QuSAEAAABcHQQAAgAAAAY4LjgyMTYBCAAAAAUAAAABMQEAAAALLTE5MzI3MTI0NTgDAAAAAzE2MAIAAAAENDE5OQQAAAABMAcAAAAJNi8zMC8yMDI0CAAAAAk2LzMwLzIwMjQJAAAAATDlStqKRCXeCKKyjItEJd4INkNJUS5YT00uSVFfTklfMVlSX0FOTl9HUk9XVEguSVFfQ1EuMTIvMzEvMjAxMC5MLi5VU0QuSAEAAABCMwYAAgAAAAc1Mi44OTI1AQgAAAAFAAAAATEBAAAACjE1MjM4MDc0MDUDAAAAAzE2MAIAAAAENDE5OQQAAAABMAcAAAAKMTIvMzEvMjAxMAgAAAAKMTIvMzEvMjAxMAkAAAABMPULfYlEJd4IhOJEi0Ql3gg1Q0lRLkVPRy5JUV9OSV8xWVJfQU5OX0dST1dUSC5JUV9DUS45LzMwLzIwMTQuTC4uVVNELkgBAAAAXB0EAAIAAAAIMTM4LjYyMTEBCAAAAAUAAAABMQEAAAAKMTc2MzI2MzczNQMAAAADMTYwAgAAAAQ0MTk5BAAAAAEwBwAAAAk5LzMwLzIwMTQIAAAACTkvMzAvMjAxNAkAAAABMFAEiolEJd4IwwpYi0Ql3gg1Q0lRLlhPTS5JUV9OSV8xWVJfQU5OX0dST1dUSC5JUV9DUS4zLzMxLzIwMTAuTC4uVVNELkgBAAAAQjMGAAIAAAAHMzguNDYxNQEIAAAABQAA</t>
  </si>
  <si>
    <t>AAExAQAAAAoxNDUxMTk1NzgzAwAAAAMxNjACAAAABDQxOTkEAAAAATAHAAAACTMvMzEvMjAxMAgAAAAJMy8zMS8yMDEwCQAAAAEwBjN9iUQl3ghW1UGLRCXeCDZDSVEuQ1ZYLklRX05JXzFZUl9BTk5fR1JPV1RILklRX0NRLjEyLzMxLzIwMTEuTC4uVVNELkgBAAAAyoABAAIAAAAHLTMuMjQ4NAEIAAAABQAAAAExAQAAAAoxNTg4ODQ2NjIyAwAAAAMxNjACAAAABDQxOTkEAAAAATAHAAAACjEyLzMxLzIwMTEIAAAACjEyLzMxLzIwMTEJAAAAATDn5HyJRCXeCO9XSYtEJd4INkNJUS5YT00uSVFfTklfMVlSX0FOTl9HUk9XVEguSVFfQ1EuMTIvMzEvMjAxMi5MLi5VU0QuSAEAAABCMwYAAgAAAAU1Ljg1MQEIAAAABQAAAAExAQAAAAoxNjYwNDczOTE3AwAAAAMxNjACAAAABDQxOTkEAAAAATAHAAAACjEyLzMxLzIwMTIIAAAACjEyLzMxLzIwMTIJAAAAATCrh5iJRCXeCMBGTotEJd4INUNJUS5DVlguSVFfTklfMVlSX0FOTl9HUk9XVEguSVFfQ1EuOS8zMC8yMDE1LkwuLlVTRC5IAQAAAMqAAQACAAAACC02My41Nzk1AQgAAAAFAAAAATEBAAAACjE4MTYyMzAxMDMDAAAAAzE2MAIAAAAENDE5OQQAAAABMAcAAAAJOS8zMC8yMDE1CAAAAAk5LzMwLzIwMTUJAAAAATDIlnyJRCXeCGNzXotEJd4INUNJUS5DT1AuSVFfTklfMVlSX0FOTl9HUk9XVEguSVFfQ1EuNi8zMC8yMDE2LkwuLlVTRC5IAQAAAE+GBAADAAAA</t>
  </si>
  <si>
    <t>Ak5NAQgAAAAFAAAAATEBAAAACjE4NTEyNjY1MTgDAAAAAzE2MAIAAAAENDE5OQQAAAABMAcAAAAJNi8zMC8yMDE2CAAAAAk2LzMwLzIwMTYJAAAAATChx4qJRCXeCJfKY4tEJd4INUNJUS5DT1AuSVFfTklfMVlSX0FOTl9HUk9XVEguSVFfQ1EuNi8zMC8yMDE3LkwuLlVTRC5IAQAAAE+GBAADAAAAAk5NAQgAAAAFAAAAATEBAAAACjE4OTgwMjI5OTADAAAAAzE2MAIAAAAENDE5OQQAAAABMAcAAAAJNi8zMC8yMDE3CAAAAAk2LzMwLzIwMTcJAAAAATCNoIqJRCXeCDMzaotEJd4INUNJUS5DVlguSVFfTklfMVlSX0FOTl9HUk9XVEguSVFfQ1EuMy8zMS8yMDE5LkwuLlVTRC5IAQAAAMqAAQACAAAACC0yNy4xODUzAQgAAAAFAAAAATEBAAAACjIwMzM3MjgyMDkDAAAAAzE2MAIAAAAENDE5OQQAAAABMAcAAAAJMy8zMS8yMDE5CAAAAAkzLzMxLzIwMTkJAAAAATD1C32JRCXeCDwedItEJd4INUNJUS5DVlguSVFfTklfMVlSX0FOTl9HUk9XVEguSVFfQ1EuMy8zMS8yMDIwLkwuLlVTRC5IAQAAAMqAAQACAAAABzM1Ljg2MjUBCAAAAAUAAAABMQEAAAAKMjA5NjA4NTkyMgMAAAADMTYwAgAAAAQ0MTk5BAAAAAEwBwAAAAkzLzMxLzIwMjAIAAAACTMvMzEvMjAyMAkAAAABMClfx4pEJd4IHrJ4i0Ql3gg2Q0lRLkNPUC5JUV9OSV8xWVJfQU5OX0dST1dUSC5JUV9DUS4xMi8zMS8yMDIwLkwuLlVTRC5IAQAAAE+GBAAD</t>
  </si>
  <si>
    <t>AAAAAk5NAQgAAAAFAAAAATEBAAAACy0yMTExNjQzMzIyAwAAAAMxNjACAAAABDQxOTkEAAAAATAHAAAACjEyLzMxLzIwMjAIAAAACjEyLzMxLzIwMjAJAAAAATAxOMeKRCXeCL2CfItEJd4INUNJUS5DVlguSVFfTklfMVlSX0FOTl9HUk9XVEguSVFfQ1EuOS8zMC8yMDIzLkwuLlVTRC5IAQAAAMqAAQACAAAABy00MS44OTMBCAAAAAUAAAABMQEAAAALLTE5NzAxMjE5MzYDAAAAAzE2MAIAAAAENDE5OQQAAAABMAcAAAAJOS8zMC8yMDIzCAAAAAk5LzMwLzIwMjMJAAAAATDlStqKRCXeCM8FiYtEJd4INUNJUS5DT1AuSVFfTklfMVlSX0FOTl9HUk9XVEguSVFfQ1EuNi8zMC8yMDI0LkwuLlVTRC5IAQAAAE+GBAACAAAABjQuMzQ1OAEIAAAABQAAAAExAQAAAAstMTkzMjg1ODg4MwMAAAADMTYwAgAAAAQ0MTk5BAAAAAEwBwAAAAk2LzMwLzIwMjQIAAAACTYvMzAvMjAyNAkAAAABMOVK2opEJd4ImYuMi0Ql3gg1Q0lRLkNPUC5JUV9OSV8xWVJfQU5OX0dST1dUSC5JUV9DUS42LzMwLzIwMjUuTC4uVVNELkgBAAAAT4YEAAIAAAAILTE1LjM3MTUBCAAAAAUAAAABMQEAAAALLTE5MzI4NTg4NTkDAAAAAzE2MAIAAAAENDE5OQQAAAABMAcAAAAJNi8zMC8yMDI1CAAAAAk2LzMwLzIwMjUJAAAAATDqI9qKRCXeCMjikYtEJd4INUNJUS5DT1AuSVFfTklfMVlSX0FOTl9HUk9XVEguSVFfQ1EuMy8zMS8yMDEwLkwuLlVT</t>
  </si>
  <si>
    <t>RC5IAQAAAE+GBAACAAAABjE2Mi4yNQEIAAAABQAAAAExAQAAAAoxNDUxMDcyNTU0AwAAAAMxNjACAAAABDQxOTkEAAAAATAHAAAACTMvMzEvMjAxMAgAAAAJMy8zMS8yMDEwCQAAAAEwBjN9iUQl3ggwrkGLRCXeCDZDSVEuWE9NLklRX05JXzFZUl9BTk5fR1JPV1RILklRX0NRLjEyLzMxLzIwMTEuTC4uVVNELkgBAAAAQjMGAAIAAAAGMS42MjE2AQgAAAAFAAAAATEBAAAACjE1ODk1NDg1MDYDAAAAAzE2MAIAAAAENDE5OQQAAAABMAcAAAAKMTIvMzEvMjAxMQgAAAAKMTIvMzEvMjAxMQkAAAABMOfkfIlEJd4INZNJi0Ql3gg2Q0lRLkNPUC5JUV9OSV8xWVJfQU5OX0dST1dUSC5JUV9DUS4xMi8zMS8yMDEyLkwuLlVTRC5IAQAAAE+GBAACAAAACC01Ny45MzUyAQgAAAAFAAAAATEBAAAACjE2NjAyNDc4ODkDAAAAAzE2MAIAAAAENDE5OQQAAAABMAcAAAAKMTIvMzEvMjAxMggAAAAKMTIvMzEvMjAxMgkAAAABMKuHmIlEJd4IwEZOi0Ql3gg2Q0lRLkVPRy5JUV9OSV8xWVJfQU5OX0dST1dUSC5JUV9DUS4xMi8zMS8yMDE0LkwuLlVTRC5IAQAAAFwdBAACAAAACC0yMy4zNzI2AQgAAAAFAAAAATEBAAAACjE3Nzc3NTYzNTcDAAAAAzE2MAIAAAAENDE5OQQAAAABMAcAAAAKMTIvMzEvMjAxNAgAAAAKMTIvMzEvMjAxNAkAAAABMAYzfYlEJd4IYpFZi0Ql3gg1Q0lRLlhPTS5JUV9OSV8xWVJfQU5OX0dST1dUSC5J</t>
  </si>
  <si>
    <t>UV9DUS45LzMwLzIwMTUuTC4uVVNELkgBAAAAQjMGAAIAAAAILTQ3LjQ1OTgBCAAAAAUAAAABMQEAAAAKMTgxNjIyMTEwNAMAAAADMTYwAgAAAAQ0MTk5BAAAAAEwBwAAAAk5LzMwLzIwMTUIAAAACTkvMzAvMjAxNQkAAAABMMiWfIlEJd4IiMFei0Ql3gg1Q0lRLkVPRy5JUV9OSV8xWVJfQU5OX0dST1dUSC5JUV9DUS42LzMwLzIwMTguTC4uVVNELkgBAAAAXB0EAAIAAAAJMjkyMi4zMDA3AQgAAAAFAAAAATEBAAAACjE5NzMzNDEzNTYDAAAAAzE2MAIAAAAENDE5OQQAAAABMAcAAAAJNi8zMC8yMDE4CAAAAAk2LzMwLzIwMTgJAAAAATBrUoqJRCXeCOCbcItEJd4INUNJUS5YT00uSVFfTklfMVlSX0FOTl9HUk9XVEguSVFfQ1EuMy8zMS8yMDE5LkwuLlVTRC5IAQAAAEIzBgACAAAACC00OS40NjI0AQgAAAAFAAAAATEBAAAACjIwMzM3NDM4ODADAAAAAzE2MAIAAAAENDE5OQQAAAABMAcAAAAJMy8zMS8yMDE5CAAAAAkzLzMxLzIwMTkJAAAAATD1C32JRCXeCFlFdItEJd4INUNJUS5YT00uSVFfTklfMVlSX0FOTl9HUk9XVEguSVFfQ1EuMy8zMS8yMDIwLkwuLlVTRC5IAQAAAEIzBgADAAAAAk5NAQgAAAAFAAAAATEBAAAACjIwOTU2OTc0OTUDAAAAAzE2MAIAAAAENDE5OQQAAAABMAcAAAAJMy8zMS8yMDIwCAAAAAkzLzMxLzIwMjAJAAAAATApX8eKRCXeCCvZeItEJd4INkNJUS5FT0cuSVFfTklfMVlSX0FO</t>
  </si>
  <si>
    <t>Tl9HUk9XVEguSVFfQ1EuMTIvMzEvMjAyMS5MLi5VU0QuSAEAAABcHQQAAgAAAAg0ODkuMDIwNwEIAAAABQAAAAExAQAAAAstMjA1OTg0MTM2MQMAAAADMTYwAgAAAAQ0MTk5BAAAAAEwBwAAAAoxMi8zMS8yMDIxCAAAAAoxMi8zMS8yMDIxCQAAAAEwCRHHikQl3giC74CLRCXeCDZDSVEuRU9HLklRX05JXzFZUl9BTk5fR1JPV1RILklRX0NRLjEyLzMxLzIwMjIuTC4uVVNELkgBAAAAXB0EAAIAAAAHMTQuNzEwMwEIAAAABQAAAAExAQAAAAstMjAwOTIzNzIxOQMAAAADMTYwAgAAAAQ0MTk5BAAAAAEwBwAAAAoxMi8zMS8yMDIyCAAAAAoxMi8zMS8yMDIyCQAAAAEw/unGikQl3ghhg4WLRCXeCDVDSVEuWE9NLklRX05JXzFZUl9BTk5fR1JPV1RILklRX0NRLjkvMzAvMjAyMy5MLi5VU0QuSAEAAABCMwYAAgAAAAgtNTMuODY1OAEIAAAABQAAAAExAQAAAAstMTk3MDc1NTM0NAMAAAADMTYwAgAAAAQ0MTk5BAAAAAEwBwAAAAk5LzMwLzIwMjMIAAAACTkvMzAvMjAyMwkAAAABMOVK2opEJd4I3SyJi0Ql3gg1Q0lRLkVPRy5JUV9OSV8xWVJfQU5OX0dST1dUSC5JUV9DUS4zLzMxLzIwMTEuTC4uVVNELkgBAAAAXB0EAAIAAAAGMTMuNTIyAQgAAAAFAAAAATEBAAAACjE1NDU2NzA4NjkDAAAAAzE2MAIAAAAENDE5OQQAAAABMAcAAAAJMy8zMS8yMDExCAAAAAkzLzMxLzIwMTEJAAAAATD1C32JRCXeCPnzRYtEJd4I</t>
  </si>
  <si>
    <t>NkNJUS5FT0cuSVFfTklfMVlSX0FOTl9HUk9XVEguSVFfQ1EuMTIvMzEvMjAxMy5MLi5VU0QuSAEAAABcHQQAAwAAAAJOTQEIAAAABQAAAAExAQAAAAoxNzIwMzQ1OTAyAwAAAAMxNjACAAAABDQxOTkEAAAAATAHAAAACjEyLzMxLzIwMTMIAAAACjEyLzMxLzIwMTMJAAAAATBuK4qJRCXeCKbaUotEJd4INkNJUS5DVlguSVFfTklfMVlSX0FOTl9HUk9XVEguSVFfQ1EuMTIvMzEvMjAxNC5MLi5VU0QuSAEAAADKgAEAAgAAAAgtMjkuNTk0NAEIAAAABQAAAAExAQAAAAoxNzc3OTczNTA3AwAAAAMxNjACAAAABDQxOTkEAAAAATAHAAAACjEyLzMxLzIwMTQIAAAACjEyLzMxLzIwMTQJAAAAATD1C32JRCXeCGKRWYtEJd4INUNJUS5DT1AuSVFfTklfMVlSX0FOTl9HUk9XVEguSVFfQ1EuOS8zMC8yMDE1LkwuLlVTRC5IAQAAAE+GBAADAAAAAk5NAQgAAAAFAAAAATEBAAAACjE4MTU3NzI2ODgDAAAAAzE2MAIAAAAENDE5OQQAAAABMAcAAAAJOS8zMC8yMDE1CAAAAAk5LzMwLzIwMTUJAAAAATDIlnyJRCXeCIjBXotEJd4INUNJUS5DVlguSVFfTklfMVlSX0FOTl9HUk9XVEguSVFfQ1EuNi8zMC8yMDE4LkwuLlVTRC5IAQAAAMqAAQACAAAACDEzNS4xMDM0AQgAAAAFAAAAATEBAAAACjE5NzQ1MjYzNjkDAAAAAzE2MAIAAAAENDE5OQQAAAABMAcAAAAJNi8zMC8yMDE4CAAAAAk2LzMwLzIwMTgJAAAAATBrUoqJRCXe</t>
  </si>
  <si>
    <t>CN50cItEJd4INUNJUS5DT1AuSVFfTklfMVlSX0FOTl9HUk9XVEguSVFfQ1EuMy8zMS8yMDE5LkwuLlVTRC5IAQAAAE+GBAACAAAACDEwNi40MTg5AQgAAAAFAAAAATEBAAAACjIwMzM0NjYxNzEDAAAAAzE2MAIAAAAENDE5OQQAAAABMAcAAAAJMy8zMS8yMDE5CAAAAAkzLzMxLzIwMTkJAAAAATD1C32JRCXeCFlFdItEJd4INUNJUS5DT1AuSVFfTklfMVlSX0FOTl9HUk9XVEguSVFfQ1EuMy8zMS8yMDIwLkwuLlVTRC5IAQAAAE+GBAADAAAAAk5NAQgAAAAFAAAAATEBAAAACjIwOTYzNzc5NTYDAAAAAzE2MAIAAAAENDE5OQQAAAABMAcAAAAJMy8zMS8yMDIwCAAAAAkzLzMxLzIwMjAJAAAAATApX8eKRCXeCCvZeItEJd4INkNJUS5DVlguSVFfTklfMVlSX0FOTl9HUk9XVEguSVFfQ1EuMTIvMzEvMjAyMS5MLi5VU0QuSAEAAADKgAEAAwAAAAJOTQEIAAAABQAAAAExAQAAAAstMjA1OTc2ODE0MgMAAAADMTYwAgAAAAQ0MTk5BAAAAAEwBwAAAAoxMi8zMS8yMDIxCAAAAAoxMi8zMS8yMDIxCQAAAAEwCRHHikQl3giC74CLRCXeCDZDSVEuQ1ZYLklRX05JXzFZUl9BTk5fR1JPV1RILklRX0NRLjEyLzMxLzIwMjIuTC4uVVNELkgBAAAAyoABAAIAAAAHMjUuNjc3NQEIAAAABQAAAAExAQAAAAstMjAwODU1NzQ4OAMAAAADMTYwAgAAAAQ0MTk5BAAAAAEwBwAAAAoxMi8zMS8yMDIyCAAAAAoxMi8zMS8yMDIyCQAA</t>
  </si>
  <si>
    <t>AAEw/unGikQl3ghhg4WLRCXeCDVDSVEuQ09QLklRX05JXzFZUl9BTk5fR1JPV1RILklRX0NRLjkvMzAvMjAyMy5MLi5VU0QuSAEAAABPhgQAAgAAAAgtMzguMTkzMQEIAAAABQAAAAExAQAAAAstMTk3MTA0OTY0MwMAAAADMTYwAgAAAAQ0MTk5BAAAAAEwBwAAAAk5LzMwLzIwMjMIAAAACTkvMzAvMjAyMwkAAAABMOVK2opEJd4I3SyJi0Ql3gg1Q0lRLkNWWC5JUV9OSV8xWVJfQU5OX0dST1dUSC5JUV9DUS4zLzMxLzIwMTEuTC4uVVNELkgBAAAAyoABAAIAAAAHMzYuNDQ1NQEIAAAABQAAAAExAQAAAAoxNTQ1MDI5OTc5AwAAAAMxNjACAAAABDQxOTkEAAAAATAHAAAACTMvMzEvMjAxMQgAAAAJMy8zMS8yMDExCQAAAAEw9Qt9iUQl3gj580WLRCXeCDVDSVEuWE9NLklRX05JXzFZUl9BTk5fR1JPV1RILklRX0NRLjMvMzEvMjAxMi5MLi5VU0QuSAEAAABCMwYAAgAAAAgtMTEuMjY3NwEIAAAABQAAAAExAQAAAAoxNjE1MDQ3ODQzAwAAAAMxNjACAAAABDQxOTkEAAAAATAHAAAACTMvMzEvMjAxMggAAAAJMy8zMS8yMDEyCQAAAAEw2718iUQl3ghM+EqLRCXeCDVDSVEuRU9HLklRX05JXzFZUl9BTk5fR1JPV1RILklRX0NRLjkvMzAvMjAxMS5MLi5VU0QuSAEAAABcHQQAAwAAAAJOTQEIAAAABQAAAAExAQAAAAoxNTc0MzkwNjAwAwAAAAMxNjACAAAABDQxOTkEAAAAATAHAAAACTkvMzAvMjAxMQgAAAAJOS8z</t>
  </si>
  <si>
    <t>MC8yMDExCQAAAAEw5+R8iUQl3ghKakiLRCXeCDVDSVEuRU9HLklRX05JXzFZUl9BTk5fR1JPV1RILklRX0NRLjkvMzAvMjAxNi5MLi5VU0QuSAEAAABcHQQAAwAAAAJOTQEIAAAABQAAAAExAQAAAAoxODYzNzY5NjYxAwAAAAMxNjACAAAABDQxOTkEAAAAATAHAAAACTkvMzAvMjAxNggAAAAJOS8zMC8yMDE2CQAAAAEwoceKiUQl3ggmKmWLRCXeCDZDSVEuWE9NLklRX05JXzFZUl9BTk5fR1JPV1RILklRX0NRLjEyLzMxLzIwMjMuTC4uVVNELkgBAAAAQjMGAAIAAAAILTQwLjE1NjkBCAAAAAUAAAABMQEAAAALLTE5NTg5NTM2MTcDAAAAAzE2MAIAAAAENDE5OQQAAAABMAcAAAAKMTIvMzEvMjAyMwgAAAAKMTIvMzEvMjAyMwkAAAABMOVK2opEJd4IYmWKi0Ql3gg1Q0lRLkNWWC5JUV9OSV8xWVJfQU5OX0dST1dUSC5JUV9DUS45LzMwLzIwMjUuTC4uVVNELkgBAAAAyoABAAIAAAAILTIxLjEyNzgBCAAAAAUAAAABMQEAAAALLTE5MTgwOTgwNTkDAAAAAzE2MAIAAAAENDE5OQQAAAABMAcAAAAJOS8zMC8yMDI1CAAAAAk5LzMwLzIwMjUJAAAAATDa/NmKRCXeCEIbk4tEJd4INkNJUS5YT00uSVFfTklfMVlSX0FOTl9HUk9XVEguSVFfQ1EuMTIvMzEvMjAwOS5MLi5VU0QuSAEAAABCMwYAAgAAAAgtMjIuNjM0MwEIAAAABQAAAAExAQAAAAoxNDM0MDkzMDQzAwAAAAMxNjACAAAABDQxOTkEAAAAATAHAAAACjEy</t>
  </si>
  <si>
    <t>LzMxLzIwMDkIAAAACjEyLzMxLzIwMDkJAAAAATAGM32JRCXeCO/qQItEJd4INUNJUS5FT0cuSVFfTklfMVlSX0FOTl9HUk9XVEguSVFfQ1EuOS8zMC8yMDE5LkwuLlVTRC5IAQAAAFwdBAACAAAACC00OC4zNTA0AQgAAAAFAAAAATEBAAAACjIwNjg0MzEwMTkDAAAAAzE2MAIAAAAENDE5OQQAAAABMAcAAAAJOS8zMC8yMDE5CAAAAAk5LzMwLzIwMTkJAAAAATBIhseKRCXeCDFodotEJd4INUNJUS5DVlguSVFfTklfMVlSX0FOTl9HUk9XVEguSVFfQ1EuMy8zMS8yMDIxLkwuLlVTRC5IAQAAAMqAAQACAAAACC02MS43Mzk0AQgAAAAFAAAAATEBAAAACy0yMDk4NTYzNzM4AwAAAAMxNjACAAAABDQxOTkEAAAAATAHAAAACTMvMzEvMjAyMQgAAAAJMy8zMS8yMDIxCQAAAAEwMTjHikQl3ggMbX2LRCXeCDVDSVEuQ09QLklRX05JXzFZUl9BTk5fR1JPV1RILklRX0NRLjMvMzEvMjAxOC5MLi5VU0QuSAEAAABPhgQAAgAAAAc1MS41MzU4AQgAAAAFAAAAATEBAAAACjE5NTk0NzcyNDADAAAAAzE2MAIAAAAENDE5OQQAAAABMAcAAAAJMy8zMS8yMDE4CAAAAAkzLzMxLzIwMTgJAAAAATB6eYqJRCXeCEIVb4tEJd4INUNJUS5DVlguSVFfTklfMVlSX0FOTl9HUk9XVEguSVFfQ1EuMy8zMS8yMDI0LkwuLlVTRC5IAQAAAMqAAQACAAAACC0xNi4zMjE5AQgAAAAFAAAAATEBAAAACy0xOTMyNTkwNDU5AwAAAAMxNjACAAAA</t>
  </si>
  <si>
    <t>BDQxOTkEAAAAATAHAAAACTMvMzEvMjAyNAgAAAAJMy8zMS8yMDI0CQAAAAEw5UraikQl3ggyoYuLRCXeCDVDSVEuWE9NLklRX05JXzFZUl9BTk5fR1JPV1RILklRX0NRLjkvMzAvMjAyNS5MLi5VU0QuSAEAAABCMwYAAgAAAAgtMTIuMzM0NQEIAAAABQAAAAExAQAAAAstMTkxODY3NTMzMgMAAAADMTYwAgAAAAQ0MTk5BAAAAAEwBwAAAAk5LzMwLzIwMjUIAAAACTkvMzAvMjAyNQkAAAABMNr82YpEJd4IQhuTi0Ql3gg1Q0lRLkVPRy5JUV9OSV8xWVJfQU5OX0dST1dUSC5JUV9DUS4zLzMxLzIwMTUuTC4uVVNELkgBAAAAXB0EAAMAAAACTk0BCAAAAAUAAAABMQEAAAAKMTc4OTcxMTM5NgMAAAADMTYwAgAAAAQ0MTk5BAAAAAEwBwAAAAkzLzMxLzIwMTUIAAAACTMvMzEvMjAxNQkAAAABMNu9fIlEJd4IGT9bi0Ql3gg1Q0lRLkNWWC5JUV9OSV8xWVJfQU5OX0dST1dUSC5JUV9DUS45LzMwLzIwMTkuTC4uVVNELkgBAAAAyoABAAIAAAAILTM2LjI0OTEBCAAAAAUAAAABMQEAAAAKMjA2ODUzODQwNAMAAAADMTYwAgAAAAQ0MTk5BAAAAAEwBwAAAAk5LzMwLzIwMTkIAAAACTkvMzAvMjAxOQkAAAABMEiGx4pEJd4IMWh2i0Ql3gg1Q0lRLlhPTS5JUV9OSV8xWVJfQU5OX0dST1dUSC5JUV9DUS4zLzMxLzIwMjEuTC4uVVNELkgBAAAAQjMGAAMAAAACTk0BCAAAAAUAAAABMQEAAAALLTIwOTg2MzEyMzgDAAAAAzE2</t>
  </si>
  <si>
    <t>MAIAAAAENDE5OQQAAAABMAcAAAAJMy8zMS8yMDIxCAAAAAkzLzMxLzIwMjEJAAAAATAxOMeKRCXeCDK7fYtEJd4INUNJUS5FT0cuSVFfTklfMVlSX0FOTl9HUk9XVEguSVFfQ1EuOS8zMC8yMDIyLkwuLlVTRC5IAQAAAFwdBAACAAAACDE2MC42MzkyAQgAAAAFAAAAATEBAAAACy0yMDIxMzgxMDY5AwAAAAMxNjACAAAABDQxOTkEAAAAATAHAAAACTkvMzAvMjAyMggAAAAJOS8zMC8yMDIyCQAAAAEw/unGikQl3gj8cYSLRCXeCDZDSVEuRU9HLklRX05JXzFZUl9BTk5fR1JPV1RILklRX0NRLjEyLzMxLzIwMTEuTC4uVVNELkgBAAAAXB0EAAIAAAAIMTI0Ljg3NjUBCAAAAAUAAAABMQEAAAAKMTU4ODg0NjQxMgMAAAADMTYwAgAAAAQ0MTk5BAAAAAEwBwAAAAoxMi8zMS8yMDExCAAAAAoxMi8zMS8yMDExCQAAAAEw5+R8iUQl3gg1k0mLRCXeCDZDSVEuRU9HLklRX05JXzFZUl9BTk5fR1JPV1RILklRX0NRLjEyLzMxLzIwMTYuTC4uVVNELkgBAAAAXB0EAAMAAAACTk0BCAAAAAUAAAABMQEAAAAKMTg3Njc1NDQ5OQMAAAADMTYwAgAAAAQ0MTk5BAAAAAEwBwAAAAoxMi8zMS8yMDE2CAAAAAoxMi8zMS8yMDE2CQAAAAEwjaCKiUQl3gjb12aLRCXeCDVDSVEuRU9HLklRX05JXzFZUl9BTk5fR1JPV1RILklRX0NRLjYvMzAvMjAxMC5MLi5VU0QuSAEAAABcHQQAAwAAAAJOTQEIAAAABQAAAAExAQAAAAoxNDY1MDA0</t>
  </si>
  <si>
    <t>NTQzAwAAAAMxNjACAAAABDQxOTkEAAAAATAHAAAACTYvMzAvMjAxMAgAAAAJNi8zMC8yMDEwCQAAAAEwBjN9iUQl3giUmEKLRCXeCDVDSVEuQ1ZYLklRX05JXzFZUl9BTk5fR1JPV1RILklRX0NRLjMvMzEvMjAxNS5MLi5VU0QuSAEAAADKgAEAAgAAAAgtNDMuMTA3MwEIAAAABQAAAAExAQAAAAoxNzg5ODUxMTUyAwAAAAMxNjACAAAABDQxOTkEAAAAATAHAAAACTMvMzEvMjAxNQgAAAAJMy8zMS8yMDE1CQAAAAEw2718iUQl3ggZP1uLRCXeCDVDSVEuQ09QLklRX05JXzFZUl9BTk5fR1JPV1RILklRX0NRLjMvMzEvMjAyMS5MLi5VU0QuSAEAAABPhgQAAwAAAAJOTQEIAAAABQAAAAExAQAAAAstMjA5ODQ3MDMzMgMAAAADMTYwAgAAAAQ0MTk5BAAAAAEwBwAAAAkzLzMxLzIwMjEIAAAACTMvMzEvMjAyMQkAAAABMDE4x4pEJd4IMrt9i0Ql3gg2Q0lRLlhPTS5JUV9OSV8xWVJfQU5OX0dST1dUSC5JUV9DUS4xMi8zMS8yMDIyLkwuLlVTRC5IAQAAAEIzBgACAAAABzQzLjc0MjkBCAAAAAUAAAABMQEAAAALLTIwMDc4MzI2MjQDAAAAAzE2MAIAAAAENDE5OQQAAAABMAcAAAAKMTIvMzEvMjAyMggAAAAKMTIvMzEvMjAyMgkAAAABMP7pxopEJd4Ig9GFi0Ql3gg1Q0lRLkNPUC5JUV9OSV8xWVJfQU5OX0dST1dUSC5JUV9DUS45LzMwLzIwMTMuTC4uVVNELkgBAAAAT4YEAAIAAAAGMzcuOTMxAQgAAAAFAAAAATEB</t>
  </si>
  <si>
    <t>AAAACjE3MDQ3ODYyNDQDAAAAAzE2MAIAAAAENDE5OQQAAAABMAcAAAAJOS8zMC8yMDEzCAAAAAk5LzMwLzIwMTMJAAAAATBuK4qJRCXeCDLJUYtEJd4INkNJUS5DVlguSVFfTklfMVlSX0FOTl9HUk9XVEguSVFfQ1EuMTIvMzEvMjAxNi5MLi5VU0QuSAEAAADKgAEAAwAAAAJOTQEIAAAABQAAAAExAQAAAAoxODc1Njc2MjQxAwAAAAMxNjACAAAABDQxOTkEAAAAATAHAAAACjEyLzMxLzIwMTYIAAAACjEyLzMxLzIwMTYJAAAAATCNoIqJRCXeCNvXZotEJd4INUNJUS5YT00uSVFfTklfMVlSX0FOTl9HUk9XVEguSVFfQ1EuMy8zMS8yMDE1LkwuLlVTRC5IAQAAAEIzBgACAAAACC00NS43MTQzAQgAAAAFAAAAATEBAAAACjE3ODk2MTAzNDMDAAAAAzE2MAIAAAAENDE5OQQAAAABMAcAAAAJMy8zMS8yMDE1CAAAAAkzLzMxLzIwMTUJAAAAATDbvXyJRCXeCDqNW4tEJd4INUNJUS5DVlguSVFfTklfMVlSX0FOTl9HUk9XVEguSVFfQ1EuNi8zMC8yMDI0LkwuLlVTRC5IAQAAAMqAAQACAAAABy0yNi4yMjMBCAAAAAUAAAABMQEAAAALLTE5MTgwOTQ2MzUDAAAAAzE2MAIAAAAENDE5OQQAAAABMAcAAAAJNi8zMC8yMDI0CAAAAAk2LzMwLzIwMjQJAAAAATDlStqKRCXeCJmLjItEJd4INkNJUS5YT00uSVFfTklfMVlSX0FOTl9HUk9XVEguSVFfQ1EuMTIvMzEvMjAxNi5MLi5VU0QuSAEAAABCMwYAAgAAAAgtMzkuNTY4</t>
  </si>
  <si>
    <t>NAEIAAAABQAAAAExAQAAAAoxODc3MjMzNjE2AwAAAAMxNjACAAAABDQxOTkEAAAAATAHAAAACjEyLzMxLzIwMTYIAAAACjEyLzMxLzIwMTYJAAAAATCNoIqJRCXeCPYlZ4tEJd4INkNJUS5DVlguSVFfTklfMVlSX0FOTl9HUk9XVEguSVFfQ1EuMTIvMzEvMjAxOS5MLi5VU0QuSAEAAADKgAEAAwAAAAJOTQEIAAAABQAAAAExAQAAAAoyMDgxOTgwMjQ4AwAAAAMxNjACAAAABDQxOTkEAAAAATAHAAAACjEyLzMxLzIwMTkIAAAACjEyLzMxLzIwMTkJAAAAATApX8eKRCXeCK95d4tEJd4INUNJUS5YT00uSVFfTklfMVlSX0FOTl9HUk9XVEguSVFfQ1EuNi8zMC8yMDEwLkwuLlVTRC5IAQAAAEIzBgACAAAABzkxLjM5MjQBCAAAAAUAAAABMQEAAAAKMTQ2NTAwNDE4NgMAAAADMTYwAgAAAAQ0MTk5BAAAAAEwBwAAAAk2LzMwLzIwMTAIAAAACTYvMzAvMjAxMAkAAAABMAYzfYlEJd4IlJhCi0Ql3gg2Q0lRLlhPTS5JUV9OSV8xWVJfQU5OX0dST1dUSC5JUV9DUS4xMi8zMS8yMDEzLkwuLlVTRC5IAQAAAEIzBgACAAAACC0xNi4wODA1AQgAAAAFAAAAATEBAAAACjE3MjA3NjMxNjgDAAAAAzE2MAIAAAAENDE5OQQAAAABMAcAAAAKMTIvMzEvMjAxMwgAAAAKMTIvMzEvMjAxMwkAAAABMG4riolEJd4I2ihTi0Ql3gg2Q0lRLkNPUC5JUV9OSV8xWVJfQU5OX0dST1dUSC5JUV9DUS4xMi8zMS8yMDE2LkwuLlVTRC5IAQAA</t>
  </si>
  <si>
    <t>AE+GBAADAAAAAk5NAQgAAAAFAAAAATEBAAAACjE4NzUyODAyOTcDAAAAAzE2MAIAAAAENDE5OQQAAAABMAcAAAAKMTIvMzEvMjAxNggAAAAKMTIvMzEvMjAxNgkAAAABMI2giolEJd4I9iVni0Ql3gg2Q0lRLlhPTS5JUV9OSV8xWVJfQU5OX0dST1dUSC5JUV9DUS4xMi8zMS8yMDE5LkwuLlVTRC5IAQAAAEIzBgACAAAABy01LjE2NjcBCAAAAAUAAAABMQEAAAAKMjA4MTc0NjU1MQMAAAADMTYwAgAAAAQ0MTk5BAAAAAEwBwAAAAoxMi8zMS8yMDE5CAAAAAoxMi8zMS8yMDE5CQAAAAEwKV/HikQl3gi8x3eLRCXeCDVDSVEuQ1ZYLklRX05JXzFZUl9BTk5fR1JPV1RILklRX0NRLjYvMzAvMjAyMC5MLi5VU0QuSAEAAADKgAEAAwAAAAJOTQEIAAAABQAAAAExAQAAAAstMjEzOTc5OTk0MQMAAAADMTYwAgAAAAQ0MTk5BAAAAAEwBwAAAAk2LzMwLzIwMjAIAAAACTYvMzAvMjAyMAkAAAABMClfx4pEJd4Ip+p5i0Ql3gg1Q0lRLkVPRy5JUV9OSV8xWVJfQU5OX0dST1dUSC5JUV9DUS45LzMwLzIwMTcuTC4uVVNELkgBAAAAXB0EAAMAAAACTk0BCAAAAAUAAAABMQEAAAAKMTkxNzcyNDU5MAMAAAADMTYwAgAAAAQ0MTk5BAAAAAEwBwAAAAk5LzMwLzIwMTcIAAAACTkvMzAvMjAxNwkAAAABMHp5iolEJd4IypJri0Ql3gg1Q0lRLlhPTS5JUV9OSV8xWVJfQU5OX0dST1dUSC5JUV9DUS42LzMwLzIwMjAuTC4uVVNELkgB</t>
  </si>
  <si>
    <t>AAAAQjMGAAMAAAACTk0BCAAAAAUAAAABMQEAAAALLTIxNDAwNzIwMzkDAAAAAzE2MAIAAAAENDE5OQQAAAABMAcAAAAJNi8zMC8yMDIwCAAAAAk2LzMwLzIwMjAJAAAAATApX8eKRCXeCK4ReotEJd4INUNJUS5YT00uSVFfTklfMVlSX0FOTl9HUk9XVEguSVFfQ1EuMy8zMS8yMDExLkwuLlVTRC5IAQAAAEIzBgACAAAABzY5LjA0NzYBCAAAAAUAAAABMQEAAAAKMTU0NTAzMDAyMgMAAAADMTYwAgAAAAQ0MTk5BAAAAAEwBwAAAAkzLzMxLzIwMTEIAAAACTMvMzEvMjAxMQkAAAABMPULfYlEJd4IARtGi0Ql3gg2Q0lRLlhPTS5JUV9OSV8xWVJfQU5OX0dST1dUSC5JUV9DUS4xMi8zMS8yMDE1LkwuLlVTRC5IAQAAAEIzBgACAAAACC01Ny42ODY1AQgAAAAFAAAAATEBAAAACjE4Mjg5MDQ4ODYDAAAAAzE2MAIAAAAENDE5OQQAAAABMAcAAAAKMTIvMzEvMjAxNQgAAAAKMTIvMzEvMjAxNQkAAAABMKbuiolEJd4IR5Zgi0Ql3gg1Q0lRLkNPUC5JUV9OSV8xWVJfQU5OX0dST1dUSC5JUV9DUS42LzMwLzIwMjAuTC4uVVNELkgBAAAAT4YEAAIAAAAILTgzLjU0NDQBCAAAAAUAAAABMQEAAAALLTIxMzk3NDQyMTUDAAAAAzE2MAIAAAAENDE5OQQAAAABMAcAAAAJNi8zMC8yMDIwCAAAAAk2LzMwLzIwMjAJAAAAATApX8eKRCXeCK4ReotEJd4INUNJUS5DT1AuSVFfTklfMVlSX0FOTl9HUk9XVEguSVFfQ1EuMy8zMS8y</t>
  </si>
  <si>
    <t>MDExLkwuLlVTRC5IAQAAAE+GBAACAAAABzQ0LjMyNzkBCAAAAAUAAAABMQEAAAAKMTU1NzA1MDY5NQMAAAADMTYwAgAAAAQ0MTk5BAAAAAEwBwAAAAkzLzMxLzIwMTEIAAAACTMvMzEvMjAxMQkAAAABMPULfYlEJd4IARtGi0Ql3gg1Q0lRLkNWWC5JUV9OSV8xWVJfQU5OX0dST1dUSC5JUV9DUS4zLzMxLzIwMTYuTC4uVVNELkgBAAAAyoABAAMAAAACTk0BCAAAAAUAAAABMQEAAAAKMTg0MDM5MDUxNAMAAAADMTYwAgAAAAQ0MTk5BAAAAAEwBwAAAAkzLzMxLzIwMTYIAAAACTMvMzEvMjAxNgkAAAABMKHHiolEJd4I0/Vhi0Ql3gg1Q0lRLkNPUC5JUV9OSV8xWVJfQU5OX0dST1dUSC5JUV9DUS4zLzMxLzIwMjIuTC4uVVNELkgBAAAAT4YEAAIAAAAINDg2LjQ1NjIBCAAAAAUAAAABMQEAAAALLTIwNDcyNTE3NDgDAAAAAzE2MAIAAAAENDE5OQQAAAABMAcAAAAJMy8zMS8yMDIyCAAAAAkzLzMxLzIwMjIJAAAAATAJEceKRCXeCAIogotEJd4INUNJUS5FT0cuSVFfTklfMVlSX0FOTl9HUk9XVEguSVFfQ1EuMy8zMS8yMDEzLkwuLlVTRC5IAQAAAFwdBAACAAAABzUyLjY4ODYBCAAAAAUAAAABMQEAAAAKMTY3NTc0MDUwNwMAAAADMTYwAgAAAAQ0MTk5BAAAAAEwBwAAAAkzLzMxLzIwMTMIAAAACTMvMzEvMjAxMwkAAAABMJhgmIlEJd4IITFPi0Ql3gg1Q0lRLkNPUC5JUV9OSV8xWVJfQU5OX0dST1dUSC5JUV9D</t>
  </si>
  <si>
    <t>US45LzMwLzIwMTcuTC4uVVNELkgBAAAAT4YEAAMAAAACTk0BCAAAAAUAAAABMQEAAAAKMTkxNzMxOTQxNQMAAAADMTYwAgAAAAQ0MTk5BAAAAAEwBwAAAAk5LzMwLzIwMTcIAAAACTkvMzAvMjAxNwkAAAABMHp5iolEJd4I6uBri0Ql3gg1Q0lRLkNWWC5JUV9OSV8xWVJfQU5OX0dST1dUSC5JUV9DUS4zLzMxLzIwMTMuTC4uVVNELkgBAAAAyoABAAIAAAAHLTQuNTI3OQEIAAAABQAAAAExAQAAAAoxNjc1MDE4MjU3AwAAAAMxNjACAAAABDQxOTkEAAAAATAHAAAACTMvMzEvMjAxMwgAAAAJMy8zMS8yMDEzCQAAAAEwmGCYiUQl3gghMU+LRCXeCDVDSVEuQ09QLklRX05JXzFZUl9BTk5fR1JPV1RILklRX0NRLjYvMzAvMjAxOS5MLi5VU0QuSAEAAABPhgQAAgAAAActMy42NTg2AQgAAAAFAAAAATEBAAAACjIwNDgwOTcyNTkDAAAAAzE2MAIAAAAENDE5OQQAAAABMAcAAAAJNi8zMC8yMDE5CAAAAAk2LzMwLzIwMTkJAAAAATDAb3yJRCXeCMRWdYtEJd4INUNJUS5DVlguSVFfTklfMVlSX0FOTl9HUk9XVEguSVFfQ1EuNi8zMC8yMDE2LkwuLlVTRC5IAQAAAMqAAQADAAAAAk5NAQgAAAAFAAAAATEBAAAACjE4NTE2OTE0MDkDAAAAAzE2MAIAAAAENDE5OQQAAAABMAcAAAAJNi8zMC8yMDE2CAAAAAk2LzMwLzIwMTYJAAAAATChx4qJRCXeCIl8Y4tEJd4INkNJUS5FT0cuSVFfTklfMVlSX0FOTl9HUk9XVEguSVFf</t>
  </si>
  <si>
    <t>Q1EuMTIvMzEvMjAyMy5MLi5VU0QuSAEAAABcHQQAAgAAAAgtMTIuNjkyMgEIAAAABQAAAAExAQAAAAstMTk1Nzk2Njg1NQMAAAADMTYwAgAAAAQ0MTk5BAAAAAEwBwAAAAoxMi8zMS8yMDIzCAAAAAoxMi8zMS8yMDIzCQAAAAEw5UraikQl3ghVPoqLRCXeCDVDSVEuWE9NLklRX05JXzFZUl9BTk5fR1JPV1RILklRX0NRLjMvMzEvMjAxMy5MLi5VU0QuSAEAAABCMwYAAgAAAAYwLjUyOTEBCAAAAAUAAAABMQEAAAAKMTY3NTk3Njk0NQMAAAADMTYwAgAAAAQ0MTk5BAAAAAEwBwAAAAkzLzMxLzIwMTMIAAAACTMvMzEvMjAxMwkAAAABMJhgmIlEJd4ILFhPi0Ql3gg2Q0lRLkNWWC5JUV9OSV8xWVJfQU5OX0dST1dUSC5JUV9DUS4xMi8zMS8yMDIzLkwuLlVTRC5IAQAAAMqAAQACAAAABy02NC40NDIBCAAAAAUAAAABMQEAAAALLTE5NTg3NTg0MTQDAAAAAzE2MAIAAAAENDE5OQQAAAABMAcAAAAKMTIvMzEvMjAyMwgAAAAKMTIvMzEvMjAyMwkAAAABMOVK2opEJd4IQReKi0Ql3gg2Q0lRLkVPRy5JUV9OSV8xWVJfQU5OX0dST1dUSC5JUV9DUS4xMi8zMS8yMDE3LkwuLlVTRC5IAQAAAFwdBAADAAAAAk5NAQgAAAAFAAAAATEBAAAACjE5NDcxMDY2NDgDAAAAAzE2MAIAAAAENDE5OQQAAAABMAcAAAAKMTIvMzEvMjAxNwgAAAAKMTIvMzEvMjAxNwkAAAABMHp5iolEJd4IaBlti0Ql3gg1Q0lRLkVPRy5JUV9OSV8x</t>
  </si>
  <si>
    <t>WVJfQU5OX0dST1dUSC5JUV9DUS4zLzMxLzIwMjEuTC4uVVNELkgBAAAAXB0EAAIAAAAENjY3MAEIAAAABQAAAAExAQAAAAstMjA5ODQ5OTE4NQMAAAADMTYwAgAAAAQ0MTk5BAAAAAEwBwAAAAkzLzMxLzIwMjEIAAAACTMvMzEvMjAyMQkAAAABMDE4x4pEJd4II5R9i0Ql3gg1Q0lRLlhPTS5JUV9OSV8xWVJfQU5OX0dST1dUSC5JUV9DUS4zLzMxLzIwMjQuTC4uVVNELkgBAAAAQjMGAAIAAAAHLTI4LjA4NAEIAAAABQAAAAExAQAAAAstMTk0NjE1ODgwNgMAAAADMTYwAgAAAAQ0MTk5BAAAAAEwBwAAAAkzLzMxLzIwMjQIAAAACTMvMzEvMjAyNAkAAAABMOVK2opEJd4II3qLi0Ql3gg1Q0lRLlhPTS5JUV9OSV8xWVJfQU5OX0dST1dUSC5JUV9DUS45LzMwLzIwMTkuTC4uVVNELkgBAAAAQjMGAAIAAAAILTQ5LjE5ODgBCAAAAAUAAAABMQEAAAAKMjA2ODI3MjgxNQMAAAADMTYwAgAAAAQ0MTk5BAAAAAEwBwAAAAk5LzMwLzIwMTkIAAAACTkvMzAvMjAxOQkAAAABMEiGx4pEJd4IQ492i0Ql3gg1Q0lRLkNPUC5JUV9OSV8xWVJfQU5OX0dST1dUSC5JUV9DUS4zLzMxLzIwMTIuTC4uVVNELkgBAAAAT4YEAAIAAAAHLTMuMDA1MwEIAAAABQAAAAExAQAAAAoxNjE0OTc4NDUxAwAAAAMxNjACAAAABDQxOTkEAAAAATAHAAAACTMvMzEvMjAxMggAAAAJMy8zMS8yMDEyCQAAAAEw2718iUQl3ghM+EqLRCXeCDVDSVEu</t>
  </si>
  <si>
    <t>WE9NLklRX05JXzFZUl9BTk5fR1JPV1RILklRX0NRLjYvMzAvMjAxOC5MLi5VU0QuSAEAAABCMwYAAgAAAAcxNy45MTA0AQgAAAAFAAAAATEBAAAACjE5NzQ1MjYzMzADAAAAAzE2MAIAAAAENDE5OQQAAAABMAcAAAAJNi8zMC8yMDE4CAAAAAk2LzMwLzIwMTgJAAAAATBrUoqJRCXeCO3CcItEJd4INUNJUS5DVlguSVFfTklfMVlSX0FOTl9HUk9XVEguSVFfQ1EuNi8zMC8yMDEwLkwuLlVTRC5IAQAAAMqAAQACAAAACDIwOS45NzEzAQgAAAAFAAAAATEBAAAACjE0NjQ4NDQyMTYDAAAAAzE2MAIAAAAENDE5OQQAAAABMAcAAAAJNi8zMC8yMDEwCAAAAAk2LzMwLzIwMTAJAAAAATAGM32JRCXeCJSYQotEJd4INkNJUS5DT1AuSVFfTklfMVlSX0FOTl9HUk9XVEguSVFfQ1EuMTIvMzEvMjAyMi5MLi5VU0QuSAEAAABPhgQAAgAAAAcyMy42NzcxAQgAAAAFAAAAATEBAAAACy0yMDEwMTI1MDEyAwAAAAMxNjACAAAABDQxOTkEAAAAATAHAAAACjEyLzMxLzIwMjIIAAAACjEyLzMxLzIwMjIJAAAAATD+6caKRCXeCIPRhYtEJd4INkNJUS5DVlguSVFfTklfMVlSX0FOTl9HUk9XVEguSVFfQ1EuMTIvMzEvMjAxMy5MLi5VU0QuSAEAAADKgAEAAgAAAAgtMzEuOTUzMQEIAAAABQAAAAExAQAAAAoxNzIwMDM5MjYzAwAAAAMxNjACAAAABDQxOTkEAAAAATAHAAAACjEyLzMxLzIwMTMIAAAACjEyLzMxLzIwMTMJAAAAATBu</t>
  </si>
  <si>
    <t>K4qJRCXeCKbaUotEJd4INUNJUS5DT1AuSVFfTklfMVlSX0FOTl9HUk9XVEguSVFfQ1EuNi8zMC8yMDE4LkwuLlVTRC5IAQAAAE+GBAADAAAAAk5NAQgAAAAFAAAAATEBAAAACjE5NzUxMTU4ODQDAAAAAzE2MAIAAAAENDE5OQQAAAABMAcAAAAJNi8zMC8yMDE4CAAAAAk2LzMwLzIwMTgJAAAAATBrUoqJRCXeCO3CcItEJd4INUNJUS5DT1AuSVFfTklfMVlSX0FOTl9HUk9XVEguSVFfQ1EuNi8zMC8yMDIxLkwuLlVTRC5IAQAAAE+GBAACAAAACDcwNC4yMzA3AQgAAAAFAAAAATEBAAAACy0yMDg2NDIzMzE1AwAAAAMxNjACAAAABDQxOTkEAAAAATAHAAAACTYvMzAvMjAyMQgAAAAJNi8zMC8yMDIxCQAAAAEwMTjHikQl3ginzH6LRCXeCDVDSVEuWE9NLklRX05JXzFZUl9BTk5fR1JPV1RILklRX0NRLjYvMzAvMjAyNC5MLi5VU0QuSAEAAABCMwYAAgAAAAcxNy4yNTg4AQgAAAAFAAAAATEBAAAACy0xOTMzNDQ0MTEzAwAAAAMxNjACAAAABDQxOTkEAAAAATAHAAAACTYvMzAvMjAyNAgAAAAJNi8zMC8yMDI0CQAAAAEw5UraikQl3giZi4yLRCXeCDZDSVEuWE9NLklRX05JXzFZUl9BTk5fR1JPV1RILklRX0NRLjEyLzMxLzIwMjEuTC4uVVNELkgBAAAAQjMGAAMAAAACTk0BCAAAAAUAAAABMQEAAAALLTIwNTk5MTUyODMDAAAAAzE2MAIAAAAENDE5OQQAAAABMAcAAAAKMTIvMzEvMjAyMQgAAAAKMTIvMzEvMjAy</t>
  </si>
  <si>
    <t>MQkAAAABMAkRx4pEJd4IjRaBi0Ql3gg2Q0lRLkNWWC5JUV9OSV8xWVJfQU5OX0dST1dUSC5JUV9DUS4xMi8zMS8yMDE1LkwuLlVTRC5IAQAAAMqAAQADAAAAAk5NAQgAAAAFAAAAATEBAAAACjE4MjkwODg5NTIDAAAAAzE2MAIAAAAENDE5OQQAAAABMAcAAAAKMTIvMzEvMjAxNQgAAAAKMTIvMzEvMjAxNQkAAAABMKbuiolEJd4ILUhgi0Ql3gg2Q0lRLlhPTS5JUV9OSV8xWVJfQU5OX0dST1dUSC5JUV9DUS4xMi8zMS8yMDI0LkwuLlVTRC5IAQAAAEIzBgACAAAABy0wLjI2MjIBCAAAAAUAAAABMQEAAAALLTE5NTg5NTM2MzEDAAAAAzE2MAIAAAAENDE5OQQAAAABMAcAAAAKMTIvMzEvMjAyNAgAAAAKMTIvMzEvMjAyNAkAAAABMOoj2opEJd4IqSOPi0Ql3gg1Q0lRLkNWWC5JUV9OSV8xWVJfQU5OX0dST1dUSC5JUV9DUS45LzMwLzIwMTcuTC4uVVNELkgBAAAAyoABAAIAAAAHNTIuMTQzNAEIAAAABQAAAAExAQAAAAoxOTIwNTM1NDczAwAAAAMxNjACAAAABDQxOTkEAAAAATAHAAAACTkvMzAvMjAxNwgAAAAJOS8zMC8yMDE3CQAAAAEwenmKiUQl3gjKkmuLRCXeCDZDSVEuQ09QLklRX05JXzFZUl9BTk5fR1JPV1RILklRX0NRLjEyLzMxLzIwMjQuTC4uVVNELkgBAAAAT4YEAAIAAAAILTIzLjMxMjMBCAAAAAUAAAABMQEAAAALLTE5NTkyMDIxNzMDAAAAAzE2MAIAAAAENDE5OQQAAAABMAcAAAAKMTIvMzEv</t>
  </si>
  <si>
    <t>MjAyNAgAAAAKMTIvMzEvMjAyNAkAAAABMOoj2opEJd4IkfyOi0Ql3gg1Q0lRLkVPRy5JUV9OSV8xWVJfQU5OX0dST1dUSC5JUV9DUS42LzMwLzIwMTQuTC4uVVNELkgBAAAAXB0EAAIAAAAGNy4wNzMxAQgAAAAFAAAAATEBAAAACjE3NDk3Mjc5OTADAAAAAzE2MAIAAAAENDE5OQQAAAABMAcAAAAJNi8zMC8yMDE0CAAAAAk2LzMwLzIwMTQJAAAAATBQBIqJRCXeCA82VotEJd4INUNJUS5FT0cuSVFfTklfMVlSX0FOTl9HUk9XVEguSVFfQ1EuOS8zMC8yMDIzLkwuLlVTRC5IAQAAAFwdBAACAAAACC0yOC44NzE4AQgAAAAFAAAAATEBAAAACy0xOTcwMjM1MDc3AwAAAAMxNjACAAAABDQxOTkEAAAAATAHAAAACTkvMzAvMjAyMwgAAAAJOS8zMC8yMDIzCQAAAAEw5UraikQl3gjPBYmLRCXeCDVDSVEuRU9HLklRX05JXzFZUl9BTk5fR1JPV1RILklRX0NRLjMvMzEvMjAxOS5MLi5VU0QuSAEAAABcHQQAAgAAAActMC40OTU0AQgAAAAFAAAAATEBAAAACjIwMzQwMTk1MTcDAAAAAzE2MAIAAAAENDE5OQQAAAABMAcAAAAJMy8zMS8yMDE5CAAAAAkzLzMxLzIwMTkJAAAAATD1C32JRCXeCDwedItEJd4INUNJUS5YT00uSVFfTklfMVlSX0FOTl9HUk9XVEguSVFfQ1EuMy8zMS8yMDE2LkwuLlVTRC5IAQAAAEIzBgACAAAACC02My4zNjA0AQgAAAAFAAAAATEBAAAACjE4ODY0NzY4MDIDAAAAAzE2MAIAAAAENDE5OQQA</t>
  </si>
  <si>
    <t>AAABMAcAAAAJMy8zMS8yMDE2CAAAAAkzLzMxLzIwMTYJAAAAATChx4qJRCXeCAJEYotEJd4INUNJUS5DT1AuSVFfTklfMVlSX0FOTl9HUk9XVEguSVFfQ1EuMy8zMS8yMDI1LkwuLlVTRC5IAQAAAE+GBAACAAAABzExLjY4MTYBCAAAAAUAAAABMQEAAAALLTE5NDQ5NDY3NjYDAAAAAzE2MAIAAAAENDE5OQQAAAABMAcAAAAJMy8zMS8yMDI1CAAAAAkzLzMxLzIwMjUJAAAAATDqI9qKRCXeCDKDkItEJd4INkNJUS5YT00uSVFfTklfMVlSX0FOTl9HUk9XVEguSVFfQ1EuMTIvMzEvMjAxNC5MLi5VU0QuSAEAAABCMwYAAgAAAAgtMjEuMzE3NAEIAAAABQAAAAExAQAAAAoxNzc3NjM0ODg1AwAAAAMxNjACAAAABDQxOTkEAAAAATAHAAAACjEyLzMxLzIwMTQIAAAACjEyLzMxLzIwMTQJAAAAATD1C32JRCXeCI/fWYtEJd4INkNJUS5YT00uSVFfTklfMVlSX0FOTl9HUk9XVEguSVFfQ1EuMTIvMzEvMjAyMC5MLi5VU0QuSAEAAABCMwYAAwAAAAJOTQEIAAAABQAAAAExAQAAAAstMjExMTA3MzgxNgMAAAADMTYwAgAAAAQ0MTk5BAAAAAEwBwAAAAoxMi8zMS8yMDIwCAAAAAoxMi8zMS8yMDIwCQAAAAEwMTjHikQl3gi9gnyLRCXeCDVDSVEuWE9NLklRX05JXzFZUl9BTk5fR1JPV1RILklRX0NRLjYvMzAvMjAxNi5MLi5VU0QuSAEAAABCMwYAAgAAAAgtNTkuNDI3MwEIAAAABQAAAAExAQAAAAoxODc2Mzk5MDk0AwAA</t>
  </si>
  <si>
    <t>AAMxNjACAAAABDQxOTkEAAAAATAHAAAACTYvMzAvMjAxNggAAAAJNi8zMC8yMDE2CQAAAAEwoceKiUQl3giXymOLRCXeCDVDSVEuRU9HLklRX05JXzFZUl9BTk5fR1JPV1RILklRX0NRLjkvMzAvMjAyNS5MLi5VU0QuSAEAAABcHQQAAgAAAAgtMTIuMDc0MgEIAAAABQAAAAExAQAAAAstMTkxODE3MTAzNQMAAAADMTYwAgAAAAQ0MTk5BAAAAAEwBwAAAAk5LzMwLzIwMjUIAAAACTkvMzAvMjAyNQkAAAABMNr82YpEJd4IQhuTi0Ql3gg1Q0lRLkNPUC5JUV9OSV8xWVJfQU5OX0dST1dUSC5JUV9DUS42LzMwLzIwMTAuTC4uVVNELkgBAAAAT4YEAAIAAAAIMzg0Ljc0OTcBCAAAAAUAAAABMQEAAAAKMTQ2NDU1NzI2NQMAAAADMTYwAgAAAAQ0MTk5BAAAAAEwBwAAAAk2LzMwLzIwMTAIAAAACTYvMzAvMjAxMAkAAAABMAYzfYlEJd4IlJhCi0Ql3gg1Q0lRLkVPRy5JUV9OSV8xWVJfQU5OX0dST1dUSC5JUV9DUS45LzMwLzIwMTUuTC4uVVNELkgBAAAAXB0EAAMAAAACTk0BCAAAAAUAAAABMQEAAAAKMTgxNjAxNjE3NgMAAAADMTYwAgAAAAQ0MTk5BAAAAAEwBwAAAAk5LzMwLzIwMTUIAAAACTkvMzAvMjAxNQkAAAABMMiWfIlEJd4IY3Nei0Ql3gg1Q0lRLkVPRy5JUV9OSV8xWVJfQU5OX0dST1dUSC5JUV9DUS45LzMwLzIwMjQuTC4uVVNELkgBAAAAXB0EAAIAAAAILTE3LjU4NjMBCAAAAAUAAAABMQEAAAALLTE5</t>
  </si>
  <si>
    <t>MTgxNzEwMTcDAAAAAzE2MAIAAAAENDE5OQQAAAABMAcAAAAJOS8zMC8yMDI0CAAAAAk5LzMwLzIwMjQJAAAAATDqI9qKRCXeCBbEjYtEJd4INUNJUS5FT0cuSVFfTklfMVlSX0FOTl9HUk9XVEguSVFfQ1EuNi8zMC8yMDEyLkwuLlVTRC5IAQAAAFwdBAACAAAABzMzLjkwMTQBCAAAAAUAAAABMQEAAAAKMTYyOTUyMDUyNQMAAAADMTYwAgAAAAQ0MTk5BAAAAAEwBwAAAAk2LzMwLzIwMTIIAAAACTYvMzAvMjAxMgkAAAABMKuHmIlEJd4IdeVLi0Ql3gg1Q0lRLkNWWC5JUV9OSV8xWVJfQU5OX0dST1dUSC5JUV9DUS4zLzMxLzIwMTQuTC4uVVNELkgBAAAAyoABAAIAAAAILTI2Ljk2NjcBCAAAAAUAAAABMQEAAAAKMTczMjk0NTc5MwMAAAADMTYwAgAAAAQ0MTk5BAAAAAEwBwAAAAkzLzMxLzIwMTQIAAAACTMvMzEvMjAxNAkAAAABMG4riolEJd4IU4hUi0Ql3gg1Q0lRLkVPRy5JUV9OSV8xWVJfQU5OX0dST1dUSC5JUV9DUS4zLzMxLzIwMjMuTC4uVVNELkgBAAAAXB0EAAIAAAAINDE4LjcxNzkBCAAAAAUAAAABMQEAAAALLTE5OTcxNjc0OTkDAAAAAzE2MAIAAAAENDE5OQQAAAABMAcAAAAJMy8zMS8yMDIzCAAAAAkzLzMxLzIwMjMJAAAAATDlStqKRCXeCN27hotEJd4INUNJUS5DVlguSVFfTklfMVlSX0FOTl9HUk9XVEguSVFfQ1EuNi8zMC8yMDEyLkwuLlVTRC5IAQAAAMqAAQACAAAABy02Ljc1MTIBCAAA</t>
  </si>
  <si>
    <t>AAUAAAABMQEAAAAKMTYzMDAwNzU3NQMAAAADMTYwAgAAAAQ0MTk5BAAAAAEwBwAAAAk2LzMwLzIwMTIIAAAACTYvMzAvMjAxMgkAAAABMKuHmIlEJd4IdeVLi0Ql3gg1Q0lRLlhPTS5JUV9OSV8xWVJfQU5OX0dST1dUSC5JUV9DUS4zLzMxLzIwMTQuTC4uVVNELkgBAAAAQjMGAAIAAAAHLTQuMjEwNgEIAAAABQAAAAExAQAAAAoxNzMyOTgyNDA5AwAAAAMxNjACAAAABDQxOTkEAAAAATAHAAAACTMvMzEvMjAxNAgAAAAJMy8zMS8yMDE0CQAAAAEwbiuKiUQl3giG1lSLRCXeCDVDSVEuRU9HLklRX05JXzFZUl9BTk5fR1JPV1RILklRX0NRLjkvMzAvMjAxOC5MLi5VU0QuSAEAAABcHQQAAgAAAAkxMDg0LjU0MzYBCAAAAAUAAAABMQEAAAAKMTk5MDczMzcwNwMAAAADMTYwAgAAAAQ0MTk5BAAAAAEwBwAAAAk5LzMwLzIwMTgIAAAACTkvMzAvMjAxOAkAAAABMGtSiolEJd4IRK1xi0Ql3gg1Q0lRLkNPUC5JUV9OSV8xWVJfQU5OX0dST1dUSC5JUV9DUS45LzMwLzIwMjEuTC4uVVNELkgBAAAAT4YEAAMAAAACTk0BCAAAAAUAAAABMQEAAAALLTIwNzE5MzM2MzUDAAAAAzE2MAIAAAAENDE5OQQAAAABMAcAAAAJOS8zMC8yMDIxCAAAAAk5LzMwLzIwMjEJAAAAATAJEceKRCXeCBDef4tEJd4INUNJUS5DT1AuSVFfTklfMVlSX0FOTl9HUk9XVEguSVFfQ1EuMy8zMS8yMDE3LkwuLlVTRC5IAQAAAE+GBAADAAAAAk5N</t>
  </si>
  <si>
    <t>AQgAAAAFAAAAATEBAAAACjE4ODY3MTc5NzcDAAAAAzE2MAIAAAAENDE5OQQAAAABMAcAAAAJMy8zMS8yMDE3CAAAAAkzLzMxLzIwMTcJAAAAATCNoIqJRCXeCIeFaItEJd4INUNJUS5DVlguSVFfTklfMVlSX0FOTl9HUk9XVEguSVFfQ1EuMy8zMS8yMDIzLkwuLlVTRC5IAQAAAMqAAQACAAAABjUuMDMyNwEIAAAABQAAAAExAQAAAAstMTk4NDU3MzgwNAMAAAADMTYwAgAAAAQ0MTk5BAAAAAEwBwAAAAkzLzMxLzIwMjMIAAAACTMvMzEvMjAyMwkAAAABMOVK2opEJd4I3buGi0Ql3gg2Q0lRLkVPRy5JUV9OSV8xWVJfQU5OX0dST1dUSC5JUV9DUS4xMi8zMS8yMDI0LkwuLlVTRC5IAQAAAFwdBAACAAAACC0zNy4wNzI1AQgAAAAFAAAAATEBAAAACy0xOTU3OTY2ODUyAwAAAAMxNjACAAAABDQxOTkEAAAAATAHAAAACjEyLzMxLzIwMjQIAAAACjEyLzMxLzIwMjQJAAAAATDqI9qKRCXeCKkjj4tEJd4INUNJUS5YT00uSVFfTklfMVlSX0FOTl9HUk9XVEguSVFfQ1EuNi8zMC8yMDEyLkwuLlVTRC5IAQAAAEIzBgACAAAABTQ4Ljk3AQgAAAAFAAAAATEBAAAACjE2NDM0ODM5NzIDAAAAAzE2MAIAAAAENDE5OQQAAAABMAcAAAAJNi8zMC8yMDEyCAAAAAk2LzMwLzIwMTIJAAAAATCrh5iJRCXeCHXlS4tEJd4INUNJUS5DT1AuSVFfTklfMVlSX0FOTl9HUk9XVEguSVFfQ1EuMy8zMS8yMDE0LkwuLlVTRC5IAQAAAE+G</t>
  </si>
  <si>
    <t>BAACAAAABy0wLjc0ODEBCAAAAAUAAAABMQEAAAAKMTczMjU3OTQyOQMAAAADMTYwAgAAAAQ0MTk5BAAAAAEwBwAAAAkzLzMxLzIwMTQIAAAACTMvMzEvMjAxNAkAAAABMG4riolEJd4IhtZUi0Ql3gg1Q0lRLkVPRy5JUV9OSV8xWVJfQU5OX0dST1dUSC5JUV9DUS42LzMwLzIwMjAuTC4uVVNELkgBAAAAXB0EAAMAAAACTk0BCAAAAAUAAAABMQEAAAALLTIxNDAxMTUzMzEDAAAAAzE2MAIAAAAENDE5OQQAAAABMAcAAAAJNi8zMC8yMDIwCAAAAAk2LzMwLzIwMjAJAAAAATApX8eKRCXeCKfqeYtEJd4INkNJUS5FT0cuSVFfTklfMVlSX0FOTl9HUk9XVEguSVFfQ1EuMTIvMzEvMjAxNS5MLi5VU0QuSAEAAABcHQQAAwAAAAJOTQEIAAAABQAAAAExAQAAAAoxODI5NDUwNzM3AwAAAAMxNjACAAAABDQxOTkEAAAAATAHAAAACjEyLzMxLzIwMTUIAAAACjEyLzMxLzIwMTUJAAAAATCm7oqJRCXeCC1IYItEJd4INUNJUS5YT00uSVFfTklfMVlSX0FOTl9HUk9XVEguSVFfQ1EuMy8zMS8yMDIzLkwuLlVTRC5IAQAAAEIzBgACAAAACDEwOC41NzY2AQgAAAAFAAAAATEBAAAACy0xOTk4MDU2NTU3AwAAAAMxNjACAAAABDQxOTkEAAAAATAHAAAACTMvMzEvMjAyMwgAAAAJMy8zMS8yMDIzCQAAAAEw5UraikQl3gjw4oaLRCXeCDZDSVEuQ1ZYLklRX05JXzFZUl9BTk5fR1JPV1RILklRX0NRLjEyLzMxLzIwMjQuTC4uVVNE</t>
  </si>
  <si>
    <t>LkgBAAAAyoABAAIAAAAGNDMuMzgyAQgAAAAFAAAAATEBAAAACy0xOTU4NzU3NjAwAwAAAAMxNjACAAAABDQxOTkEAAAAATAHAAAACjEyLzMxLzIwMjQIAAAACjEyLzMxLzIwMjQJAAAAATDqI9qKRCXeCKkjj4tEJd4INkNJUS5DT1AuSVFfTklfMVlSX0FOTl9HUk9XVEguSVFfQ1EuMTIvMzEvMjAxMC5MLi5VU0QuSAEAAABPhgQAAgAAAAc1OC44MzI2AQgAAAAFAAAAATEBAAAACjE1MTc2MTcwOTQDAAAAAzE2MAIAAAAENDE5OQQAAAABMAcAAAAKMTIvMzEvMjAxMAgAAAAKMTIvMzEvMjAxMAkAAAABMPULfYlEJd4IhOJEi0Ql3gg1Q0lRLkNPUC5JUV9OSV8xWVJfQU5OX0dST1dUSC5JUV9DUS42LzMwLzIwMTIuTC4uVVNELkgBAAAAT4YEAAIAAAAILTMzLjM2MjgBCAAAAAUAAAABMQEAAAAKMTYyOTE5NTI0MgMAAAADMTYwAgAAAAQ0MTk5BAAAAAEwBwAAAAk2LzMwLzIwMTIIAAAACTYvMzAvMjAxMgkAAAABMKuHmIlEJd4IdeVLi0Ql3gg2Q0lRLkVPRy5JUV9OSV8xWVJfQU5OX0dST1dUSC5JUV9DUS4xMi8zMS8yMDE4LkwuLlVTRC5IAQAAAFwdBAACAAAACC02My4yNjc3AQgAAAAFAAAAATEBAAAACjIwMTgxNjkwMTYDAAAAAzE2MAIAAAAENDE5OQQAAAABMAcAAAAKMTIvMzEvMjAxOAgAAAAKMTIvMzEvMjAxOAkAAAABMGtSiolEJd4IxOVyi0Ql3gg2Q0lRLkVPRy5JUV9OSV8xWVJfQU5OX0dST1dUSC5J</t>
  </si>
  <si>
    <t>UV9DUS4xMi8zMS8yMDEyLkwuLlVTRC5IAQAAAFwdBAADAAAAAk5NAQgAAAAFAAAAATEBAAAACjE2NjAwNDQzMDADAAAAAzE2MAIAAAAENDE5OQQAAAABMAcAAAAKMTIvMzEvMjAxMggAAAAKMTIvMzEvMjAxMgkAAAABMKuHmIlEJd4ItR9Oi0Ql3gg1Q0lRLkNWWC5JUV9OSV8xWVJfQU5OX0dST1dUSC5JUV9DUS4zLzMxLzIwMjIuTC4uVVNELkgBAAAAyoABAAIAAAAIMzU0LjUzODgBCAAAAAUAAAABMQEAAAALLTIwMzU3MDY3NjkDAAAAAzE2MAIAAAAENDE5OQQAAAABMAcAAAAJMy8zMS8yMDIyCAAAAAkzLzMxLzIwMjIJAAAAATAJEceKRCXeCOoAgotEJd4INkNJUS5DVlguSVFfTklfMVlSX0FOTl9HUk9XVEguSVFfQ1EuMTIvMzEvMjAxMi5MLi5VU0QuSAEAAADKgAEAAgAAAAY0MS40MjEBCAAAAAUAAAABMQEAAAAKMTY1OTQyMDgwMwMAAAADMTYwAgAAAAQ0MTk5BAAAAAEwBwAAAAoxMi8zMS8yMDEyCAAAAAoxMi8zMS8yMDEyCQAAAAEwq4eYiUQl3gi1H06LRCXeCDVDSVEuWE9NLklRX05JXzFZUl9BTk5fR1JPV1RILklRX0NRLjMvMzEvMjAyMi5MLi5VU0QuSAEAAABCMwYAAgAAAAgxMDAuNzMyNgEIAAAABQAAAAExAQAAAAstMjA0Nzg5ODE5OQMAAAADMTYwAgAAAAQ0MTk5BAAAAAEwBwAAAAkzLzMxLzIwMjIIAAAACTMvMzEvMjAyMgkAAAABMAkRx4pEJd4IE0+Ci0Ql3gg1Q0lRLlhPTS5JUV9OSV8x</t>
  </si>
  <si>
    <t>WVJfQU5OX0dST1dUSC5JUV9DUS45LzMwLzIwMTcuTC4uVVNELkgBAAAAQjMGAAIAAAAHNDkuODExMwEIAAAABQAAAAExAQAAAAoxOTIwMDE3ODA1AwAAAAMxNjACAAAABDQxOTkEAAAAATAHAAAACTkvMzAvMjAxNwgAAAAJOS8zMC8yMDE3CQAAAAEwenmKiUQl3gjq4GuLRCXeCDZDSVEuQ1ZYLklRX05JXzFZUl9BTk5fR1JPV1RILklRX0NRLjEyLzMxLzIwMjAuTC4uVVNELkgBAAAAyoABAAMAAAACTk0BCAAAAAUAAAABMQEAAAALLTIxMTA4ODI4MjADAAAAAzE2MAIAAAAENDE5OQQAAAABMAcAAAAKMTIvMzEvMjAyMAgAAAAKMTIvMzEvMjAyMAkAAAABMDE4x4pEJd4Io1t8i0Ql3gg2Q0lRLkNPUC5JUV9OSV8xWVJfQU5OX0dST1dUSC5JUV9DUS4xMi8zMS8yMDE0LkwuLlVTRC5IAQAAAE+GBAADAAAAAk5NAQgAAAAFAAAAATEBAAAACjE3Nzc0NDI2NzQDAAAAAzE2MAIAAAAENDE5OQQAAAABMAcAAAAKMTIvMzEvMjAxNAgAAAAKMTIvMzEvMjAxNAkAAAABMPULfYlEJd4Ij99Zi0Ql3gg1Q0lRLkVPRy5JUV9OSV8xWVJfQU5OX0dST1dUSC5JUV9DUS42LzMwLzIwMjIuTC4uVVNELkgBAAAAXB0EAAIAAAAIMTQ2Ljc0NzUBCAAAAAUAAAABMQEAAAALLTIwMzU3NTQ5NTkDAAAAAzE2MAIAAAAENDE5OQQAAAABMAcAAAAJNi8zMC8yMDIyCAAAAAk2LzMwLzIwMjIJAAAAATAJEceKRCXeCHM5g4tEJd4INUNJUS5D</t>
  </si>
  <si>
    <t>T1AuSVFfTklfMVlSX0FOTl9HUk9XVEguSVFfQ1EuMy8zMS8yMDEzLkwuLlVTRC5IAQAAAE+GBAACAAAACC0yNy4xNzA2AQgAAAAFAAAAATEBAAAACjE2NzU3NDA3ODkDAAAAAzE2MAIAAAAENDE5OQQAAAABMAcAAAAJMy8zMS8yMDEzCAAAAAkzLzMxLzIwMTMJAAAAATCYYJiJRCXeCCxYT4tEJd4INkNJUS5DVlguSVFfTklfMVlSX0FOTl9HUk9XVEguSVFfTFRNLjMvMzEvMjAxNS5MLi5VU0QuSAEAAADKgAEAAgAAAAgtMTIuNDU2NAEIAAAABQAAAAExAQAAAAoxNzg5ODU0ODk0AwAAAAMxNjACAAAABDQxOTkEAAAAATAHAAAACTMvMzEvMjAxNQgAAAAJMy8zMS8yMDE1CQAAAAEw2718iUQl3gglZluLRCXeCDZDSVEuQ09QLklRX05JXzFZUl9BTk5fR1JPV1RILklRX0xUTS42LzMwLzIwMTYuTC4uVVNELkgBAAAAT4YEAAMAAAACTk0BCAAAAAUAAAABMQEAAAAKMTg1MTI2NzQ3NQMAAAADMTYwAgAAAAQ0MTk5BAAAAAEwBwAAAAk2LzMwLzIwMTYIAAAACTYvMzAvMjAxNgkAAAABMKHHiolEJd4Ih6Nji0Ql3gg2Q0lRLkNWWC5JUV9OSV8xWVJfQU5OX0dST1dUSC5JUV9MVE0uMy8zMS8yMDE5LkwuLlVTRC5IAQAAAMqAAQACAAAABzM2LjI5MTkBCAAAAAUAAAABMQEAAAAKMjAzMzcyODM0MwMAAAADMTYwAgAAAAQ0MTk5BAAAAAEwBwAAAAkzLzMxLzIwMTkIAAAACTMvMzEvMjAxOQkAAAABMPULfYlEJd4IPB50</t>
  </si>
  <si>
    <t>i0Ql3gg2Q0lRLkNWWC5JUV9OSV8xWVJfQU5OX0dST1dUSC5JUV9MVE0uMy8zMS8yMDIxLkwuLlVTRC5IAQAAAMqAAQADAAAAAk5NAQgAAAAFAAAAATEBAAAACy0yMDk4NTYzNDgwAwAAAAMxNjACAAAABDQxOTkEAAAAATAHAAAACTMvMzEvMjAyMQgAAAAJMy8zMS8yMDIxCQAAAAEwMTjHikQl3ggjlH2LRCXeCDZDSVEuQ09QLklRX05JXzFZUl9BTk5fR1JPV1RILklRX0xUTS42LzMwLzIwMjIuTC4uVVNELkgBAAAAT4YEAAIAAAAINzU5LjUzNTMBCAAAAAUAAAABMQEAAAALLTIwMjE0NzQ4NTkDAAAAAzE2MAIAAAAENDE5OQQAAAABMAcAAAAJNi8zMC8yMDIyCAAAAAk2LzMwLzIwMjIJAAAAATAJEceKRCXeCHM5g4tEJd4INkNJUS5DT1AuSVFfTklfMVlSX0FOTl9HUk9XVEguSVFfTFRNLjYvMzAvMjAyNC5MLi5VU0QuSAEAAABPhgQAAgAAAAYtMTcuMzUBCAAAAAUAAAABMQEAAAALLTE5MzI4NTgzNDkDAAAAAzE2MAIAAAAENDE5OQQAAAABMAcAAAAJNi8zMC8yMDI0CAAAAAk2LzMwLzIwMjQJAAAAATDlStqKRCXeCIFkjItEJd4IN0NJUS5FT0cuSVFfTklfMVlSX0FOTl9HUk9XVEguSVFfTFRNLjEyLzMxLzIwMDkuTC4uVVNELkgBAAAAXB0EAAIAAAAHLTc3LjU2OQEIAAAABQAAAAExAQAAAAoxNTYyMTc2NjA5AwAAAAMxNjACAAAABDQxOTkEAAAAATAHAAAACjEyLzMxLzIwMDkIAAAACjEyLzMxLzIwMDkJ</t>
  </si>
  <si>
    <t>AAAAATAZWn2JRCXeCNHDQItEJd4IN0NJUS5FT0cuSVFfTklfMVlSX0FOTl9HUk9XVEguSVFfTFRNLjEyLzMxLzIwMTMuTC4uVVNELkgBAAAAXB0EAAIAAAAIMjg1LjI2OTEBCAAAAAUAAAABMQEAAAAKMTc3Nzc1NjM0OAMAAAADMTYwAgAAAAQ0MTk5BAAAAAEwBwAAAAoxMi8zMS8yMDEzCAAAAAoxMi8zMS8yMDEzCQAAAAEwbiuKiUQl3gics1KLRCXeCDZDSVEuWE9NLklRX05JXzFZUl9BTk5fR1JPV1RILklRX0xUTS4zLzMxLzIwMTUuTC4uVVNELkgBAAAAQjMGAAIAAAAILTExLjg3MDgBCAAAAAUAAAABMQEAAAAKMTc4OTYxMTMzOQMAAAADMTYwAgAAAAQ0MTk5BAAAAAEwBwAAAAkzLzMxLzIwMTUIAAAACTMvMzEvMjAxNQkAAAABMNu9fIlEJd4IJWZbi0Ql3gg3Q0lRLkVPRy5JUV9OSV8xWVJfQU5OX0dST1dUSC5JUV9MVE0uMTIvMzEvMjAxNy5MLi5VU0QuSAEAAABcHQQAAwAAAAJOTQEIAAAABQAAAAExAQAAAAoyMDE4MTY5MDE3AwAAAAMxNjACAAAABDQxOTkEAAAAATAHAAAACjEyLzMxLzIwMTcIAAAACjEyLzMxLzIwMTcJAAAAATB6eYqJRCXeCFbybItEJd4INkNJUS5YT00uSVFfTklfMVlSX0FOTl9HUk9XVEguSVFfTFRNLjMvMzEvMjAxOS5MLi5VU0QuSAEAAABCMwYAAgAAAActOC44OTQ0AQgAAAAFAAAAATEBAAAACjIwMzM3NDQyMjIDAAAAAzE2MAIAAAAENDE5OQQAAAABMAcAAAAJMy8zMS8y</t>
  </si>
  <si>
    <t>MDE5CAAAAAkzLzMxLzIwMTkJAAAAATD1C32JRCXeCDwedItEJd4IN0NJUS5FT0cuSVFfTklfMVlSX0FOTl9HUk9XVEguSVFfTFRNLjEyLzMxLzIwMjEuTC4uVVNELkgBAAAAXB0EAAMAAAACTk0BCAAAAAUAAAABMQEAAAALLTIwMDkyMzcyMzgDAAAAAzE2MAIAAAAENDE5OQQAAAABMAcAAAAKMTIvMzEvMjAyMQgAAAAKMTIvMzEvMjAyMQkAAAABMAkRx4pEJd4IcMiAi0Ql3gg2Q0lRLlhPTS5JUV9OSV8xWVJfQU5OX0dST1dUSC5JUV9MVE0uMy8zMS8yMDIzLkwuLlVTRC5IAQAAAEIzBgACAAAACDEzOS4yMDEyAQgAAAAFAAAAATEBAAAACy0xOTk4MDU1OTgwAwAAAAMxNjACAAAABDQxOTkEAAAAATAHAAAACTMvMzEvMjAyMwgAAAAJMy8zMS8yMDIzCQAAAAEw5UraikQl3gjw4oaLRCXeCDdDSVEuQ1ZYLklRX05JXzFZUl9BTk5fR1JPV1RILklRX0xUTS4xMi8zMS8yMDA5LkwuLlVTRC5IAQAAAMqAAQACAAAACC01Ni4xOTQ5AQgAAAAFAAAAATEBAAAACjE1MTk1Njc5NDEDAAAAAzE2MAIAAAAENDE5OQQAAAABMAcAAAAKMTIvMzEvMjAwOQgAAAAKMTIvMzEvMjAwOQkAAAABMAYzfYlEJd4I0cNAi0Ql3gg2Q0lRLkNPUC5JUV9OSV8xWVJfQU5OX0dST1dUSC5JUV9MVE0uMy8zMS8yMDExLkwuLlVTRC5IAQAAAE+GBAACAAAABzExNS4xMjYBCAAAAAUAAAABMQEAAAAKMTU1NzA1MDcwMwMAAAADMTYwAgAAAAQ0</t>
  </si>
  <si>
    <t>MTk5BAAAAAEwBwAAAAkzLzMxLzIwMTEIAAAACTMvMzEvMjAxMQkAAAABMPULfYlEJd4I+fNFi0Ql3gg2Q0lRLlhPTS5JUV9OSV8xWVJfQU5OX0dST1dUSC5JUV9MVE0uNi8zMC8yMDEwLkwuLlVTRC5IAQAAAEIzBgACAAAACC0yMC44OTg5AQgAAAAFAAAAATEBAAAACjE0NjUwMTQ0MTEDAAAAAzE2MAIAAAAENDE5OQQAAAABMAcAAAAJNi8zMC8yMDEwCAAAAAk2LzMwLzIwMTAJAAAAATAGM32JRCXeCIBxQotEJd4INkNJUS5FT0cuSVFfTklfMVlSX0FOTl9HUk9XVEguSVFfTFRNLjMvMzEvMjAxMS5MLi5VU0QuSAEAAABcHQQAAgAAAAgtNjUuMDkxOAEIAAAABQAAAAExAQAAAAoxNTQ1Njg3MzQxAwAAAAMxNjACAAAABDQxOTkEAAAAATAHAAAACTMvMzEvMjAxMQgAAAAJMy8zMS8yMDExCQAAAAEw9Qt9iUQl3gjnzEWLRCXeCDZDSVEuWE9NLklRX05JXzFZUl9BTk5fR1JPV1RILklRX0xUTS42LzMwLzIwMTIuTC4uVVNELkgBAAAAQjMGAAIAAAAHMTguODc2OAEIAAAABQAAAAExAQAAAAoxNjQzNDgzOTczAwAAAAMxNjACAAAABDQxOTkEAAAAATAHAAAACTYvMzAvMjAxMggAAAAJNi8zMC8yMDEyCQAAAAEwq4eYiUQl3gh15UuLRCXeCDZDSVEuRU9HLklRX05JXzFZUl9BTk5fR1JPV1RILklRX0xUTS4zLzMxLzIwMTMuTC4uVVNELkgBAAAAXB0EAAIAAAAILTQyLjE2MjIBCAAAAAUAAAABMQEAAAAKMTY3NTc1</t>
  </si>
  <si>
    <t>MDYwNAMAAAADMTYwAgAAAAQ0MTk5BAAAAAEwBwAAAAkzLzMxLzIwMTMIAAAACTMvMzEvMjAxMwkAAAABMJhgmIlEJd4IDgpPi0Ql3gg2Q0lRLlhPTS5JUV9OSV8xWVJfQU5OX0dST1dUSC5JUV9MVE0uNi8zMC8yMDE0LkwuLlVTRC5IAQAAAEIzBgACAAAABi00Ljk2MQEIAAAABQAAAAExAQAAAAoxNzQ4ODQ2ODY3AwAAAAMxNjACAAAABDQxOTkEAAAAATAHAAAACTYvMzAvMjAxNAgAAAAJNi8zMC8yMDE0CQAAAAEwUASKiUQl3ggPNlaLRCXeCDZDSVEuRU9HLklRX05JXzFZUl9BTk5fR1JPV1RILklRX0xUTS4zLzMxLzIwMTUuTC4uVVNELkgBAAAAXB0EAAIAAAAILTExLjc4NDQBCAAAAAUAAAABMQEAAAAKMTc4OTcxMTcyMgMAAAADMTYwAgAAAAQ0MTk5BAAAAAEwBwAAAAkzLzMxLzIwMTUIAAAACTMvMzEvMjAxNQkAAAABMNu9fIlEJd4IBBhbi0Ql3gg2Q0lRLlhPTS5JUV9OSV8xWVJfQU5OX0dST1dUSC5JUV9MVE0uNi8zMC8yMDE2LkwuLlVTRC5IAQAAAEIzBgACAAAACC01NS43MDA1AQgAAAAFAAAAATEBAAAACjE4NzYzOTkwOTUDAAAAAzE2MAIAAAAENDE5OQQAAAABMAcAAAAJNi8zMC8yMDE2CAAAAAk2LzMwLzIwMTYJAAAAATChx4qJRCXeCIejY4tEJd4INkNJUS5FT0cuSVFfTklfMVlSX0FOTl9HUk9XVEguSVFfTFRNLjMvMzEvMjAxNy5MLi5VU0QuSAEAAABcHQQAAwAAAAJOTQEIAAAABQAAAAEx</t>
  </si>
  <si>
    <t>AQAAAAoxODg2MzI0MDg3AwAAAAMxNjACAAAABDQxOTkEAAAAATAHAAAACTMvMzEvMjAxNwgAAAAJMy8zMS8yMDE3CQAAAAEwjaCKiUQl3ghkN2iLRCXeCDZDSVEuWE9NLklRX05JXzFZUl9BTk5fR1JPV1RILklRX0xUTS42LzMwLzIwMTguTC4uVVNELkgBAAAAQjMGAAIAAAAGNzkuMjEzAQgAAAAFAAAAATEBAAAACjE5NzQ1MjgzNzcDAAAAAzE2MAIAAAAENDE5OQQAAAABMAcAAAAJNi8zMC8yMDE4CAAAAAk2LzMwLzIwMTgJAAAAATBrUoqJRCXeCOCbcItEJd4INkNJUS5FT0cuSVFfTklfMVlSX0FOTl9HUk9XVEguSVFfTFRNLjMvMzEvMjAxOS5MLi5VU0QuSAEAAABcHQQAAgAAAAY2Ljk5MTgBCAAAAAUAAAABMQEAAAAKMjAzNDAyMDA5NAMAAAADMTYwAgAAAAQ0MTk5BAAAAAEwBwAAAAkzLzMxLzIwMTkIAAAACTMvMzEvMjAxOQkAAAABMPULfYlEJd4IKPdzi0Ql3gg2Q0lRLlhPTS5JUV9OSV8xWVJfQU5OX0dST1dUSC5JUV9MVE0uNi8zMC8yMDIwLkwuLlVTRC5IAQAAAEIzBgACAAAACC01OS41MzczAQgAAAAFAAAAATEBAAAACy0yMTQwMDcwOTUwAwAAAAMxNjACAAAABDQxOTkEAAAAATAHAAAACTYvMzAvMjAyMAgAAAAJNi8zMC8yMDIwCQAAAAEwKV/HikQl3gin6nmLRCXeCDZDSVEuRU9HLklRX05JXzFZUl9BTk5fR1JPV1RILklRX0xUTS4zLzMxLzIwMjEuTC4uVVNELkgBAAAAXB0EAAIAAAAILTk3</t>
  </si>
  <si>
    <t>LjA2MDkBCAAAAAUAAAABMQEAAAALLTIwOTg0OTgzNjEDAAAAAzE2MAIAAAAENDE5OQQAAAABMAcAAAAJMy8zMS8yMDIxCAAAAAkzLzMxLzIwMjEJAAAAATAxOMeKRCXeCP5FfYtEJd4INkNJUS5YT00uSVFfTklfMVlSX0FOTl9HUk9XVEguSVFfTFRNLjYvMzAvMjAyMi5MLi5VU0QuSAEAAABCMwYAAwAAAAJOTQEIAAAABQAAAAExAQAAAAstMjAzNjE2NTY4OQMAAAADMTYwAgAAAAQ0MTk5BAAAAAEwBwAAAAk2LzMwLzIwMjIIAAAACTYvMzAvMjAyMgkAAAABMAkRx4pEJd4IgWCDi0Ql3gg2Q0lRLkVPRy5JUV9OSV8xWVJfQU5OX0dST1dUSC5JUV9MVE0uMy8zMS8yMDIzLkwuLlVTRC5IAQAAAFwdBAACAAAACDExNC41NzYxAQgAAAAFAAAAATEBAAAACy0xOTk3MTY3Mzc2AwAAAAMxNjACAAAABDQxOTkEAAAAATAHAAAACTMvMzEvMjAyMwgAAAAJMy8zMS8yMDIzCQAAAAEw5UraikQl3gjLlIaLRCXeCDZDSVEuWE9NLklRX05JXzFZUl9BTk5fR1JPV1RILklRX0xUTS42LzMwLzIwMjQuTC4uVVNELkgBAAAAQjMGAAIAAAAILTMzLjk1MjEBCAAAAAUAAAABMQEAAAALLTE5MzM0NDMzNjQDAAAAAzE2MAIAAAAENDE5OQQAAAABMAcAAAAJNi8zMC8yMDI0CAAAAAk2LzMwLzIwMjQJAAAAATDlStqKRCXeCJmLjItEJd4INkNJUS5FT0cuSVFfTklfMVlSX0FOTl9HUk9XVEguSVFfTFRNLjMvMzEvMjAyNS5MLi5VU0Qu</t>
  </si>
  <si>
    <t>SAEAAABcHQQAAgAAAAgtMTcuNDMyMQEIAAAABQAAAAExAQAAAAstMTk0Njk4NjQ0NQMAAAADMTYwAgAAAAQ0MTk5BAAAAAEwBwAAAAkzLzMxLzIwMjUIAAAACTMvMzEvMjAyNQkAAAABMOoj2opEJd4IMlyQi0Ql3gg2Q0lRLkNPUC5JUV9OSV8xWVJfQU5OX0dST1dUSC5JUV9MVE0uNi8zMC8yMDEwLkwuLlVTRC5IAQAAAE+GBAADAAAAAk5NAQgAAAAFAAAAATEBAAAACjE0NjQ1NzI5MzQDAAAAAzE2MAIAAAAENDE5OQQAAAABMAcAAAAJNi8zMC8yMDEwCAAAAAk2LzMwLzIwMTAJAAAAATAGM32JRCXeCJSYQotEJd4INkNJUS5DVlguSVFfTklfMVlSX0FOTl9HUk9XVEguSVFfTFRNLjMvMzEvMjAxMS5MLi5VU0QuSAEAAADKgAEAAgAAAAc1Ni43MTMxAQgAAAAFAAAAATEBAAAACjE1NDUwNDMzMjADAAAAAzE2MAIAAAAENDE5OQQAAAABMAcAAAAJMy8zMS8yMDExCAAAAAkzLzMxLzIwMTEJAAAAATD1C32JRCXeCAEbRotEJd4INkNJUS5DT1AuSVFfTklfMVlSX0FOTl9HUk9XVEguSVFfTFRNLjYvMzAvMjAxMi5MLi5VU0QuSAEAAABPhgQAAgAAAActMi43NDE3AQgAAAAFAAAAATEBAAAACjE2MjkyMTAzMDcDAAAAAzE2MAIAAAAENDE5OQQAAAABMAcAAAAJNi8zMC8yMDEyCAAAAAk2LzMwLzIwMTIJAAAAATCrh5iJRCXeCHXlS4tEJd4INkNJUS5DVlguSVFfTklfMVlSX0FOTl9HUk9XVEguSVFfTFRNLjMvMzEv</t>
  </si>
  <si>
    <t>MjAxMy5MLi5VU0QuSAEAAADKgAEAAgAAAActNC42NzMyAQgAAAAFAAAAATEBAAAACjE2NzUwNDE3MDkDAAAAAzE2MAIAAAAENDE5OQQAAAABMAcAAAAJMy8zMS8yMDEzCAAAAAkzLzMxLzIwMTMJAAAAATCYYJiJRCXeCCxYT4tEJd4INkNJUS5DT1AuSVFfTklfMVlSX0FOTl9HUk9XVEguSVFfTFRNLjYvMzAvMjAxNC5MLi5VU0QuSAEAAABPhgQAAgAAAAYyMy43MTUBCAAAAAUAAAABMQEAAAAKMTc0ODY5MTI4NQMAAAADMTYwAgAAAAQ0MTk5BAAAAAEwBwAAAAk2LzMwLzIwMTQIAAAACTYvMzAvMjAxNAkAAAABMFAEiolEJd4IDzZWi0Ql3gg2Q0lRLkNWWC5JUV9OSV8xWVJfQU5OX0dST1dUSC5JUV9MVE0uMy8zMS8yMDE3LkwuLlVTRC5IAQAAAMqAAQACAAAACDEyNC43MTA0AQgAAAAFAAAAATEBAAAACjE4ODY2MTcyMTIDAAAAAzE2MAIAAAAENDE5OQQAAAABMAcAAAAJMy8zMS8yMDE3CAAAAAkzLzMxLzIwMTcJAAAAATCNoIqJRCXeCIeFaItEJd4INkNJUS5DT1AuSVFfTklfMVlSX0FOTl9HUk9XVEguSVFfTFRNLjYvMzAvMjAxOC5MLi5VU0QuSAEAAABPhgQAAwAAAAJOTQEIAAAABQAAAAExAQAAAAoxOTc1MTE2NTgxAwAAAAMxNjACAAAABDQxOTkEAAAAATAHAAAACTYvMzAvMjAxOAgAAAAJNi8zMC8yMDE4CQAAAAEwa1KKiUQl3gjgm3CLRCXeCDZDSVEuQ09QLklRX05JXzFZUl9BTk5fR1JPV1RILklR</t>
  </si>
  <si>
    <t>X0xUTS42LzMwLzIwMjAuTC4uVVNELkgBAAAAT4YEAAIAAAAILTY3LjgzODIBCAAAAAUAAAABMQEAAAALLTIxMzk3NDIwNjkDAAAAAzE2MAIAAAAENDE5OQQAAAABMAcAAAAJNi8zMC8yMDIwCAAAAAk2LzMwLzIwMjAJAAAAATApX8eKRCXeCKfqeYtEJd4INkNJUS5DVlguSVFfTklfMVlSX0FOTl9HUk9XVEguSVFfTFRNLjMvMzEvMjAyMy5MLi5VU0QuSAEAAADKgAEAAgAAAAY3NC40NzcBCAAAAAUAAAABMQEAAAALLTE5ODQ1NzM3ODIDAAAAAzE2MAIAAAAENDE5OQQAAAABMAcAAAAJMy8zMS8yMDIzCAAAAAkzLzMxLzIwMjMJAAAAATDlStqKRCXeCPDihotEJd4INkNJUS5DVlguSVFfTklfMVlSX0FOTl9HUk9XVEguSVFfTFRNLjMvMzEvMjAyNS5MLi5VU0QuSAEAAADKgAEAAgAAAActMjIuODQyAQgAAAAFAAAAATEBAAAACy0xOTMyNTkwNDU2AwAAAAMxNjACAAAABDQxOTkEAAAAATAHAAAACTMvMzEvMjAyNQgAAAAJMy8zMS8yMDI1CQAAAAEw6iPaikQl3ggyXJCLRCXeCDZDSVEuWE9NLklRX05JXzFZUl9BTk5fR1JPV1RILklRX0xUTS4zLzMxLzIwMTEuTC4uVVNELkgBAAAAQjMGAAIAAAAHNjUuNTI1NAEIAAAABQAAAAExAQAAAAoxNTQ1MDQzNTMyAwAAAAMxNjACAAAABDQxOTkEAAAAATAHAAAACTMvMzEvMjAxMQgAAAAJMy8zMS8yMDExCQAAAAEw9Qt9iUQl3ggBG0aLRCXeCDdDSVEuRU9HLklRX05J</t>
  </si>
  <si>
    <t>XzFZUl9BTk5fR1JPV1RILklRX0xUTS4xMi8zMS8yMDExLkwuLlVTRC5IAQAAAFwdBAACAAAACDU3OS4xNzU3AQgAAAAFAAAAATEBAAAACjE2NjAwNDQxODQDAAAAAzE2MAIAAAAENDE5OQQAAAABMAcAAAAKMTIvMzEvMjAxMQgAAAAKMTIvMzEvMjAxMQkAAAABMOfkfIlEJd4I71dJi0Ql3gg2Q0lRLlhPTS5JUV9OSV8xWVJfQU5OX0dST1dUSC5JUV9MVE0uMy8zMS8yMDEzLkwuLlVTRC5IAQAAAEIzBgACAAAABzEyLjcxOTUBCAAAAAUAAAABMQEAAAAKMTY3NTk5MDcwNgMAAAADMTYwAgAAAAQ0MTk5BAAAAAEwBwAAAAkzLzMxLzIwMTMIAAAACTMvMzEvMjAxMwkAAAABMJhgmIlEJd4ILFhPi0Ql3gg3Q0lRLkVPRy5JUV9OSV8xWVJfQU5OX0dST1dUSC5JUV9MVE0uMTIvMzEvMjAxNS5MLi5VU0QuSAEAAABcHQQAAwAAAAJOTQEIAAAABQAAAAExAQAAAAoxODc2NzU0NDIwAwAAAAMxNjACAAAABDQxOTkEAAAAATAHAAAACjEyLzMxLzIwMTUIAAAACjEyLzMxLzIwMTUJAAAAATDIlnyJRCXeCBwhYItEJd4INkNJUS5YT00uSVFfTklfMVlSX0FOTl9HUk9XVEguSVFfTFRNLjMvMzEvMjAxNy5MLi5VU0QuSAEAAABCMwYAAgAAAAgtMjIuODg3OQEIAAAABQAAAAExAQAAAAoxODg2NDc2NjA2AwAAAAMxNjACAAAABDQxOTkEAAAAATAHAAAACTMvMzEvMjAxNwgAAAAJMy8zMS8yMDE3CQAAAAEwjaCKiUQl3giHhWiL</t>
  </si>
  <si>
    <t>RCXeCDdDSVEuRU9HLklRX05JXzFZUl9BTk5fR1JPV1RILklRX0xUTS4xMi8zMS8yMDE5LkwuLlVTRC5IAQAAAFwdBAACAAAACC0yMC4wMDY4AQgAAAAFAAAAATEBAAAACy0yMTEwNTkxMjAzAwAAAAMxNjACAAAABDQxOTkEAAAAATAHAAAACjEyLzMxLzIwMTkIAAAACjEyLzMxLzIwMTkJAAAAATApX8eKRCXeCI5Sd4tEJd4INkNJUS5YT00uSVFfTklfMVlSX0FOTl9HUk9XVEguSVFfTFRNLjMvMzEvMjAyMS5MLi5VU0QuSAEAAABCMwYAAwAAAAJOTQEIAAAABQAAAAExAQAAAAstMjA5ODYyODU5MAMAAAADMTYwAgAAAAQ0MTk5BAAAAAEwBwAAAAkzLzMxLzIwMjEIAAAACTMvMzEvMjAyMQkAAAABMDE4x4pEJd4II5R9i0Ql3gg3Q0lRLkVPRy5JUV9OSV8xWVJfQU5OX0dST1dUSC5JUV9MVE0uMTIvMzEvMjAyMy5MLi5VU0QuSAEAAABcHQQAAgAAAActMi4xMjY2AQgAAAAFAAAAATEBAAAACy0xOTU3OTY2ODUzAwAAAAMxNjACAAAABDQxOTkEAAAAATAHAAAACjEyLzMxLzIwMjMIAAAACjEyLzMxLzIwMjMJAAAAATDlStqKRCXeCDPwiYtEJd4INkNJUS5YT00uSVFfTklfMVlSX0FOTl9HUk9XVEguSVFfTFRNLjMvMzEvMjAyNS5MLi5VU0QuSAEAAABCMwYAAgAAAAYxLjEzNzEBCAAAAAUAAAABMQEAAAALLTE5NDYxNTc5MDgDAAAAAzE2MAIAAAAENDE5OQQAAAABMAcAAAAJMy8zMS8yMDI1CAAAAAkzLzMxLzIw</t>
  </si>
  <si>
    <t>MjUJAAAAATDqI9qKRCXeCDJckItEJd4IN0NJUS5DVlguSVFfTklfMVlSX0FOTl9HUk9XVEguSVFfTFRNLjEyLzMxLzIwMTEuTC4uVVNELkgBAAAAyoABAAIAAAAGNDEuMzc0AQgAAAAFAAAAATEBAAAACjE2NTk0MjUwNTADAAAAAzE2MAIAAAAENDE5OQQAAAABMAcAAAAKMTIvMzEvMjAxMQgAAAAKMTIvMzEvMjAxMQkAAAABMOfkfIlEJd4INZNJi0Ql3gg2Q0lRLkNPUC5JUV9OSV8xWVJfQU5OX0dST1dUSC5JUV9MVE0uMy8zMS8yMDEzLkwuLlVTRC5IAQAAAE+GBAACAAAACC0zOC4xOTM3AQgAAAAFAAAAATEBAAAACjE2NzU3NDk4NjMDAAAAAzE2MAIAAAAENDE5OQQAAAABMAcAAAAJMy8zMS8yMDEzCAAAAAkzLzMxLzIwMTMJAAAAATCYYJiJRCXeCCExT4tEJd4IN0NJUS5DT1AuSVFfTklfMVlSX0FOTl9HUk9XVEguSVFfTFRNLjEyLzMxLzIwMDkuTC4uVVNELkgBAAAAT4YEAAMAAAACTk0BCAAAAAUAAAABMQEAAAAKMTUxNzYxNzA3NwMAAAADMTYwAgAAAAQ0MTk5BAAAAAEwBwAAAAoxMi8zMS8yMDA5CAAAAAoxMi8zMS8yMDA5CQAAAAEwBjN9iUQl3gjRw0CLRCXeCDZDSVEuQ1ZYLklRX05JXzFZUl9BTk5fR1JPV1RILklRX0xUTS45LzMwLzIwMTAuTC4uVVNELkgBAAAAyoABAAIAAAAHMzYuNDg4NAEIAAAABQAAAAExAQAAAAoxNDgwMDc0MDQ5AwAAAAMxNjACAAAABDQxOTkEAAAAATAHAAAACTkvMzAv</t>
  </si>
  <si>
    <t>MjAxMAgAAAAJOS8zMC8yMDEwCQAAAAEwBjN9iUQl3ggGqkOLRCXeCDdDSVEuQ09QLklRX05JXzFZUl9BTk5fR1JPV1RILklRX0xUTS4xMi8zMS8yMDExLkwuLlVTRC5IAQAAAE+GBAACAAAABjkuNDkxMQEIAAAABQAAAAExAQAAAAoxNjYwMjQ4ODg2AwAAAAMxNjACAAAABDQxOTkEAAAAATAHAAAACjEyLzMxLzIwMTEIAAAACjEyLzMxLzIwMTEJAAAAATDn5HyJRCXeCDWTSYtEJd4INkNJUS5DVlguSVFfTklfMVlSX0FOTl9HUk9XVEguSVFfTFRNLjkvMzAvMjAxMi5MLi5VU0QuSAEAAADKgAEAAgAAAAgtMTEuMTIwNgEIAAAABQAAAAExAQAAAAoxNjQzOTAyNjc5AwAAAAMxNjACAAAABDQxOTkEAAAAATAHAAAACTkvMzAvMjAxMggAAAAJOS8zMC8yMDEyCQAAAAEwq4eYiUQl3gg/Dk2LRCXeCDdDSVEuQ09QLklRX05JXzFZUl9BTk5fR1JPV1RILklRX0xUTS4xMi8zMS8yMDEzLkwuLlVTRC5IAQAAAE+GBAACAAAABjguNjM3OAEIAAAABQAAAAExAQAAAAoxNzc3NDQyNjYwAwAAAAMxNjACAAAABDQxOTkEAAAAATAHAAAACjEyLzMxLzIwMTMIAAAACjEyLzMxLzIwMTMJAAAAATBuK4qJRCXeCLYBU4tEJd4INkNJUS5DVlguSVFfTklfMVlSX0FOTl9HUk9XVEguSVFfTFRNLjkvMzAvMjAxNC5MLi5VU0QuSAEAAADKgAEAAgAAAAgtMTIuNzk4MQEIAAAABQAAAAExAQAAAAoxNzYzMzMwMzg5AwAAAAMxNjACAAAA</t>
  </si>
  <si>
    <t>BDQxOTkEAAAAATAHAAAACTkvMzAvMjAxNAgAAAAJOS8zMC8yMDE0CQAAAAEwUASKiUQl3gjUMViLRCXeCDdDSVEuQ09QLklRX05JXzFZUl9BTk5fR1JPV1RILklRX0xUTS4xMi8zMS8yMDE1LkwuLlVTRC5IAQAAAE+GBAADAAAAAk5NAQgAAAAFAAAAATEBAAAACjE4NzUyODAyODgDAAAAAzE2MAIAAAAENDE5OQQAAAABMAcAAAAKMTIvMzEvMjAxNQgAAAAKMTIvMzEvMjAxNQkAAAABMKbuiolEJd4IOW9gi0Ql3gg2Q0lRLkNWWC5JUV9OSV8xWVJfQU5OX0dST1dUSC5JUV9MVE0uOS8zMC8yMDE2LkwuLlVTRC5IAQAAAMqAAQADAAAAAk5NAQgAAAAFAAAAATEBAAAACjE4NjM4Njc3MDYDAAAAAzE2MAIAAAAENDE5OQQAAAABMAcAAAAJOS8zMC8yMDE2CAAAAAk5LzMwLzIwMTYJAAAAATChx4qJRCXeCDtRZYtEJd4IN0NJUS5DT1AuSVFfTklfMVlSX0FOTl9HUk9XVEguSVFfTFRNLjEyLzMxLzIwMTcuTC4uVVNELkgBAAAAT4YEAAMAAAACTk0BCAAAAAUAAAABMQEAAAAKMjAxNTYzNTg0NwMAAAADMTYwAgAAAAQ0MTk5BAAAAAEwBwAAAAoxMi8zMS8yMDE3CAAAAAoxMi8zMS8yMDE3CQAAAAEwenmKiUQl3gh1QG2LRCXeCDZDSVEuQ1ZYLklRX05JXzFZUl9BTk5fR1JPV1RILklRX0xUTS45LzMwLzIwMTguTC4uVVNELkgBAAAAyoABAAIAAAAHMTE4LjU3MgEIAAAABQAAAAExAQAAAAoxOTkwOTg4MTM2AwAAAAMx</t>
  </si>
  <si>
    <t>NjACAAAABDQxOTkEAAAAATAHAAAACTkvMzAvMjAxOAgAAAAJOS8zMC8yMDE4CQAAAAEwa1KKiUQl3ghT1HGLRCXeCDdDSVEuQ09QLklRX05JXzFZUl9BTk5fR1JPV1RILklRX0xUTS4xMi8zMS8yMDE5LkwuLlVTRC5IAQAAAE+GBAACAAAABzE0Ljg5NTMBCAAAAAUAAAABMQEAAAALLTIxMTE2NDMzMjkDAAAAAzE2MAIAAAAENDE5OQQAAAABMAcAAAAKMTIvMzEvMjAxOQgAAAAKMTIvMzEvMjAxOQkAAAABMClfx4pEJd4It6B3i0Ql3gg2Q0lRLkNWWC5JUV9OSV8xWVJfQU5OX0dST1dUSC5JUV9MVE0uOS8zMC8yMDIwLkwuLlVTRC5IAQAAAMqAAQADAAAAAk5NAQgAAAAFAAAAATEBAAAACy0yMTIzNjA0MjY5AwAAAAMxNjACAAAABDQxOTkEAAAAATAHAAAACTkvMzAvMjAyMAgAAAAJOS8zMC8yMDIwCQAAAAEwKV/HikQl3ggxSnuLRCXeCDdDSVEuQ09QLklRX05JXzFZUl9BTk5fR1JPV1RILklRX0xUTS4xMi8zMS8yMDIxLkwuLlVTRC5IAQAAAE+GBAADAAAAAk5NAQgAAAAFAAAAATEBAAAACy0yMDEwMTI1MDc4AwAAAAMxNjACAAAABDQxOTkEAAAAATAHAAAACjEyLzMxLzIwMjEIAAAACjEyLzMxLzIwMjEJAAAAATAJEceKRCXeCI0WgYtEJd4INkNJUS5DVlguSVFfTklfMVlSX0FOTl9HUk9XVEguSVFfTFRNLjkvMzAvMjAyMi5MLi5VU0QuSAEAAADKgAEAAgAAAAgyNDQuOTQ2OQEIAAAABQAAAAExAQAAAAst</t>
  </si>
  <si>
    <t>MjAyMTQwOTAwOAMAAAADMTYwAgAAAAQ0MTk5BAAAAAEwBwAAAAk5LzMwLzIwMjIIAAAACTkvMzAvMjAyMgkAAAABMP7pxopEJd4I/HGEi0Ql3gg3Q0lRLkNPUC5JUV9OSV8xWVJfQU5OX0dST1dUSC5JUV9MVE0uMTIvMzEvMjAyMy5MLi5VU0QuSAEAAABPhgQAAgAAAAgtNDEuMzQzNwEIAAAABQAAAAExAQAAAAstMTk1OTIwMjE3NQMAAAADMTYwAgAAAAQ0MTk5BAAAAAEwBwAAAAoxMi8zMS8yMDIzCAAAAAoxMi8zMS8yMDIzCQAAAAEw5UraikQl3ghVPoqLRCXeCDZDSVEuQ1ZYLklRX05JXzFZUl9BTk5fR1JPV1RILklRX0xUTS45LzMwLzIwMjQuTC4uVVNELkgBAAAAyoABAAIAAAAILTM0LjQ4OTMBCAAAAAUAAAABMQEAAAALLTE5MTgwOTYzNjMDAAAAAzE2MAIAAAAENDE5OQQAAAABMAcAAAAJOS8zMC8yMDI0CAAAAAk5LzMwLzIwMjQJAAAAATDqI9qKRCXeCAKdjYtEJd4INkNJUS5YT00uSVFfTklfMVlSX0FOTl9HUk9XVEguSVFfTFRNLjkvMzAvMjAxMC5MLi5VU0QuSAEAAABCMwYAAgAAAAcyOS41MDExAQgAAAAFAAAAATEBAAAACjE0ODA2MTU3MTgDAAAAAzE2MAIAAAAENDE5OQQAAAABMAcAAAAJOS8zMC8yMDEwCAAAAAk5LzMwLzIwMTAJAAAAATAGM32JRCXeCAaqQ4tEJd4INkNJUS5FT0cuSVFfTklfMVlSX0FOTl9HUk9XVEguSVFfTFRNLjYvMzAvMjAxMS5MLi5VU0QuSAEAAABcHQQAAgAAAAgt</t>
  </si>
  <si>
    <t>MjkuMjE3NwEIAAAABQAAAAExAQAAAAoxNTU3Mjc3NzYxAwAAAAMxNjACAAAABDQxOTkEAAAAATAHAAAACTYvMzAvMjAxMQgAAAAJNi8zMC8yMDExCQAAAAEw5+R8iUQl3ghfBUeLRCXeCDZDSVEuWE9NLklRX05JXzFZUl9BTk5fR1JPV1RILklRX0xUTS45LzMwLzIwMTIuTC4uVVNELkgBAAAAQjMGAAIAAAAGOC4zNTk4AQgAAAAFAAAAATEBAAAACjE2NDM0ODA0NDMDAAAAAzE2MAIAAAAENDE5OQQAAAABMAcAAAAJOS8zMC8yMDEyCAAAAAk5LzMwLzIwMTIJAAAAATCrh5iJRCXeCD8OTYtEJd4INkNJUS5FT0cuSVFfTklfMVlSX0FOTl9HUk9XVEguSVFfTFRNLjYvMzAvMjAxMy5MLi5VU0QuSAEAAABcHQQAAgAAAAgtMjcuMjUyNAEIAAAABQAAAAExAQAAAAoxNjg5NjY0MzMxAwAAAAMxNjACAAAABDQxOTkEAAAAATAHAAAACTYvMzAvMjAxMwgAAAAJNi8zMC8yMDEzCQAAAAEwmGCYiUQl3giNQlCLRCXeCDZDSVEuWE9NLklRX05JXzFZUl9BTk5fR1JPV1RILklRX0xUTS45LzMwLzIwMTQuTC4uVVNELkgBAAAAQjMGAAIAAAAFMC4zNTEBCAAAAAUAAAABMQEAAAAKMTc2MjgzOTEyMQMAAAADMTYwAgAAAAQ0MTk5BAAAAAEwBwAAAAk5LzMwLzIwMTQIAAAACTkvMzAvMjAxNAkAAAABMFAEiolEJd4I1DFYi0Ql3gg2Q0lRLkVPRy5JUV9OSV8xWVJfQU5OX0dST1dUSC5JUV9MVE0uNi8zMC8yMDE1LkwuLlVTRC5I</t>
  </si>
  <si>
    <t>AQAAAFwdBAACAAAACC00Mi41ODM0AQgAAAAFAAAAATEBAAAACjE4MDE3ODUwMzkDAAAAAzE2MAIAAAAENDE5OQQAAAABMAcAAAAJNi8zMC8yMDE1CAAAAAk2LzMwLzIwMTUJAAAAATDbvXyJRCXeCLXFXItEJd4INkNJUS5YT00uSVFfTklfMVlSX0FOTl9HUk9XVEguSVFfTFRNLjkvMzAvMjAxNi5MLi5VU0QuSAEAAABCMwYAAgAAAAgtNTUuMTY1NQEIAAAABQAAAAExAQAAAAoxODYzNjgzNDQyAwAAAAMxNjACAAAABDQxOTkEAAAAATAHAAAACTkvMzAvMjAxNggAAAAJOS8zMC8yMDE2CQAAAAEwoceKiUQl3gg7UWWLRCXeCDZDSVEuRU9HLklRX05JXzFZUl9BTk5fR1JPV1RILklRX0xUTS42LzMwLzIwMTcuTC4uVVNELkgBAAAAXB0EAAMAAAACTk0BCAAAAAUAAAABMQEAAAAKMTg5ODQxNDg3NgMAAAADMTYwAgAAAAQ0MTk5BAAAAAEwBwAAAAk2LzMwLzIwMTcIAAAACTYvMzAvMjAxNwkAAAABMI2giolEJd4ICL5pi0Ql3gg2Q0lRLlhPTS5JUV9OSV8xWVJfQU5OX0dST1dUSC5JUV9MVE0uOS8zMC8yMDE4LkwuLlVTRC5IAQAAAEIzBgACAAAABjc4LjQ3OAEIAAAABQAAAAExAQAAAAoxOTkwNzg4NjEzAwAAAAMxNjACAAAABDQxOTkEAAAAATAHAAAACTkvMzAvMjAxOAgAAAAJOS8zMC8yMDE4CQAAAAEwa1KKiUQl3ghT1HGLRCXeCDZDSVEuRU9HLklRX05JXzFZUl9BTk5fR1JPV1RILklRX0xUTS42LzMwLzIw</t>
  </si>
  <si>
    <t>MTkuTC4uVVNELkgBAAAAXB0EAAIAAAAHLTcuNzQyMwEIAAAABQAAAAExAQAAAAoyMDQ4NjI5NDAzAwAAAAMxNjACAAAABDQxOTkEAAAAATAHAAAACTYvMzAvMjAxOQgAAAAJNi8zMC8yMDE5CQAAAAEwwG98iUQl3gihCHWLRCXeCDZDSVEuWE9NLklRX05JXzFZUl9BTk5fR1JPV1RILklRX0xUTS45LzMwLzIwMjAuTC4uVVNELkgBAAAAQjMGAAIAAAAILTc3LjMzNzkBCAAAAAUAAAABMQEAAAALLTIxMjM5MjcyMjMDAAAAAzE2MAIAAAAENDE5OQQAAAABMAcAAAAJOS8zMC8yMDIwCAAAAAk5LzMwLzIwMjAJAAAAATApX8eKRCXeCDFKe4tEJd4INkNJUS5FT0cuSVFfTklfMVlSX0FOTl9HUk9XVEguSVFfTFRNLjYvMzAvMjAyMS5MLi5VU0QuSAEAAABcHQQAAgAAAAg0MzQuMzQ4NwEIAAAABQAAAAExAQAAAAstMjA4NjU4NDc3MgMAAAADMTYwAgAAAAQ0MTk5BAAAAAEwBwAAAAk2LzMwLzIwMjEIAAAACTYvMzAvMjAyMQkAAAABMDE4x4pEJd4IhH5+i0Ql3gg2Q0lRLlhPTS5JUV9OSV8xWVJfQU5OX0dST1dUSC5JUV9MVE0uOS8zMC8yMDIyLkwuLlVTRC5IAQAAAEIzBgADAAAAAk5NAQgAAAAFAAAAATEBAAAACy0yMDIxODY3OTA4AwAAAAMxNjACAAAABDQxOTkEAAAAATAHAAAACTkvMzAvMjAyMggAAAAJOS8zMC8yMDIyCQAAAAEw/unGikQl3gj8cYSLRCXeCDZDSVEuRU9HLklRX05JXzFZUl9BTk5fR1JPV1RI</t>
  </si>
  <si>
    <t>LklRX0xUTS42LzMwLzIwMjMuTC4uVVNELkgBAAAAXB0EAAIAAAAHNTIuNTQwMgEIAAAABQAAAAExAQAAAAstMTk4NTUwMDMyMwMAAAADMTYwAgAAAAQ0MTk5BAAAAAEwBwAAAAk2LzMwLzIwMjMIAAAACTYvMzAvMjAyMwkAAAABMOVK2opEJd4IU82Hi0Ql3gg2Q0lRLlhPTS5JUV9OSV8xWVJfQU5OX0dST1dUSC5JUV9MVE0uOS8zMC8yMDI0LkwuLlVTRC5IAQAAAEIzBgACAAAACC0xOC4wNjQ3AQgAAAAFAAAAATEBAAAACy0xOTE4NjU1MDA5AwAAAAMxNjACAAAABDQxOTkEAAAAATAHAAAACTkvMzAvMjAyNAgAAAAJOS8zMC8yMDI0CQAAAAEw6iPaikQl3ggCnY2LRCXeCDZDSVEuRU9HLklRX05JXzFZUl9BTk5fR1JPV1RILklRX0xUTS42LzMwLzIwMjUuTC4uVVNELkgBAAAAXB0EAAIAAAAILTIzLjU0MjgBCAAAAAUAAAABMQEAAAALLTE5MzI3MTE2MTgDAAAAAzE2MAIAAAAENDE5OQQAAAABMAcAAAAJNi8zMC8yMDI1CAAAAAk2LzMwLzIwMjUJAAAAATDqI9qKRCXeCKRtkYtEJd4IN0NJUS5YT00uSVFfTklfMVlSX0FOTl9HUk9XVEguSVFfTFRNLjEyLzMxLzIwMTAuTC4uVVNELkgBAAAAQjMGAAIAAAAHNTcuOTg3NQEIAAAABQAAAAExAQAAAAoxNTg5NTQ3MTY5AwAAAAMxNjACAAAABDQxOTkEAAAAATAHAAAACjEyLzMxLzIwMTAIAAAACjEyLzMxLzIwMTAJAAAAATD1C32JRCXeCITiRItEJd4INkNJUS5F</t>
  </si>
  <si>
    <t>T0cuSVFfTklfMVlSX0FOTl9HUk9XVEguSVFfTFRNLjMvMzEvMjAxMi5MLi5VU0QuSAEAAABcHQQAAgAAAAg2MjUuNDA4OAEIAAAABQAAAAExAQAAAAoxNjE2MTk5NTcxAwAAAAMxNjACAAAABDQxOTkEAAAAATAHAAAACTMvMzEvMjAxMggAAAAJMy8zMS8yMDEyCQAAAAEw2718iUQl3ghogUqLRCXeCDZDSVEuQ1ZYLklRX05JXzFZUl9BTk5fR1JPV1RILklRX0xUTS4zLzMxLzIwMTQuTC4uVVNELkgBAAAAyoABAAIAAAAILTIzLjY3NjkBCAAAAAUAAAABMQEAAAAKMTczMjk0NjI2NQMAAAADMTYwAgAAAAQ0MTk5BAAAAAEwBwAAAAkzLzMxLzIwMTQIAAAACTMvMzEvMjAxNAkAAAABMG4riolEJd4Ia69Ui0Ql3gg2Q0lRLlhPTS5JUV9OSV8xWVJfQU5OX0dST1dUSC5JUV9MVE0uMy8zMS8yMDE4LkwuLlVTRC5IAQAAAEIzBgACAAAACDEwMi42ODkyAQgAAAAFAAAAATEBAAAACjE5NTk1MDE1MDIDAAAAAzE2MAIAAAAENDE5OQQAAAABMAcAAAAJMy8zMS8yMDE4CAAAAAkzLzMxLzIwMTgJAAAAATB6eYqJRCXeCCHubotEJd4INkNJUS5DT1AuSVFfTklfMVlSX0FOTl9HUk9XVEguSVFfTFRNLjMvMzEvMjAxOS5MLi5VU0QuSAEAAABPhgQAAwAAAAJOTQEIAAAABQAAAAExAQAAAAoyMDMzNDY2NzAzAwAAAAMxNjACAAAABDQxOTkEAAAAATAHAAAACTMvMzEvMjAxOQgAAAAJMy8zMS8yMDE5CQAAAAEw9Qt9iUQl3gg8</t>
  </si>
  <si>
    <t>HnSLRCXeCDZDSVEuQ09QLklRX05JXzFZUl9BTk5fR1JPV1RILklRX0xUTS4zLzMxLzIwMjIuTC4uVVNELkgBAAAAT4YEAAIAAAAFNjQxODABCAAAAAUAAAABMQEAAAALLTIwNDcyNTA2NjMDAAAAAzE2MAIAAAAENDE5OQQAAAABMAcAAAAJMy8zMS8yMDIyCAAAAAkzLzMxLzIwMjIJAAAAATAJEceKRCXeCAIogotEJd4INkNJUS5DVlguSVFfTklfMVlSX0FOTl9HUk9XVEguSVFfTFRNLjYvMzAvMjAyMy5MLi5VU0QuSAEAAADKgAEAAgAAAAYzLjg1OTIBCAAAAAUAAAABMQEAAAALLTE5NzAxMTQyNTcDAAAAAzE2MAIAAAAENDE5OQQAAAABMAcAAAAJNi8zMC8yMDIzCAAAAAk2LzMwLzIwMjMJAAAAATDlStqKRCXeCFz0h4tEJd4INkNJUS5DVlguSVFfTklfMVlSX0FOTl9HUk9XVEguSVFfTFRNLjYvMzAvMjAyMS5MLi5VU0QuSAEAAADKgAEAAwAAAAJOTQEIAAAABQAAAAExAQAAAAstMjA4NjQ4ODk1NAMAAAADMTYwAgAAAAQ0MTk5BAAAAAEwBwAAAAk2LzMwLzIwMjEIAAAACTYvMzAvMjAyMQkAAAABMDE4x4pEJd4Ip8x+i0Ql3gg2Q0lRLlhPTS5JUV9OSV8xWVJfQU5OX0dST1dUSC5JUV9MVE0uNi8zMC8yMDI1LkwuLlVTRC5IAQAAAEIzBgACAAAABy05LjIwNjcBCAAAAAUAAAABMQEAAAALLTE5MzM0NDMzNjMDAAAAAzE2MAIAAAAENDE5OQQAAAABMAcAAAAJNi8zMC8yMDI1CAAAAAk2LzMwLzIwMjUJAAAA</t>
  </si>
  <si>
    <t>ATDqI9qKRCXeCLW7kYtEJd4INkNJUS5DT1AuSVFfTklfMVlSX0FOTl9HUk9XVEguSVFfTFRNLjMvMzEvMjAxNC5MLi5VU0QuSAEAAABPhgQAAgAAAAcxOS43OTAzAQgAAAAFAAAAATEBAAAACjE3MzI1ODA5OTMDAAAAAzE2MAIAAAAENDE5OQQAAAABMAcAAAAJMy8zMS8yMDE0CAAAAAkzLzMxLzIwMTQJAAAAATBuK4qJRCXeCGuvVItEJd4INkNJUS5YT00uSVFfTklfMVlSX0FOTl9HUk9XVEguSVFfTFRNLjYvMzAvMjAyMy5MLi5VU0QuSAEAAABCMwYAAgAAAAczMi43ODU2AQgAAAAFAAAAATEBAAAACy0xOTE5MjM0NjcxAwAAAAMxNjACAAAABDQxOTkEAAAAATAHAAAACTYvMzAvMjAyMwgAAAAJNi8zMC8yMDIzCQAAAAEw5UraikQl3ghc9IeLRCXeCDZDSVEuQ09QLklRX05JXzFZUl9BTk5fR1JPV1RILklRX0xUTS42LzMwLzIwMjUuTC4uVVNELkgBAAAAT4YEAAIAAAAILTE0LjAzODQBCAAAAAUAAAABMQEAAAALLTE5MzI4NTgzNDADAAAAAzE2MAIAAAAENDE5OQQAAAABMAcAAAAJNi8zMC8yMDI1CAAAAAk2LzMwLzIwMjUJAAAAATDqI9qKRCXeCKWUkYtEJd4INkNJUS5DT1AuSVFfTklfMVlSX0FOTl9HUk9XVEguSVFfTFRNLjMvMzEvMjAxMi5MLi5VU0QuSAEAAABPhgQAAgAAAAYwLjQ2MzgBCAAAAAUAAAABMQEAAAAKMTYxNDk4ODU5MwMAAAADMTYwAgAAAAQ0MTk5BAAAAAEwBwAAAAkzLzMxLzIwMTII</t>
  </si>
  <si>
    <t>AAAACTMvMzEvMjAxMgkAAAABMNu9fIlEJd4I27xKi0Ql3gg2Q0lRLkNWWC5JUV9OSV8xWVJfQU5OX0dST1dUSC5JUV9MVE0uNi8zMC8yMDE1LkwuLlVTRC5IAQAAAMqAAQACAAAACC0zOS4xNjM0AQgAAAAFAAAAATEBAAAACjE4MDE4OTcyNzgDAAAAAzE2MAIAAAAENDE5OQQAAAABMAcAAAAJNi8zMC8yMDE1CAAAAAk2LzMwLzIwMTUJAAAAATDbvXyJRCXeCNgTXYtEJd4INkNJUS5YT00uSVFfTklfMVlSX0FOTl9HUk9XVEguSVFfTFRNLjYvMzAvMjAxOS5MLi5VU0QuSAEAAABCMwYAAgAAAAgtMTUuNDE3NwEIAAAABQAAAAExAQAAAAoyMDQ4MzA0MjU2AwAAAAMxNjACAAAABDQxOTkEAAAAATAHAAAACTYvMzAvMjAxOQgAAAAJNi8zMC8yMDE5CQAAAAEwwG98iUQl3girL3WLRCXeCDZDSVEuRU9HLklRX05JXzFZUl9BTk5fR1JPV1RILklRX0xUTS42LzMwLzIwMjIuTC4uVVNELkgBAAAAXB0EAAIAAAAIMjAzLjc3ODYBCAAAAAUAAAABMQEAAAALLTIwMzU3NTQzNDgDAAAAAzE2MAIAAAAENDE5OQQAAAABMAcAAAAJNi8zMC8yMDIyCAAAAAk2LzMwLzIwMjIJAAAAATAJEceKRCXeCGISg4tEJd4INkNJUS5DVlguSVFfTklfMVlSX0FOTl9HUk9XVEguSVFfTFRNLjYvMzAvMjAxMy5MLi5VU0QuSAEAAADKgAEAAgAAAActOS43MzIzAQgAAAAFAAAAATEBAAAACjE2ODk3NzQ5NzQDAAAAAzE2MAIAAAAENDE5OQQA</t>
  </si>
  <si>
    <t>AAABMAcAAAAJNi8zMC8yMDEzCAAAAAk2LzMwLzIwMTMJAAAAATCYYJiJRCXeCK2QUItEJd4INkNJUS5YT00uSVFfTklfMVlSX0FOTl9HUk9XVEguSVFfTFRNLjYvMzAvMjAxNy5MLi5VU0QuSAEAAABCMwYAAgAAAAcxMS4wMTYxAQgAAAAFAAAAATEBAAAACjE4OTgyNTcyMTIDAAAAAzE2MAIAAAAENDE5OQQAAAABMAcAAAAJNi8zMC8yMDE3CAAAAAk2LzMwLzIwMTcJAAAAATCNoIqJRCXeCCkMaotEJd4INkNJUS5DT1AuSVFfTklfMVlSX0FOTl9HUk9XVEguSVFfTFRNLjYvMzAvMjAyMS5MLi5VU0QuSAEAAABPhgQAAgAAAAgtMTkuNDE2NwEIAAAABQAAAAExAQAAAAstMjA4NjQyMDU4MgMAAAADMTYwAgAAAAQ0MTk5BAAAAAEwBwAAAAk2LzMwLzIwMjEIAAAACTYvMzAvMjAyMQkAAAABMDE4x4pEJd4IkqV+i0Ql3gg2Q0lRLkVPRy5JUV9OSV8xWVJfQU5OX0dST1dUSC5JUV9MVE0uNi8zMC8yMDE4LkwuLlVTRC5IAQAAAFwdBAADAAAAAk5NAQgAAAAFAAAAATEBAAAACjE5NzMzNDIwNzADAAAAAzE2MAIAAAAENDE5OQQAAAABMAcAAAAJNi8zMC8yMDE4CAAAAAk2LzMwLzIwMTgJAAAAATBrUoqJRCXeCLdNcItEJd4INkNJUS5DVlguSVFfTklfMVlSX0FOTl9HUk9XVEguSVFfTFRNLjYvMzAvMjAyMi5MLi5VU0QuSAEAAADKgAEAAgAAAAg3MDkuNzg1MwEIAAAABQAAAAExAQAAAAstMjAyMTQwODQzMQMAAAAD</t>
  </si>
  <si>
    <t>MTYwAgAAAAQ0MTk5BAAAAAEwBwAAAAk2LzMwLzIwMjIIAAAACTYvMzAvMjAyMgkAAAABMAkRx4pEJd4IgWCDi0Ql3gg2Q0lRLkVPRy5JUV9OSV8xWVJfQU5OX0dST1dUSC5JUV9MVE0uNi8zMC8yMDE2LkwuLlVTRC5IAQAAAFwdBAADAAAAAk5NAQgAAAAFAAAAATEBAAAACjE4NTEzMDQ1ODIDAAAAAzE2MAIAAAAENDE5OQQAAAABMAcAAAAJNi8zMC8yMDE2CAAAAAk2LzMwLzIwMTYJAAAAATChx4qJRCXeCGNVY4tEJd4INkNJUS5DVlguSVFfTklfMVlSX0FOTl9HUk9XVEguSVFfTFRNLjYvMzAvMjAxMS5MLi5VU0QuSAEAAADKgAEAAgAAAAczNi40MzY5AQgAAAAFAAAAATEBAAAACjE1NTc0MDUyNzIDAAAAAzE2MAIAAAAENDE5OQQAAAABMAcAAAAJNi8zMC8yMDExCAAAAAk2LzMwLzIwMTEJAAAAATDn5HyJRCXeCHUsR4tEJd4INkNJUS5DT1AuSVFfTklfMVlSX0FOTl9HUk9XVEguSVFfTFRNLjYvMzAvMjAxNS5MLi5VU0QuSAEAAABPhgQAAgAAAActNjkuOTI3AQgAAAAFAAAAATEBAAAACjE4MDE0NDgxMTQDAAAAAzE2MAIAAAAENDE5OQQAAAABMAcAAAAJNi8zMC8yMDE1CAAAAAk2LzMwLzIwMTUJAAAAATDbvXyJRCXeCNgTXYtEJd4IN0NJUS5FT0cuSVFfTklfMVlSX0FOTl9HUk9XVEguSVFfTFRNLjEyLzMxLzIwMjIuTC4uVVNELkgBAAAAXB0EAAIAAAAHNjYuMzU5MwEIAAAABQAAAAExAQAAAAstMTk1</t>
  </si>
  <si>
    <t>Nzk2Njg1NgMAAAADMTYwAgAAAAQ0MTk5BAAAAAEwBwAAAAoxMi8zMS8yMDIyCAAAAAoxMi8zMS8yMDIyCQAAAAEw/unGikQl3ghhg4WLRCXeCDZDSVEuRU9HLklRX05JXzFZUl9BTk5fR1JPV1RILklRX0xUTS45LzMwLzIwMTEuTC4uVVNELkgBAAAAXB0EAAIAAAAIMTAxLjgyOTIBCAAAAAUAAAABMQEAAAAKMTU3NDM5MTQwNwMAAAADMTYwAgAAAAQ0MTk5BAAAAAEwBwAAAAk5LzMwLzIwMTEIAAAACTkvMzAvMjAxMQkAAAABMOfkfIlEJd4IAi9Ii0Ql3gg3Q0lRLkNWWC5JUV9OSV8xWVJfQU5OX0dST1dUSC5JUV9MVE0uMTIvMzEvMjAyNC5MLi5VU0QuSAEAAADKgAEAAgAAAAgtMTcuMzUyMwEIAAAABQAAAAExAQAAAAstMTk1ODc1ODMzNwMAAAADMTYwAgAAAAQ0MTk5BAAAAAEwBwAAAAoxMi8zMS8yMDI0CAAAAAoxMi8zMS8yMDI0CQAAAAEw6iPaikQl3giR/I6LRCXeCDZDSVEuWE9NLklRX05JXzFZUl9BTk5fR1JPV1RILklRX0xUTS45LzMwLzIwMTMuTC4uVVNELkgBAAAAQjMGAAIAAAAILTIyLjg5NjUBCAAAAAUAAAABMQEAAAAKMTcwNDkyNzg5NgMAAAADMTYwAgAAAAQ0MTk5BAAAAAEwBwAAAAk5LzMwLzIwMTMIAAAACTkvMzAvMjAxMwkAAAABMG4riolEJd4IMslRi0Ql3gg3Q0lRLlhPTS5JUV9OSV8xWVJfQU5OX0dST1dUSC5JUV9MVE0uMTIvMzEvMjAwOS5MLi5VU0QuSAEAAABCMwYAAgAAAAct</t>
  </si>
  <si>
    <t>NTcuMzY0AQgAAAAFAAAAATEBAAAACjE1MjM4MDY0NjEDAAAAAzE2MAIAAAAENDE5OQQAAAABMAcAAAAKMTIvMzEvMjAwOQgAAAAKMTIvMzEvMjAwOQkAAAABMAYzfYlEJd4I0cNAi0Ql3gg2Q0lRLlhPTS5JUV9OSV8xWVJfQU5OX0dST1dUSC5JUV9MVE0uMy8zMS8yMDE2LkwuLlVTRC5IAQAAAEIzBgACAAAACC01NC4wOTAzAQgAAAAFAAAAATEBAAAACjE4ODY0NzY4MDMDAAAAAzE2MAIAAAAENDE5OQQAAAABMAcAAAAJMy8zMS8yMDE2CAAAAAkzLzMxLzIwMTYJAAAAATChx4qJRCXeCOccYotEJd4INkNJUS5DT1AuSVFfTklfMVlSX0FOTl9HUk9XVEguSVFfTFRNLjMvMzEvMjAxNy5MLi5VU0QuSAEAAABPhgQAAwAAAAJOTQEIAAAABQAAAAExAQAAAAoxODg2NzMyMTI5AwAAAAMxNjACAAAABDQxOTkEAAAAATAHAAAACTMvMzEvMjAxNwgAAAAJMy8zMS8yMDE3CQAAAAEwjaCKiUQl3ghyXmiLRCXeCDZDSVEuQ09QLklRX05JXzFZUl9BTk5fR1JPV1RILklRX0xUTS4zLzMxLzIwMjAuTC4uVVNELkgBAAAAT4YEAAIAAAAILTQ5Ljc3NzkBCAAAAAUAAAABMQEAAAAKMjA5NjM3ODQ2NgMAAAADMTYwAgAAAAQ0MTk5BAAAAAEwBwAAAAkzLzMxLzIwMjAIAAAACTMvMzEvMjAyMAkAAAABMClfx4pEJd4IHrJ4i0Ql3gg2Q0lRLkNWWC5JUV9OSV8xWVJfQU5OX0dST1dUSC5JUV9MVE0uNi8zMC8yMDI1LkwuLlVTRC5I</t>
  </si>
  <si>
    <t>AQAAAMqAAQACAAAACC0yNi43MzA4AQgAAAAFAAAAATEBAAAACy0xOTE4MDk0NjIyAwAAAAMxNjACAAAABDQxOTkEAAAAATAHAAAACTYvMzAvMjAyNQgAAAAJNi8zMC8yMDI1CQAAAAEw6iPaikQl3gi1u5GLRCXeCDdDSVEuQ09QLklRX05JXzFZUl9BTk5fR1JPV1RILklRX0xUTS4xMi8zMS8yMDEwLkwuLlVTRC5IAQAAAE+GBAACAAAACDE1Ny4zMTc2AQgAAAAFAAAAATEBAAAACjE1ODg0NTMyNjkDAAAAAzE2MAIAAAAENDE5OQQAAAABMAcAAAAKMTIvMzEvMjAxMAgAAAAKMTIvMzEvMjAxMAkAAAABMPULfYlEJd4Id7tEi0Ql3gg2Q0lRLkNWWC5JUV9OSV8xWVJfQU5OX0dST1dUSC5JUV9MVE0uMy8zMS8yMDEyLkwuLlVTRC5IAQAAAMqAAQACAAAABzMxLjI5MTMBCAAAAAUAAAABMQEAAAAKMTYxNTMxNDk5NwMAAAADMTYwAgAAAAQ0MTk5BAAAAAEwBwAAAAkzLzMxLzIwMTIIAAAACTMvMzEvMjAxMgkAAAABMNu9fIlEJd4I27xKi0Ql3gg2Q0lRLlhPTS5JUV9OSV8xWVJfQU5OX0dST1dUSC5JUV9MVE0uMy8zMS8yMDE0LkwuLlVTRC5IAQAAAEIzBgACAAAACC0yOC4zNzc1AQgAAAAFAAAAATEBAAAACjE3MzI5ODQzNDADAAAAAzE2MAIAAAAENDE5OQQAAAABMAcAAAAJMy8zMS8yMDE0CAAAAAkzLzMxLzIwMTQJAAAAATBuK4qJRCXeCGuvVItEJd4INkNJUS5DT1AuSVFfTklfMVlSX0FOTl9HUk9XVEguSVFf</t>
  </si>
  <si>
    <t>TFRNLjMvMzEvMjAxNS5MLi5VU0QuSAEAAABPhgQAAgAAAAgtNDUuMDk4NQEIAAAABQAAAAExAQAAAAoxNzg5MzQ2MzkzAwAAAAMxNjACAAAABDQxOTkEAAAAATAHAAAACTMvMzEvMjAxNQgAAAAJMy8zMS8yMDE1CQAAAAEw2718iUQl3gglZluLRCXeCDZDSVEuQ09QLklRX05JXzFZUl9BTk5fR1JPV1RILklRX0xUTS4zLzMxLzIwMTguTC4uVVNELkgBAAAAT4YEAAMAAAACTk0BCAAAAAUAAAABMQEAAAAKMTk1OTQ3ODkxOQMAAAADMTYwAgAAAAQ0MTk5BAAAAAEwBwAAAAkzLzMxLzIwMTgIAAAACTMvMzEvMjAxOAkAAAABMHp5iolEJd4IIe5ui0Ql3gg2Q0lRLkNPUC5JUV9OSV8xWVJfQU5OX0dST1dUSC5JUV9MVE0uMy8zMS8yMDE2LkwuLlVTRC5IAQAAAE+GBAADAAAAAk5NAQgAAAAFAAAAATEBAAAACjE4NDA0Mjc5NjkDAAAAAzE2MAIAAAAENDE5OQQAAAABMAcAAAAJMy8zMS8yMDE2CAAAAAkzLzMxLzIwMTYJAAAAATChx4qJRCXeCOccYotEJd4INkNJUS5FT0cuSVFfTklfMVlSX0FOTl9HUk9XVEguSVFfTFRNLjMvMzEvMjAxMC5MLi5VU0QuSAEAAABcHQQAAgAAAAgtNzguNTEzOAEIAAAABQAAAAExAQAAAAoxNDUyMTA4NjgyAwAAAAMxNjACAAAABDQxOTkEAAAAATAHAAAACTMvMzEvMjAxMAgAAAAJMy8zMS8yMDEwCQAAAAEwBjN9iUQl3ggwrkGLRCXeCDZDSVEuWE9NLklRX05JXzFZUl9BTk5fR1JP</t>
  </si>
  <si>
    <t>V1RILklRX0xUTS4zLzMxLzIwMTIuTC4uVVNELkgBAAAAQjMGAAIAAAAHMTQuNTA3MwEIAAAABQAAAAExAQAAAAoxNjE1MDQ4MjkyAwAAAAMxNjACAAAABDQxOTkEAAAAATAHAAAACTMvMzEvMjAxMggAAAAJMy8zMS8yMDEyCQAAAAEw2718iUQl3gjbvEqLRCXeCDZDSVEuQ1ZYLklRX05JXzFZUl9BTk5fR1JPV1RILklRX0xUTS42LzMwLzIwMTkuTC4uVVNELkgBAAAAyoABAAIAAAAHMjEuNjQzMgEIAAAABQAAAAExAQAAAAoyMDQ4MzAzNTk1AwAAAAMxNjACAAAABDQxOTkEAAAAATAHAAAACTYvMzAvMjAxOQgAAAAJNi8zMC8yMDE5CQAAAAEwwG98iUQl3gjEVnWLRCXeCDZDSVEuQ1ZYLklRX05JXzFZUl9BTk5fR1JPV1RILklRX0xUTS42LzMwLzIwMTcuTC4uVVNELkgBAAAAyoABAAMAAAACTk0BCAAAAAUAAAABMQEAAAAKMTg5ODM1NDU0MwMAAAADMTYwAgAAAAQ0MTk5BAAAAAEwBwAAAAk2LzMwLzIwMTcIAAAACTYvMzAvMjAxNwkAAAABMI2giolEJd4IKQxqi0Ql3gg2Q0lRLlhPTS5JUV9OSV8xWVJfQU5OX0dST1dUSC5JUV9MVE0uNi8zMC8yMDIxLkwuLlVTRC5IAQAAAEIzBgADAAAAAk5NAQgAAAAFAAAAATEBAAAACy0yMDg2NjA5NjU4AwAAAAMxNjACAAAABDQxOTkEAAAAATAHAAAACTYvMzAvMjAyMQgAAAAJNi8zMC8yMDIxCQAAAAEwMTjHikQl3giSpX6LRCXeCDZDSVEuRU9HLklRX05JXzFZUl9B</t>
  </si>
  <si>
    <t>Tk5fR1JPV1RILklRX0xUTS42LzMwLzIwMjQuTC4uVVNELkgBAAAAXB0EAAIAAAAILTEzLjg5NjkBCAAAAAUAAAABMQEAAAALLTE5MzI3MTE2MzQDAAAAAzE2MAIAAAAENDE5OQQAAAABMAcAAAAJNi8zMC8yMDI0CAAAAAk2LzMwLzIwMjQJAAAAATDlStqKRCXeCJmLjItEJd4INkNJUS5DVlguSVFfTklfMVlSX0FOTl9HUk9XVEguSVFfTFRNLjMvMzEvMjAxMC5MLi5VU0QuSAEAAADKgAEAAgAAAAgtMzUuOTMyMQEIAAAABQAAAAExAQAAAAoxNDUxMjc2OTQzAwAAAAMxNjACAAAABDQxOTkEAAAAATAHAAAACTMvMzEvMjAxMAgAAAAJMy8zMS8yMDEwCQAAAAEwBjN9iUQl3ggwrkGLRCXeCDZDSVEuQ09QLklRX05JXzFZUl9BTk5fR1JPV1RILklRX0xUTS42LzMwLzIwMjMuTC4uVVNELkgBAAAAT4YEAAIAAAAHLTE4Ljc0MwEIAAAABQAAAAExAQAAAAstMTk4NTQzMjk0MAMAAAADMTYwAgAAAAQ0MTk5BAAAAAEwBwAAAAk2LzMwLzIwMjMIAAAACTYvMzAvMjAyMwkAAAABMOVK2opEJd4IXPSHi0Ql3gg2Q0lRLkVPRy5JUV9OSV8xWVJfQU5OX0dST1dUSC5JUV9MVE0uNi8zMC8yMDIwLkwuLlVTRC5IAQAAAFwdBAACAAAACC05MC4xNDE4AQgAAAAFAAAAATEBAAAACy0yMTQwMTE0MTQ3AwAAAAMxNjACAAAABDQxOTkEAAAAATAHAAAACTYvMzAvMjAyMAgAAAAJNi8zMC8yMDIwCQAAAAEwKV/HikQl3giVw3mLRCXe</t>
  </si>
  <si>
    <t>CDZDSVEuQ1ZYLklRX05JXzFZUl9BTk5fR1JPV1RILklRX0xUTS42LzMwLzIwMjQuTC4uVVNELkgBAAAAyoABAAIAAAAILTM3Ljk0NzUBCAAAAAUAAAABMQEAAAALLTE5MTgwOTQ2MzQDAAAAAzE2MAIAAAAENDE5OQQAAAABMAcAAAAJNi8zMC8yMDI0CAAAAAk2LzMwLzIwMjQJAAAAATDlStqKRCXeCJmLjItEJd4INkNJUS5YT00uSVFfTklfMVlSX0FOTl9HUk9XVEguSVFfTFRNLjMvMzEvMjAxMC5MLi5VU0QuSAEAAABCMwYAAgAAAAgtNDUuOTEwNQEIAAAABQAAAAExAQAAAAoxNDUxMjA3Nzk2AwAAAAMxNjACAAAABDQxOTkEAAAAATAHAAAACTMvMzEvMjAxMAgAAAAJMy8zMS8yMDEwCQAAAAEwBjN9iUQl3ggwrkGLRCXeCDZDSVEuWE9NLklRX05JXzFZUl9BTk5fR1JPV1RILklRX0xUTS42LzMwLzIwMTUuTC4uVVNELkgBAAAAQjMGAAIAAAAILTMwLjI5MzMBCAAAAAUAAAABMQEAAAAKMTgwMTYxNzQ3OQMAAAADMTYwAgAAAAQ0MTk5BAAAAAEwBwAAAAk2LzMwLzIwMTUIAAAACTYvMzAvMjAxNQkAAAABMNu9fIlEJd4I2BNdi0Ql3gg2Q0lRLkNPUC5JUV9OSV8xWVJfQU5OX0dST1dUSC5JUV9MVE0uNi8zMC8yMDE5LkwuLlVTRC5IAQAAAE+GBAACAAAABzU3Ljc2NDUBCAAAAAUAAAABMQEAAAAKMjA0ODA5NzY5NQMAAAADMTYwAgAAAAQ0MTk5BAAAAAEwBwAAAAk2LzMwLzIwMTkIAAAACTYvMzAvMjAxOQkA</t>
  </si>
  <si>
    <t>AAABMMBvfIlEJd4Iqy91i0Ql3gg2Q0lRLlhPTS5JUV9OSV8xWVJfQU5OX0dST1dUSC5JUV9MVE0uNi8zMC8yMDEzLkwuLlVTRC5IAQAAAEIzBgACAAAACC0yMC40MjU5AQgAAAAFAAAAATEBAAAACjE2ODk3NzQ4NjcDAAAAAzE2MAIAAAAENDE5OQQAAAABMAcAAAAJNi8zMC8yMDEzCAAAAAk2LzMwLzIwMTMJAAAAATCYYJiJRCXeCKNpUItEJd4INkNJUS5DT1AuSVFfTklfMVlSX0FOTl9HUk9XVEguSVFfTFRNLjYvMzAvMjAxNy5MLi5VU0QuSAEAAABPhgQAAwAAAAJOTQEIAAAABQAAAAExAQAAAAoxODk4MDIzMTU0AwAAAAMxNjACAAAABDQxOTkEAAAAATAHAAAACTYvMzAvMjAxNwgAAAAJNi8zMC8yMDE3CQAAAAEwjaCKiUQl3ggpDGqLRCXeCDZDSVEuQ1ZYLklRX05JXzFZUl9BTk5fR1JPV1RILklRX0xUTS42LzMwLzIwMjAuTC4uVVNELkgBAAAAyoABAAMAAAACTk0BCAAAAAUAAAABMQEAAAALLTIxMzk3OTczMzQDAAAAAzE2MAIAAAAENDE5OQQAAAABMAcAAAAJNi8zMC8yMDIwCAAAAAk2LzMwLzIwMjAJAAAAATApX8eKRCXeCKfqeYtEJd4INkNJUS5DT1AuSVFfTklfMVlSX0FOTl9HUk9XVEguSVFfTFRNLjMvMzEvMjAxMC5MLi5VU0QuSAEAAABPhgQAAwAAAAJOTQEIAAAABQAAAAExAQAAAAoxNDUxMDgyOTk4AwAAAAMxNjACAAAABDQxOTkEAAAAATAHAAAACTMvMzEvMjAxMAgAAAAJMy8zMS8yMDEw</t>
  </si>
  <si>
    <t>CQAAAAEwBjN9iUQl3ggwrkGLRCXeCDZDSVEuRU9HLklRX05JXzFZUl9BTk5fR1JPV1RILklRX0xUTS42LzMwLzIwMTQuTC4uVVNELkgBAAAAXB0EAAIAAAAGMTM5LjgyAQgAAAAFAAAAATEBAAAACjE3NDk3MzQ0MTIDAAAAAzE2MAIAAAAENDE5OQQAAAABMAcAAAAJNi8zMC8yMDE0CAAAAAk2LzMwLzIwMTQJAAAAATBQBIqJRCXeCPUOVotEJd4INkNJUS5DVlguSVFfTklfMVlSX0FOTl9HUk9XVEguSVFfTFRNLjYvMzAvMjAxOC5MLi5VU0QuSAEAAADKgAEAAgAAAAgxMDcuNzE4NgEIAAAABQAAAAExAQAAAAoxOTc0NTI4Mzc2AwAAAAMxNjACAAAABDQxOTkEAAAAATAHAAAACTYvMzAvMjAxOAgAAAAJNi8zMC8yMDE4CQAAAAEwa1KKiUQl3gjgm3CLRCXeCDZDSVEuRU9HLklRX05JXzFZUl9BTk5fR1JPV1RILklRX0xUTS45LzMwLzIwMjQuTC4uVVNELkgBAAAAXB0EAAIAAAAHLTkuNDI1NAEIAAAABQAAAAExAQAAAAstMTkxODE2OTMzMQMAAAADMTYwAgAAAAQ0MTk5BAAAAAEwBwAAAAk5LzMwLzIwMjQIAAAACTkvMzAvMjAyNAkAAAABMOoj2opEJd4IAp2Ni0Ql3gg2Q0lRLkVPRy5JUV9OSV8xWVJfQU5OX0dST1dUSC5JUV9MVE0uOS8zMC8yMDEwLkwuLlVTRC5IAQAAAFwdBAACAAAACC0xNi40OTk3AQgAAAAFAAAAATEBAAAACjE0Nzk3NjE1NDcDAAAAAzE2MAIAAAAENDE5OQQAAAABMAcAAAAJOS8zMC8y</t>
  </si>
  <si>
    <t>MDEwCAAAAAk5LzMwLzIwMTAJAAAAATAGM32JRCXeCPGCQ4tEJd4IN0NJUS5DVlguSVFfTklfMVlSX0FOTl9HUk9XVEguSVFfTFRNLjEyLzMxLzIwMjEuTC4uVVNELkgBAAAAyoABAAMAAAACTk0BCAAAAAUAAAABMQEAAAALLTIwMDg1NTc1MTMDAAAAAzE2MAIAAAAENDE5OQQAAAABMAcAAAAKMTIvMzEvMjAyMQgAAAAKMTIvMzEvMjAyMQkAAAABMAkRx4pEJd4IjRaBi0Ql3gg3Q0lRLkVPRy5JUV9OSV8xWVJfQU5OX0dST1dUSC5JUV9MVE0uMTIvMzEvMjAxOC5MLi5VU0QuSAEAAABcHQQAAgAAAAczMi4zODg1AQgAAAAFAAAAATEBAAAACjIwODE3ODU0MTcDAAAAAzE2MAIAAAAENDE5OQQAAAABMAcAAAAKMTIvMzEvMjAxOAgAAAAKMTIvMzEvMjAxOAkAAAABMGtSiolEJd4Iq75yi0Ql3gg2Q0lRLkNPUC5JUV9OSV8xWVJfQU5OX0dST1dUSC5JUV9MVE0uNi8zMC8yMDEzLkwuLlVTRC5IAQAAAE+GBAACAAAACC0zMy44NzE2AQgAAAAFAAAAATEBAAAACjE2ODk2MDU5OTcDAAAAAzE2MAIAAAAENDE5OQQAAAABMAcAAAAJNi8zMC8yMDEzCAAAAAk2LzMwLzIwMTMJAAAAATCYYJiJRCXeCKNpUItEJd4INkNJUS5DVlguSVFfTklfMVlSX0FOTl9HUk9XVEguSVFfTFRNLjYvMzAvMjAxNi5MLi5VU0QuSAEAAADKgAEAAwAAAAJOTQEIAAAABQAAAAExAQAAAAoxODUxNjk1NjcyAwAAAAMxNjACAAAABDQxOTkEAAAA</t>
  </si>
  <si>
    <t>ATAHAAAACTYvMzAvMjAxNggAAAAJNi8zMC8yMDE2CQAAAAEwoceKiUQl3giHo2OLRCXeCDZDSVEuRU9HLklRX05JXzFZUl9BTk5fR1JPV1RILklRX0xUTS45LzMwLzIwMjIuTC4uVVNELkgBAAAAXB0EAAIAAAAIMTQ3LjU3OTUBCAAAAAUAAAABMQEAAAALLTIwMjEzNzUwMzEDAAAAAzE2MAIAAAAENDE5OQQAAAABMAcAAAAJOS8zMC8yMDIyCAAAAAk5LzMwLzIwMjIJAAAAATD+6caKRCXeCOJKhItEJd4INkNJUS5FT0cuSVFfTklfMVlSX0FOTl9HUk9XVEguSVFfTFRNLjkvMzAvMjAyNS5MLi5VU0QuSAEAAABcHQQAAgAAAAgtMjIuNTQ5MQEIAAAABQAAAAExAQAAAAstMTkxODE2OTMxNQMAAAADMTYwAgAAAAQ0MTk5BAAAAAEwBwAAAAk5LzMwLzIwMjUIAAAACTkvMzAvMjAyNQkAAAABMOoj2opEJd4INPSSi0Ql3gg2Q0lRLlhPTS5JUV9OSV8xWVJfQU5OX0dST1dUSC5JUV9MVE0uNi8zMC8yMDExLkwuLlVTRC5IAQAAAEIzBgACAAAABzUzLjkzNjYBCAAAAAUAAAABMQEAAAAKMTU1NzA3MjM1NAMAAAADMTYwAgAAAAQ0MTk5BAAAAAEwBwAAAAk2LzMwLzIwMTEIAAAACTYvMzAvMjAxMQkAAAABMOfkfIlEJd4IdSxHi0Ql3gg2Q0lRLkVPRy5JUV9OSV8xWVJfQU5OX0dST1dUSC5JUV9MVE0uNi8zMC8yMDEyLkwuLlVTRC5IAQAAAFwdBAACAAAACDIzNS4wMjY5AQgAAAAFAAAAATEBAAAACjE2Mjk1MjEzNzED</t>
  </si>
  <si>
    <t>AAAAAzE2MAIAAAAENDE5OQQAAAABMAcAAAAJNi8zMC8yMDEyCAAAAAk2LzMwLzIwMTIJAAAAATCrh5iJRCXeCEeqS4tEJd4INkNJUS5DVlguSVFfTklfMVlSX0FOTl9HUk9XVEguSVFfTFRNLjYvMzAvMjAxNC5MLi5VU0QuSAEAAADKgAEAAgAAAAgtMTYuNTcxNwEIAAAABQAAAAExAQAAAAoxNzQ4ODY1NDY2AwAAAAMxNjACAAAABDQxOTkEAAAAATAHAAAACTYvMzAvMjAxNAgAAAAJNi8zMC8yMDE0CQAAAAEwUASKiUQl3ggXXVaLRCXeCDZDSVEuRU9HLklRX05JXzFZUl9BTk5fR1JPV1RILklRX0xUTS45LzMwLzIwMjMuTC4uVVNELkgBAAAAXB0EAAIAAAAGNS41NzExAQgAAAAFAAAAATEBAAAACy0xOTcwMjMzMzgxAwAAAAMxNjACAAAABDQxOTkEAAAAATAHAAAACTkvMzAvMjAyMwgAAAAJOS8zMC8yMDIzCQAAAAEw5UraikQl3gjB3oiLRCXeCDZDSVEuQ09QLklRX05JXzFZUl9BTk5fR1JPV1RILklRX0xUTS45LzMwLzIwMjQuTC4uVVNELkgBAAAAT4YEAAIAAAAILTExLjE4ODUBCAAAAAUAAAABMQEAAAALLTE5MTgwNDU0NDEDAAAAAzE2MAIAAAAENDE5OQQAAAABMAcAAAAJOS8zMC8yMDI0CAAAAAk5LzMwLzIwMjQJAAAAATDqI9qKRCXeCAKdjYtEJd4INkNJUS5FT0cuSVFfTklfMVlSX0FOTl9HUk9XVEguSVFfTFRNLjkvMzAvMjAxOC5MLi5VU0QuSAEAAABcHQQAAgAAAAo1MDY5MS40NzQ1AQgAAAAF</t>
  </si>
  <si>
    <t>AAAAATEBAAAACjE5OTA3MzQ4MDkDAAAAAzE2MAIAAAAENDE5OQQAAAABMAcAAAAJOS8zMC8yMDE4CAAAAAk5LzMwLzIwMTgJAAAAATBrUoqJRCXeCEStcYtEJd4INkNJUS5FT0cuSVFfTklfMVlSX0FOTl9HUk9XVEguSVFfTFRNLjkvMzAvMjAyMS5MLi5VU0QuSAEAAABcHQQAAwAAAAJOTQEIAAAABQAAAAExAQAAAAstMjA3MjE3MTczNgMAAAADMTYwAgAAAAQ0MTk5BAAAAAEwBwAAAAk5LzMwLzIwMjEIAAAACTkvMzAvMjAyMQkAAAABMAkRx4pEJd4I/I9/i0Ql3gg2Q0lRLkNPUC5JUV9OSV8xWVJfQU5OX0dST1dUSC5JUV9MVE0uOS8zMC8yMDIyLkwuLlVTRC5IAQAAAE+GBAACAAAACDI4NS44NTQ3AQgAAAAFAAAAATEBAAAACy0yMDIxNDc3MzI2AwAAAAMxNjACAAAABDQxOTkEAAAAATAHAAAACTkvMzAvMjAyMggAAAAJOS8zMC8yMDIyCQAAAAEw/unGikQl3gj8cYSLRCXeCDZDSVEuQ1ZYLklRX05JXzFZUl9BTk5fR1JPV1RILklRX0xUTS45LzMwLzIwMjUuTC4uVVNELkgBAAAAyoABAAIAAAAILTIzLjQ1NzkBCAAAAAUAAAABMQEAAAALLTE5MTgwOTYzMjADAAAAAzE2MAIAAAAENDE5OQQAAAABMAcAAAAJOS8zMC8yMDI1CAAAAAk5LzMwLzIwMjUJAAAAATDa/NmKRCXeCDT0kotEJd4INkNJUS5DVlguSVFfTklfMVlSX0FOTl9HUk9XVEguSVFfTFRNLjYvMzAvMjAxMi5MLi5VU0QuSAEAAADKgAEAAgAA</t>
  </si>
  <si>
    <t>AAcxNS43NjU0AQgAAAAFAAAAATEBAAAACjE2MzAwMTkxMzYDAAAAAzE2MAIAAAAENDE5OQQAAAABMAcAAAAJNi8zMC8yMDEyCAAAAAk2LzMwLzIwMTIJAAAAATCrh5iJRCXeCHXlS4tEJd4INkNJUS5FT0cuSVFfTklfMVlSX0FOTl9HUk9XVEguSVFfTFRNLjkvMzAvMjAxNi5MLi5VU0QuSAEAAABcHQQAAwAAAAJOTQEIAAAABQAAAAExAQAAAAoxODYzNzcwNjQxAwAAAAMxNjACAAAABDQxOTkEAAAAATAHAAAACTkvMzAvMjAxNggAAAAJOS8zMC8yMDE2CQAAAAEwoceKiUQl3ggZA2WLRCXeCDZDSVEuRU9HLklRX05JXzFZUl9BTk5fR1JPV1RILklRX0xUTS45LzMwLzIwMTkuTC4uVVNELkgBAAAAXB0EAAIAAAAILTM5LjY1NDgBCAAAAAUAAAABMQEAAAAKMjA2ODQzMTA1NgMAAAADMTYwAgAAAAQ0MTk5BAAAAAEwBwAAAAk5LzMwLzIwMTkIAAAACTkvMzAvMjAxOQkAAAABMEiGx4pEJd4IHkF2i0Ql3gg2Q0lRLkNWWC5JUV9OSV8xWVJfQU5OX0dST1dUSC5JUV9MVE0uOS8zMC8yMDIzLkwuLlVTRC5IAQAAAMqAAQACAAAACC0yNS40NzQ5AQgAAAAFAAAAATEBAAAACy0xOTcwMTE2MjM2AwAAAAMxNjACAAAABDQxOTkEAAAAATAHAAAACTkvMzAvMjAyMwgAAAAJOS8zMC8yMDIzCQAAAAEw5UraikQl3gjdLImLRCXeCDZDSVEuRU9HLklRX05JXzFZUl9BTk5fR1JPV1RILklRX0xUTS45LzMwLzIwMTQuTC4uVVNE</t>
  </si>
  <si>
    <t>LkgBAAAAXB0EAAIAAAAIMTc0LjM5OTUBCAAAAAUAAAABMQEAAAAKMTc2MzI2NDcwNQMAAAADMTYwAgAAAAQ0MTk5BAAAAAEwBwAAAAk5LzMwLzIwMTQIAAAACTkvMzAvMjAxNAkAAAABMFAEiolEJd4ItuNXi0Ql3gg2Q0lRLkNPUC5JUV9OSV8xWVJfQU5OX0dST1dUSC5JUV9MVE0uOS8zMC8yMDE4LkwuLlVTRC5IAQAAAE+GBAADAAAAAk5NAQgAAAAFAAAAATEBAAAACjE5ODk5MDE4MzQDAAAAAzE2MAIAAAAENDE5OQQAAAABMAcAAAAJOS8zMC8yMDE4CAAAAAk5LzMwLzIwMTgJAAAAATBrUoqJRCXeCFPUcYtEJd4INkNJUS5YT00uSVFfTklfMVlSX0FOTl9HUk9XVEguSVFfTFRNLjkvMzAvMjAyNS5MLi5VU0QuSAEAAABCMwYAAgAAAAgtMTEuMTE4NwEIAAAABQAAAAExAQAAAAstMTkxODY1NTA1NwMAAAADMTYwAgAAAAQ0MTk5BAAAAAEwBwAAAAk5LzMwLzIwMjUIAAAACTkvMzAvMjAyNQkAAAABMNr82YpEJd4IQhuTi0Ql3gg2Q0lRLkNPUC5JUV9OSV8xWVJfQU5OX0dST1dUSC5JUV9MVE0uOS8zMC8yMDE2LkwuLlVTRC5IAQAAAE+GBAADAAAAAk5NAQgAAAAFAAAAATEBAAAACjE4NjM0NjEwNzUDAAAAAzE2MAIAAAAENDE5OQQAAAABMAcAAAAJOS8zMC8yMDE2CAAAAAk5LzMwLzIwMTYJAAAAATChx4qJRCXeCCYqZYtEJd4INkNJUS5DT1AuSVFfTklfMVlSX0FOTl9HUk9XVEguSVFfTFRNLjkvMzAvMjAx</t>
  </si>
  <si>
    <t>NC5MLi5VU0QuSAEAAABPhgQAAgAAAAcxNi4wNTkyAQgAAAAFAAAAATEBAAAACjE3NjI2MDg3NTgDAAAAAzE2MAIAAAAENDE5OQQAAAABMAcAAAAJOS8zMC8yMDE0CAAAAAk5LzMwLzIwMTQJAAAAATBQBIqJRCXeCNQxWItEJd4IN0NJUS5FT0cuSVFfTklfMVlSX0FOTl9HUk9XVEguSVFfTFRNLjEyLzMxLzIwMjQuTC4uVVNELkgBAAAAXB0EAAIAAAAILTE1LjY4MzUBCAAAAAUAAAABMQEAAAALLTE5NTc5NjY4NTADAAAAAzE2MAIAAAAENDE5OQQAAAABMAcAAAAKMTIvMzEvMjAyNAgAAAAKMTIvMzEvMjAyNAkAAAABMOoj2opEJd4IkfyOi0Ql3gg2Q0lRLkNWWC5JUV9OSV8xWVJfQU5OX0dST1dUSC5JUV9MVE0uOS8zMC8yMDEzLkwuLlVTRC5IAQAAAMqAAQACAAAABy0xLjMyNjEBCAAAAAUAAAABMQEAAAAKMTcwNTI2NDAwOQMAAAADMTYwAgAAAAQ0MTk5BAAAAAEwBwAAAAk5LzMwLzIwMTMIAAAACTkvMzAvMjAxMwkAAAABMG4riolEJd4IMslRi0Ql3gg2Q0lRLlhPTS5JUV9OSV8xWVJfQU5OX0dST1dUSC5JUV9MVE0uOS8zMC8yMDE3LkwuLlVTRC5IAQAAAEIzBgACAAAABzQ1LjUyNTcBCAAAAAUAAAABMQEAAAAKMTkyMDAxODUzMAMAAAADMTYwAgAAAAQ0MTk5BAAAAAEwBwAAAAk5LzMwLzIwMTcIAAAACTkvMzAvMjAxNwkAAAABMHp5iolEJd4I3Llri0Ql3gg3Q0lRLkNWWC5JUV9OSV8xWVJfQU5OX0dS</t>
  </si>
  <si>
    <t>T1dUSC5JUV9MVE0uMTIvMzEvMjAyMy5MLi5VU0QuSAEAAADKgAEAAgAAAAgtMzkuNzQ2MwEIAAAABQAAAAExAQAAAAstMTk1ODc1Nzc5NQMAAAADMTYwAgAAAAQ0MTk5BAAAAAEwBwAAAAoxMi8zMS8yMDIzCAAAAAoxMi8zMS8yMDIzCQAAAAEw5UraikQl3ghVPoqLRCXeCDZDSVEuWE9NLklRX05JXzFZUl9BTk5fR1JPV1RILklRX0xUTS45LzMwLzIwMTUuTC4uVVNELkgBAAAAQjMGAAIAAAAILTQxLjg2NTkBCAAAAAUAAAABMQEAAAAKMTgxNjIyMTk2NgMAAAADMTYwAgAAAAQ0MTk5BAAAAAEwBwAAAAk5LzMwLzIwMTUIAAAACTkvMzAvMjAxNQkAAAABMMiWfIlEJd4Id5pei0Ql3gg3Q0lRLkVPRy5JUV9OSV8xWVJfQU5OX0dST1dUSC5JUV9MVE0uMTIvMzEvMjAyMC5MLi5VU0QuSAEAAABcHQQAAwAAAAJOTQEIAAAABQAAAAExAQAAAAstMjA1OTg0MTM0NwMAAAADMTYwAgAAAAQ0MTk5BAAAAAEwBwAAAAoxMi8zMS8yMDIwCAAAAAoxMi8zMS8yMDIwCQAAAAEwMTjHikQl3giKNHyLRCXeCDdDSVEuQ1ZYLklRX05JXzFZUl9BTk5fR1JPV1RILklRX0xUTS4xMi8zMS8yMDE5LkwuLlVTRC5IAQAAAMqAAQACAAAACC04MC4yNzUzAQgAAAAFAAAAATEBAAAACy0yMTEwODgyODI2AwAAAAMxNjACAAAABDQxOTkEAAAAATAHAAAACjEyLzMxLzIwMTkIAAAACjEyLzMxLzIwMTkJAAAAATApX8eKRCXeCLegd4tEJd4I</t>
  </si>
  <si>
    <t>NkNJUS5FT0cuSVFfTklfMVlSX0FOTl9HUk9XVEguSVFfTFRNLjkvMzAvMjAyMC5MLi5VU0QuSAEAAABcHQQAAwAAAAJOTQEIAAAABQAAAAExAQAAAAstMjEyMzgzMTc2OAMAAAADMTYwAgAAAAQ0MTk5BAAAAAEwBwAAAAk5LzMwLzIwMjAIAAAACTkvMzAvMjAyMAkAAAABMClfx4pEJd4IJCN7i0Ql3gg2Q0lRLkNPUC5JUV9OSV8xWVJfQU5OX0dST1dUSC5JUV9MVE0uNi8zMC8yMDExLkwuLlVTRC5IAQAAAE+GBAACAAAABzI3LjgyNTIBCAAAAAUAAAABMQEAAAAKMTU1NzAzNzQ3NAMAAAADMTYwAgAAAAQ0MTk5BAAAAAEwBwAAAAk2LzMwLzIwMTEIAAAACTYvMzAvMjAxMQkAAAABMOfkfIlEJd4IdSxHi0Ql3gg2Q0lRLkNPUC5JUV9OSV8xWVJfQU5OX0dST1dUSC5JUV9MVE0uOS8zMC8yMDIwLkwuLlVTRC5IAQAAAE+GBAADAAAAAk5NAQgAAAAFAAAAATEBAAAACy0yMTIzNTc1OTc4AwAAAAMxNjACAAAABDQxOTkEAAAAATAHAAAACTkvMzAvMjAyMAgAAAAJOS8zMC8yMDIwCQAAAAEwKV/HikQl3ggxSnuLRCXeCDZDSVEuRU9HLklRX05JXzFZUl9BTk5fR1JPV1RILklRX0xUTS45LzMwLzIwMTcuTC4uVVNELkgBAAAAXB0EAAMAAAACTk0BCAAAAAUAAAABMQEAAAAKMTkxNzcyNDg2NAMAAAADMTYwAgAAAAQ0MTk5BAAAAAEwBwAAAAk5LzMwLzIwMTcIAAAACTkvMzAvMjAxNwkAAAABMHp5iolEJd4ItWtri0Ql</t>
  </si>
  <si>
    <t>3gg2Q0lRLkNWWC5JUV9OSV8xWVJfQU5OX0dST1dUSC5JUV9MVE0uOS8zMC8yMDIxLkwuLlVTRC5IAQAAAMqAAQADAAAAAk5NAQgAAAAFAAAAATEBAAAACy0yMDcyMTIyMDQwAwAAAAMxNjACAAAABDQxOTkEAAAAATAHAAAACTkvMzAvMjAyMQgAAAAJOS8zMC8yMDIxCQAAAAEwCRHHikQl3ggQ3n+LRCXeCDZDSVEuRU9HLklRX05JXzFZUl9BTk5fR1JPV1RILklRX0xUTS42LzMwLzIwMTAuTC4uVVNELkgBAAAAXB0EAAIAAAAHLTczLjAyOQEIAAAABQAAAAExAQAAAAoxNDY1MDE0MDcxAwAAAAMxNjACAAAABDQxOTkEAAAAATAHAAAACTYvMzAvMjAxMAgAAAAJNi8zMC8yMDEwCQAAAAEwBjN9iUQl3giAcUKLRCXeCDZDSVEuRU9HLklRX05JXzFZUl9BTk5fR1JPV1RILklRX0xUTS45LzMwLzIwMTUuTC4uVVNELkgBAAAAXB0EAAMAAAACTk0BCAAAAAUAAAABMQEAAAAKMTgxNjAxNzI4OQMAAAADMTYwAgAAAAQ0MTk5BAAAAAEwBwAAAAk5LzMwLzIwMTUIAAAACTkvMzAvMjAxNQkAAAABMMiWfIlEJd4IWExei0Ql3gg2Q0lRLkNWWC5JUV9OSV8xWVJfQU5OX0dST1dUSC5JUV9MVE0uOS8zMC8yMDE5LkwuLlVTRC5IAQAAAMqAAQACAAAABy02LjYyNDUBCAAAAAUAAAABMQEAAAAKMjA2ODUzODg4NAMAAAADMTYwAgAAAAQ0MTk5BAAAAAEwBwAAAAk5LzMwLzIwMTkIAAAACTkvMzAvMjAxOQkAAAABMEiGx4pEJd4I</t>
  </si>
  <si>
    <t>MWh2i0Ql3gg2Q0lRLlhPTS5JUV9OSV8xWVJfQU5OX0dST1dUSC5JUV9MVE0uOS8zMC8yMDIzLkwuLlVTRC5IAQAAAEIzBgACAAAACC0yMC42OTA0AQgAAAAFAAAAATEBAAAACy0xOTcwNjQxNjQxAwAAAAMxNjACAAAABDQxOTkEAAAAATAHAAAACTkvMzAvMjAyMwgAAAAJOS8zMC8yMDIzCQAAAAEw5UraikQl3gjdLImLRCXeCDZDSVEuRU9HLklRX05JXzFZUl9BTk5fR1JPV1RILklRX0xUTS45LzMwLzIwMTIuTC4uVVNELkgBAAAAXB0EAAIAAAAHMTYuNzgzMwEIAAAABQAAAAExAQAAAAoxNjQzODQ2MTEyAwAAAAMxNjACAAAABDQxOTkEAAAAATAHAAAACTkvMzAvMjAxMggAAAAJOS8zMC8yMDEyCQAAAAEwq4eYiUQl3gglwEyLRCXeCDZDSVEuRU9HLklRX05JXzFZUl9BTk5fR1JPV1RILklRX0xUTS45LzMwLzIwMTMuTC4uVVNELkgBAAAAXB0EAAIAAAAHLTcuMDI4NgEIAAAABQAAAAExAQAAAAoxNzA0NjMwNTcxAwAAAAMxNjACAAAABDQxOTkEAAAAATAHAAAACTkvMzAvMjAxMwgAAAAJOS8zMC8yMDEzCQAAAAEwbiuKiUQl3ggOe1GLRCXeCDZDSVEuQ1ZYLklRX05JXzFZUl9BTk5fR1JPV1RILklRX0xUTS45LzMwLzIwMTcuTC4uVVNELkgBAAAAyoABAAMAAAACTk0BCAAAAAUAAAABMQEAAAAKMTkyMDUzNTY5OAMAAAADMTYwAgAAAAQ0MTk5BAAAAAEwBwAAAAk5LzMwLzIwMTcIAAAACTkvMzAvMjAxNwkA</t>
  </si>
  <si>
    <t>AAABMHp5iolEJd4I3Llri0Ql3gg2Q0lRLlhPTS5JUV9OSV8xWVJfQU5OX0dST1dUSC5JUV9MVE0uOS8zMC8yMDIxLkwuLlVTRC5IAQAAAEIzBgADAAAAAk5NAQgAAAAFAAAAATEBAAAACy0yMDcyMzM3MTg4AwAAAAMxNjACAAAABDQxOTkEAAAAATAHAAAACTkvMzAvMjAyMQgAAAAJOS8zMC8yMDIxCQAAAAEwCRHHikQl3gj/tn+LRCXeCDZDSVEuQ1ZYLklRX05JXzFZUl9BTk5fR1JPV1RILklRX0xUTS42LzMwLzIwMTAuTC4uVVNELkgBAAAAyoABAAIAAAAGMy4wMDU0AQgAAAAFAAAAATEBAAAACjE0NjQ4NTc1NzEDAAAAAzE2MAIAAAAENDE5OQQAAAABMAcAAAAJNi8zMC8yMDEwCAAAAAk2LzMwLzIwMTAJAAAAATAGM32JRCXeCIBxQotEJd4INkNJUS5DVlguSVFfTklfMVlSX0FOTl9HUk9XVEguSVFfTFRNLjkvMzAvMjAxNS5MLi5VU0QuSAEAAADKgAEAAgAAAAgtNTguMjMxOQEIAAAABQAAAAExAQAAAAoxODE2MjMwNDE2AwAAAAMxNjACAAAABDQxOTkEAAAAATAHAAAACTkvMzAvMjAxNQgAAAAJOS8zMC8yMDE1CQAAAAEwyJZ8iUQl3gh3ml6LRCXeCDZDSVEuWE9NLklRX05JXzFZUl9BTk5fR1JPV1RILklRX0xUTS45LzMwLzIwMTkuTC4uVVNELkgBAAAAQjMGAAIAAAAILTM2LjkwNzkBCAAAAAUAAAABMQEAAAAKMjA2ODI3MzE3MAMAAAADMTYwAgAAAAQ0MTk5BAAAAAEwBwAAAAk5LzMwLzIwMTkIAAAA</t>
  </si>
  <si>
    <t>CTkvMzAvMjAxOQkAAAABMEiGx4pEJd4IMWh2i0Ql3gg2Q0lRLkNPUC5JUV9OSV8xWVJfQU5OX0dST1dUSC5JUV9MVE0uOS8zMC8yMDIzLkwuLlVTRC5IAQAAAE+GBAACAAAACC0zNy45ODMyAQgAAAAFAAAAATEBAAAACy0xOTcxMDQ2NzAzAwAAAAMxNjACAAAABDQxOTkEAAAAATAHAAAACTkvMzAvMjAyMwgAAAAJOS8zMC8yMDIzCQAAAAEw5UraikQl3gjdLImLRCXeCDZDSVEuQ09QLklRX05JXzFZUl9BTk5fR1JPV1RILklRX0xUTS45LzMwLzIwMTIuTC4uVVNELkgBAAAAT4YEAAIAAAAHLTYuMjY4NwEIAAAABQAAAAExAQAAAAoxNjQzNDgwOTE2AwAAAAMxNjACAAAABDQxOTkEAAAAATAHAAAACTkvMzAvMjAxMggAAAAJOS8zMC8yMDEyCQAAAAEwq4eYiUQl3gg/Dk2LRCXeCDZDSVEuQ09QLklRX05JXzFZUl9BTk5fR1JPV1RILklRX0xUTS45LzMwLzIwMjEuTC4uVVNELkgBAAAAT4YEAAMAAAACTk0BCAAAAAUAAAABMQEAAAALLTIwNzE5MzMzODEDAAAAAzE2MAIAAAAENDE5OQQAAAABMAcAAAAJOS8zMC8yMDIxCAAAAAk5LzMwLzIwMjEJAAAAATAJEceKRCXeCP+2f4tEJd4INkNJUS5DT1AuSVFfTklfMVlSX0FOTl9HUk9XVEguSVFfTFRNLjkvMzAvMjAxOS5MLi5VU0QuSAEAAABPhgQAAgAAAAYzOS42OTUBCAAAAAUAAAABMQEAAAAKMjA2ODE0NTkzMQMAAAADMTYwAgAAAAQ0MTk5BAAAAAEwBwAAAAk5</t>
  </si>
  <si>
    <t>LzMwLzIwMTkIAAAACTkvMzAvMjAxOQkAAAABMEiGx4pEJd4IMWh2i0Ql3gg2Q0lRLkNPUC5JUV9OSV8xWVJfQU5OX0dST1dUSC5JUV9MVE0uOS8zMC8yMDE3LkwuLlVTRC5IAQAAAE+GBAADAAAAAk5NAQgAAAAFAAAAATEBAAAACjE5MTczMTk3NDADAAAAAzE2MAIAAAAENDE5OQQAAAABMAcAAAAJOS8zMC8yMDE3CAAAAAk5LzMwLzIwMTcJAAAAATB6eYqJRCXeCNy5a4tEJd4IN0NJUS5DVlguSVFfTklfMVlSX0FOTl9HUk9XVEguSVFfTFRNLjEyLzMxLzIwMTQuTC4uVVNELkgBAAAAyoABAAIAAAAILTEwLjE4NTQBCAAAAAUAAAABMQEAAAAKMTgyOTA4ODk0MgMAAAADMTYwAgAAAAQ0MTk5BAAAAAEwBwAAAAoxMi8zMS8yMDE0CAAAAAoxMi8zMS8yMDE0CQAAAAEwGVp9iUQl3gh0uFmLRCXeCDZDSVEuWE9NLklRX05JXzFZUl9BTk5fR1JPV1RILklRX0xUTS45LzMwLzIwMTEuTC4uVVNELkgBAAAAQjMGAAIAAAAHNTAuMDczMwEIAAAABQAAAAExAQAAAAoxNTc0NzU3MDU2AwAAAAMxNjACAAAABDQxOTkEAAAAATAHAAAACTkvMzAvMjAxMQgAAAAJOS8zMC8yMDExCQAAAAEw5+R8iUQl3ghKakiLRCXeCDZDSVEuRU9HLklRX05JXzFZUl9BTk5fR1JPV1RILklRX0xUTS4zLzMxLzIwMTguTC4uVVNELkgBAAAAXB0EAAMAAAACTk0BCAAAAAUAAAABMQEAAAAKMTk1OTE1NzY3NAMAAAADMTYwAgAAAAQ0MTk5BAAA</t>
  </si>
  <si>
    <t>AAEwBwAAAAkzLzMxLzIwMTgIAAAACTMvMzEvMjAxOAkAAAABMHp5iolEJd4INMdui0Ql3gg2Q0lRLlhPTS5JUV9OSV8xWVJfQU5OX0dST1dUSC5JUV9MVE0uMy8zMS8yMDI0LkwuLlVTRC5IAQAAAEIzBgACAAAABy00Ni44MzEBCAAAAAUAAAABMQEAAAALLTE5NDYxNTc5MjIDAAAAAzE2MAIAAAAENDE5OQQAAAABMAcAAAAJMy8zMS8yMDI0CAAAAAkzLzMxLzIwMjQJAAAAATDlStqKRCXeCCN6i4tEJd4IN0NJUS5YT00uSVFfTklfMVlSX0FOTl9HUk9XVEguSVFfTFRNLjEyLzMxLzIwMTQuTC4uVVNELkgBAAAAQjMGAAIAAAAHLTAuMTg0MgEIAAAABQAAAAExAQAAAAoxODI4OTA0ODcwAwAAAAMxNjACAAAABDQxOTkEAAAAATAHAAAACjEyLzMxLzIwMTQIAAAACjEyLzMxLzIwMTQJAAAAATAZWn2JRCXeCHS4WYtEJd4INkNJUS5DT1AuSVFfTklfMVlSX0FOTl9HUk9XVEguSVFfTFRNLjMvMzEvMjAyMS5MLi5VU0QuSAEAAABPhgQAAgAAAAgtOTkuNDQ3MQEIAAAABQAAAAExAQAAAAstMjA5ODQ2NjgwMAMAAAADMTYwAgAAAAQ0MTk5BAAAAAEwBwAAAAkzLzMxLzIwMjEIAAAACTMvMzEvMjAyMQkAAAABMDE4x4pEJd4II5R9i0Ql3gg2Q0lRLkNPUC5JUV9OSV8xWVJfQU5OX0dST1dUSC5JUV9MVE0uOS8zMC8yMDExLkwuLlVTRC5IAQAAAE+GBAACAAAABjQuNTc0NgEIAAAABQAAAAExAQAAAAoxNTczNzU5NDE5</t>
  </si>
  <si>
    <t>AwAAAAMxNjACAAAABDQxOTkEAAAAATAHAAAACTkvMzAvMjAxMQgAAAAJOS8zMC8yMDExCQAAAAEw5+R8iUQl3ghKakiLRCXeCDZDSVEuQ1ZYLklRX05JXzFZUl9BTk5fR1JPV1RILklRX0xUTS4zLzMxLzIwMTguTC4uVVNELkgBAAAAyoABAAIAAAAIMjQ4LjgzMTYBCAAAAAUAAAABMQEAAAAKMTk1OTQ5MDgxOAMAAAADMTYwAgAAAAQ0MTk5BAAAAAEwBwAAAAkzLzMxLzIwMTgIAAAACTMvMzEvMjAxOAkAAAABMHp5iolEJd4IQhVvi0Ql3gg2Q0lRLkNPUC5JUV9OSV8xWVJfQU5OX0dST1dUSC5JUV9MVE0uMy8zMS8yMDI0LkwuLlVTRC5IAQAAAE+GBAACAAAACC0zMy4xNjA4AQgAAAAFAAAAATEBAAAACy0xOTQ0OTQ2MjA2AwAAAAMxNjACAAAABDQxOTkEAAAAATAHAAAACTMvMzEvMjAyNAgAAAAJMy8zMS8yMDI0CQAAAAEw5UraikQl3ggYU4uLRCXeCDdDSVEuQ09QLklRX05JXzFZUl9BTk5fR1JPV1RILklRX0xUTS4xMi8zMS8yMDE0LkwuLlVTRC5IAQAAAE+GBAACAAAACC0yNC45NzgyAQgAAAAFAAAAATEBAAAACjE4Mjg2ODgwNTcDAAAAAzE2MAIAAAAENDE5OQQAAAABMAcAAAAKMTIvMzEvMjAxNAgAAAAKMTIvMzEvMjAxNAkAAAABMBlafYlEJd4IdLhZi0Ql3gg3Q0lRLlhPTS5JUV9OSV8xWVJfQU5OX0dST1dUSC5JUV9MVE0uMTIvMzEvMjAyMS5MLi5VU0QuSAEAAABCMwYAAwAAAAJOTQEIAAAABQAA</t>
  </si>
  <si>
    <t>AAExAQAAAAstMjAwNzgzMjcwOQMAAAADMTYwAgAAAAQ0MTk5BAAAAAEwBwAAAAoxMi8zMS8yMDIxCAAAAAoxMi8zMS8yMDIxCQAAAAEwCRHHikQl3giNFoGLRCXeCDdDSVEuWE9NLklRX05JXzFZUl9BTk5fR1JPV1RILklRX0xUTS4xMi8zMS8yMDExLkwuLlVTRC5IAQAAAEIzBgACAAAABzM0Ljc5OTcBCAAAAAUAAAABMQEAAAAKMTY2MDQ3Mjg1MQMAAAADMTYwAgAAAAQ0MTk5BAAAAAEwBwAAAAoxMi8zMS8yMDExCAAAAAoxMi8zMS8yMDExCQAAAAEw5+R8iUQl3gg1k0mLRCXeCDdDSVEuWE9NLklRX05JXzFZUl9BTk5fR1JPV1RILklRX0xUTS4xMi8zMS8yMDI0LkwuLlVTRC5IAQAAAEIzBgACAAAABy02LjQ3MDUBCAAAAAUAAAABMQEAAAALLTE5NTg5NTM2NDQDAAAAAzE2MAIAAAAENDE5OQQAAAABMAcAAAAKMTIvMzEvMjAyNAgAAAAKMTIvMzEvMjAyNAkAAAABMOoj2opEJd4IkfyOi0Ql3gg3Q0lRLkNWWC5JUV9OSV8xWVJfQU5OX0dST1dUSC5JUV9MVE0uMTIvMzEvMjAxOC5MLi5VU0QuSAEAAADKgAEAAgAAAAY2MS4yMTgBCAAAAAUAAAABMQEAAAAKMjA4MTk4MDI0MgMAAAADMTYwAgAAAAQ0MTk5BAAAAAEwBwAAAAoxMi8zMS8yMDE4CAAAAAoxMi8zMS8yMDE4CQAAAAEwa1KKiUQl3gjE5XKLRCXeCDZDSVEuQ09QLklRX05JXzFZUl9BTk5fR1JPV1RILklRX0xUTS45LzMwLzIwMTUuTC4uVVNELkgB</t>
  </si>
  <si>
    <t>AAAAT4YEAAMAAAACTk0BCAAAAAUAAAABMQEAAAAKMTgxNTc3Njk0NAMAAAADMTYwAgAAAAQ0MTk5BAAAAAEwBwAAAAk5LzMwLzIwMTUIAAAACTkvMzAvMjAxNQkAAAABMMiWfIlEJd4Id5pei0Ql3gg3Q0lRLkNPUC5JUV9OSV8xWVJfQU5OX0dST1dUSC5JUV9MVE0uMTIvMzEvMjAyNC5MLi5VU0QuSAEAAABPhgQAAgAAAAgtMTUuNjI0OAEIAAAABQAAAAExAQAAAAstMTk1OTIwMjE3MQMAAAADMTYwAgAAAAQ0MTk5BAAAAAEwBwAAAAoxMi8zMS8yMDI0CAAAAAoxMi8zMS8yMDI0CQAAAAEw6iPaikQl3giR/I6LRCXeCDdDSVEuWE9NLklRX05JXzFZUl9BTk5fR1JPV1RILklRX0xUTS4xMi8zMS8yMDE4LkwuLlVTRC5IAQAAAEIzBgACAAAABjUuNzMzMQEIAAAABQAAAAExAQAAAAoyMDgxNzQ2NTU2AwAAAAMxNjACAAAABDQxOTkEAAAAATAHAAAACjEyLzMxLzIwMTgIAAAACjEyLzMxLzIwMTgJAAAAATBrUoqJRCXeCMTlcotEJd4IN0NJUS5YT00uSVFfTklfMVlSX0FOTl9HUk9XVEguSVFfTFRNLjEyLzMxLzIwMTUuTC4uVVNELkgBAAAAQjMGAAIAAAAILTUwLjMzODMBCAAAAAUAAAABMQEAAAAKMTg3NzIzMzYwMAMAAAADMTYwAgAAAAQ0MTk5BAAAAAEwBwAAAAoxMi8zMS8yMDE1CAAAAAoxMi8zMS8yMDE1CQAAAAEwpu6KiUQl3gg5b2CLRCXeCDZDSVEuQ1ZYLklRX05JXzFZUl9BTk5fR1JPV1RILklRX0xU</t>
  </si>
  <si>
    <t>TS4zLzMxLzIwMjIuTC4uVVNELkgBAAAAyoABAAMAAAACTk0BCAAAAAUAAAABMQEAAAALLTIwMzU3MDY3NjQDAAAAAzE2MAIAAAAENDE5OQQAAAABMAcAAAAJMy8zMS8yMDIyCAAAAAkzLzMxLzIwMjIJAAAAATAJEceKRCXeCAIogotEJd4INkNJUS5YT00uSVFfTklfMVlSX0FOTl9HUk9XVEguSVFfTFRNLjMvMzEvMjAyMi5MLi5VU0QuSAEAAABCMwYAAwAAAAJOTQEIAAAABQAAAAExAQAAAAstMjA0Nzg5MDU1NwMAAAADMTYwAgAAAAQ0MTk5BAAAAAEwBwAAAAkzLzMxLzIwMjIIAAAACTMvMzEvMjAyMgkAAAABMAkRx4pEJd4IAiiCi0Ql3gg2Q0lRLkVPRy5JUV9OSV8xWVJfQU5OX0dST1dUSC5JUV9MVE0uMy8zMS8yMDE2LkwuLlVTRC5IAQAAAFwdBAADAAAAAk5NAQgAAAAFAAAAATEBAAAACjE4NDA5NjQ0ODcDAAAAAzE2MAIAAAAENDE5OQQAAAABMAcAAAAJMy8zMS8yMDE2CAAAAAkzLzMxLzIwMTYJAAAAATChx4qJRCXeCMrOYYtEJd4IN0NJUS5DVlguSVFfTklfMVlSX0FOTl9HUk9XVEguSVFfTFRNLjEyLzMxLzIwMjIuTC4uVVNELkgBAAAAyoABAAIAAAAHMTI2Ljk3NgEIAAAABQAAAAExAQAAAAstMTk1ODc1ODAzMQMAAAADMTYwAgAAAAQ0MTk5BAAAAAEwBwAAAAoxMi8zMS8yMDIyCAAAAAoxMi8zMS8yMDIyCQAAAAEw/unGikQl3ghrqoWLRCXeCDdDSVEuWE9NLklRX05JXzFZUl9BTk5fR1JPV1RI</t>
  </si>
  <si>
    <t>LklRX0xUTS4xMi8zMS8yMDEyLkwuLlVTRC5IAQAAAEIzBgACAAAABjkuMzAzNAEIAAAABQAAAAExAQAAAAoxNzIwNzYzMDg3AwAAAAMxNjACAAAABDQxOTkEAAAAATAHAAAACjEyLzMxLzIwMTIIAAAACjEyLzMxLzIwMTIJAAAAATCrh5iJRCXeCLUfTotEJd4IN0NJUS5YT00uSVFfTklfMVlSX0FOTl9HUk9XVEguSVFfTFRNLjEyLzMxLzIwMTkuTC4uVVNELkgBAAAAQjMGAAIAAAAILTMxLjE5MDEBCAAAAAUAAAABMQEAAAALLTIxMTEwNzM4MjADAAAAAzE2MAIAAAAENDE5OQQAAAABMAcAAAAKMTIvMzEvMjAxOQgAAAAKMTIvMzEvMjAxOQkAAAABMClfx4pEJd4It6B3i0Ql3gg3Q0lRLkNPUC5JUV9OSV8xWVJfQU5OX0dST1dUSC5JUV9MVE0uMTIvMzEvMjAxMi5MLi5VU0QuSAEAAABPhgQAAgAAAAgtMzIuMjI5MQEIAAAABQAAAAExAQAAAAoxNzIwNTg0NDkyAwAAAAMxNjACAAAABDQxOTkEAAAAATAHAAAACjEyLzMxLzIwMTIIAAAACjEyLzMxLzIwMTIJAAAAATCrh5iJRCXeCLUfTotEJd4IN0NJUS5DT1AuSVFfTklfMVlSX0FOTl9HUk9XVEguSVFfTFRNLjEyLzMxLzIwMjIuTC4uVVNELkgBAAAAT4YEAAIAAAAIMTMxLjIxNjcBCAAAAAUAAAABMQEAAAALLTE5NTkyMDIxNzgDAAAAAzE2MAIAAAAENDE5OQQAAAABMAcAAAAKMTIvMzEvMjAyMggAAAAKMTIvMzEvMjAyMgkAAAABMP7pxopEJd4Ia6qFi0Ql</t>
  </si>
  <si>
    <t>3gg3Q0lRLkNWWC5JUV9OSV8xWVJfQU5OX0dST1dUSC5JUV9MVE0uMTIvMzEvMjAxNi5MLi5VU0QuSAEAAADKgAEAAwAAAAJOTQEIAAAABQAAAAExAQAAAAoxOTQ2NjgzODgyAwAAAAMxNjACAAAABDQxOTkEAAAAATAHAAAACjEyLzMxLzIwMTYIAAAACjEyLzMxLzIwMTYJAAAAATCNoIqJRCXeCPP+ZotEJd4INkNJUS5FT0cuSVFfTklfMVlSX0FOTl9HUk9XVEguSVFfTFRNLjMvMzEvMjAyMC5MLi5VU0QuSAEAAABcHQQAAgAAAAgtMzguMjQ0OAEIAAAABQAAAAExAQAAAAoyMDk2MDUwNTkwAwAAAAMxNjACAAAABDQxOTkEAAAAATAHAAAACTMvMzEvMjAyMAgAAAAJMy8zMS8yMDIwCQAAAAEwKV/HikQl3ggRi3iLRCXeCDZDSVEuQ09QLklRX05JXzFZUl9BTk5fR1JPV1RILklRX0xUTS45LzMwLzIwMTAuTC4uVVNELkgBAAAAT4YEAAMAAAACTk0BCAAAAAUAAAABMQEAAAAKMTQ3OTc2MTg2OQMAAAADMTYwAgAAAAQ0MTk5BAAAAAEwBwAAAAk5LzMwLzIwMTAIAAAACTkvMzAvMjAxMAkAAAABMAYzfYlEJd4IBqpDi0Ql3gg3Q0lRLlhPTS5JUV9OSV8xWVJfQU5OX0dST1dUSC5JUV9MVE0uMTIvMzEvMjAxNi5MLi5VU0QuSAEAAABCMwYAAgAAAAgtNTEuNDU1MgEIAAAABQAAAAExAQAAAAoxOTQ3NDA0NjU0AwAAAAMxNjACAAAABDQxOTkEAAAAATAHAAAACjEyLzMxLzIwMTYIAAAACjEyLzMxLzIwMTYJAAAAATCN</t>
  </si>
  <si>
    <t>oIqJRCXeCPP+ZotEJd4INkNJUS5DT1AuSVFfTklfMVlSX0FOTl9HUk9XVEguSVFfTFRNLjMvMzEvMjAyMy5MLi5VU0QuSAEAAABPhgQAAgAAAAcyMy4yMTg3AQgAAAAFAAAAATEBAAAACy0xOTg1NDMyODUzAwAAAAMxNjACAAAABDQxOTkEAAAAATAHAAAACTMvMzEvMjAyMwgAAAAJMy8zMS8yMDIzCQAAAAEw5UraikQl3gjdu4aLRCXeCDZDSVEuWE9NLklRX05JXzFZUl9BTk5fR1JPV1RILklRX0xUTS4zLzMxLzIwMjAuTC4uVVNELkgBAAAAQjMGAAIAAAAILTM4LjYxOTMBCAAAAAUAAAABMQEAAAAKMjA5NTY5ODU2MgMAAAADMTYwAgAAAAQ0MTk5BAAAAAEwBwAAAAkzLzMxLzIwMjAIAAAACTMvMzEvMjAyMAkAAAABMClfx4pEJd4IHrJ4i0Ql3gg3Q0lRLkNWWC5JUV9OSV8xWVJfQU5OX0dST1dUSC5JUV9MVE0uMTIvMzEvMjAyMC5MLi5VU0QuSAEAAADKgAEAAwAAAAJOTQEIAAAABQAAAAExAQAAAAstMjA1OTc2ODIyOAMAAAADMTYwAgAAAAQ0MTk5BAAAAAEwBwAAAAoxMi8zMS8yMDIwCAAAAAoxMi8zMS8yMDIwCQAAAAEwMTjHikQl3gi9gnyLRCXeCDZDSVEuRU9HLklRX05JXzFZUl9BTk5fR1JPV1RILklRX0xUTS4zLzMxLzIwMTQuTC4uVVNELkgBAAAAXB0EAAIAAAAIMjE4LjkzNzYBCAAAAAUAAAABMQEAAAAKMTczMzMyMTcxMQMAAAADMTYwAgAAAAQ0MTk5BAAAAAEwBwAAAAkzLzMxLzIwMTQIAAAA</t>
  </si>
  <si>
    <t>CTMvMzEvMjAxNAkAAAABMG4riolEJd4IUmFUi0Ql3gg3Q0lRLkNWWC5JUV9OSV8xWVJfQU5OX0dST1dUSC5JUV9MVE0uMTIvMzEvMjAxNy5MLi5VU0QuSAEAAADKgAEAAwAAAAJOTQEIAAAABQAAAAExAQAAAAoyMDE2MzQ5ODkwAwAAAAMxNjACAAAABDQxOTkEAAAAATAHAAAACjEyLzMxLzIwMTcIAAAACjEyLzMxLzIwMTcJAAAAATB6eYqJRCXeCHVAbYtEJd4IN0NJUS5YT00uSVFfTklfMVlSX0FOTl9HUk9XVEguSVFfTFRNLjEyLzMxLzIwMTcuTC4uVVNELkgBAAAAQjMGAAIAAAAHMTUxLjQwMwEIAAAABQAAAAExAQAAAAoyMDE3MzgxMTQxAwAAAAMxNjACAAAABDQxOTkEAAAAATAHAAAACjEyLzMxLzIwMTcIAAAACjEyLzMxLzIwMTcJAAAAATB6eYqJRCXeCHVAbYtEJd4INkNJUS5FT0cuSVFfTklfMVlSX0FOTl9HUk9XVEguSVFfTFRNLjMvMzEvMjAyNC5MLi5VU0QuSAEAAABcHQQAAgAAAAgtMjEuNjM1NQEIAAAABQAAAAExAQAAAAstMTk0Njk4NjQ2MAMAAAADMTYwAgAAAAQ0MTk5BAAAAAEwBwAAAAkzLzMxLzIwMjQIAAAACTMvMzEvMjAyNAkAAAABMOVK2opEJd4II3qLi0Ql3gg2Q0lRLkNWWC5JUV9OSV8xWVJfQU5OX0dST1dUSC5JUV9MVE0uOS8zMC8yMDExLkwuLlVTRC5IAQAAAMqAAQACAAAABzYxLjEyMjYBCAAAAAUAAAABMQEAAAAKMTU3NDc1NjQzNwMAAAADMTYwAgAAAAQ0MTk5BAAAAAEw</t>
  </si>
  <si>
    <t>BwAAAAk5LzMwLzIwMTEIAAAACTkvMzAvMjAxMQkAAAABMOfkfIlEJd4ISmpIi0Ql3gg3Q0lRLkNWWC5JUV9OSV8xWVJfQU5OX0dST1dUSC5JUV9MVE0uMTIvMzEvMjAxNS5MLi5VU0QuSAEAAADKgAEAAgAAAAgtNzYuMTYwMwEIAAAABQAAAAExAQAAAAoxODc1Njc2MjM0AwAAAAMxNjACAAAABDQxOTkEAAAAATAHAAAACjEyLzMxLzIwMTUIAAAACjEyLzMxLzIwMTUJAAAAATCm7oqJRCXeCDlvYItEJd4INkNJUS5FT0cuSVFfTklfMVlSX0FOTl9HUk9XVEguSVFfTFRNLjMvMzEvMjAyMi5MLi5VU0QuSAEAAABcHQQAAgAAAAk2OTU5LjY3NzQBCAAAAAUAAAABMQEAAAALLTIwNDc0NzM2MDADAAAAAzE2MAIAAAAENDE5OQQAAAABMAcAAAAJMy8zMS8yMDIyCAAAAAkzLzMxLzIwMjIJAAAAATAJEceKRCXeCNvZgYtEJd4IN0NJUS5DT1AuSVFfTklfMVlSX0FOTl9HUk9XVEguSVFfTFRNLjEyLzMxLzIwMTguTC4uVVNELkgBAAAAT4YEAAMAAAACTk0BCAAAAAUAAAABMQEAAAAKMjA4MDU3NDQ2OAMAAAADMTYwAgAAAAQ0MTk5BAAAAAEwBwAAAAoxMi8zMS8yMDE4CAAAAAoxMi8zMS8yMDE4CQAAAAEwa1KKiUQl3gjE5XKLRCXeCDdDSVEuRU9HLklRX05JXzFZUl9BTk5fR1JPV1RILklRX0xUTS4xMi8zMS8yMDEyLkwuLlVTRC5IAQAAAFwdBAACAAAACC00Ny43MzQ3AQgAAAAFAAAAATEBAAAACjE3MjAzNDU4ODUD</t>
  </si>
  <si>
    <t>AAAAAzE2MAIAAAAENDE5OQQAAAABMAcAAAAKMTIvMzEvMjAxMggAAAAKMTIvMzEvMjAxMgkAAAABMKuHmIlEJd4In/hNi0Ql3gg2Q0lRLkNPUC5JUV9OSV8xWVJfQU5OX0dST1dUSC5JUV9MVE0uMy8zMS8yMDI1LkwuLlVTRC5IAQAAAE+GBAACAAAABy05Ljg2OTcBCAAAAAUAAAABMQEAAAALLTE5NDQ5NDYxNzYDAAAAAzE2MAIAAAAENDE5OQQAAAABMAcAAAAJMy8zMS8yMDI1CAAAAAkzLzMxLzIwMjUJAAAAATDqI9qKRCXeCDJckItEJd4IN0NJUS5DVlguSVFfTklfMVlSX0FOTl9HUk9XVEguSVFfTFRNLjEyLzMxLzIwMTIuTC4uVVNELkgBAAAAyoABAAIAAAAHLTIuNjYyMwEIAAAABQAAAAExAQAAAAoxNzIwMDM5NTIyAwAAAAMxNjACAAAABDQxOTkEAAAAATAHAAAACjEyLzMxLzIwMTIIAAAACjEyLzMxLzIwMTIJAAAAATCrh5iJRCXeCLUfTotEJd4INkNJUS5DVlguSVFfTklfMVlSX0FOTl9HUk9XVEguSVFfTFRNLjMvMzEvMjAxNi5MLi5VU0QuSAEAAADKgAEAAgAAAAgtOTIuNTEyOAEIAAAABQAAAAExAQAAAAoxODQwMzkzODIxAwAAAAMxNjACAAAABDQxOTkEAAAAATAHAAAACTMvMzEvMjAxNggAAAAJMy8zMS8yMDE2CQAAAAEwoceKiUQl3gjnHGKLRCXeCDdDSVEuWE9NLklRX05JXzFZUl9BTk5fR1JPV1RILklRX0xUTS4xMi8zMS8yMDIyLkwuLlVTRC5IAQAAAEIzBgACAAAABzE0MS45MjcBCAAA</t>
  </si>
  <si>
    <t>AAUAAAABMQEAAAALLTE5NTg5NTM1OTgDAAAAAzE2MAIAAAAENDE5OQQAAAABMAcAAAAKMTIvMzEvMjAyMggAAAAKMTIvMzEvMjAyMgkAAAABMP7pxopEJd4Ia6qFi0Ql3gg3Q0lRLkVPRy5JUV9OSV8xWVJfQU5OX0dST1dUSC5JUV9MVE0uMTIvMzEvMjAxNi5MLi5VU0QuSAEAAABcHQQAAwAAAAJOTQEIAAAABQAAAAExAQAAAAoxOTQ3MTA2NjQwAwAAAAMxNjACAAAABDQxOTkEAAAAATAHAAAACjEyLzMxLzIwMTYIAAAACjEyLzMxLzIwMTYJAAAAATCNoIqJRCXeCM2wZotEJd4INkNJUS5DT1AuSVFfTklfMVlSX0FOTl9HUk9XVEguSVFfTFRNLjkvMzAvMjAxMy5MLi5VU0QuSAEAAABPhgQAAgAAAAgtMjIuMTAzNgEIAAAABQAAAAExAQAAAAoxNzA0NzkzMjM2AwAAAAMxNjACAAAABDQxOTkEAAAAATAHAAAACTkvMzAvMjAxMwgAAAAJOS8zMC8yMDEzCQAAAAEwbiuKiUQl3ggyyVGLRCXeCDdDSVEuQ1ZYLklRX05JXzFZUl9BTk5fR1JPV1RILklRX0xUTS4xMi8zMS8yMDEzLkwuLlVTRC5IAQAAAMqAAQACAAAACC0xOC4xNjczAQgAAAAFAAAAATEBAAAACjE3Nzc5NzM0OTQDAAAAAzE2MAIAAAAENDE5OQQAAAABMAcAAAAKMTIvMzEvMjAxMwgAAAAKMTIvMzEvMjAxMwkAAAABMG4riolEJd4ItgFTi0Ql3gg2Q0lRLkNWWC5JUV9OSV8xWVJfQU5OX0dST1dUSC5JUV9MVE0uMy8zMS8yMDIwLkwuLlVTRC5IAQAA</t>
  </si>
  <si>
    <t>AMqAAQACAAAACC03MS45OTg2AQgAAAAFAAAAATEBAAAACjIwOTYwODYxNzQDAAAAAzE2MAIAAAAENDE5OQQAAAABMAcAAAAJMy8zMS8yMDIwCAAAAAkzLzMxLzIwMjAJAAAAATApX8eKRCXeCB6yeItEJd4IN0NJUS5YT00uSVFfTklfMVlSX0FOTl9HUk9XVEguSVFfTFRNLjEyLzMxLzIwMTMuTC4uVVNELkgBAAAAQjMGAAIAAAAILTI3LjQwNjUBCAAAAAUAAAABMQEAAAAKMTc3NzYzNDg2OQMAAAADMTYwAgAAAAQ0MTk5BAAAAAEwBwAAAAoxMi8zMS8yMDEzCAAAAAoxMi8zMS8yMDEzCQAAAAEwbiuKiUQl3gi2AVOLRCXeCDdDSVEuQ09QLklRX05JXzFZUl9BTk5fR1JPV1RILklRX0xUTS4xMi8zMS8yMDE2LkwuLlVTRC5IAQAAAE+GBAADAAAAAk5NAQgAAAAFAAAAATEBAAAACjE5NDYwMDU3NDQDAAAAAzE2MAIAAAAENDE5OQQAAAABMAcAAAAKMTIvMzEvMjAxNggAAAAKMTIvMzEvMjAxNgkAAAABMI2giolEJd4I8/5mi0Ql3gg3Q0lRLlhPTS5JUV9OSV8xWVJfQU5OX0dST1dUSC5JUV9MVE0uMTIvMzEvMjAyMy5MLi5VU0QuSAEAAABCMwYAAgAAAAgtMzUuMzk2NQEIAAAABQAAAAExAQAAAAstMTk1ODk1MzYxMAMAAAADMTYwAgAAAAQ0MTk5BAAAAAEwBwAAAAoxMi8zMS8yMDIzCAAAAAoxMi8zMS8yMDIzCQAAAAEw5UraikQl3ghVPoqLRCXeCDdDSVEuRU9HLklRX05JXzFZUl9BTk5fR1JPV1RILklRX0xU</t>
  </si>
  <si>
    <t>TS4xMi8zMS8yMDEwLkwuLlVTRC5IAQAAAFwdBAACAAAABi03MC42MQEIAAAABQAAAAExAQAAAAoxNTg4ODQ2MzQyAwAAAAMxNjACAAAABDQxOTkEAAAAATAHAAAACjEyLzMxLzIwMTAIAAAACjEyLzMxLzIwMTAJAAAAATD1C32JRCXeCGiURItEJd4IN0NJUS5YT00uSVFfTklfMVlSX0FOTl9HUk9XVEguSVFfTFRNLjEyLzMxLzIwMjAuTC4uVVNELkgBAAAAQjMGAAMAAAACTk0BCAAAAAUAAAABMQEAAAALLTIwNTk5MTUyMTUDAAAAAzE2MAIAAAAENDE5OQQAAAABMAcAAAAKMTIvMzEvMjAyMAgAAAAKMTIvMzEvMjAyMAkAAAABMDE4x4pEJd4Io1t8i0Ql3gg3Q0lRLkNWWC5JUV9OSV8xWVJfQU5OX0dST1dUSC5JUV9MVE0uMTIvMzEvMjAxMC5MLi5VU0QuSAEAAADKgAEAAgAAAAc4MS40NzQ3AQgAAAAFAAAAATEBAAAACjE1ODg4NDY0NDADAAAAAzE2MAIAAAAENDE5OQQAAAABMAcAAAAKMTIvMzEvMjAxMAgAAAAKMTIvMzEvMjAxMAkAAAABMPULfYlEJd4IhOJEi0Ql3gg3Q0lRLkNPUC5JUV9OSV8xWVJfQU5OX0dST1dUSC5JUV9MVE0uMTIvMzEvMjAyMC5MLi5VU0QuSAEAAABPhgQAAwAAAAJOTQEIAAAABQAAAAExAQAAAAstMjA2MDYxMTg3MgMAAAADMTYwAgAAAAQ0MTk5BAAAAAEwBwAAAAoxMi8zMS8yMDIwCAAAAAoxMi8zMS8yMDIwCQAAAAEwMTjHikQl3gijW3yLRCXeCDdDSVEuRU9HLklRX05JXzFZ</t>
  </si>
  <si>
    <t>Ul9BTk5fR1JPV1RILklRX0xUTS4xMi8zMS8yMDE0LkwuLlVTRC5IAQAAAFwdBAACAAAABzMyLjY5NjUBCAAAAAUAAAABMQEAAAAKMTgyOTQ1MDcyNAMAAAADMTYwAgAAAAQ0MTk5BAAAAAEwBwAAAAoxMi8zMS8yMDE0CAAAAAoxMi8zMS8yMDE0CQAAAAEwGVp9iUQl3ghValmLRCXeCDZDSVEuQ1ZYLklRX05JXzFZUl9BTk5fR1JPV1RILklRX0xUTS4zLzMxLzIwMjQuTC4uVVNELkgBAAAAyoABAAIAAAAILTQzLjI3NTYBCAAAAAUAAAABMQEAAAALLTE5MzI1OTA0NTcDAAAAAzE2MAIAAAAENDE5OQQAAAABMAcAAAAJMy8zMS8yMDI0CAAAAAkzLzMxLzIwMjQJAAAAATDlStqKRCXeCCN6i4tEJd4IKkNJUS5DT1AuSVFfRUJJVERBLklRX0NRLjkvMzAvMjAyNS5MLi5VU0QuSAEAAABPhgQAAgAAAAQ1OTQyAQgAAAAFAAAAATEBAAAACy0xOTE4MDQ4MTQ1AwAAAAMxNjACAAAABDQwNTEEAAAAATAHAAAACTkvMzAvMjAyNQgAAAAJOS8zMC8yMDI1CQAAAAEw6iPaikQl3gg09JKLRCXeCCpDSVEuRU9HLklRX0VCSVREQS5JUV9DUS45LzMwLzIwMjUuTC4uVVNELkgBAAAAXB0EAAIAAAAEMzA5NAEIAAAABQAAAAExAQAAAAstMTkxODE3MTAzNQMAAAADMTYwAgAAAAQ0MDUxBAAAAAEwBwAAAAk5LzMwLzIwMjUIAAAACTkvMzAvMjAyNQkAAAABMOoj2opEJd4IKM2Si0Ql3ggqQ0lRLkNWWC5JUV9FQklUREEuSVFfQ1Eu</t>
  </si>
  <si>
    <t>OS8zMC8yMDI1LkwuLlVTRC5IAQAAAMqAAQACAAAABTEwNTg0AQgAAAAFAAAAATEBAAAACy0xOTE4MDk4MDU5AwAAAAMxNjACAAAABDQwNTEEAAAAATAHAAAACTkvMzAvMjAyNQgAAAAJOS8zMC8yMDI1CQAAAAEw6iPaikQl3gg09JKLRCXeCCpDSVEuWE9NLklRX0VCSVREQS5JUV9DUS45LzMwLzIwMjUuTC4uVVNELkgBAAAAQjMGAAIAAAAFMTU2ODkBCAAAAAUAAAABMQEAAAALLTE5MTg2NzUzMzIDAAAAAzE2MAIAAAAENDA1MQQAAAABMAcAAAAJOS8zMC8yMDI1CAAAAAk5LzMwLzIwMjUJAAAAATDqI9qKRCXeCDT0kotEJd4IKkNJUS5DT1AuSVFfRUJJVERBLklRX0NRLjYvMzAvMjAyNS5MLi5VU0QuSAEAAABPhgQAAgAAAAQ1NjgxAQgAAAAFAAAAATEBAAAACy0xOTMyODU4ODU5AwAAAAMxNjACAAAABDQwNTEEAAAAATAHAAAACTYvMzAvMjAyNQgAAAAJNi8zMC8yMDI1CQAAAAEw6iPaikQl3gillJGLRCXeCCpDSVEuQ1ZYLklRX0VCSVREQS5JUV9DUS4zLzMxLzIwMjQuTC4uVVNELkgBAAAAyoABAAIAAAAFMTA2NDMBCAAAAAUAAAABMQEAAAALLTE5MzI1OTA0NTkDAAAAAzE2MAIAAAAENDA1MQQAAAABMAcAAAAJMy8zMS8yMDI0CAAAAAkzLzMxLzIwMjQJAAAAATDqI9qKRCXeCAMOkItEJd4IKkNJUS5DT1AuSVFfRUJJVERBLklRX0NRLjYvMzAvMjAyMy5MLi5VU0QuSAEAAABPhgQAAgAAAAQ1MzkzAQgA</t>
  </si>
  <si>
    <t>AAAFAAAAATEBAAAACy0xOTg1NDM1NTczAwAAAAMxNjACAAAABDQwNTEEAAAAATAHAAAACTYvMzAvMjAyMwgAAAAJNi8zMC8yMDIzCQAAAAEw5UraikQl3giBZIyLRCXeCCpDSVEuQ1ZYLklRX0VCSVREQS5JUV9DUS4zLzMxLzIwMjIuTC4uVVNELkgBAAAAyoABAAIAAAAFMTAyOTMBCAAAAAUAAAABMQEAAAALLTIwMzU3MDY3NjkDAAAAAzE2MAIAAAAENDA1MQQAAAABMAcAAAAJMy8zMS8yMDIyCAAAAAkzLzMxLzIwMjIJAAAAATDlStqKRCXeCN27hotEJd4IKkNJUS5DT1AuSVFfRUJJVERBLklRX0NRLjYvMzAvMjAyMS5MLi5VU0QuSAEAAABPhgQAAgAAAAQ0NjYxAQgAAAAFAAAAATEBAAAACy0yMDg2NDIzMzE1AwAAAAMxNjACAAAABDQwNTEEAAAAATAHAAAACTYvMzAvMjAyMQgAAAAJNi8zMC8yMDIxCQAAAAEwCRHHikQl3ghiEoOLRCXeCCpDSVEuQ1ZYLklRX0VCSVREQS5JUV9DUS4zLzMxLzIwMjAuTC4uVVNELkgBAAAAyoABAAIAAAAENjc5OQEIAAAABQAAAAExAQAAAAoyMDk2MDg1OTIyAwAAAAMxNjACAAAABDQwNTEEAAAAATAHAAAACTMvMzEvMjAyMAgAAAAJMy8zMS8yMDIwCQAAAAEwMTjHikQl3ggMbX2LRCXeCCpDSVEuQ09QLklRX0VCSVREQS5JUV9DUS42LzMwLzIwMTkuTC4uVVNELkgBAAAAT4YEAAIAAAAEMzU0NAEIAAAABQAAAAExAQAAAAoyMDQ4MDk3MjU5AwAAAAMxNjACAAAABDQwNTEE</t>
  </si>
  <si>
    <t>AAAAATAHAAAACTYvMzAvMjAxOQgAAAAJNi8zMC8yMDE5CQAAAAEwKV/HikQl3giVw3mLRCXeCCpDSVEuQ1ZYLklRX0VCSVREQS5JUV9DUS4zLzMxLzIwMTguTC4uVVNELkgBAAAAyoABAAIAAAAENzcyNQEIAAAABQAAAAExAQAAAAoxOTU5NDg5NjAxAwAAAAMxNjACAAAABDQwNTEEAAAAATAHAAAACTMvMzEvMjAxOAgAAAAJMy8zMS8yMDE4CQAAAAEw9Qt9iUQl3ggo93OLRCXeCCpDSVEuQ09QLklRX0VCSVREQS5JUV9DUS42LzMwLzIwMTcuTC4uVVNELkgBAAAAT4YEAAIAAAAEMjE5NQEIAAAABQAAAAExAQAAAAoxODk4MDIyOTkwAwAAAAMxNjACAAAABDQwNTEEAAAAATAHAAAACTYvMzAvMjAxNwgAAAAJNi8zMC8yMDE3CQAAAAEwa1KKiUQl3gjedHCLRCXeCCpDSVEuQ1ZYLklRX0VCSVREQS5JUV9DUS4zLzMxLzIwMTYuTC4uVVNELkgBAAAAyoABAAIAAAAEMjIwOAEIAAAABQAAAAExAQAAAAoxODQwMzkwNTE0AwAAAAMxNjACAAAABDQwNTEEAAAAATAHAAAACTMvMzEvMjAxNggAAAAJMy8zMS8yMDE2CQAAAAEwjaCKiUQl3ghyXmiLRCXeCCpDSVEuQ09QLklRX0VCSVREQS5JUV9DUS42LzMwLzIwMTUuTC4uVVNELkgBAAAAT4YEAAIAAAAEMjY1NgEIAAAABQAAAAExAQAAAAoxODAxNDQ3ODMyAwAAAAMxNjACAAAABDQwNTEEAAAAATAHAAAACTYvMzAvMjAxNQgAAAAJNi8zMC8yMDE1CQAAAAEwoceKiUQl</t>
  </si>
  <si>
    <t>3giJfGOLRCXeCCpDSVEuQ1ZYLklRX0VCSVREQS5JUV9DUS4zLzMxLzIwMTQuTC4uVVNELkgBAAAAyoABAAIAAAAEOTc0OAEIAAAABQAAAAExAQAAAAoxNzMyOTQ1NzkzAwAAAAMxNjACAAAABDQwNTEEAAAAATAHAAAACTMvMzEvMjAxNAgAAAAJMy8zMS8yMDE0CQAAAAEw2718iUQl3ggZP1uLRCXeCCpDSVEuQ09QLklRX0VCSVREQS5JUV9DUS42LzMwLzIwMTMuTC4uVVNELkgBAAAAT4YEAAIAAAAENTY3MQEIAAAABQAAAAExAQAAAAoxNjg5NTk3OTk1AwAAAAMxNjACAAAABDQwNTEEAAAAATAHAAAACTYvMzAvMjAxMwgAAAAJNi8zMC8yMDEzCQAAAAEwUASKiUQl3gj1DlaLRCXeCCpDSVEuQ1ZYLklRX0VCSVREQS5JUV9DUS4zLzMxLzIwMTIuTC4uVVNELkgBAAAAyoABAAIAAAAFMTM0NzABCAAAAAUAAAABMQEAAAAKMTYxNTMwMjM5MAMAAAADMTYwAgAAAAQ0MDUxBAAAAAEwBwAAAAkzLzMxLzIwMTIIAAAACTMvMzEvMjAxMgkAAAABMJhgmIlEJd4IITFPi0Ql3ggqQ0lRLkNPUC5JUV9FQklUREEuSVFfQ1EuNi8zMC8yMDExLkwuLlVTRC5IAQAAAE+GBAACAAAABDY0MDQBCAAAAAUAAAABMQEAAAAKMTU1NzAyNjI5MgMAAAADMTYwAgAAAAQ0MDUxBAAAAAEwBwAAAAk2LzMwLzIwMTEIAAAACTYvMzAvMjAxMQkAAAABMKuHmIlEJd4IR6pLi0Ql3ggqQ0lRLkNWWC5JUV9FQklUREEuSVFfQ1EuMy8zMS8yMDEw</t>
  </si>
  <si>
    <t>LkwuLlVTRC5IAQAAAMqAAQACAAAABDkzMTQBCAAAAAUAAAABMQEAAAAKMTQ1MTI2MjU3MAMAAAADMTYwAgAAAAQ0MDUxBAAAAAEwBwAAAAkzLzMxLzIwMTAIAAAACTMvMzEvMjAxMAkAAAABMPULfYlEJd4I+fNFi0Ql3ggqQ0lRLkVPRy5JUV9FQklUREEuSVFfQ1EuMy8zMS8yMDIwLkwuLlVTRC5IAQAAAFwdBAACAAAABDI2MTUBCAAAAAUAAAABMQEAAAAKMjA5NjA1MDA0OAMAAAADMTYwAgAAAAQ0MDUxBAAAAAEwBwAAAAkzLzMxLzIwMjAIAAAACTMvMzEvMjAyMAkAAAABMDE4x4pEJd4IDG19i0Ql3ggqQ0lRLkVPRy5JUV9FQklUREEuSVFfQ1EuMy8zMS8yMDE4LkwuLlVTRC5IAQAAAFwdBAACAAAACDE3MDIuNzU3AQgAAAAFAAAAATEBAAAACjE5NTkxNTY5MTcDAAAAAzE2MAIAAAAENDA1MQQAAAABMAcAAAAJMy8zMS8yMDE4CAAAAAkzLzMxLzIwMTgJAAAAATD1C32JRCXeCDwedItEJd4IKkNJUS5YT00uSVFfRUJJVERBLklRX0NRLjYvMzAvMjAxNy5MLi5VU0QuSAEAAABCMwYAAgAAAAQ2OTE1AQgAAAAFAAAAATEBAAAACjE4OTgyNTU4NTcDAAAAAzE2MAIAAAAENDA1MQQAAAABMAcAAAAJNi8zMC8yMDE3CAAAAAk2LzMwLzIwMTcJAAAAATBrUoqJRCXeCN50cItEJd4IKkNJUS5YT00uSVFfRUJJVERBLklRX0NRLjYvMzAvMjAxNS5MLi5VU0QuSAEAAABCMwYAAgAAAAQ4NzM3AQgAAAAFAAAAATEBAAAA</t>
  </si>
  <si>
    <t>CjE4MDE2MTY4ODADAAAAAzE2MAIAAAAENDA1MQQAAAABMAcAAAAJNi8zMC8yMDE1CAAAAAk2LzMwLzIwMTUJAAAAATChx4qJRCXeCIl8Y4tEJd4IKkNJUS5FT0cuSVFfRUJJVERBLklRX0NRLjMvMzEvMjAyNC5MLi5VU0QuSAEAAABcHQQAAgAAAAQzMzM4AQgAAAAFAAAAATEBAAAACy0xOTQ2OTg3MjA5AwAAAAMxNjACAAAABDQwNTEEAAAAATAHAAAACTMvMzEvMjAyNAgAAAAJMy8zMS8yMDI0CQAAAAEw6iPaikQl3ggDDpCLRCXeCCpDSVEuWE9NLklRX0VCSVREQS5JUV9DUS42LzMwLzIwMTkuTC4uVVNELkgBAAAAQjMGAAIAAAAEODEyMAEIAAAABQAAAAExAQAAAAoyMDQ4MzAzNTc0AwAAAAMxNjACAAAABDQwNTEEAAAAATAHAAAACTYvMzAvMjAxOQgAAAAJNi8zMC8yMDE5CQAAAAEwKV/HikQl3giVw3mLRCXeCCpDSVEuRU9HLklRX0VCSVREQS5JUV9DUS4zLzMxLzIwMTYuTC4uVVNELkgBAAAAXB0EAAIAAAAGMzUzLjIyAQgAAAAFAAAAATEBAAAACjE4NDA5NjMxNzkDAAAAAzE2MAIAAAAENDA1MQQAAAABMAcAAAAJMy8zMS8yMDE2CAAAAAkzLzMxLzIwMTYJAAAAATCNoIqJRCXeCHJeaItEJd4IKkNJUS5YT00uSVFfRUJJVERBLklRX0NRLjYvMzAvMjAyNS5MLi5VU0QuSAEAAABCMwYAAgAAAAUxNDkyMgEIAAAABQAAAAExAQAAAAstMTkzMzQ0NDExMAMAAAADMTYwAgAAAAQ0MDUxBAAAAAEwBwAAAAk2</t>
  </si>
  <si>
    <t>LzMwLzIwMjUIAAAACTYvMzAvMjAyNQkAAAABMOoj2opEJd4IpZSRi0Ql3ggqQ0lRLlhPTS5JUV9FQklUREEuSVFfQ1EuNi8zMC8yMDIzLkwuLlVTRC5IAQAAAEIzBgACAAAABTEzNDg5AQgAAAAFAAAAATEBAAAACy0xOTE5MjM0NjcyAwAAAAMxNjACAAAABDQwNTEEAAAAATAHAAAACTYvMzAvMjAyMwgAAAAJNi8zMC8yMDIzCQAAAAEw5UraikQl3giBZIyLRCXeCCpDSVEuRU9HLklRX0VCSVREQS5JUV9DUS4zLzMxLzIwMjIuTC4uVVNELkgBAAAAXB0EAAIAAAAEMTQyMwEIAAAABQAAAAExAQAAAAstMjA0NzQ3MzY3MQMAAAADMTYwAgAAAAQ0MDUxBAAAAAEwBwAAAAkzLzMxLzIwMjIIAAAACTMvMzEvMjAyMgkAAAABMOVK2opEJd4I3buGi0Ql3ggqQ0lRLlhPTS5JUV9FQklUREEuSVFfQ1EuNi8zMC8yMDIxLkwuLlVTRC5IAQAAAEIzBgACAAAABTEwMDc3AQgAAAAFAAAAATEBAAAACy0yMDg2NjE1MDI5AwAAAAMxNjACAAAABDQwNTEEAAAAATAHAAAACTYvMzAvMjAyMQgAAAAJNi8zMC8yMDIxCQAAAAEwCRHHikQl3ghzOYOLRCXeCCpDSVEuRU9HLklRX0VCSVREQS5JUV9DUS4zLzMxLzIwMTQuTC4uVVNELkgBAAAAXB0EAAIAAAAIMjEzMi42MzMBCAAAAAUAAAABMQEAAAAKMTczMzMxMjg2NAMAAAADMTYwAgAAAAQ0MDUxBAAAAAEwBwAAAAkzLzMxLzIwMTQIAAAACTMvMzEvMjAxNAkAAAABMNu9fIlEJd4I</t>
  </si>
  <si>
    <t>GT9bi0Ql3ggqQ0lRLlhPTS5JUV9FQklUREEuSVFfQ1EuNi8zMC8yMDEzLkwuLlVTRC5IAQAAAEIzBgACAAAABTEzNjQyAQgAAAAFAAAAATEBAAAACjE2ODk3NjM5NjgDAAAAAzE2MAIAAAAENDA1MQQAAAABMAcAAAAJNi8zMC8yMDEzCAAAAAk2LzMwLzIwMTMJAAAAATBQBIqJRCXeCPUOVotEJd4IKkNJUS5FT0cuSVFfRUJJVERBLklRX0NRLjMvMzEvMjAxMi5MLi5VU0QuSAEAAABcHQQAAgAAAAgxMzc0LjE5NAEIAAAABQAAAAExAQAAAAoxNjE2MTkwNDk3AwAAAAMxNjACAAAABDQwNTEEAAAAATAHAAAACTMvMzEvMjAxMggAAAAJMy8zMS8yMDEyCQAAAAEwmGCYiUQl3gghMU+LRCXeCCpDSVEuWE9NLklRX0VCSVREQS5JUV9DUS42LzMwLzIwMTEuTC4uVVNELkgBAAAAQjMGAAIAAAAFMTg0NTMBCAAAAAUAAAABMQEAAAAKMTU1NzA3MjIzNwMAAAADMTYwAgAAAAQ0MDUxBAAAAAEwBwAAAAk2LzMwLzIwMTEIAAAACTYvMzAvMjAxMQkAAAABMKuHmIlEJd4IR6pLi0Ql3ggqQ0lRLkVPRy5JUV9FQklUREEuSVFfQ1EuMy8zMS8yMDEwLkwuLlVTRC5IAQAAAFwdBAACAAAABzcyMi4wNzkBCAAAAAUAAAABMQEAAAAKMTQ1MjA5ODk4NgMAAAADMTYwAgAAAAQ0MDUxBAAAAAEwBwAAAAkzLzMxLzIwMTAIAAAACTMvMzEvMjAxMAkAAAABMPULfYlEJd4I+fNFi0Ql3ggqQ0lRLkNPUC5JUV9FQklUREEuSVFfQ1EuOS8z</t>
  </si>
  <si>
    <t>MC8yMDE0LkwuLlVTRC5IAQAAAE+GBAACAAAABDUwNzMBCAAAAAUAAAABMQEAAAAKMTc2MjYwMjM2NAMAAAADMTYwAgAAAAQ0MDUxBAAAAAEwBwAAAAk5LzMwLzIwMTQIAAAACTkvMzAvMjAxNAkAAAABMMiWfIlEJd4IWExei0Ql3ggqQ0lRLkNWWC5JUV9FQklUREEuSVFfQ1EuNi8zMC8yMDIzLkwuLlVTRC5IAQAAAMqAAQACAAAABTEwMTA1AQgAAAAFAAAAATEBAAAACy0xOTcwMTE0MjU4AwAAAAMxNjACAAAABDQwNTEEAAAAATAHAAAACTYvMzAvMjAyMwgAAAAJNi8zMC8yMDIzCQAAAAEw5UraikQl3giBZIyLRCXeCCpDSVEuQ09QLklRX0VCSVREQS5JUV9DUS45LzMwLzIwMjIuTC4uVVNELkgBAAAAT4YEAAIAAAAEOTM4MwEIAAAABQAAAAExAQAAAAstMjAyMTQ4Nzk1MAMAAAADMTYwAgAAAAQ0MDUxBAAAAAEwBwAAAAk5LzMwLzIwMjIIAAAACTkvMzAvMjAyMgkAAAABMOVK2opEJd4IzwWJi0Ql3ggqQ0lRLkNWWC5JUV9FQklUREEuSVFfQ1EuNi8zMC8yMDIxLkwuLlVTRC5IAQAAAMqAAQACAAAABDc2NDkBCAAAAAUAAAABMQEAAAALLTIwODY0OTEzMDYDAAAAAzE2MAIAAAAENDA1MQQAAAABMAcAAAAJNi8zMC8yMDIxCAAAAAk2LzMwLzIwMjEJAAAAATAJEceKRCXeCHM5g4tEJd4IKkNJUS5DT1AuSVFfRUJJVERBLklRX0NRLjkvMzAvMjAyMC5MLi5VU0QuSAEAAABPhgQAAgAAAAQxMTM2AQgAAAAFAAAA</t>
  </si>
  <si>
    <t>ATEBAAAACy0yMTIzNTc4Mzg1AwAAAAMxNjACAAAABDQwNTEEAAAAATAHAAAACTkvMzAvMjAyMAgAAAAJOS8zMC8yMDIwCQAAAAEwCRHHikQl3gj/tn+LRCXeCCpDSVEuQ1ZYLklRX0VCSVREQS5JUV9DUS42LzMwLzIwMTkuTC4uVVNELkgBAAAAyoABAAIAAAAENzkzNwEIAAAABQAAAAExAQAAAAoyMDQ4Mjk5OTAyAwAAAAMxNjACAAAABDQwNTEEAAAAATAHAAAACTYvMzAvMjAxOQgAAAAJNi8zMC8yMDE5CQAAAAEwKV/HikQl3giVw3mLRCXeCCpDSVEuQ09QLklRX0VCSVREQS5JUV9DUS45LzMwLzIwMTguTC4uVVNELkgBAAAAT4YEAAIAAAAENDI1NwEIAAAABQAAAAExAQAAAAoxOTg5OTAxMjY4AwAAAAMxNjACAAAABDQwNTEEAAAAATAHAAAACTkvMzAvMjAxOAgAAAAJOS8zMC8yMDE4CQAAAAEwSIbHikQl3ggeQXaLRCXeCCpDSVEuQ1ZYLklRX0VCSVREQS5JUV9DUS42LzMwLzIwMTcuTC4uVVNELkgBAAAAyoABAAIAAAAENTcwOAEIAAAABQAAAAExAQAAAAoxODk4MzUzODQ1AwAAAAMxNjACAAAABDQwNTEEAAAAATAHAAAACTYvMzAvMjAxNwgAAAAJNi8zMC8yMDE3CQAAAAEwa1KKiUQl3gjedHCLRCXeCCpDSVEuQ09QLklRX0VCSVREQS5JUV9DUS45LzMwLzIwMTYuTC4uVVNELkgBAAAAT4YEAAIAAAAEMTEwNgEIAAAABQAAAAExAQAAAAoxODYzNDYwMTM4AwAAAAMxNjACAAAABDQwNTEEAAAAATAHAAAA</t>
  </si>
  <si>
    <t>CTkvMzAvMjAxNggAAAAJOS8zMC8yMDE2CQAAAAEwenmKiUQl3gi1a2uLRCXeCCpDSVEuQ1ZYLklRX0VCSVREQS5JUV9DUS42LzMwLzIwMTUuTC4uVVNELkgBAAAAyoABAAIAAAAENDc4OQEIAAAABQAAAAExAQAAAAoxODAxODk1MTkyAwAAAAMxNjACAAAABDQwNTEEAAAAATAHAAAACTYvMzAvMjAxNQgAAAAJNi8zMC8yMDE1CQAAAAEwoceKiUQl3giJfGOLRCXeCCpDSVEuQ1ZYLklRX0VCSVREQS5JUV9DUS42LzMwLzIwMTMuTC4uVVNELkgBAAAAyoABAAIAAAAEOTkzMwEIAAAABQAAAAExAQAAAAoxNjg5NzYzNDk2AwAAAAMxNjACAAAABDQwNTEEAAAAATAHAAAACTYvMzAvMjAxMwgAAAAJNi8zMC8yMDEzCQAAAAEwUASKiUQl3gj1DlaLRCXeCCpDSVEuWE9NLklRX0VCSVREQS5JUV9DUS42LzMwLzIwMTIuTC4uVVNELkgBAAAAQjMGAAIAAAAFMTU1MjIBCAAAAAUAAAABMQEAAAAKMTY0MzQ4Mzk3MgMAAAADMTYwAgAAAAQ0MDUxBAAAAAEwBwAAAAk2LzMwLzIwMTIIAAAACTYvMzAvMjAxMgkAAAABMJhgmIlEJd4Io2lQi0Ql3ggqQ0lRLkNWWC5JUV9FQklUREEuSVFfQ1EuNi8zMC8yMDE2LkwuLlVTRC5IAQAAAMqAAQACAAAABDMyOTUBCAAAAAUAAAABMQEAAAAKMTg1MTY5MTQwOQMAAAADMTYwAgAAAAQ0MDUxBAAAAAEwBwAAAAk2LzMwLzIwMTYIAAAACTYvMzAvMjAxNgkAAAABMI2giolEJd4IFuVpi0Ql</t>
  </si>
  <si>
    <t>3ggqQ0lRLkVPRy5JUV9FQklUREEuSVFfQ1EuNi8zMC8yMDE4LkwuLlVTRC5IAQAAAFwdBAACAAAABzE4NzEuNjMBCAAAAAUAAAABMQEAAAAKMTk3MzM0MTM1NgMAAAADMTYwAgAAAAQ0MDUxBAAAAAEwBwAAAAk2LzMwLzIwMTgIAAAACTYvMzAvMjAxOAkAAAABMMBvfIlEJd4Iqy91i0Ql3ggqQ0lRLkVPRy5JUV9FQklUREEuSVFfQ1EuNi8zMC8yMDEyLkwuLlVTRC5IAQAAAFwdBAACAAAACDE0NDIuMDMxAQgAAAAFAAAAATEBAAAACjE2Mjk1MjA1MjUDAAAAAzE2MAIAAAAENDA1MQQAAAABMAcAAAAJNi8zMC8yMDEyCAAAAAk2LzMwLzIwMTIJAAAAATCYYJiJRCXeCKNpUItEJd4IK0NJUS5DT1AuSVFfRUJJVERBLklRX0NRLjEyLzMxLzIwMTguTC4uVVNELkgBAAAAT4YEAAIAAAAEMzg3OQEIAAAABQAAAAExAQAAAAoyMDE1NjM1ODYwAwAAAAMxNjACAAAABDQwNTEEAAAAATAHAAAACjEyLzMxLzIwMTgIAAAACjEyLzMxLzIwMTgJAAAAATApX8eKRCXeCK95d4tEJd4IKkNJUS5DVlguSVFfRUJJVERBLklRX0NRLjYvMzAvMjAyNS5MLi5VU0QuSAEAAADKgAEAAgAAAAQ4NDU4AQgAAAAFAAAAATEBAAAACy0xOTE4MDk0NjIzAwAAAAMxNjACAAAABDQwNTEEAAAAATAHAAAACTYvMzAvMjAyNQgAAAAJNi8zMC8yMDI1CQAAAAEw6iPaikQl3gillJGLRCXeCCpDSVEuQ09QLklRX0VCSVREQS5JUV9DUS45LzMwLzIw</t>
  </si>
  <si>
    <t>MjQuTC4uVVNELkgBAAAAT4YEAAIAAAAENTY2MwEIAAAABQAAAAExAQAAAAstMTkxODA0ODEyMgMAAAADMTYwAgAAAAQ0MDUxBAAAAAEwBwAAAAk5LzMwLzIwMjQIAAAACTkvMzAvMjAyNAkAAAABMOoj2opEJd4IKM2Si0Ql3ggqQ0lRLkVPRy5JUV9FQklUREEuSVFfQ1EuNi8zMC8yMDEzLkwuLlVTRC5IAQAAAFwdBAACAAAACDIwMjcuMzg5AQgAAAAFAAAAATEBAAAACjE2ODk2NTUzNzgDAAAAAzE2MAIAAAAENDA1MQQAAAABMAcAAAAJNi8zMC8yMDEzCAAAAAk2LzMwLzIwMTMJAAAAATBQBIqJRCXeCPUOVotEJd4IKkNJUS5FT0cuSVFfRUJJVERBLklRX0NRLjYvMzAvMjAxMS5MLi5VU0QuSAEAAABcHQQAAgAAAAcxMzg2LjA4AQgAAAAFAAAAATEBAAAACjE1NTcyNjQ5NjkDAAAAAzE2MAIAAAAENDA1MQQAAAABMAcAAAAJNi8zMC8yMDExCAAAAAk2LzMwLzIwMTEJAAAAATCrh5iJRCXeCEeqS4tEJd4IKkNJUS5YT00uSVFfRUJJVERBLklRX0NRLjkvMzAvMjAxMC5MLi5VU0QuSAEAAABCMwYAAgAAAAUxMzgxMQEIAAAABQAAAAExAQAAAAoxNDgwNTk0NTcwAwAAAAMxNjACAAAABDQwNTEEAAAAATAHAAAACTkvMzAvMjAxMAgAAAAJOS8zMC8yMDEwCQAAAAEw5+R8iUQl3ggCL0iLRCXeCCpDSVEuQ09QLklRX0VCSVREQS5JUV9DUS4zLzMxLzIwMTUuTC4uVVNELkgBAAAAT4YEAAIAAAAEMTkzNQEIAAAABQAA</t>
  </si>
  <si>
    <t>AAExAQAAAAoxNzg5MzQ0NTE0AwAAAAMxNjACAAAABDQwNTEEAAAAATAHAAAACTMvMzEvMjAxNQgAAAAJMy8zMS8yMDE1CQAAAAEwoceKiUQl3gjKzmGLRCXeCCtDSVEuQ1ZYLklRX0VCSVREQS5JUV9DUS4xMi8zMS8yMDEzLkwuLlVTRC5IAQAAAMqAAQACAAAABDk2MjEBCAAAAAUAAAABMQEAAAAKMTcyMDAzOTI2MwMAAAADMTYwAgAAAAQ0MDUxBAAAAAEwBwAAAAoxMi8zMS8yMDEzCAAAAAoxMi8zMS8yMDEzCQAAAAEwPN2JiUQl3ghikVmLRCXeCCpDSVEuQ09QLklRX0VCSVREQS5JUV9DUS45LzMwLzIwMTEuTC4uVVNELkgBAAAAT4YEAAIAAAAENTgzMAEIAAAABQAAAAExAQAAAAoxNTczNzQ2MTEyAwAAAAMxNjACAAAABDQwNTEEAAAAATAHAAAACTkvMzAvMjAxMQgAAAAJOS8zMC8yMDExCQAAAAEwq4eYiUQl3ggw50yLRCXeCCpDSVEuRU9HLklRX0VCSVREQS5JUV9DUS42LzMwLzIwMTAuTC4uVVNELkgBAAAAXB0EAAIAAAAHNjc3Ljg5OQEIAAAABQAAAAExAQAAAAoxNDY1MDA0NTQzAwAAAAMxNjACAAAABDQwNTEEAAAAATAHAAAACTYvMzAvMjAxMAgAAAAJNi8zMC8yMDEwCQAAAAEw5+R8iUQl3ghfBUeLRCXeCCtDSVEuQ09QLklRX0VCSVREQS5JUV9DUS4xMi8zMS8yMDEyLkwuLlVTRC5IAQAAAE+GBAACAAAABDU1ODEBCAAAAAUAAAABMQEAAAAKMTY2MDI0Nzg4OQMAAAADMTYwAgAAAAQ0MDUxBAAA</t>
  </si>
  <si>
    <t>AAEwBwAAAAoxMi8zMS8yMDEyCAAAAAoxMi8zMS8yMDEyCQAAAAEwbiuKiUQl3gics1KLRCXeCCpDSVEuRU9HLklRX0VCSVREQS5JUV9DUS42LzMwLzIwMjUuTC4uVVNELkgBAAAAXB0EAAIAAAAEMjgzOQEIAAAABQAAAAExAQAAAAstMTkzMjcxMjQ3MQMAAAADMTYwAgAAAAQ0MDUxBAAAAAEwBwAAAAk2LzMwLzIwMjUIAAAACTYvMzAvMjAyNQkAAAABMOoj2opEJd4IpZSRi0Ql3ggqQ0lRLlhPTS5JUV9FQklUREEuSVFfQ1EuOS8zMC8yMDI0LkwuLlVTRC5IAQAAAEIzBgACAAAABTE3MjY3AQgAAAAFAAAAATEBAAAACy0xOTE4Njc1MzQ2AwAAAAMxNjACAAAABDQwNTEEAAAAATAHAAAACTkvMzAvMjAyNAgAAAAJOS8zMC8yMDI0CQAAAAEw6iPaikQl3ggozZKLRCXeCCpDSVEuRU9HLklRX0VCSVREQS5JUV9DUS42LzMwLzIwMjMuTC4uVVNELkgBAAAAXB0EAAIAAAAEMjg4MAEIAAAABQAAAAExAQAAAAstMTk4NTUwMzExMAMAAAADMTYwAgAAAAQ0MDUxBAAAAAEwBwAAAAk2LzMwLzIwMjMIAAAACTYvMzAvMjAyMwkAAAABMOVK2opEJd4IgWSMi0Ql3ggqQ0lRLlhPTS5JUV9FQklUREEuSVFfQ1EuOS8zMC8yMDIyLkwuLlVTRC5IAQAAAEIzBgACAAAABTMzOTg1AQgAAAAFAAAAATEBAAAACy0yMDIxODY5NzA4AwAAAAMxNjACAAAABDQwNTEEAAAAATAHAAAACTkvMzAvMjAyMggAAAAJOS8zMC8yMDIyCQAAAAEw</t>
  </si>
  <si>
    <t>5UraikQl3gjPBYmLRCXeCCpDSVEuRU9HLklRX0VCSVREQS5JUV9DUS42LzMwLzIwMjEuTC4uVVNELkgBAAAAXB0EAAIAAAAEMjA3OAEIAAAABQAAAAExAQAAAAstMjA4NjU4NDg5OQMAAAADMTYwAgAAAAQ0MDUxBAAAAAEwBwAAAAk2LzMwLzIwMjEIAAAACTYvMzAvMjAyMQkAAAABMAkRx4pEJd4IczmDi0Ql3ggqQ0lRLlhPTS5JUV9FQklUREEuSVFfQ1EuOS8zMC8yMDIwLkwuLlVTRC5IAQAAAEIzBgACAAAABDMzNTEBCAAAAAUAAAABMQEAAAALLTIxMjM5MjkyMjEDAAAAAzE2MAIAAAAENDA1MQQAAAABMAcAAAAJOS8zMC8yMDIwCAAAAAk5LzMwLzIwMjAJAAAAATAJEceKRCXeCP+2f4tEJd4IKkNJUS5FT0cuSVFfRUJJVERBLklRX0NRLjYvMzAvMjAxOS5MLi5VU0QuSAEAAABcHQQAAgAAAAgyMDgwLjA2NgEIAAAABQAAAAExAQAAAAoyMDQ4NjI3NDg3AwAAAAMxNjACAAAABDQwNTEEAAAAATAHAAAACTYvMzAvMjAxOQgAAAAJNi8zMC8yMDE5CQAAAAEwKV/HikQl3giVw3mLRCXeCCpDSVEuWE9NLklRX0VCSVREQS5JUV9DUS45LzMwLzIwMTguTC4uVVNELkgBAAAAQjMGAAIAAAAFMTE1MjABCAAAAAUAAAABMQEAAAAKMTk5MDc4NzExMQMAAAADMTYwAgAAAAQ0MDUxBAAAAAEwBwAAAAk5LzMwLzIwMTgIAAAACTkvMzAvMjAxOAkAAAABMEiGx4pEJd4IHkF2i0Ql3ggqQ0lRLkVPRy5JUV9FQklUREEuSVFf</t>
  </si>
  <si>
    <t>Q1EuNi8zMC8yMDE3LkwuLlVTRC5IAQAAAFwdBAACAAAACDEwODEuMTQyAQgAAAAFAAAAATEBAAAACjE4OTg0MTQ0MTYDAAAAAzE2MAIAAAAENDA1MQQAAAABMAcAAAAJNi8zMC8yMDE3CAAAAAk2LzMwLzIwMTcJAAAAATBrUoqJRCXeCN50cItEJd4IKkNJUS5YT00uSVFfRUJJVERBLklRX0NRLjkvMzAvMjAxNi5MLi5VU0QuSAEAAABCMwYAAgAAAAQ2ODM0AQgAAAAFAAAAATEBAAAACjE4NjM2Nzc5OTkDAAAAAzE2MAIAAAAENDA1MQQAAAABMAcAAAAJOS8zMC8yMDE2CAAAAAk5LzMwLzIwMTYJAAAAATB6eYqJRCXeCMqSa4tEJd4IKkNJUS5FT0cuSVFfRUJJVERBLklRX0NRLjYvMzAvMjAxNS5MLi5VU0QuSAEAAABcHQQAAgAAAAgxMDIyLjkzNgEIAAAABQAAAAExAQAAAAoxODAxNzgyNDg1AwAAAAMxNjACAAAABDQwNTEEAAAAATAHAAAACTYvMzAvMjAxNQgAAAAJNi8zMC8yMDE1CQAAAAEwoceKiUQl3giJfGOLRCXeCCpDSVEuWE9NLklRX0VCSVREQS5JUV9DUS45LzMwLzIwMTQuTC4uVVNELkgBAAAAQjMGAAIAAAAFMTM5MzYBCAAAAAUAAAABMQEAAAAKMTc2MjgzNzIzMgMAAAADMTYwAgAAAAQ0MDUxBAAAAAEwBwAAAAk5LzMwLzIwMTQIAAAACTkvMzAvMjAxNAkAAAABMMiWfIlEJd4IY3Nei0Ql3ggqQ0lRLlhPTS5JUV9FQklUREEuSVFfQ1EuOS8zMC8yMDEyLkwuLlVTRC5IAQAAAEIzBgACAAAABTE3</t>
  </si>
  <si>
    <t>MjY0AQgAAAAFAAAAATEBAAAACjE2NDM0NzI4MjIDAAAAAzE2MAIAAAAENDA1MQQAAAABMAcAAAAJOS8zMC8yMDEyCAAAAAk5LzMwLzIwMTIJAAAAATBuK4qJRCXeCDCiUYtEJd4IK0NJUS5DT1AuSVFfRUJJVERBLklRX0NRLjEyLzMxLzIwMDkuTC4uVVNELkgBAAAAT4YEAAIAAAAENTk1MAEIAAAABQAAAAExAQAAAAoxNDM5MjkyNzU3AwAAAAMxNjACAAAABDQwNTEEAAAAATAHAAAACjEyLzMxLzIwMDkIAAAACjEyLzMxLzIwMDkJAAAAATD1C32JRCXeCHe7RItEJd4IKkNJUS5FT0cuSVFfRUJJVERBLklRX0NRLjkvMzAvMjAxNi5MLi5VU0QuSAEAAABcHQQAAgAAAAc3NzUuODE3AQgAAAAFAAAAATEBAAAACjE4NjM3Njk2NjEDAAAAAzE2MAIAAAAENDA1MQQAAAABMAcAAAAJOS8zMC8yMDE2CAAAAAk5LzMwLzIwMTYJAAAAATB6eYqJRCXeCMqSa4tEJd4IK0NJUS5YT00uSVFfRUJJVERBLklRX0NRLjEyLzMxLzIwMTUuTC4uVVNELkgBAAAAQjMGAAIAAAAENTMyNwEIAAAABQAAAAExAQAAAAoxODI4OTA0ODg2AwAAAAMxNjACAAAABDQwNTEEAAAAATAHAAAACjEyLzMxLzIwMTUIAAAACjEyLzMxLzIwMTUJAAAAATCNoIqJRCXeCM2wZotEJd4IKkNJUS5FT0cuSVFfRUJJVERBLklRX0NRLjkvMzAvMjAxNC5MLi5VU0QuSAEAAABcHQQAAgAAAAgyODIxLjM3NgEIAAAABQAAAAExAQAAAAoxNzYzMjYzNzM1AwAA</t>
  </si>
  <si>
    <t>AAMxNjACAAAABDQwNTEEAAAAATAHAAAACTkvMzAvMjAxNAgAAAAJOS8zMC8yMDE0CQAAAAEwyJZ8iUQl3ghjc16LRCXeCCtDSVEuWE9NLklRX0VCSVREQS5JUV9DUS4xMi8zMS8yMDEzLkwuLlVTRC5IAQAAAEIzBgACAAAABTE0MTAyAQgAAAAFAAAAATEBAAAACjE3MjA3NjMxNjgDAAAAAzE2MAIAAAAENDA1MQQAAAABMAcAAAAKMTIvMzEvMjAxMwgAAAAKMTIvMzEvMjAxMwkAAAABMDzdiYlEJd4IYpFZi0Ql3ggqQ0lRLkVPRy5JUV9FQklUREEuSVFfQ1EuOS8zMC8yMDEyLkwuLlVTRC5IAQAAAFwdBAACAAAACDE0MjcuMDk3AQgAAAAFAAAAATEBAAAACjE2NDM4Mzg2NjIDAAAAAzE2MAIAAAAENDA1MQQAAAABMAcAAAAJOS8zMC8yMDEyCAAAAAk5LzMwLzIwMTIJAAAAATBuK4qJRCXeCDCiUYtEJd4IKkNJUS5FT0cuSVFfRUJJVERBLklRX0NRLjkvMzAvMjAxMC5MLi5VU0QuSAEAAABcHQQAAgAAAAc3NzcuMjkyAQgAAAAFAAAAATEBAAAACjE0Nzk3NDgwMjkDAAAAAzE2MAIAAAAENDA1MQQAAAABMAcAAAAJOS8zMC8yMDEwCAAAAAk5LzMwLzIwMTAJAAAAATDn5HyJRCXeCAIvSItEJd4IK0NJUS5YT00uSVFfRUJJVERBLklRX0NRLjEyLzMxLzIwMDkuTC4uVVNELkgBAAAAQjMGAAIAAAAFMTA3MDkBCAAAAAUAAAABMQEAAAAKMTQzNDA5MzA0MwMAAAADMTYwAgAAAAQ0MDUxBAAAAAEwBwAAAAoxMi8zMS8y</t>
  </si>
  <si>
    <t>MDA5CAAAAAoxMi8zMS8yMDA5CQAAAAEw9Qt9iUQl3gh3u0SLRCXeCCpDSVEuQ09QLklRX0VCSVREQS5JUV9DUS4zLzMxLzIwMjEuTC4uVVNELkgBAAAAT4YEAAIAAAAEMzI2NAEIAAAABQAAAAExAQAAAAstMjA5ODQ3MDMzMgMAAAADMTYwAgAAAAQ0MDUxBAAAAAEwBwAAAAkzLzMxLzIwMjEIAAAACTMvMzEvMjAyMQkAAAABMAkRx4pEJd4I6gCCi0Ql3ggrQ0lRLkNWWC5JUV9FQklUREEuSVFfQ1EuMTIvMzEvMjAxOS5MLi5VU0QuSAEAAADKgAEAAgAAAAQ2NTUyAQgAAAAFAAAAATEBAAAACjIwODE5ODAyNDgDAAAAAzE2MAIAAAAENDA1MQQAAAABMAcAAAAKMTIvMzEvMjAxOQgAAAAKMTIvMzEvMjAxOQkAAAABMDE4x4pEJd4Io1t8i0Ql3ggqQ0lRLlhPTS5JUV9FQklUREEuSVFfQ1EuNi8zMC8yMDIyLkwuLlVTRC5IAQAAAEIzBgACAAAABTI1ODkwAQgAAAAFAAAAATEBAAAACy0yMDM2MTY2Mjc0AwAAAAMxNjACAAAABDQwNTEEAAAAATAHAAAACTYvMzAvMjAyMggAAAAJNi8zMC8yMDIyCQAAAAEw5UraikQl3ghTzYeLRCXeCCpDSVEuRU9HLklRX0VCSVREQS5JUV9DUS4zLzMxLzIwMTcuTC4uVVNELkgBAAAAXB0EAAIAAAAIMTEzMy43MjcBCAAAAAUAAAABMQEAAAAKMTg4NjMyMzYzMAMAAAADMTYwAgAAAAQ0MDUxBAAAAAEwBwAAAAkzLzMxLzIwMTcIAAAACTMvMzEvMjAxNwkAAAABMHp5iolEJd4INMdu</t>
  </si>
  <si>
    <t>i0Ql3ggqQ0lRLkVPRy5JUV9FQklUREEuSVFfQ1EuMy8zMS8yMDExLkwuLlVTRC5IAQAAAFwdBAACAAAABzg1OC4yNjMBCAAAAAUAAAABMQEAAAAKMTU0NTY3MDg2OQMAAAADMTYwAgAAAAQ0MDUxBAAAAAEwBwAAAAkzLzMxLzIwMTEIAAAACTMvMzEvMjAxMQkAAAABMNu9fIlEJd4I27xKi0Ql3ggqQ0lRLkNPUC5JUV9FQklUREEuSVFfQ1EuOS8zMC8yMDIzLkwuLlVTRC5IAQAAAE+GBAACAAAABDYyMzYBCAAAAAUAAAABMQEAAAALLTE5NzEwNDk2NDMDAAAAAzE2MAIAAAAENDA1MQQAAAABMAcAAAAJOS8zMC8yMDIzCAAAAAk5LzMwLzIwMjMJAAAAATDqI9qKRCXeCPh1jYtEJd4IKkNJUS5DT1AuSVFfRUJJVERBLklRX0NRLjkvMzAvMjAxOS5MLi5VU0QuSAEAAABPhgQAAgAAAAQzMzQ5AQgAAAAFAAAAATEBAAAACjIwNjgxNDQ4NjcDAAAAAzE2MAIAAAAENDA1MQQAAAABMAcAAAAJOS8zMC8yMDE5CAAAAAk5LzMwLzIwMTkJAAAAATApX8eKRCXeCCQje4tEJd4IKkNJUS5DVlguSVFfRUJJVERBLklRX0NRLjYvMzAvMjAxMC5MLi5VU0QuSAEAAADKgAEAAgAAAAQ5OTcxAQgAAAAFAAAAATEBAAAACjE0NjQ4NDQyMTYDAAAAAzE2MAIAAAAENDA1MQQAAAABMAcAAAAJNi8zMC8yMDEwCAAAAAk2LzMwLzIwMTAJAAAAATDn5HyJRCXeCF8FR4tEJd4IKkNJUS5YT00uSVFfRUJJVERBLklRX0NRLjkvMzAvMjAxNS5M</t>
  </si>
  <si>
    <t>Li5VU0QuSAEAAABCMwYAAgAAAAQ4NzA0AQgAAAAFAAAAATEBAAAACjE4MTYyMjExMDQDAAAAAzE2MAIAAAAENDA1MQQAAAABMAcAAAAJOS8zMC8yMDE1CAAAAAk5LzMwLzIwMTUJAAAAATChx4qJRCXeCBkDZYtEJd4IK0NJUS5DT1AuSVFfRUJJVERBLklRX0NRLjEyLzMxLzIwMjQuTC4uVVNELkgBAAAAT4YEAAIAAAAENjUyNAEIAAAABQAAAAExAQAAAAstMTk1OTIwMjE3MwMAAAADMTYwAgAAAAQ0MDUxBAAAAAEwBwAAAAoxMi8zMS8yMDI0CAAAAAoxMi8zMS8yMDI0CQAAAAEw6iPaikQl3giB1Y6LRCXeCCpDSVEuQ1ZYLklRX0VCSVREQS5JUV9DUS45LzMwLzIwMTcuTC4uVVNELkgBAAAAyoABAAIAAAAENTQ5MAEIAAAABQAAAAExAQAAAAoxOTIwNTM1NDczAwAAAAMxNjACAAAABDQwNTEEAAAAATAHAAAACTkvMzAvMjAxNwgAAAAJOS8zMC8yMDE3CQAAAAEwa1KKiUQl3ghErXGLRCXeCCpDSVEuQ1ZYLklRX0VCSVREQS5JUV9DUS45LzMwLzIwMjQuTC4uVVNELkgBAAAAyoABAAIAAAAEOTYwNgEIAAAABQAAAAExAQAAAAstMTkxODA5ODEzNAMAAAADMTYwAgAAAAQ0MDUxBAAAAAEwBwAAAAk5LzMwLzIwMjQIAAAACTkvMzAvMjAyNAkAAAABMOoj2opEJd4IKM2Si0Ql3ggrQ0lRLkNPUC5JUV9FQklUREEuSVFfQ1EuMTIvMzEvMjAyMy5MLi5VU0QuSAEAAABPhgQAAgAAAAQ2NjYyAQgAAAAFAAAAATEBAAAA</t>
  </si>
  <si>
    <t>Cy0xOTU5MjAyMTc3AwAAAAMxNjACAAAABDQwNTEEAAAAATAHAAAACjEyLzMxLzIwMjMIAAAACjEyLzMxLzIwMjMJAAAAATDqI9qKRCXeCIHVjotEJd4IKkNJUS5DVlguSVFfRUJJVERBLklRX0NRLjkvMzAvMjAyMi5MLi5VU0QuSAEAAADKgAEAAgAAAAUxNjcyOAEIAAAABQAAAAExAQAAAAstMjAyMTQxMTEwMAMAAAADMTYwAgAAAAQ0MDUxBAAAAAEwBwAAAAk5LzMwLzIwMjIIAAAACTkvMzAvMjAyMgkAAAABMOVK2opEJd4IzwWJi0Ql3ggrQ0lRLkNPUC5JUV9FQklUREEuSVFfQ1EuMTIvMzEvMjAyMS5MLi5VU0QuSAEAAABPhgQAAgAAAAQ2ODQwAQgAAAAFAAAAATEBAAAACy0yMDYwNjExOTI4AwAAAAMxNjACAAAABDQwNTEEAAAAATAHAAAACjEyLzMxLzIwMjEIAAAACjEyLzMxLzIwMjEJAAAAATD+6caKRCXeCGGDhYtEJd4IKkNJUS5DVlguSVFfRUJJVERBLklRX0NRLjkvMzAvMjAyMC5MLi5VU0QuSAEAAADKgAEAAgAAAAQzNjg5AQgAAAAFAAAAATEBAAAACy0yMTIzNjA0ODMwAwAAAAMxNjACAAAABDQwNTEEAAAAATAHAAAACTkvMzAvMjAyMAgAAAAJOS8zMC8yMDIwCQAAAAEwCRHHikQl3gj/tn+LRCXeCCtDSVEuQ09QLklRX0VCSVREQS5JUV9DUS4xMi8zMS8yMDE5LkwuLlVTRC5IAQAAAE+GBAACAAAABDMxMTcBCAAAAAUAAAABMQEAAAAKMjA4MDU3NDQ5MAMAAAADMTYwAgAAAAQ0MDUxBAAAAAEw</t>
  </si>
  <si>
    <t>BwAAAAoxMi8zMS8yMDE5CAAAAAoxMi8zMS8yMDE5CQAAAAEwMTjHikQl3gijW3yLRCXeCCpDSVEuQ1ZYLklRX0VCSVREQS5JUV9DUS45LzMwLzIwMTguTC4uVVNELkgBAAAAyoABAAIAAAAEOTM4MAEIAAAABQAAAAExAQAAAAoxOTkwOTg2ODk2AwAAAAMxNjACAAAABDQwNTEEAAAAATAHAAAACTkvMzAvMjAxOAgAAAAJOS8zMC8yMDE4CQAAAAEwSIbHikQl3ggeQXaLRCXeCCtDSVEuQ09QLklRX0VCSVREQS5JUV9DUS4xMi8zMS8yMDE3LkwuLlVTRC5IAQAAAE+GBAACAAAABDMwMzkBCAAAAAUAAAABMQEAAAAKMTk0NjAwNTc0OAMAAAADMTYwAgAAAAQ0MDUxBAAAAAEwBwAAAAoxMi8zMS8yMDE3CAAAAAoxMi8zMS8yMDE3CQAAAAEwa1KKiUQl3girvnKLRCXeCCpDSVEuQ1ZYLklRX0VCSVREQS5JUV9DUS45LzMwLzIwMTYuTC4uVVNELkgBAAAAyoABAAIAAAAENDMxOQEIAAAABQAAAAExAQAAAAoxODYzODY0NjI2AwAAAAMxNjACAAAABDQwNTEEAAAAATAHAAAACTkvMzAvMjAxNggAAAAJOS8zMC8yMDE2CQAAAAEwenmKiUQl3gjKkmuLRCXeCCtDSVEuQ09QLklRX0VCSVREQS5JUV9DUS4xMi8zMS8yMDE1LkwuLlVTRC5IAQAAAE+GBAACAAAAAzkxNQEIAAAABQAAAAExAQAAAAoxODI4Njg4MDYxAwAAAAMxNjACAAAABDQwNTEEAAAAATAHAAAACjEyLzMxLzIwMTUIAAAACjEyLzMxLzIwMTUJAAAAATCNoIqJ</t>
  </si>
  <si>
    <t>RCXeCM2wZotEJd4IKkNJUS5DVlguSVFfRUJJVERBLklRX0NRLjkvMzAvMjAxNC5MLi5VU0QuSAEAAADKgAEAAgAAAAQ5OTUxAQgAAAAFAAAAATEBAAAACjE3NjMzMjkyNjQDAAAAAzE2MAIAAAAENDA1MQQAAAABMAcAAAAJOS8zMC8yMDE0CAAAAAk5LzMwLzIwMTQJAAAAATDIlnyJRCXeCGNzXotEJd4IK0NJUS5DT1AuSVFfRUJJVERBLklRX0NRLjEyLzMxLzIwMTMuTC4uVVNELkgBAAAAT4YEAAIAAAAENDkzMwEIAAAABQAAAAExAQAAAAoxNzIwNTg0MjcxAwAAAAMxNjACAAAABDQwNTEEAAAAATAHAAAACjEyLzMxLzIwMTMIAAAACjEyLzMxLzIwMTMJAAAAATA83YmJRCXeCGKRWYtEJd4IKkNJUS5DVlguSVFfRUJJVERBLklRX0NRLjkvMzAvMjAxMi5MLi5VU0QuSAEAAADKgAEAAgAAAAUxMDkyMQEIAAAABQAAAAExAQAAAAoxNjQzODc4MjQ4AwAAAAMxNjACAAAABDQwNTEEAAAAATAHAAAACTkvMzAvMjAxMggAAAAJOS8zMC8yMDEyCQAAAAEwbiuKiUQl3ggwolGLRCXeCCtDSVEuQ09QLklRX0VCSVREQS5JUV9DUS4xMi8zMS8yMDExLkwuLlVTRC5IAQAAAE+GBAACAAAABDQ1NzQBCAAAAAUAAAABMQEAAAAKMTU4ODQ1NDczMQMAAAADMTYwAgAAAAQ0MDUxBAAAAAEwBwAAAAoxMi8zMS8yMDExCAAAAAoxMi8zMS8yMDExCQAAAAEwq4eYiUQl3gif+E2LRCXeCCpDSVEuQ1ZYLklRX0VCSVREQS5JUV9DUS45</t>
  </si>
  <si>
    <t>LzMwLzIwMTAuTC4uVVNELkgBAAAAyoABAAIAAAAEOTExOQEIAAAABQAAAAExAQAAAAoxNDgwMDY3MTgyAwAAAAMxNjACAAAABDQwNTEEAAAAATAHAAAACTkvMzAvMjAxMAgAAAAJOS8zMC8yMDEwCQAAAAEw5+R8iUQl3ggCL0iLRCXeCCpDSVEuRU9HLklRX0VCSVREQS5JUV9DUS45LzMwLzIwMTguTC4uVVNELkgBAAAAXB0EAAIAAAAHMjM1My41NAEIAAAABQAAAAExAQAAAAoxOTkwNzMzNzA3AwAAAAMxNjACAAAABDQwNTEEAAAAATAHAAAACTkvMzAvMjAxOAgAAAAJOS8zMC8yMDE4CQAAAAEwSIbHikQl3ggeQXaLRCXeCCtDSVEuWE9NLklRX0VCSVREQS5JUV9DUS4xMi8zMS8yMDE3LkwuLlVTRC5IAQAAAEIzBgACAAAABDc4NDIBCAAAAAUAAAABMQEAAAAKMTk0NzQwNDY3NgMAAAADMTYwAgAAAAQ0MDUxBAAAAAEwBwAAAAoxMi8zMS8yMDE3CAAAAAoxMi8zMS8yMDE3CQAAAAEwa1KKiUQl3gjE5XKLRCXeCCpDSVEuRU9HLklRX0VCSVREQS5JUV9DUS45LzMwLzIwMjAuTC4uVVNELkgBAAAAXB0EAAIAAAADOTcwAQgAAAAFAAAAATEBAAAACy0yMTIzODMxODQwAwAAAAMxNjACAAAABDQwNTEEAAAAATAHAAAACTkvMzAvMjAyMAgAAAAJOS8zMC8yMDIwCQAAAAEwCRHHikQl3gj/tn+LRCXeCCpDSVEuRU9HLklRX0VCSVREQS5JUV9DUS45LzMwLzIwMjQuTC4uVVNELkgBAAAAXB0EAAIAAAAEMzE0MgEIAAAA</t>
  </si>
  <si>
    <t>BQAAAAExAQAAAAstMTkxODE3MTAxNwMAAAADMTYwAgAAAAQ0MDUxBAAAAAEwBwAAAAk5LzMwLzIwMjQIAAAACTkvMzAvMjAyNAkAAAABMOoj2opEJd4IKM2Si0Ql3ggrQ0lRLlhPTS5JUV9FQklUREEuSVFfQ1EuMTIvMzEvMjAyMy5MLi5VU0QuSAEAAABCMwYAAgAAAAUxNzk0OQEIAAAABQAAAAExAQAAAAstMTk1ODk1MzYxNwMAAAADMTYwAgAAAAQ0MDUxBAAAAAEwBwAAAAoxMi8zMS8yMDIzCAAAAAoxMi8zMS8yMDIzCQAAAAEw6iPaikQl3ghih46LRCXeCCpDSVEuRU9HLklRX0VCSVREQS5JUV9DUS45LzMwLzIwMjIuTC4uVVNELkgBAAAAXB0EAAIAAAAENDY4NQEIAAAABQAAAAExAQAAAAstMjAyMTM4MTA2OQMAAAADMTYwAgAAAAQ0MDUxBAAAAAEwBwAAAAk5LzMwLzIwMjIIAAAACTkvMzAvMjAyMgkAAAABMOVK2opEJd4IzwWJi0Ql3ggrQ0lRLlhPTS5JUV9FQklUREEuSVFfQ1EuMTIvMzEvMjAyMS5MLi5VU0QuSAEAAABCMwYAAgAAAAUxNTU4OQEIAAAABQAAAAExAQAAAAstMjA1OTkxNTI4MwMAAAADMTYwAgAAAAQ0MDUxBAAAAAEwBwAAAAoxMi8zMS8yMDIxCAAAAAoxMi8zMS8yMDIxCQAAAAEw/unGikQl3ghhg4WLRCXeCCtDSVEuWE9NLklRX0VCSVREQS5JUV9DUS4xMi8zMS8yMDE5LkwuLlVTRC5IAQAAAEIzBgACAAAABDY2NjEBCAAAAAUAAAABMQEAAAAKMjA4MTc0NjU1MQMAAAADMTYwAgAA</t>
  </si>
  <si>
    <t>AAQ0MDUxBAAAAAEwBwAAAAoxMi8zMS8yMDE5CAAAAAoxMi8zMS8yMDE5CQAAAAEwMTjHikQl3gijW3yLRCXeCCtDSVEuWE9NLklRX0VCSVREQS5JUV9DUS4xMi8zMS8yMDExLkwuLlVTRC5IAQAAAEIzBgACAAAABTE1NDkxAQgAAAAFAAAAATEBAAAACjE1ODk1NDg1MDYDAAAAAzE2MAIAAAAENDA1MQQAAAABMAcAAAAKMTIvMzEvMjAxMQgAAAAKMTIvMzEvMjAxMQkAAAABMKuHmIlEJd4In/hNi0Ql3ggqQ0lRLkNPUC5JUV9FQklUREEuSVFfQ1EuMy8zMS8yMDE5LkwuLlVTRC5IAQAAAE+GBAACAAAABDM3NjkBCAAAAAUAAAABMQEAAAAKMjAzMzQ2NjE3MQMAAAADMTYwAgAAAAQ0MDUxBAAAAAEwBwAAAAkzLzMxLzIwMTkIAAAACTMvMzEvMjAxOQkAAAABMClfx4pEJd4IEYt4i0Ql3ggqQ0lRLkNPUC5JUV9FQklUREEuSVFfQ1EuMy8zMS8yMDE3LkwuLlVTRC5IAQAAAE+GBAACAAAABDI1MDABCAAAAAUAAAABMQEAAAAKMTg4NjcxNzk3NwMAAAADMTYwAgAAAAQ0MDUxBAAAAAEwBwAAAAkzLzMxLzIwMTcIAAAACTMvMzEvMjAxNwkAAAABMHp5iolEJd4INMdui0Ql3ggrQ0lRLkNWWC5JUV9FQklUREEuSVFfQ1EuMTIvMzEvMjAxMS5MLi5VU0QuSAEAAADKgAEAAgAAAAUxMTMyMAEIAAAABQAAAAExAQAAAAoxNTg4ODQ2NjIyAwAAAAMxNjACAAAABDQwNTEEAAAAATAHAAAACjEyLzMxLzIwMTEIAAAACjEyLzMx</t>
  </si>
  <si>
    <t>LzIwMTEJAAAAATCrh5iJRCXeCJ/4TYtEJd4IKkNJUS5DT1AuSVFfRUJJVERBLklRX0NRLjMvMzEvMjAxMS5MLi5VU0QuSAEAAABPhgQAAgAAAAQ2NTAzAQgAAAAFAAAAATEBAAAACjE1NTcwNTA2OTUDAAAAAzE2MAIAAAAENDA1MQQAAAABMAcAAAAJMy8zMS8yMDExCAAAAAkzLzMxLzIwMTEJAAAAATDbvXyJRCXeCGiBSotEJd4IKkNJUS5DVlguSVFfRUJJVERBLklRX0NRLjMvMzEvMjAxMS5MLi5VU0QuSAEAAADKgAEAAgAAAAUxMjMxOQEIAAAABQAAAAExAQAAAAoxNTQ1MDI5OTc5AwAAAAMxNjACAAAABDQwNTEEAAAAATAHAAAACTMvMzEvMjAxMQgAAAAJMy8zMS8yMDExCQAAAAEw2718iUQl3gjbvEqLRCXeCCpDSVEuRU9HLklRX0VCSVREQS5JUV9DUS4zLzMxLzIwMjUuTC4uVVNELkgBAAAAXB0EAAIAAAAEMjkxNwEIAAAABQAAAAExAQAAAAstMTk0Njk4NzIyNwMAAAADMTYwAgAAAAQ0MDUxBAAAAAEwBwAAAAkzLzMxLzIwMjUIAAAACTMvMzEvMjAyNQkAAAABMOoj2opEJd4IMlyQi0Ql3ggqQ0lRLlhPTS5JUV9FQklUREEuSVFfQ1EuNi8zMC8yMDE0LkwuLlVTRC5IAQAAAEIzBgACAAAABTEzMDExAQgAAAAFAAAAATEBAAAACjE3NDg4NDQ3ODIDAAAAAzE2MAIAAAAENDA1MQQAAAABMAcAAAAJNi8zMC8yMDE0CAAAAAk2LzMwLzIwMTQJAAAAATDbvXyJRCXeCMzsXItEJd4IKkNJUS5DVlguSVFfRUJJ</t>
  </si>
  <si>
    <t>VERBLklRX0NRLjYvMzAvMjAyNC5MLi5VU0QuSAEAAADKgAEAAgAAAAQ5NzU4AQgAAAAFAAAAATEBAAAACy0xOTE4MDk0NjM1AwAAAAMxNjACAAAABDQwNTEEAAAAATAHAAAACTYvMzAvMjAyNAgAAAAJNi8zMC8yMDI0CQAAAAEw6iPaikQl3giDRpGLRCXeCCpDSVEuRU9HLklRX0VCSVREQS5JUV9DUS42LzMwLzIwMjAuTC4uVVNELkgBAAAAXB0EAAIAAAADLTg5AQgAAAAFAAAAATEBAAAACy0yMTQwMTE1MzMxAwAAAAMxNjACAAAABDQwNTEEAAAAATAHAAAACTYvMzAvMjAyMAgAAAAJNi8zMC8yMDIwCQAAAAEwMTjHikQl3giSpX6LRCXeCCtDSVEuQ1ZYLklRX0VCSVREQS5JUV9DUS4xMi8zMS8yMDIxLkwuLlVTRC5IAQAAAMqAAQACAAAABDk5NDMBCAAAAAUAAAABMQEAAAALLTIwNTk3NjgxNDIDAAAAAzE2MAIAAAAENDA1MQQAAAABMAcAAAAKMTIvMzEvMjAyMQgAAAAKMTIvMzEvMjAyMQkAAAABMP7pxopEJd4IYYOFi0Ql3ggrQ0lRLkNWWC5JUV9FQklUREEuSVFfQ1EuMTIvMzEvMjAxNy5MLi5VU0QuSAEAAADKgAEAAgAAAAQ1MTkzAQgAAAAFAAAAATEBAAAACjE5NDY2ODM5NDYDAAAAAzE2MAIAAAAENDA1MQQAAAABMAcAAAAKMTIvMzEvMjAxNwgAAAAKMTIvMzEvMjAxNwkAAAABMGtSiolEJd4IxOVyi0Ql3ggrQ0lRLkNWWC5JUV9FQklUREEuSVFfQ1EuMTIvMzEvMjAxNS5MLi5VU0QuSAEAAADKgAEA</t>
  </si>
  <si>
    <t>AgAAAAQzMzU3AQgAAAAFAAAAATEBAAAACjE4MjkwODg5NTIDAAAAAzE2MAIAAAAENDA1MQQAAAABMAcAAAAKMTIvMzEvMjAxNQgAAAAKMTIvMzEvMjAxNQkAAAABMI2giolEJd4I29dmi0Ql3ggrQ0lRLkNWWC5JUV9FQklUREEuSVFfQ1EuMTIvMzEvMjAwOS5MLi5VU0QuSAEAAADKgAEAAgAAAAQ3ODg5AQgAAAAFAAAAATEBAAAACjE0MzI5NTkyNjQDAAAAAzE2MAIAAAAENDA1MQQAAAABMAcAAAAKMTIvMzEvMjAwOQgAAAAKMTIvMzEvMjAwOQkAAAABMPULfYlEJd4Id7tEi0Ql3ggqQ0lRLkNPUC5JUV9FQklUREEuSVFfQ1EuNi8zMC8yMDEwLkwuLlVTRC5IAQAAAE+GBAACAAAABDcyMDQBCAAAAAUAAAABMQEAAAAKMTQ2NDU1NzI2NQMAAAADMTYwAgAAAAQ0MDUxBAAAAAEwBwAAAAk2LzMwLzIwMTAIAAAACTYvMzAvMjAxMAkAAAABMOfkfIlEJd4IXwVHi0Ql3ggqQ0lRLkVPRy5JUV9FQklUREEuSVFfQ1EuMy8zMS8yMDIxLkwuLlVTRC5IAQAAAFwdBAACAAAABDE4ODIBCAAAAAUAAAABMQEAAAALLTIwOTg0OTkxODUDAAAAAzE2MAIAAAAENDA1MQQAAAABMAcAAAAJMy8zMS8yMDIxCAAAAAkzLzMxLzIwMjEJAAAAATAJEceKRCXeCOoAgotEJd4IKkNJUS5DT1AuSVFfRUJJVERBLklRX0NRLjkvMzAvMjAxNy5MLi5VU0QuSAEAAABPhgQAAgAAAAQyMjcyAQgAAAAFAAAAATEBAAAACjE5MTczMTk0MTUDAAAA</t>
  </si>
  <si>
    <t>AzE2MAIAAAAENDA1MQQAAAABMAcAAAAJOS8zMC8yMDE3CAAAAAk5LzMwLzIwMTcJAAAAATBrUoqJRCXeCEStcYtEJd4IK0NJUS5DT1AuSVFfRUJJVERBLklRX0NRLjEyLzMxLzIwMTQuTC4uVVNELkgBAAAAT4YEAAIAAAAEMjc1NwEIAAAABQAAAAExAQAAAAoxNzc3NDQyNjc0AwAAAAMxNjACAAAABDQwNTEEAAAAATAHAAAACjEyLzMxLzIwMTQIAAAACjEyLzMxLzIwMTQJAAAAATDIlnyJRCXeCC1IYItEJd4IKkNJUS5DT1AuSVFfRUJJVERBLklRX0NRLjMvMzEvMjAyNS5MLi5VU0QuSAEAAABPhgQAAgAAAAQ3Mjc1AQgAAAAFAAAAATEBAAAACy0xOTQ0OTQ2NzY2AwAAAAMxNjACAAAABDQwNTEEAAAAATAHAAAACTMvMzEvMjAyNQgAAAAJMy8zMS8yMDI1CQAAAAEw6iPaikQl3ggXNZCLRCXeCCtDSVEuQ1ZYLklRX0VCSVREQS5JUV9DUS4xMi8zMS8yMDIzLkwuLlVTRC5IAQAAAMqAAQACAAAABDg5MzYBCAAAAAUAAAABMQEAAAALLTE5NTg3NTg0MTQDAAAAAzE2MAIAAAAENDA1MQQAAAABMAcAAAAKMTIvMzEvMjAyMwgAAAAKMTIvMzEvMjAyMwkAAAABMOoj2opEJd4Iea6Oi0Ql3ggqQ0lRLkNPUC5JUV9FQklUREEuSVFfQ1EuMy8zMS8yMDIzLkwuLlVTRC5IAQAAAE+GBAACAAAABDY0NjIBCAAAAAUAAAABMQEAAAALLTE5ODU0MzI4NTQDAAAAAzE2MAIAAAAENDA1MQQAAAABMAcAAAAJMy8zMS8yMDIzCAAA</t>
  </si>
  <si>
    <t>AAkzLzMxLzIwMjMJAAAAATDlStqKRCXeCBhTi4tEJd4IKkNJUS5DT1AuSVFfRUJJVERBLklRX0NRLjMvMzEvMjAxMy5MLi5VU0QuSAEAAABPhgQAAgAAAAQ1NjY0AQgAAAAFAAAAATEBAAAACjE2NzU3NDA3ODkDAAAAAzE2MAIAAAAENDA1MQQAAAABMAcAAAAJMy8zMS8yMDEzCAAAAAkzLzMxLzIwMTMJAAAAATBuK4qJRCXeCFJhVItEJd4IKkNJUS5DT1AuSVFfRUJJVERBLklRX0NRLjkvMzAvMjAyMS5MLi5VU0QuSAEAAABPhgQAAgAAAAQ1MzMxAQgAAAAFAAAAATEBAAAACy0yMDcxOTMzNjM1AwAAAAMxNjACAAAABDQwNTEEAAAAATAHAAAACTkvMzAvMjAyMQgAAAAJOS8zMC8yMDIxCQAAAAEw/unGikQl3gjiSoSLRCXeCCpDSVEuQ09QLklRX0VCSVREQS5JUV9DUS45LzMwLzIwMTMuTC4uVVNELkgBAAAAT4YEAAIAAAAENTQzMQEIAAAABQAAAAExAQAAAAoxNzA0Nzg2MjQ0AwAAAAMxNjACAAAABDQwNTEEAAAAATAHAAAACTkvMzAvMjAxMwgAAAAJOS8zMC8yMDEzCQAAAAEwUASKiUQl3gi241eLRCXeCCpDSVEuWE9NLklRX0VCSVREQS5JUV9DUS45LzMwLzIwMTcuTC4uVVNELkgBAAAAQjMGAAIAAAAEODgyNAEIAAAABQAAAAExAQAAAAoxOTIwMDE3ODA1AwAAAAMxNjACAAAABDQwNTEEAAAAATAHAAAACTkvMzAvMjAxNwgAAAAJOS8zMC8yMDE3CQAAAAEwa1KKiUQl3ghErXGLRCXeCCpDSVEuQ1ZYLklR</t>
  </si>
  <si>
    <t>X0VCSVREQS5JUV9DUS45LzMwLzIwMTMuTC4uVVNELkgBAAAAyoABAAIAAAAFMTA1OTUBCAAAAAUAAAABMQEAAAAKMTcwNTI1MDg4OAMAAAADMTYwAgAAAAQ0MDUxBAAAAAEwBwAAAAk5LzMwLzIwMTMIAAAACTkvMzAvMjAxMwkAAAABMFAEiolEJd4IwwpYi0Ql3ggqQ0lRLlhPTS5JUV9FQklUREEuSVFfQ1EuMy8zMS8yMDI1LkwuLlVTRC5IAQAAAEIzBgACAAAABTE1NDM1AQgAAAAFAAAAATEBAAAACy0xOTQ2MTU4ODA5AwAAAAMxNjACAAAABDQwNTEEAAAAATAHAAAACTMvMzEvMjAyNQgAAAAJMy8zMS8yMDI1CQAAAAEw6iPaikQl3ggXNZCLRCXeCCpDSVEuWE9NLklRX0VCSVREQS5JUV9DUS4zLzMxLzIwMTUuTC4uVVNELkgBAAAAQjMGAAIAAAAEODE2MwEIAAAABQAAAAExAQAAAAoxNzg5NjEwMzQzAwAAAAMxNjACAAAABDQwNTEEAAAAATAHAAAACTMvMzEvMjAxNQgAAAAJMy8zMS8yMDE1CQAAAAEwoceKiUQl3gjT9WGLRCXeCCtDSVEuRU9HLklRX0VCSVREQS5JUV9DUS4xMi8zMS8yMDA5LkwuLlVTRC5IAQAAAFwdBAACAAAABjY0Mi4wMwEIAAAABQAAAAExAQAAAAoxNDMyOTgxNzk3AwAAAAMxNjACAAAABDQwNTEEAAAAATAHAAAACjEyLzMxLzIwMDkIAAAACjEyLzMxLzIwMDkJAAAAATD1C32JRCXeCHe7RItEJd4IKkNJUS5YT00uSVFfRUJJVERBLklRX0NRLjYvMzAvMjAxNi5MLi5VU0QuSAEAAABC</t>
  </si>
  <si>
    <t>MwYAAgAAAAQ2NTE5AQgAAAAFAAAAATEBAAAACjE4NzYzOTkwOTQDAAAAAzE2MAIAAAAENDA1MQQAAAABMAcAAAAJNi8zMC8yMDE2CAAAAAk2LzMwLzIwMTYJAAAAATCNoIqJRCXeCBblaYtEJd4IKkNJUS5DVlguSVFfRUJJVERBLklRX0NRLjYvMzAvMjAxMi5MLi5VU0QuSAEAAADKgAEAAgAAAAUxMjgxMQEIAAAABQAAAAExAQAAAAoxNjMwMDA3NTc1AwAAAAMxNjACAAAABDQwNTEEAAAAATAHAAAACTYvMzAvMjAxMggAAAAJNi8zMC8yMDEyCQAAAAEwmGCYiUQl3gijaVCLRCXeCCpDSVEuRU9HLklRX0VCSVREQS5JUV9DUS42LzMwLzIwMjQuTC4uVVNELkgBAAAAXB0EAAIAAAAEMzE3NQEIAAAABQAAAAExAQAAAAstMTkzMjcxMjQ1OAMAAAADMTYwAgAAAAQ0MDUxBAAAAAEwBwAAAAk2LzMwLzIwMjQIAAAACTYvMzAvMjAyNAkAAAABMOoj2opEJd4Ig0aRi0Ql3ggqQ0lRLlhPTS5JUV9FQklUREEuSVFfQ1EuOS8zMC8yMDEzLkwuLlVTRC5IAQAAAEIzBgACAAAABTE0NTQ2AQgAAAAFAAAAATEBAAAACjE3MDQ5MTA4NTkDAAAAAzE2MAIAAAAENDA1MQQAAAABMAcAAAAJOS8zMC8yMDEzCAAAAAk5LzMwLzIwMTMJAAAAATBQBIqJRCXeCMMKWItEJd4IKkNJUS5DVlguSVFfRUJJVERBLklRX0NRLjkvMzAvMjAxOS5MLi5VU0QuSAEAAADKgAEAAgAAAAQ3MjcwAQgAAAAFAAAAATEBAAAACjIwNjg1Mzg0MDQDAAAA</t>
  </si>
  <si>
    <t>AzE2MAIAAAAENDA1MQQAAAABMAcAAAAJOS8zMC8yMDE5CAAAAAk5LzMwLzIwMTkJAAAAATApX8eKRCXeCCQje4tEJd4IK0NJUS5FT0cuSVFfRUJJVERBLklRX0NRLjEyLzMxLzIwMjMuTC4uVVNELkgBAAAAXB0EAAIAAAAEMzUxMwEIAAAABQAAAAExAQAAAAstMTk1Nzk2Njg1NQMAAAADMTYwAgAAAAQ0MDUxBAAAAAEwBwAAAAoxMi8zMS8yMDIzCAAAAAoxMi8zMS8yMDIzCQAAAAEw6iPaikQl3gh5ro6LRCXeCCpDSVEuWE9NLklRX0VCSVREQS5JUV9DUS4zLzMxLzIwMjMuTC4uVVNELkgBAAAAQjMGAAIAAAAFMTg4MjUBCAAAAAUAAAABMQEAAAALLTE5OTgwNTY1NTcDAAAAAzE2MAIAAAAENDA1MQQAAAABMAcAAAAJMy8zMS8yMDIzCAAAAAkzLzMxLzIwMjMJAAAAATDlStqKRCXeCBhTi4tEJd4IK0NJUS5FT0cuSVFfRUJJVERBLklRX0NRLjEyLzMxLzIwMjEuTC4uVVNELkgBAAAAXB0EAAIAAAAEMzY2MAEIAAAABQAAAAExAQAAAAstMjA1OTg0MTM2MQMAAAADMTYwAgAAAAQ0MDUxBAAAAAEwBwAAAAoxMi8zMS8yMDIxCAAAAAoxMi8zMS8yMDIxCQAAAAEw/unGikQl3ghhg4WLRCXeCCpDSVEuWE9NLklRX0VCSVREQS5JUV9DUS4zLzMxLzIwMjEuTC4uVVNELkgBAAAAQjMGAAIAAAAENzM4MQEIAAAABQAAAAExAQAAAAstMjA5ODYzMTIzOAMAAAADMTYwAgAAAAQ0MDUxBAAAAAEwBwAAAAkzLzMxLzIwMjEI</t>
  </si>
  <si>
    <t>AAAACTMvMzEvMjAyMQkAAAABMAkRx4pEJd4I6gCCi0Ql3ggrQ0lRLkVPRy5JUV9FQklUREEuSVFfQ1EuMTIvMzEvMjAxOS5MLi5VU0QuSAEAAABcHQQAAgAAAAgyMjIwLjg5MgEIAAAABQAAAAExAQAAAAoyMDgxNzg1NDMwAwAAAAMxNjACAAAABDQwNTEEAAAAATAHAAAACjEyLzMxLzIwMTkIAAAACjEyLzMxLzIwMTkJAAAAATAxOMeKRCXeCKNbfItEJd4IKkNJUS5YT00uSVFfRUJJVERBLklRX0NRLjMvMzEvMjAxOS5MLi5VU0QuSAEAAABCMwYAAgAAAAQ3MzMyAQgAAAAFAAAAATEBAAAACjIwMzM3NDM4ODADAAAAAzE2MAIAAAAENDA1MQQAAAABMAcAAAAJMy8zMS8yMDE5CAAAAAkzLzMxLzIwMTkJAAAAATApX8eKRCXeCB6yeItEJd4IK0NJUS5FT0cuSVFfRUJJVERBLklRX0NRLjEyLzMxLzIwMTcuTC4uVVNELkgBAAAAXB0EAAIAAAAIMTU3Ni4zMTkBCAAAAAUAAAABMQEAAAAKMTk0NzEwNjY0OAMAAAADMTYwAgAAAAQ0MDUxBAAAAAEwBwAAAAoxMi8zMS8yMDE3CAAAAAoxMi8zMS8yMDE3CQAAAAEwa1KKiUQl3gjE5XKLRCXeCCpDSVEuWE9NLklRX0VCSVREQS5JUV9DUS4zLzMxLzIwMTcuTC4uVVNELkgBAAAAQjMGAAIAAAAEODM4NgEIAAAABQAAAAExAQAAAAoxODg2NDc0NjU5AwAAAAMxNjACAAAABDQwNTEEAAAAATAHAAAACTMvMzEvMjAxNwgAAAAJMy8zMS8yMDE3CQAAAAEwenmKiUQl3gg0x26L</t>
  </si>
  <si>
    <t>RCXeCCtDSVEuRU9HLklRX0VCSVREQS5JUV9DUS4xMi8zMS8yMDE1LkwuLlVTRC5IAQAAAFwdBAACAAAABzYxMS41MzEBCAAAAAUAAAABMQEAAAAKMTgyOTQ1MDczNwMAAAADMTYwAgAAAAQ0MDUxBAAAAAEwBwAAAAoxMi8zMS8yMDE1CAAAAAoxMi8zMS8yMDE1CQAAAAEwjaCKiUQl3gjb12aLRCXeCCtDSVEuRU9HLklRX0VCSVREQS5JUV9DUS4xMi8zMS8yMDEzLkwuLlVTRC5IAQAAAFwdBAACAAAACDE5OTMuMDk0AQgAAAAFAAAAATEBAAAACjE3MjAzNDU5MDIDAAAAAzE2MAIAAAAENDA1MQQAAAABMAcAAAAKMTIvMzEvMjAxMwgAAAAKMTIvMzEvMjAxMwkAAAABMFAEiolEJd4IYpFZi0Ql3ggqQ0lRLlhPTS5JUV9FQklUREEuSVFfQ1EuMy8zMS8yMDEzLkwuLlVTRC5IAQAAAEIzBgACAAAABTE1MTkzAQgAAAAFAAAAATEBAAAACjE2NzU5NzY5NDUDAAAAAzE2MAIAAAAENDA1MQQAAAABMAcAAAAJMy8zMS8yMDEzCAAAAAkzLzMxLzIwMTMJAAAAATBuK4qJRCXeCFJhVItEJd4IK0NJUS5FT0cuSVFfRUJJVERBLklRX0NRLjEyLzMxLzIwMTEuTC4uVVNELkgBAAAAXB0EAAIAAAAIMTQ0NS43OTgBCAAAAAUAAAABMQEAAAAKMTU4ODg0NjQxMgMAAAADMTYwAgAAAAQ0MDUxBAAAAAEwBwAAAAoxMi8zMS8yMDExCAAAAAoxMi8zMS8yMDExCQAAAAEwq4eYiUQl3gif+E2LRCXeCCpDSVEuWE9NLklRX0VCSVREQS5J</t>
  </si>
  <si>
    <t>UV9DUS4zLzMxLzIwMTEuTC4uVVNELkgBAAAAQjMGAAIAAAAFMTc5NTQBCAAAAAUAAAABMQEAAAAKMTU0NTAzMDAyMgMAAAADMTYwAgAAAAQ0MDUxBAAAAAEwBwAAAAkzLzMxLzIwMTEIAAAACTMvMzEvMjAxMQkAAAABMNu9fIlEJd4I27xKi0Ql3ggqQ0lRLkNPUC5JUV9FQklUREEuSVFfQ1EuNi8zMC8yMDE0LkwuLlVTRC5IAQAAAE+GBAACAAAABDU4OTEBCAAAAAUAAAABMQEAAAAKMTc0ODY3ODM2NwMAAAADMTYwAgAAAAQ0MDUxBAAAAAEwBwAAAAk2LzMwLzIwMTQIAAAACTYvMzAvMjAxNAkAAAABMNu9fIlEJd4IzOxci0Ql3ggqQ0lRLkNWWC5JUV9FQklUREEuSVFfQ1EuMy8zMS8yMDEzLkwuLlVTRC5IAQAAAMqAAQACAAAABTExMjQxAQgAAAAFAAAAATEBAAAACjE2NzUwMTgyNTcDAAAAAzE2MAIAAAAENDA1MQQAAAABMAcAAAAJMy8zMS8yMDEzCAAAAAkzLzMxLzIwMTMJAAAAATBuK4qJRCXeCFOIVItEJd4IKkNJUS5FT0cuSVFfRUJJVERBLklRX0NRLjMvMzEvMjAyMy5MLi5VU0QuSAEAAABcHQQAAgAAAAQzMzM1AQgAAAAFAAAAATEBAAAACy0xOTk3MTY3NDk5AwAAAAMxNjACAAAABDQwNTEEAAAAATAHAAAACTMvMzEvMjAyMwgAAAAJMy8zMS8yMDIzCQAAAAEw5UraikQl3ggYU4uLRCXeCCpDSVEuRU9HLklRX0VCSVREQS5JUV9DUS4zLzMxLzIwMTUuTC4uVVNELkgBAAAAXB0EAAIAAAAHODA3LjYy</t>
  </si>
  <si>
    <t>MgEIAAAABQAAAAExAQAAAAoxNzg5NzExMzk2AwAAAAMxNjACAAAABDQwNTEEAAAAATAHAAAACTMvMzEvMjAxNQgAAAAJMy8zMS8yMDE1CQAAAAEwoceKiUQl3gjT9WGLRCXeCCpDSVEuQ1ZYLklRX0VCSVREQS5JUV9DUS42LzMwLzIwMjAuTC4uVVNELkgBAAAAyoABAAIAAAAFLTEyNzkBCAAAAAUAAAABMQEAAAALLTIxMzk3OTk5NDEDAAAAAzE2MAIAAAAENDA1MQQAAAABMAcAAAAJNi8zMC8yMDIwCAAAAAk2LzMwLzIwMjAJAAAAATAxOMeKRCXeCJKlfotEJd4IKkNJUS5DT1AuSVFfRUJJVERBLklRX0NRLjkvMzAvMjAxNS5MLi5VU0QuSAEAAABPhgQAAgAAAAQxMDc3AQgAAAAFAAAAATEBAAAACjE4MTU3NzI2ODgDAAAAAzE2MAIAAAAENDA1MQQAAAABMAcAAAAJOS8zMC8yMDE1CAAAAAk5LzMwLzIwMTUJAAAAATChx4qJRCXeCBkDZYtEJd4IKkNJUS5DVlguSVFfRUJJVERBLklRX0NRLjMvMzEvMjAyMy5MLi5VU0QuSAEAAADKgAEAAgAAAAUxMTU3MgEIAAAABQAAAAExAQAAAAstMTk4NDU3MzgwNAMAAAADMTYwAgAAAAQ0MDUxBAAAAAEwBwAAAAkzLzMxLzIwMjMIAAAACTMvMzEvMjAyMwkAAAABMOVK2opEJd4IGFOLi0Ql3ggqQ0lRLkNPUC5JUV9FQklUREEuSVFfQ1EuNi8zMC8yMDIyLkwuLlVTRC5IAQAAAE+GBAACAAAABDk0MDUBCAAAAAUAAAABMQEAAAALLTIwMjE0NzQ4NjADAAAAAzE2MAIAAAAE</t>
  </si>
  <si>
    <t>NDA1MQQAAAABMAcAAAAJNi8zMC8yMDIyCAAAAAk2LzMwLzIwMjIJAAAAATDlStqKRCXeCFPNh4tEJd4IKkNJUS5DVlguSVFfRUJJVERBLklRX0NRLjMvMzEvMjAyMS5MLi5VU0QuSAEAAADKgAEAAgAAAAQ1NjY5AQgAAAAFAAAAATEBAAAACy0yMDk4NTYzNzM4AwAAAAMxNjACAAAABDQwNTEEAAAAATAHAAAACTMvMzEvMjAyMQgAAAAJMy8zMS8yMDIxCQAAAAEwCRHHikQl3gjqAIKLRCXeCCpDSVEuQ09QLklRX0VCSVREQS5JUV9DUS42LzMwLzIwMjAuTC4uVVNELkgBAAAAT4YEAAIAAAADMTk5AQgAAAAFAAAAATEBAAAACy0yMTM5NzQ0MjE1AwAAAAMxNjACAAAABDQwNTEEAAAAATAHAAAACTYvMzAvMjAyMAgAAAAJNi8zMC8yMDIwCQAAAAEwMTjHikQl3giSpX6LRCXeCCpDSVEuQ1ZYLklRX0VCSVREQS5JUV9DUS4zLzMxLzIwMTkuTC4uVVNELkgBAAAAyoABAAIAAAAENzI2NQEIAAAABQAAAAExAQAAAAoyMDMzNzI4MjA5AwAAAAMxNjACAAAABDQwNTEEAAAAATAHAAAACTMvMzEvMjAxOQgAAAAJMy8zMS8yMDE5CQAAAAEwKV/HikQl3ggesniLRCXeCCpDSVEuQ09QLklRX0VCSVREQS5JUV9DUS42LzMwLzIwMTguTC4uVVNELkgBAAAAT4YEAAIAAAAEMzcyMQEIAAAABQAAAAExAQAAAAoxOTc1MTE1ODg0AwAAAAMxNjACAAAABDQwNTEEAAAAATAHAAAACTYvMzAvMjAxOAgAAAAJNi8zMC8yMDE4CQAAAAEw</t>
  </si>
  <si>
    <t>wG98iUQl3girL3WLRCXeCCpDSVEuQ1ZYLklRX0VCSVREQS5JUV9DUS4zLzMxLzIwMTcuTC4uVVNELkgBAAAAyoABAAIAAAAENTQ3NQEIAAAABQAAAAExAQAAAAoxODg2NjEzODI5AwAAAAMxNjACAAAABDQwNTEEAAAAATAHAAAACTMvMzEvMjAxNwgAAAAJMy8zMS8yMDE3CQAAAAEwenmKiUQl3gg0x26LRCXeCCpDSVEuQ09QLklRX0VCSVREQS5JUV9DUS42LzMwLzIwMTYuTC4uVVNELkgBAAAAT4YEAAIAAAAEMTEwOQEIAAAABQAAAAExAQAAAAoxODUxMjY2NTE4AwAAAAMxNjACAAAABDQwNTEEAAAAATAHAAAACTYvMzAvMjAxNggAAAAJNi8zMC8yMDE2CQAAAAEwjaCKiUQl3ggW5WmLRCXeCCpDSVEuQ1ZYLklRX0VCSVREQS5JUV9DUS4zLzMxLzIwMTUuTC4uVVNELkgBAAAAyoABAAIAAAAENTA2NgEIAAAABQAAAAExAQAAAAoxNzg5ODUxMTUyAwAAAAMxNjACAAAABDQwNTEEAAAAATAHAAAACTMvMzEvMjAxNQgAAAAJMy8zMS8yMDE1CQAAAAEwoceKiUQl3gjT9WGLRCXeCCpDSVEuQ09QLklRX0VCSVREQS5JUV9DUS42LzMwLzIwMTIuTC4uVVNELkgBAAAAT4YEAAIAAAAENTMyNQEIAAAABQAAAAExAQAAAAoxNjI5MTk1MjQyAwAAAAMxNjACAAAABDQwNTEEAAAAATAHAAAACTYvMzAvMjAxMggAAAAJNi8zMC8yMDEyCQAAAAEwmGCYiUQl3gijaVCLRCXeCCpDSVEuWE9NLklRX0VCSVREQS5JUV9DUS42LzMw</t>
  </si>
  <si>
    <t>LzIwMjQuTC4uVVNELkgBAAAAQjMGAAIAAAAFMTY2NDkBCAAAAAUAAAABMQEAAAALLTE5MzM0NDQxMTMDAAAAAzE2MAIAAAAENDA1MQQAAAABMAcAAAAJNi8zMC8yMDI0CAAAAAk2LzMwLzIwMjQJAAAAATDqI9qKRCXeCINGkYtEJd4IKkNJUS5YT00uSVFfRUJJVERBLklRX0NRLjYvMzAvMjAyMC5MLi5VU0QuSAEAAABCMwYAAgAAAAQ0MTAxAQgAAAAFAAAAATEBAAAACy0yMTQwMDcyMDM5AwAAAAMxNjACAAAABDQwNTEEAAAAATAHAAAACTYvMzAvMjAyMAgAAAAJNi8zMC8yMDIwCQAAAAEwMTjHikQl3giSpX6LRCXeCCpDSVEuRU9HLklRX0VCSVREQS5JUV9DUS4zLzMxLzIwMTkuTC4uVVNELkgBAAAAXB0EAAIAAAAIMTc1OS45NjEBCAAAAAUAAAABMQEAAAAKMjAzNDAxOTUxNwMAAAADMTYwAgAAAAQ0MDUxBAAAAAEwBwAAAAkzLzMxLzIwMTkIAAAACTMvMzEvMjAxOQkAAAABMClfx4pEJd4IHrJ4i0Ql3ggqQ0lRLlhPTS5JUV9FQklUREEuSVFfQ1EuNi8zMC8yMDE4LkwuLlVTRC5IAQAAAEIzBgACAAAABDkyMDMBCAAAAAUAAAABMQEAAAAKMTk3NDUyNjMzMAMAAAADMTYwAgAAAAQ0MDUxBAAAAAEwBwAAAAk2LzMwLzIwMTgIAAAACTYvMzAvMjAxOAkAAAABMMBvfIlEJd4Iqy91i0Ql3ggqQ0lRLkNWWC5JUV9FQklUREEuSVFfQ1EuNi8zMC8yMDE0LkwuLlVTRC5IAQAAAMqAAQACAAAABTEwNTE0AQgAAAAF</t>
  </si>
  <si>
    <t>AAAAATEBAAAACjE3NDg4NTUzNDYDAAAAAzE2MAIAAAAENDA1MQQAAAABMAcAAAAJNi8zMC8yMDE0CAAAAAk2LzMwLzIwMTQJAAAAATDbvXyJRCXeCMzsXItEJd4IKkNJUS5DVlguSVFfRUJJVERBLklRX0NRLjMvMzEvMjAyNS5MLi5VU0QuSAEAAADKgAEAAgAAAAQ4NTY3AQgAAAAFAAAAATEBAAAACy0xOTMyNTkwNDU4AwAAAAMxNjACAAAABDQwNTEEAAAAATAHAAAACTMvMzEvMjAyNQgAAAAJMy8zMS8yMDI1CQAAAAEw6iPaikQl3ggXNZCLRCXeCCpDSVEuQ09QLklRX0VCSVREQS5JUV9DUS42LzMwLzIwMjQuTC4uVVNELkgBAAAAT4YEAAIAAAAENjEyNQEIAAAABQAAAAExAQAAAAstMTkzMjg1ODg4MwMAAAADMTYwAgAAAAQ0MDUxBAAAAAEwBwAAAAk2LzMwLzIwMjQIAAAACTYvMzAvMjAyNAkAAAABMOoj2opEJd4Ig0aRi0Ql3ggqQ0lRLkVPRy5JUV9FQklUREEuSVFfQ1EuNi8zMC8yMDIyLkwuLlVTRC5IAQAAAFwdBAACAAAABDM4MDgBCAAAAAUAAAABMQEAAAALLTIwMzU3NTQ5NTkDAAAAAzE2MAIAAAAENDA1MQQAAAABMAcAAAAJNi8zMC8yMDIyCAAAAAk2LzMwLzIwMjIJAAAAATDlStqKRCXeCFz0h4tEJd4IKkNJUS5DVlguSVFfRUJJVERBLklRX0NRLjkvMzAvMjAyMS5MLi5VU0QuSAEAAADKgAEAAgAAAAUxMDM2NwEIAAAABQAAAAExAQAAAAstMjA3MjEyNDAzMQMAAAADMTYwAgAAAAQ0MDUxBAAA</t>
  </si>
  <si>
    <t>AAEwBwAAAAk5LzMwLzIwMjEIAAAACTkvMzAvMjAyMQkAAAABMP7pxopEJd4I4kqEi0Ql3ggqQ0lRLlhPTS5JUV9FQklUREEuSVFfQ1EuOS8zMC8yMDE5LkwuLlVTRC5IAQAAAEIzBgACAAAABDg2MzABCAAAAAUAAAABMQEAAAAKMjA2ODI3MjgxNQMAAAADMTYwAgAAAAQ0MDUxBAAAAAEwBwAAAAk5LzMwLzIwMTkIAAAACTkvMzAvMjAxOQkAAAABMClfx4pEJd4IJCN7i0Ql3ggqQ0lRLkVPRy5JUV9FQklUREEuSVFfQ1EuNi8zMC8yMDE0LkwuLlVTRC5IAQAAAFwdBAACAAAACDIxNzYuNTExAQgAAAAFAAAAATEBAAAACjE3NDk3Mjc5OTADAAAAAzE2MAIAAAAENDA1MQQAAAABMAcAAAAJNi8zMC8yMDE0CAAAAAk2LzMwLzIwMTQJAAAAATDbvXyJRCXeCMzsXItEJd4IKkNJUS5YT00uSVFfRUJJVERBLklRX0NRLjkvMzAvMjAxMS5MLi5VU0QuSAEAAABCMwYAAgAAAAUxNzc4OQEIAAAABQAAAAExAQAAAAoxNTc0NzM0ODIyAwAAAAMxNjACAAAABDQwNTEEAAAAATAHAAAACTkvMzAvMjAxMQgAAAAJOS8zMC8yMDExCQAAAAEwq4eYiUQl3ggw50yLRCXeCCpDSVEuQ1ZYLklRX0VCSVREQS5JUV9DUS45LzMwLzIwMjMuTC4uVVNELkgBAAAAyoABAAIAAAAFMTE1NjQBCAAAAAUAAAABMQEAAAALLTE5NzAxMjE5MzYDAAAAAzE2MAIAAAAENDA1MQQAAAABMAcAAAAJOS8zMC8yMDIzCAAAAAk5LzMwLzIwMjMJAAAAATDq</t>
  </si>
  <si>
    <t>I9qKRCXeCPh1jYtEJd4IK0NJUS5YT00uSVFfRUJJVERBLklRX0NRLjEyLzMxLzIwMjQuTC4uVVNELkgBAAAAQjMGAAIAAAAFMTU2NDgBCAAAAAUAAAABMQEAAAALLTE5NTg5NTM2MzEDAAAAAzE2MAIAAAAENDA1MQQAAAABMAcAAAAKMTIvMzEvMjAyNAgAAAAKMTIvMzEvMjAyNAkAAAABMOoj2opEJd4IgdWOi0Ql3ggqQ0lRLkVPRy5JUV9FQklUREEuSVFfQ1EuOS8zMC8yMDIzLkwuLlVTRC5IAQAAAFwdBAACAAAABDM0NzQBCAAAAAUAAAABMQEAAAALLTE5NzAyMzUwNzcDAAAAAzE2MAIAAAAENDA1MQQAAAABMAcAAAAJOS8zMC8yMDIzCAAAAAk5LzMwLzIwMjMJAAAAATDqI9qKRCXeCAKdjYtEJd4IK0NJUS5YT00uSVFfRUJJVERBLklRX0NRLjEyLzMxLzIwMjIuTC4uVVNELkgBAAAAQjMGAAIAAAAFMTc5NzQBCAAAAAUAAAABMQEAAAALLTIwMDc4MzI2MjQDAAAAAzE2MAIAAAAENDA1MQQAAAABMAcAAAAKMTIvMzEvMjAyMggAAAAKMTIvMzEvMjAyMgkAAAABMOVK2opEJd4IQReKi0Ql3ggqQ0lRLkVPRy5JUV9FQklUREEuSVFfQ1EuOS8zMC8yMDIxLkwuLlVTRC5IAQAAAFwdBAACAAAABDI0NzkBCAAAAAUAAAABMQEAAAALLTIwNzIxNzM2MTMDAAAAAzE2MAIAAAAENDA1MQQAAAABMAcAAAAJOS8zMC8yMDIxCAAAAAk5LzMwLzIwMjEJAAAAATD+6caKRCXeCOJKhItEJd4IK0NJUS5YT00uSVFfRUJJVERB</t>
  </si>
  <si>
    <t>LklRX0NRLjEyLzMxLzIwMjAuTC4uVVNELkgBAAAAQjMGAAIAAAAENDA3OQEIAAAABQAAAAExAQAAAAstMjExMTA3MzgxNgMAAAADMTYwAgAAAAQ0MDUxBAAAAAEwBwAAAAoxMi8zMS8yMDIwCAAAAAoxMi8zMS8yMDIwCQAAAAEwCRHHikQl3giC74CLRCXeCCpDSVEuRU9HLklRX0VCSVREQS5JUV9DUS45LzMwLzIwMTkuTC4uVVNELkgBAAAAXB0EAAIAAAAIMTc4Mi4wNzkBCAAAAAUAAAABMQEAAAAKMjA2ODQzMTAxOQMAAAADMTYwAgAAAAQ0MDUxBAAAAAEwBwAAAAk5LzMwLzIwMTkIAAAACTkvMzAvMjAxOQkAAAABMClfx4pEJd4IMUp7i0Ql3ggrQ0lRLlhPTS5JUV9FQklUREEuSVFfQ1EuMTIvMzEvMjAxOC5MLi5VU0QuSAEAAABCMwYAAgAAAAQ5NzIyAQgAAAAFAAAAATEBAAAACjIwMTczODExNTYDAAAAAzE2MAIAAAAENDA1MQQAAAABMAcAAAAKMTIvMzEvMjAxOAgAAAAKMTIvMzEvMjAxOAkAAAABMClfx4pEJd4Ir3l3i0Ql3ggqQ0lRLkVPRy5JUV9FQklUREEuSVFfQ1EuOS8zMC8yMDE3LkwuLlVTRC5IAQAAAFwdBAACAAAACDExMjIuOTM3AQgAAAAFAAAAATEBAAAACjE5MTc3MjQ1OTADAAAAAzE2MAIAAAAENDA1MQQAAAABMAcAAAAJOS8zMC8yMDE3CAAAAAk5LzMwLzIwMTcJAAAAATBrUoqJRCXeCEStcYtEJd4IK0NJUS5YT00uSVFfRUJJVERBLklRX0NRLjEyLzMxLzIwMTYuTC4uVVNELkgBAAAA</t>
  </si>
  <si>
    <t>QjMGAAIAAAAENTkxOQEIAAAABQAAAAExAQAAAAoxODc3MjMzNjE2AwAAAAMxNjACAAAABDQwNTEEAAAAATAHAAAACjEyLzMxLzIwMTYIAAAACjEyLzMxLzIwMTYJAAAAATB6eYqJRCXeCGgZbYtEJd4IKkNJUS5FT0cuSVFfRUJJVERBLklRX0NRLjkvMzAvMjAxNS5MLi5VU0QuSAEAAABcHQQAAgAAAAY4MDcuODIBCAAAAAUAAAABMQEAAAAKMTgxNjAxNjE3NgMAAAADMTYwAgAAAAQ0MDUxBAAAAAEwBwAAAAk5LzMwLzIwMTUIAAAACTkvMzAvMjAxNQkAAAABMKHHiolEJd4IJipli0Ql3ggrQ0lRLlhPTS5JUV9FQklUREEuSVFfQ1EuMTIvMzEvMjAxNC5MLi5VU0QuSAEAAABCMwYAAgAAAAQ5OTYwAQgAAAAFAAAAATEBAAAACjE3Nzc2MzQ4ODUDAAAAAzE2MAIAAAAENDA1MQQAAAABMAcAAAAKMTIvMzEvMjAxNAgAAAAKMTIvMzEvMjAxNAkAAAABMMiWfIlEJd4ILUhgi0Ql3ggqQ0lRLkVPRy5JUV9FQklUREEuSVFfQ1EuOS8zMC8yMDEzLkwuLlVTRC5IAQAAAFwdBAACAAAACDE3NzYuMzAzAQgAAAAFAAAAATEBAAAACjE3MDQ2MjkxMDIDAAAAAzE2MAIAAAAENDA1MQQAAAABMAcAAAAJOS8zMC8yMDEzCAAAAAk5LzMwLzIwMTMJAAAAATBQBIqJRCXeCMMKWItEJd4IK0NJUS5YT00uSVFfRUJJVERBLklRX0NRLjEyLzMxLzIwMTIuTC4uVVNELkgBAAAAQjMGAAIAAAAFMTYzODMBCAAAAAUAAAABMQEAAAAKMTY2</t>
  </si>
  <si>
    <t>MDQ3MzkxNwMAAAADMTYwAgAAAAQ0MDUxBAAAAAEwBwAAAAoxMi8zMS8yMDEyCAAAAAoxMi8zMS8yMDEyCQAAAAEwbiuKiUQl3gics1KLRCXeCCpDSVEuRU9HLklRX0VCSVREQS5JUV9DUS45LzMwLzIwMTEuTC4uVVNELkgBAAAAXB0EAAIAAAAIMTQ3Ny42NzcBCAAAAAUAAAABMQEAAAAKMTU3NDM5MDYwMAMAAAADMTYwAgAAAAQ0MDUxBAAAAAEwBwAAAAk5LzMwLzIwMTEIAAAACTkvMzAvMjAxMQkAAAABMKuHmIlEJd4IMOdMi0Ql3ggrQ0lRLlhPTS5JUV9FQklUREEuSVFfQ1EuMTIvMzEvMjAxMC5MLi5VU0QuSAEAAABCMwYAAgAAAAUxNTU2MwEIAAAABQAAAAExAQAAAAoxNTIzODA3NDA1AwAAAAMxNjACAAAABDQwNTEEAAAAATAHAAAACjEyLzMxLzIwMTAIAAAACjEyLzMxLzIwMTAJAAAAATDn5HyJRCXeCO9XSYtEJd4IKkNJUS5YT00uSVFfRUJJVERBLklRX0NRLjYvMzAvMjAxMC5MLi5VU0QuSAEAAABCMwYAAgAAAAUxMzMxOQEIAAAABQAAAAExAQAAAAoxNDY1MDA0MTg2AwAAAAMxNjACAAAABDQwNTEEAAAAATAHAAAACTYvMzAvMjAxMAgAAAAJNi8zMC8yMDEwCQAAAAEw5+R8iUQl3ghfBUeLRCXeCCpDSVEuQ1ZYLklRX0VCSVREQS5JUV9DUS42LzMwLzIwMjIuTC4uVVNELkgBAAAAyoABAAIAAAAFMTczNjgBCAAAAAUAAAABMQEAAAALLTIwMjE0MDg0MzIDAAAAAzE2MAIAAAAENDA1MQQAAAABMAcA</t>
  </si>
  <si>
    <t>AAAJNi8zMC8yMDIyCAAAAAk2LzMwLzIwMjIJAAAAATDlStqKRCXeCFPNh4tEJd4IKkNJUS5DVlguSVFfRUJJVERBLklRX0NRLjYvMzAvMjAxOC5MLi5VU0QuSAEAAADKgAEAAgAAAAQ3ODc2AQgAAAAFAAAAATEBAAAACjE5NzQ1MjYzNjkDAAAAAzE2MAIAAAAENDA1MQQAAAABMAcAAAAJNi8zMC8yMDE4CAAAAAk2LzMwLzIwMTgJAAAAATDAb3yJRCXeCKsvdYtEJd4IKkNJUS5YT00uSVFfRUJJVERBLklRX0NRLjkvMzAvMjAyMy5MLi5VU0QuSAEAAABCMwYAAgAAAAUxNjA5MwEIAAAABQAAAAExAQAAAAstMTk3MDc1NTM0NAMAAAADMTYwAgAAAAQ0MDUxBAAAAAEwBwAAAAk5LzMwLzIwMjMIAAAACTkvMzAvMjAyMwkAAAABMOoj2opEJd4I+HWNi0Ql3ggqQ0lRLkVPRy5JUV9FQklUREEuSVFfQ1EuNi8zMC8yMDE2LkwuLlVTRC5IAQAAAFwdBAACAAAABzY4Mi41ODIBCAAAAAUAAAABMQEAAAAKMTg1MTI5NzYxOAMAAAADMTYwAgAAAAQ0MDUxBAAAAAEwBwAAAAk2LzMwLzIwMTYIAAAACTYvMzAvMjAxNgkAAAABMI2giolEJd4IFuVpi0Ql3ggrQ0lRLkNPUC5JUV9FQklUREEuSVFfQ1EuMTIvMzEvMjAyMi5MLi5VU0QuSAEAAABPhgQAAgAAAAQ3MzkxAQgAAAAFAAAAATEBAAAACy0yMDEwMTI1MDEyAwAAAAMxNjACAAAABDQwNTEEAAAAATAHAAAACjEyLzMxLzIwMjIIAAAACjEyLzMxLzIwMjIJAAAAATDlStqK</t>
  </si>
  <si>
    <t>RCXeCEEXiotEJd4IK0NJUS5DT1AuSVFfRUJJVERBLklRX0NRLjEyLzMxLzIwMTYuTC4uVVNELkgBAAAAT4YEAAIAAAAEMTk0MQEIAAAABQAAAAExAQAAAAoxODc1MjgwMjk3AwAAAAMxNjACAAAABDQwNTEEAAAAATAHAAAACjEyLzMxLzIwMTYIAAAACjEyLzMxLzIwMTYJAAAAATB6eYqJRCXeCGgZbYtEJd4IK0NJUS5DVlguSVFfRUJJVERBLklRX0NRLjEyLzMxLzIwMjAuTC4uVVNELkgBAAAAyoABAAIAAAAEMzk5NgEIAAAABQAAAAExAQAAAAstMjExMDg4MjgyMAMAAAADMTYwAgAAAAQ0MDUxBAAAAAEwBwAAAAoxMi8zMS8yMDIwCAAAAAoxMi8zMS8yMDIwCQAAAAEwCRHHikQl3giC74CLRCXeCCtDSVEuQ1ZYLklRX0VCSVREQS5JUV9DUS4xMi8zMS8yMDE2LkwuLlVTRC5IAQAAAMqAAQACAAAABDM1MzcBCAAAAAUAAAABMQEAAAAKMTg3NTY3NjI0MQMAAAADMTYwAgAAAAQ0MDUxBAAAAAEwBwAAAAoxMi8zMS8yMDE2CAAAAAoxMi8zMS8yMDE2CQAAAAEwenmKiUQl3ghoGW2LRCXeCCtDSVEuQ1ZYLklRX0VCSVREQS5JUV9DUS4xMi8zMS8yMDE0LkwuLlVTRC5IAQAAAMqAAQACAAAABDY1ODYBCAAAAAUAAAABMQEAAAAKMTc3Nzk3MzUwNwMAAAADMTYwAgAAAAQ0MDUxBAAAAAEwBwAAAAoxMi8zMS8yMDE0CAAAAAoxMi8zMS8yMDE0CQAAAAEwyJZ8iUQl3ggtSGCLRCXeCCtDSVEuQ1ZYLklRX0VCSVREQS5J</t>
  </si>
  <si>
    <t>UV9DUS4xMi8zMS8yMDEyLkwuLlVTRC5IAQAAAMqAAQACAAAABTExMjI1AQgAAAAFAAAAATEBAAAACjE2NTk0MjA4MDMDAAAAAzE2MAIAAAAENDA1MQQAAAABMAcAAAAKMTIvMzEvMjAxMggAAAAKMTIvMzEvMjAxMgkAAAABMG4riolEJd4IptpSi0Ql3ggqQ0lRLkNPUC5JUV9FQklUREEuSVFfQ1EuMy8zMS8yMDEyLkwuLlVTRC5IAQAAAE+GBAACAAAABDU4MTcBCAAAAAUAAAABMQEAAAAKMTYxNDk3ODQ1MQMAAAADMTYwAgAAAAQ0MDUxBAAAAAEwBwAAAAkzLzMxLzIwMTIIAAAACTMvMzEvMjAxMgkAAAABMJhgmIlEJd4IITFPi0Ql3ggrQ0lRLkNWWC5JUV9FQklUREEuSVFfQ1EuMTIvMzEvMjAxMC5MLi5VU0QuSAEAAADKgAEAAgAAAAUxMDAzNAEIAAAABQAAAAExAQAAAAoxNTE5NTY3Mjc3AwAAAAMxNjACAAAABDQwNTEEAAAAATAHAAAACjEyLzMxLzIwMTAIAAAACjEyLzMxLzIwMTAJAAAAATDn5HyJRCXeCO9XSYtEJd4IKkNJUS5DT1AuSVFfRUJJVERBLklRX0NRLjMvMzEvMjAxMC5MLi5VU0QuSAEAAABPhgQAAgAAAAQ2ODY2AQgAAAAFAAAAATEBAAAACjE0NTEwNzI1NTQDAAAAAzE2MAIAAAAENDA1MQQAAAABMAcAAAAJMy8zMS8yMDEwCAAAAAkzLzMxLzIwMTAJAAAAATD1C32JRCXeCPnzRYtEJd4IK0NJUS5FT0cuSVFfRUJJVERBLklRX0NRLjEyLzMxLzIwMjAuTC4uVVNELkgBAAAAXB0EAAIAAAAE</t>
  </si>
  <si>
    <t>MTUwNwEIAAAABQAAAAExAQAAAAstMjExMDU5MTE4NAMAAAADMTYwAgAAAAQ0MDUxBAAAAAEwBwAAAAoxMi8zMS8yMDIwCAAAAAoxMi8zMS8yMDIwCQAAAAEwCRHHikQl3giC74CLRCXeCCpDSVEuWE9NLklRX0VCSVREQS5JUV9DUS4zLzMxLzIwMTguTC4uVVNELkgBAAAAQjMGAAIAAAAEOTEzOQEIAAAABQAAAAExAQAAAAoxOTU5NDk2Mzk3AwAAAAMxNjACAAAABDQwNTEEAAAAATAHAAAACTMvMzEvMjAxOAgAAAAJMy8zMS8yMDE4CQAAAAEw9Qt9iUQl3ggo93OLRCXeCCtDSVEuQ1ZYLklRX0VCSVREQS5JUV9DUS4xMi8zMS8yMDI0LkwuLlVTRC5IAQAAAMqAAQACAAAABTEwMDc0AQgAAAAFAAAAATEBAAAACy0xOTU4NzU3NjAwAwAAAAMxNjACAAAABDQwNTEEAAAAATAHAAAACjEyLzMxLzIwMjQIAAAACjEyLzMxLzIwMjQJAAAAATDqI9qKRCXeCIHVjotEJd4IKkNJUS5DT1AuSVFfRUJJVERBLklRX0NRLjMvMzEvMjAyNC5MLi5VU0QuSAEAAABPhgQAAgAAAAQ1OTk2AQgAAAAFAAAAATEBAAAACy0xOTQ0OTQ2ODA0AwAAAAMxNjACAAAABDQwNTEEAAAAATAHAAAACTMvMzEvMjAyNAgAAAAJMy8zMS8yMDI0CQAAAAEw6iPaikQl3ggDDpCLRCXeCCtDSVEuQ1ZYLklRX0VCSVREQS5JUV9DUS4xMi8zMS8yMDIyLkwuLlVTRC5IAQAAAMqAAQACAAAABTEzMDU4AQgAAAAFAAAAATEBAAAACy0yMDA4NTU3NDg4AwAA</t>
  </si>
  <si>
    <t>AAMxNjACAAAABDQwNTEEAAAAATAHAAAACjEyLzMxLzIwMjIIAAAACjEyLzMxLzIwMjIJAAAAATDlStqKRCXeCEEXiotEJd4IKkNJUS5DT1AuSVFfRUJJVERBLklRX0NRLjMvMzEvMjAyMi5MLi5VU0QuSAEAAABPhgQAAgAAAAQ4NzM3AQgAAAAFAAAAATEBAAAACy0yMDQ3MjUxNzQ4AwAAAAMxNjACAAAABDQwNTEEAAAAATAHAAAACTMvMzEvMjAyMggAAAAJMy8zMS8yMDIyCQAAAAEw5UraikQl3gjdu4aLRCXeCCpDSVEuQ09QLklRX0VCSVREQS5JUV9DUS4zLzMxLzIwMjAuTC4uVVNELkgBAAAAT4YEAAIAAAAEMjA5NgEIAAAABQAAAAExAQAAAAoyMDk2Mzc3OTU2AwAAAAMxNjACAAAABDQwNTEEAAAAATAHAAAACTMvMzEvMjAyMAgAAAAJMy8zMS8yMDIwCQAAAAEwMTjHikQl3ggMbX2LRCXeCCtDSVEuQ1ZYLklRX0VCSVREQS5JUV9DUS4xMi8zMS8yMDE4LkwuLlVTRC5IAQAAAMqAAQACAAAABDg2NjEBCAAAAAUAAAABMQEAAAAKMjAxNjM0OTkxOQMAAAADMTYwAgAAAAQ0MDUxBAAAAAEwBwAAAAoxMi8zMS8yMDE4CAAAAAoxMi8zMS8yMDE4CQAAAAEwKV/HikQl3giveXeLRCXeCCpDSVEuQ09QLklRX0VCSVREQS5JUV9DUS4zLzMxLzIwMTguTC4uVVNELkgBAAAAT4YEAAIAAAAEMzY3OAEIAAAABQAAAAExAQAAAAoxOTU5NDc3MjQwAwAAAAMxNjACAAAABDQwNTEEAAAAATAHAAAACTMvMzEvMjAxOAgAAAAJ</t>
  </si>
  <si>
    <t>My8zMS8yMDE4CQAAAAEw9Qt9iUQl3ggo93OLRCXeCCpDSVEuQ09QLklRX0VCSVREQS5JUV9DUS4zLzMxLzIwMTYuTC4uVVNELkgBAAAAT4YEAAIAAAADNTk0AQgAAAAFAAAAATEBAAAACjE4NDA0MjUwNzkDAAAAAzE2MAIAAAAENDA1MQQAAAABMAcAAAAJMy8zMS8yMDE2CAAAAAkzLzMxLzIwMTYJAAAAATCNoIqJRCXeCGQ3aItEJd4IKkNJUS5DT1AuSVFfRUJJVERBLklRX0NRLjMvMzEvMjAxNC5MLi5VU0QuSAEAAABPhgQAAgAAAAQ1ODE3AQgAAAAFAAAAATEBAAAACjE3MzI1Nzk0MjkDAAAAAzE2MAIAAAAENDA1MQQAAAABMAcAAAAJMy8zMS8yMDE0CAAAAAkzLzMxLzIwMTQJAAAAATDbvXyJRCXeCBk/W4tEJd4IKkNJUS5YT00uSVFfRUJJVERBLklRX0NRLjMvMzEvMjAyMC5MLi5VU0QuSAEAAABCMwYAAgAAAAQ1MDM1AQgAAAAFAAAAATEBAAAACjIwOTU2OTc0OTUDAAAAAzE2MAIAAAAENDA1MQQAAAABMAcAAAAJMy8zMS8yMDIwCAAAAAkzLzMxLzIwMjAJAAAAATAxOMeKRCXeCAxtfYtEJd4IK0NJUS5FT0cuSVFfRUJJVERBLklRX0NRLjEyLzMxLzIwMTguTC4uVVNELkgBAAAAXB0EAAIAAAAIMjE0NS4yODYBCAAAAAUAAAABMQEAAAAKMjAxODE2OTAxNgMAAAADMTYwAgAAAAQ0MDUxBAAAAAEwBwAAAAoxMi8zMS8yMDE4CAAAAAoxMi8zMS8yMDE4CQAAAAEwKV/HikQl3giveXeLRCXeCCtDSVEuRU9H</t>
  </si>
  <si>
    <t>LklRX0VCSVREQS5JUV9DUS4xMi8zMS8yMDE2LkwuLlVTRC5IAQAAAFwdBAACAAAABzkzMS45NDkBCAAAAAUAAAABMQEAAAAKMTg3Njc1NDQ5OQMAAAADMTYwAgAAAAQ0MDUxBAAAAAEwBwAAAAoxMi8zMS8yMDE2CAAAAAoxMi8zMS8yMDE2CQAAAAEwenmKiUQl3ghoGW2LRCXeCCtDSVEuRU9HLklRX0VCSVREQS5JUV9DUS4xMi8zMS8yMDE0LkwuLlVTRC5IAQAAAFwdBAACAAAACDIzNDQuMzI5AQgAAAAFAAAAATEBAAAACjE3Nzc3NTYzNTcDAAAAAzE2MAIAAAAENDA1MQQAAAABMAcAAAAKMTIvMzEvMjAxNAgAAAAKMTIvMzEvMjAxNAkAAAABMMiWfIlEJd4ILUhgi0Ql3ggrQ0lRLkVPRy5JUV9FQklUREEuSVFfQ1EuMTIvMzEvMjAxMi5MLi5VU0QuSAEAAABcHQQAAgAAAAgxNDg0LjI1MwEIAAAABQAAAAExAQAAAAoxNjYwMDQ0MzAwAwAAAAMxNjACAAAABDQwNTEEAAAAATAHAAAACjEyLzMxLzIwMTIIAAAACjEyLzMxLzIwMTIJAAAAATBuK4qJRCXeCKbaUotEJd4IKkNJUS5YT00uSVFfRUJJVERBLklRX0NRLjMvMzEvMjAxMi5MLi5VU0QuSAEAAABCMwYAAgAAAAUxNjYwMAEIAAAABQAAAAExAQAAAAoxNjE1MDQ3ODQzAwAAAAMxNjACAAAABDQwNTEEAAAAATAHAAAACTMvMzEvMjAxMggAAAAJMy8zMS8yMDEyCQAAAAEwmGCYiUQl3gghMU+LRCXeCCtDSVEuRU9HLklRX0VCSVREQS5JUV9DUS4xMi8zMS8y</t>
  </si>
  <si>
    <t>MDEwLkwuLlVTRC5IAQAAAFwdBAACAAAABzgwNy4wODUBCAAAAAUAAAABMQEAAAAKMTU2MjE3NjY1MQMAAAADMTYwAgAAAAQ0MDUxBAAAAAEwBwAAAAoxMi8zMS8yMDEwCAAAAAoxMi8zMS8yMDEwCQAAAAEw5+R8iUQl3gjvV0mLRCXeCCpDSVEuWE9NLklRX0VCSVREQS5JUV9DUS4zLzMxLzIwMTAuTC4uVVNELkgBAAAAQjMGAAIAAAAFMTIxODkBCAAAAAUAAAABMQEAAAAKMTQ1MTE5NTc4MwMAAAADMTYwAgAAAAQ0MDUxBAAAAAEwBwAAAAkzLzMxLzIwMTAIAAAACTMvMzEvMjAxMAkAAAABMPULfYlEJd4I+fNFi0Ql3ggqQ0lRLkNPUC5JUV9FQklUREEuSVFfQ1EuOS8zMC8yMDEyLkwuLlVTRC5IAQAAAE+GBAACAAAABDUzNTQBCAAAAAUAAAABMQEAAAAKMTY0MzQ3Mjg5NgMAAAADMTYwAgAAAAQ0MDUxBAAAAAEwBwAAAAk5LzMwLzIwMTIIAAAACTkvMzAvMjAxMgkAAAABMG4riolEJd4IMKJRi0Ql3ggqQ0lRLkNWWC5JUV9FQklUREEuSVFfQ1EuNi8zMC8yMDExLkwuLlVTRC5IAQAAAMqAAQACAAAABTE0MTg3AQgAAAAFAAAAATEBAAAACjE1NTczOTY3NTMDAAAAAzE2MAIAAAAENDA1MQQAAAABMAcAAAAJNi8zMC8yMDExCAAAAAk2LzMwLzIwMTEJAAAAATCrh5iJRCXeCEeqS4tEJd4IK0NJUS5DT1AuSVFfRUJJVERBLklRX0NRLjEyLzMxLzIwMjAuTC4uVVNELkgBAAAAT4YEAAIAAAAEMTMzMAEIAAAABQAA</t>
  </si>
  <si>
    <t>AAExAQAAAAstMjExMTY0MzMyMgMAAAADMTYwAgAAAAQ0MDUxBAAAAAEwBwAAAAoxMi8zMS8yMDIwCAAAAAoxMi8zMS8yMDIwCQAAAAEwCRHHikQl3giC74CLRCXeCCpDSVEuQ1ZYLklRX0VCSVREQS5JUV9DUS45LzMwLzIwMTUuTC4uVVNELkgBAAAAyoABAAIAAAAENTUwOQEIAAAABQAAAAExAQAAAAoxODE2MjMwMTAzAwAAAAMxNjACAAAABDQwNTEEAAAAATAHAAAACTkvMzAvMjAxNQgAAAAJOS8zMC8yMDE1CQAAAAEwoceKiUQl3ggmKmWLRCXeCCpDSVEuQ1ZYLklRX0VCSVREQS5JUV9DUS45LzMwLzIwMTEuTC4uVVNELkgBAAAAyoABAAIAAAAFMTMzODQBCAAAAAUAAAABMQEAAAAKMTU3NDczNDYwNgMAAAADMTYwAgAAAAQ0MDUxBAAAAAEwBwAAAAk5LzMwLzIwMTEIAAAACTkvMzAvMjAxMQkAAAABMKuHmIlEJd4IMOdMi0Ql3ggrQ0lRLkVPRy5JUV9FQklUREEuSVFfQ1EuMTIvMzEvMjAyNC5MLi5VU0QuSAEAAABcHQQAAgAAAAQyOTEwAQgAAAAFAAAAATEBAAAACy0xOTU3OTY2ODUyAwAAAAMxNjACAAAABDQwNTEEAAAAATAHAAAACjEyLzMxLzIwMjQIAAAACjEyLzMxLzIwMjQJAAAAATDqI9qKRCXeCIHVjotEJd4IKkNJUS5YT00uSVFfRUJJVERBLklRX0NRLjMvMzEvMjAyNC5MLi5VU0QuSAEAAABCMwYAAgAAAAUxNDczMAEIAAAABQAAAAExAQAAAAstMTk0NjE1ODgwNgMAAAADMTYwAgAAAAQ0MDUx</t>
  </si>
  <si>
    <t>BAAAAAEwBwAAAAkzLzMxLzIwMjQIAAAACTMvMzEvMjAyNAkAAAABMOoj2opEJd4IAw6Qi0Ql3ggrQ0lRLkVPRy5JUV9FQklUREEuSVFfQ1EuMTIvMzEvMjAyMi5MLi5VU0QuSAEAAABcHQQAAgAAAAQzODc1AQgAAAAFAAAAATEBAAAACy0yMDA5MjM3MjE5AwAAAAMxNjACAAAABDQwNTEEAAAAATAHAAAACjEyLzMxLzIwMjIIAAAACjEyLzMxLzIwMjIJAAAAATDlStqKRCXeCEEXiotEJd4IKkNJUS5YT00uSVFfRUJJVERBLklRX0NRLjMvMzEvMjAyMi5MLi5VU0QuSAEAAABCMwYAAgAAAAUxNTA4OQEIAAAABQAAAAExAQAAAAstMjA0Nzg5ODE5OQMAAAADMTYwAgAAAAQ0MDUxBAAAAAEwBwAAAAkzLzMxLzIwMjIIAAAACTMvMzEvMjAyMgkAAAABMOVK2opEJd4I3buGi0Ql3ggqQ0lRLlhPTS5JUV9FQklUREEuSVFfQ1EuMy8zMS8yMDE2LkwuLlVTRC5IAQAAAEIzBgACAAAABDQ5NzABCAAAAAUAAAABMQEAAAAKMTg4NjQ3NjgwMgMAAAADMTYwAgAAAAQ0MDUxBAAAAAEwBwAAAAkzLzMxLzIwMTYIAAAACTMvMzEvMjAxNgkAAAABMI2giolEJd4IZDdoi0Ql3ggqQ0lRLlhPTS5JUV9FQklUREEuSVFfQ1EuMy8zMS8yMDE0LkwuLlVTRC5IAQAAAEIzBgACAAAABTE0NDcyAQgAAAAFAAAAATEBAAAACjE3MzI5ODI0MDkDAAAAAzE2MAIAAAAENDA1MQQAAAABMAcAAAAJMy8zMS8yMDE0CAAAAAkzLzMxLzIwMTQJAAAA</t>
  </si>
  <si>
    <t>ATDbvXyJRCXeCBk/W4tEJd4IKkNJUS5DT1AuSVFfRUJJVERBLklRX0NRLjkvMzAvMjAxMC5MLi5VU0QuSAEAAABPhgQAAgAAAAQ2NTMxAQgAAAAFAAAAATEBAAAACjE0Nzk3NDg2NzcDAAAAAzE2MAIAAAAENDA1MQQAAAABMAcAAAAJOS8zMC8yMDEwCAAAAAk5LzMwLzIwMTAJAAAAATDn5HyJRCXeCAIvSItEJd4IKkNJUS5FT0cuSVFfRUJJVERBLklRX0NRLjMvMzEvMjAxMy5MLi5VU0QuSAEAAABcHQQAAgAAAAgxNTY4Ljc3NwEIAAAABQAAAAExAQAAAAoxNjc1NzQwNTA3AwAAAAMxNjACAAAABDQwNTEEAAAAATAHAAAACTMvMzEvMjAxMwgAAAAJMy8zMS8yMDEzCQAAAAEwbiuKiUQl3ghTiFSLRCXeCCtDSVEuQ09QLklRX0VCSVREQS5JUV9DUS4xMi8zMS8yMDEwLkwuLlVTRC5IAQAAAE+GBAACAAAABDU4MjABCAAAAAUAAAABMQEAAAAKMTUxNzYxNzA5NAMAAAADMTYwAgAAAAQ0MDUxBAAAAAEwBwAAAAoxMi8zMS8yMDEwCAAAAAoxMi8zMS8yMDEwCQAAAAEw5+R8iUQl3gjvV0mLRCXeCCpDSVEuWE9NLklRX0VCSVREQS5JUV9DUS45LzMwLzIwMjEuTC4uVVNELkgBAAAAQjMGAAIAAAAFMTMxNDABCAAAAAUAAAABMQEAAAALLTIwNzIzMzc1NjgDAAAAAzE2MAIAAAAENDA1MQQAAAABMAcAAAAJOS8zMC8yMDIxCAAAAAk5LzMwLzIwMjEJAAAAATD+6caKRCXeCOJKhItEJd4IK0NJUS5DT1AuSVFfRUJJVERB</t>
  </si>
  <si>
    <t>LklRX0xUTS45LzMwLzIwMjUuTC4uVVNELkgBAAAAT4YEAAIAAAAFMjU0MjIBCAAAAAUAAAABMQEAAAALLTE5MTgwNDU0MjEDAAAAAzE2MAIAAAAENDA1MQQAAAABMAcAAAAJOS8zMC8yMDI1CAAAAAk5LzMwLzIwMjUJAAAAATDqI9qKRCXeCDT0kotEJd4IK0NJUS5FT0cuSVFfRUJJVERBLklRX0xUTS45LzMwLzIwMjUuTC4uVVNELkgBAAAAXB0EAAIAAAAFMTE3NjABCAAAAAUAAAABMQEAAAALLTE5MTgxNjkzMTUDAAAAAzE2MAIAAAAENDA1MQQAAAABMAcAAAAJOS8zMC8yMDI1CAAAAAk5LzMwLzIwMjUJAAAAATDqI9qKRCXeCDT0kotEJd4IK0NJUS5YT00uSVFfRUJJVERBLklRX0xUTS45LzMwLzIwMjUuTC4uVVNELkgBAAAAQjMGAAIAAAAFNjE2OTQBCAAAAAUAAAABMQEAAAALLTE5MTg2NTUwNTcDAAAAAzE2MAIAAAAENDA1MQQAAAABMAcAAAAJOS8zMC8yMDI1CAAAAAk5LzMwLzIwMjUJAAAAATDqI9qKRCXeCDT0kotEJd4IK0NJUS5DVlguSVFfRUJJVERBLklRX0xUTS45LzMwLzIwMjUuTC4uVVNELkgBAAAAyoABAAIAAAAFMzc2ODMBCAAAAAUAAAABMQEAAAALLTE5MTgwOTYzMjADAAAAAzE2MAIAAAAENDA1MQQAAAABMAcAAAAJOS8zMC8yMDI1CAAAAAk5LzMwLzIwMjUJAAAAATDqI9qKRCXeCDT0kotEJd4IK0NJUS5DT1AuSVFfRUJJVERBLklRX0xUTS42LzMwLzIwMjUuTC4uVVNELkgBAAAAT4YE</t>
  </si>
  <si>
    <t>AAIAAAAFMjUxNDMBCAAAAAUAAAABMQEAAAALLTE5MzI4NTgzNDADAAAAAzE2MAIAAAAENDA1MQQAAAABMAcAAAAJNi8zMC8yMDI1CAAAAAk2LzMwLzIwMjUJAAAAATDqI9qKRCXeCKRtkYtEJd4IK0NJUS5DVlguSVFfRUJJVERBLklRX0xUTS4zLzMxLzIwMjQuTC4uVVNELkgBAAAAyoABAAIAAAAFNDEyNDgBCAAAAAUAAAABMQEAAAALLTE5MzI1OTA0NTcDAAAAAzE2MAIAAAAENDA1MQQAAAABMAcAAAAJMy8zMS8yMDI0CAAAAAkzLzMxLzIwMjQJAAAAATDqI9qKRCXeCP3mj4tEJd4IK0NJUS5DT1AuSVFfRUJJVERBLklRX0xUTS42LzMwLzIwMjMuTC4uVVNELkgBAAAAT4YEAAIAAAAFMjg2MjkBCAAAAAUAAAABMQEAAAALLTE5ODU0MzI5NDADAAAAAzE2MAIAAAAENDA1MQQAAAABMAcAAAAJNi8zMC8yMDIzCAAAAAk2LzMwLzIwMjMJAAAAATDlStqKRCXeCHg9jItEJd4IK0NJUS5DVlguSVFfRUJJVERBLklRX0xUTS4zLzMxLzIwMjIuTC4uVVNELkgBAAAAyoABAAIAAAAFMzgyNTYBCAAAAAUAAAABMQEAAAALLTIwMzU3MDY3NjQDAAAAAzE2MAIAAAAENDA1MQQAAAABMAcAAAAJMy8zMS8yMDIyCAAAAAkzLzMxLzIwMjIJAAAAATDlStqKRCXeCMuUhotEJd4IK0NJUS5DT1AuSVFfRUJJVERBLklRX0xUTS42LzMwLzIwMjEuTC4uVVNELkgBAAAAT4YEAAIAAAAFMTAzOTEBCAAAAAUAAAABMQEAAAALLTIwODY0</t>
  </si>
  <si>
    <t>MjA1ODIDAAAAAzE2MAIAAAAENDA1MQQAAAABMAcAAAAJNi8zMC8yMDIxCAAAAAk2LzMwLzIwMjEJAAAAATAJEceKRCXeCGISg4tEJd4IK0NJUS5DVlguSVFfRUJJVERBLklRX0xUTS4zLzMxLzIwMjAuTC4uVVNELkgBAAAAyoABAAIAAAAFMjg1NTgBCAAAAAUAAAABMQEAAAAKMjA5NjA4NjE3NAMAAAADMTYwAgAAAAQ0MDUxBAAAAAEwBwAAAAkzLzMxLzIwMjAIAAAACTMvMzEvMjAyMAkAAAABMDE4x4pEJd4I/kV9i0Ql3ggrQ0lRLkNPUC5JUV9FQklUREEuSVFfTFRNLjYvMzAvMjAxOS5MLi5VU0QuSAEAAABPhgQAAgAAAAUxNTY0OQEIAAAABQAAAAExAQAAAAoyMDQ4MDk3Njk1AwAAAAMxNjACAAAABDQwNTEEAAAAATAHAAAACTYvMzAvMjAxOQgAAAAJNi8zMC8yMDE5CQAAAAEwKV/HikQl3giEnHmLRCXeCCtDSVEuQ1ZYLklRX0VCSVREQS5JUV9MVE0uMy8zMS8yMDE4LkwuLlVTRC5IAQAAAMqAAQACAAAABTI0MTE2AQgAAAAFAAAAATEBAAAACjE5NTk0OTA4MTgDAAAAAzE2MAIAAAAENDA1MQQAAAABMAcAAAAJMy8zMS8yMDE4CAAAAAkzLzMxLzIwMTgJAAAAATD1C32JRCXeCCj3c4tEJd4IK0NJUS5DT1AuSVFfRUJJVERBLklRX0xUTS42LzMwLzIwMTcuTC4uVVNELkgBAAAAT4YEAAIAAAAENzQ5OAEIAAAABQAAAAExAQAAAAoxODk4MDIzMTU0AwAAAAMxNjACAAAABDQwNTEEAAAAATAHAAAACTYvMzAv</t>
  </si>
  <si>
    <t>MjAxNwgAAAAJNi8zMC8yMDE3CQAAAAEwa1KKiUQl3gi3TXCLRCXeCCtDSVEuQ1ZYLklRX0VCSVREQS5JUV9MVE0uMy8zMS8yMDE2LkwuLlVTRC5IAQAAAMqAAQACAAAABTE1ODYzAQgAAAAFAAAAATEBAAAACjE4NDAzOTM4MjEDAAAAAzE2MAIAAAAENDA1MQQAAAABMAcAAAAJMy8zMS8yMDE2CAAAAAkzLzMxLzIwMTYJAAAAATCNoIqJRCXeCFUQaItEJd4IK0NJUS5DT1AuSVFfRUJJVERBLklRX0xUTS42LzMwLzIwMTUuTC4uVVNELkgBAAAAT4YEAAIAAAAFMTI0MjEBCAAAAAUAAAABMQEAAAAKMTgwMTQ0ODExNAMAAAADMTYwAgAAAAQ0MDUxBAAAAAEwBwAAAAk2LzMwLzIwMTUIAAAACTYvMzAvMjAxNQkAAAABMKHHiolEJd4IWy5ji0Ql3ggrQ0lRLkNWWC5JUV9FQklUREEuSVFfTFRNLjMvMzEvMjAxNC5MLi5VU0QuSAEAAADKgAEAAgAAAAUzOTg5NwEIAAAABQAAAAExAQAAAAoxNzMyOTQ2MjY1AwAAAAMxNjACAAAABDQwNTEEAAAAATAHAAAACTMvMzEvMjAxNAgAAAAJMy8zMS8yMDE0CQAAAAEw2718iUQl3ggEGFuLRCXeCCtDSVEuQ09QLklRX0VCSVREQS5JUV9MVE0uNi8zMC8yMDEzLkwuLlVTRC5IAQAAAE+GBAACAAAABTIyMjcwAQgAAAAFAAAAATEBAAAACjE2ODk2MDU5OTcDAAAAAzE2MAIAAAAENDA1MQQAAAABMAcAAAAJNi8zMC8yMDEzCAAAAAk2LzMwLzIwMTMJAAAAATBQBIqJRCXeCOjnVYtE</t>
  </si>
  <si>
    <t>Jd4IK0NJUS5DVlguSVFfRUJJVERBLklRX0xUTS4zLzMxLzIwMTIuTC4uVVNELkgBAAAAyoABAAIAAAAFNTIzNjEBCAAAAAUAAAABMQEAAAAKMTYxNTMxNDk5NwMAAAADMTYwAgAAAAQ0MDUxBAAAAAEwBwAAAAkzLzMxLzIwMTIIAAAACTMvMzEvMjAxMgkAAAABMKuHmIlEJd4IDgpPi0Ql3ggrQ0lRLkNPUC5JUV9FQklUREEuSVFfTFRNLjYvMzAvMjAxMS5MLi5VU0QuSAEAAABPhgQAAgAAAAUyNTI1OAEIAAAABQAAAAExAQAAAAoxNTU3MDM3NDc0AwAAAAMxNjACAAAABDQwNTEEAAAAATAHAAAACTYvMzAvMjAxMQgAAAAJNi8zMC8yMDExCQAAAAEwqa6YiUQl3ghHqkuLRCXeCCtDSVEuQ1ZYLklRX0VCSVREQS5JUV9MVE0uMy8zMS8yMDEwLkwuLlVTRC5IAQAAAMqAAQACAAAABTMwODQxAQgAAAAFAAAAATEBAAAACjE0NTEyNzY5NDMDAAAAAzE2MAIAAAAENDA1MQQAAAABMAcAAAAJMy8zMS8yMDEwCAAAAAkzLzMxLzIwMTAJAAAAATD1C32JRCXeCOfMRYtEJd4IK0NJUS5FT0cuSVFfRUJJVERBLklRX0xUTS4zLzMxLzIwMTYuTC4uVVNELkgBAAAAXB0EAAIAAAAIMjc5NS41MDcBCAAAAAUAAAABMQEAAAAKMTg0MDk2NDQ4NwMAAAADMTYwAgAAAAQ0MDUxBAAAAAEwBwAAAAkzLzMxLzIwMTYIAAAACTMvMzEvMjAxNgkAAAABMIk4oMg8Jd4IQ6LpKT0l3ggrQ0lRLlhPTS5JUV9FQklUREEuSVFfTFRNLjYvMzAv</t>
  </si>
  <si>
    <t>MjAxMy5MLi5VU0QuSAEAAABCMwYAAgAAAAU2MjQ4MgEIAAAABQAAAAExAQAAAAoxNjg5Nzc0ODY3AwAAAAMxNjACAAAABDQwNTEEAAAAATAHAAAACTYvMzAvMjAxMwgAAAAJNi8zMC8yMDEzCQAAAAEwUASKiUQl3gjo51WLRCXeCCtDSVEuRU9HLklRX0VCSVREQS5JUV9MVE0uMy8zMS8yMDEyLkwuLlVTRC5IAQAAAFwdBAACAAAACDU2ODMuNzQ5AQgAAAAFAAAAATEBAAAACjE2MTYxOTk1NzEDAAAAAzE2MAIAAAAENDA1MQQAAAABMAcAAAAJMy8zMS8yMDEyCAAAAAkzLzMxLzIwMTIJAAAAATCArjEVPCXeCPkF6Sk9Jd4IK0NJUS5YT00uSVFfRUJJVERBLklRX0xUTS42LzMwLzIwMTEuTC4uVVNELkgBAAAAQjMGAAIAAAAFNjU3ODEBCAAAAAUAAAABMQEAAAAKMTU1NzA3MjM1NAMAAAADMTYwAgAAAAQ0MDUxBAAAAAEwBwAAAAk2LzMwLzIwMTEIAAAACTYvMzAvMjAxMQkAAAABMKmumIlEJd4IR6pLi0Ql3ggrQ0lRLkVPRy5JUV9FQklUREEuSVFfTFRNLjMvMzEvMjAxMC5MLi5VU0QuSAEAAABcHQQAAgAAAAgyMjc2LjI5MgEIAAAABQAAAAExAQAAAAoxNDUyMTA4NjgyAwAAAAMxNjACAAAABDQwNTEEAAAAATAHAAAACTMvMzEvMjAxMAgAAAAJMy8zMS8yMDEwCQAAAAEwWvJXyDwl3gijuPEpPSXeCCtDSVEuQ09QLklRX0VCSVREQS5JUV9MVE0uOS8zMC8yMDIwLkwuLlVTRC5IAQAAAE+GBAACAAAABDY1NDgB</t>
  </si>
  <si>
    <t>CAAAAAUAAAABMQEAAAALLTIxMjM1NzU5NzgDAAAAAzE2MAIAAAAENDA1MQQAAAABMAcAAAAJOS8zMC8yMDIwCAAAAAk5LzMwLzIwMjAJAAAAATAJEceKRCXeCPyPf4tEJd4IK0NJUS5DT1AuSVFfRUJJVERBLklRX0xUTS45LzMwLzIwMTQuTC4uVVNELkgBAAAAT4YEAAIAAAAFMjE3MTQBCAAAAAUAAAABMQEAAAAKMTc2MjYwODc1OAMAAAADMTYwAgAAAAQ0MDUxBAAAAAEwBwAAAAk5LzMwLzIwMTQIAAAACTkvMzAvMjAxNAkAAAABMMiWfIlEJd4IRyVei0Ql3ggrQ0lRLkNPUC5JUV9FQklUREEuSVFfTFRNLjkvMzAvMjAxMi5MLi5VU0QuSAEAAABPhgQAAgAAAAUyMTEwMwEIAAAABQAAAAExAQAAAAoxNjQzNDgwOTE2AwAAAAMxNjACAAAABDQwNTEEAAAAATAHAAAACTkvMzAvMjAxMggAAAAJOS8zMC8yMDEyCQAAAAEwbiuKiUQl3ggOe1GLRCXeCCtDSVEuQ09QLklRX0VCSVREQS5JUV9MVE0uOS8zMC8yMDEwLkwuLlVTRC5IAQAAAE+GBAACAAAABTI2NDM3AQgAAAAFAAAAATEBAAAACjE0Nzk3NjE4NjkDAAAAAzE2MAIAAAAENDA1MQQAAAABMAcAAAAJOS8zMC8yMDEwCAAAAAk5LzMwLzIwMTAJAAAAATDn5HyJRCXeCAIvSItEJd4IK0NJUS5FT0cuSVFfRUJJVERBLklRX0xUTS42LzMwLzIwMTEuTC4uVVNELkgBAAAAXB0EAAIAAAAHMzgyOC43MgEIAAAABQAAAAExAQAAAAoxNTU3Mjc3NzYxAwAAAAMxNjAC</t>
  </si>
  <si>
    <t>AAAABDQwNTEEAAAAATAHAAAACTYvMzAvMjAxMQgAAAAJNi8zMC8yMDExCQAAAAEwlNUxFTwl3gjbuA0qPSXeCCxDSVEuQ1ZYLklRX0VCSVREQS5JUV9MVE0uMTIvMzEvMjAxMS5MLi5VU0QuSAEAAADKgAEAAgAAAAU1MTIxMAEIAAAABQAAAAExAQAAAAoxNjU5NDI1MDUwAwAAAAMxNjACAAAABDQwNTEEAAAAATAHAAAACjEyLzMxLzIwMTEIAAAACjEyLzMxLzIwMTEJAAAAATCrh5iJRCXeCI3RTYtEJd4IK0NJUS5YT00uSVFfRUJJVERBLklRX0xUTS4zLzMxLzIwMTEuTC4uVVNELkgBAAAAQjMGAAIAAAAFNjA2NDcBCAAAAAUAAAABMQEAAAAKMTU0NTA0MzUzMgMAAAADMTYwAgAAAAQ0MDUxBAAAAAEwBwAAAAkzLzMxLzIwMTEIAAAACTMvMzEvMjAxMQkAAAABMNu9fIlEJd4IaIFKi0Ql3ggrQ0lRLkNWWC5JUV9FQklUREEuSVFfTFRNLjMvMzEvMjAxNS5MLi5VU0QuSAEAAADKgAEAAgAAAAUzMjExNwEIAAAABQAAAAExAQAAAAoxNzg5ODU0ODk0AwAAAAMxNjACAAAABDQwNTEEAAAAATAHAAAACTMvMzEvMjAxNQgAAAAJMy8zMS8yMDE1CQAAAAEwoceKiUQl3gjKzmGLRCXeCCtDSVEuRU9HLklRX0VCSVREQS5JUV9MVE0uMy8zMS8yMDIzLkwuLlVTRC5IAQAAAFwdBAACAAAABTE1NzAzAQgAAAAFAAAAATEBAAAACy0xOTk3MTY3Mzc2AwAAAAMxNjACAAAABDQwNTEEAAAAATAHAAAACTMvMzEvMjAyMwgAAAAJ</t>
  </si>
  <si>
    <t>My8zMS8yMDIzCQAAAAEwNkYUFTwl3ghnavEpPSXeCCtDSVEuWE9NLklRX0VCSVREQS5JUV9MVE0uNi8zMC8yMDE0LkwuLlVTRC5IAQAAAEIzBgACAAAABTU2MTMxAQgAAAAFAAAAATEBAAAACjE3NDg4NDY4NjcDAAAAAzE2MAIAAAAENDA1MQQAAAABMAcAAAAJNi8zMC8yMDE0CAAAAAk2LzMwLzIwMTQJAAAAATDbvXyJRCXeCLXFXItEJd4IK0NJUS5DVlguSVFfRUJJVERBLklRX0xUTS42LzMwLzIwMjIuTC4uVVNELkgBAAAAyoABAAIAAAAFNDc5MzYBCAAAAAUAAAABMQEAAAALLTIwMjE0MDg0MzEDAAAAAzE2MAIAAAAENDA1MQQAAAABMAcAAAAJNi8zMC8yMDIyCAAAAAk2LzMwLzIwMjIJAAAAATDlStqKRCXeCFPNh4tEJd4IK0NJUS5FT0cuSVFfRUJJVERBLklRX0xUTS42LzMwLzIwMjQuTC4uVVNELkgBAAAAXB0EAAIAAAAFMTM1MDABCAAAAAUAAAABMQEAAAALLTE5MzI3MTE2MzQDAAAAAzE2MAIAAAAENDA1MQQAAAABMAcAAAAJNi8zMC8yMDI0CAAAAAk2LzMwLzIwMjQJAAAAATDqI9qKRCXeCINGkYtEJd4IK0NJUS5FT0cuSVFfRUJJVERBLklRX0xUTS42LzMwLzIwMTguTC4uVVNELkgBAAAAXB0EAAIAAAAINjI3My42NDMBCAAAAAUAAAABMQEAAAAKMTk3MzM0MjA3MAMAAAADMTYwAgAAAAQ0MDUxBAAAAAEwBwAAAAk2LzMwLzIwMTgIAAAACTYvMzAvMjAxOAkAAAABMLIp1sg8Jd4I2VTyKT0l3ggs</t>
  </si>
  <si>
    <t>Q0lRLkNPUC5JUV9FQklUREEuSVFfTFRNLjEyLzMxLzIwMjIuTC4uVVNELkgBAAAAT4YEAAIAAAAFMzQ5MTYBCAAAAAUAAAABMQEAAAALLTE5NTkyMDIxNzgDAAAAAzE2MAIAAAAENDA1MQQAAAABMAcAAAAKMTIvMzEvMjAyMggAAAAKMTIvMzEvMjAyMgkAAAABMOVK2opEJd4IM/CJi0Ql3ggsQ0lRLkNPUC5JUV9FQklUREEuSVFfTFRNLjEyLzMxLzIwMTQuTC4uVVNELkgBAAAAT4YEAAIAAAAFMTkyNTYBCAAAAAUAAAABMQEAAAAKMTgyODY4ODA1NwMAAAADMTYwAgAAAAQ0MDUxBAAAAAEwBwAAAAoxMi8zMS8yMDE0CAAAAAoxMi8zMS8yMDE0CQAAAAEwyJZ8iUQl3ggV+l+LRCXeCCtDSVEuRU9HLklRX0VCSVREQS5JUV9MVE0uOS8zMC8yMDE3LkwuLlVTRC5IAQAAAFwdBAACAAAACDQyNjkuNzU1AQgAAAAFAAAAATEBAAAACjE5MTc3MjQ4NjQDAAAAAzE2MAIAAAAENDA1MQQAAAABMAcAAAAJOS8zMC8yMDE3CAAAAAk5LzMwLzIwMTcJAAAAATBn6p/IPCXeCAwt6Sk9Jd4IK0NJUS5YT00uSVFfRUJJVERBLklRX0xUTS42LzMwLzIwMjEuTC4uVVNELkgBAAAAQjMGAAIAAAAFMjQ4ODgBCAAAAAUAAAABMQEAAAALLTIwODY2MDk2NTgDAAAAAzE2MAIAAAAENDA1MQQAAAABMAcAAAAJNi8zMC8yMDIxCAAAAAk2LzMwLzIwMjEJAAAAATAJEceKRCXeCGISg4tEJd4IK0NJUS5YT00uSVFfRUJJVERBLklRX0xUTS42</t>
  </si>
  <si>
    <t>LzMwLzIwMTcuTC4uVVNELkgBAAAAQjMGAAIAAAAFMjgwNTQBCAAAAAUAAAABMQEAAAAKMTg5ODI1NzIxMgMAAAADMTYwAgAAAAQ0MDUxBAAAAAEwBwAAAAk2LzMwLzIwMTcIAAAACTYvMzAvMjAxNwkAAAABMGtSiolEJd4It01wi0Ql3ggrQ0lRLlhPTS5JUV9FQklUREEuSVFfTFRNLjYvMzAvMjAxNS5MLi5VU0QuSAEAAABCMwYAAgAAAAU0MDc5NgEIAAAABQAAAAExAQAAAAoxODAxNjE3NDc5AwAAAAMxNjACAAAABDQwNTEEAAAAATAHAAAACTYvMzAvMjAxNQgAAAAJNi8zMC8yMDE1CQAAAAEwoceKiUQl3ghjVWOLRCXeCCtDSVEuQ1ZYLklRX0VCSVREQS5JUV9MVE0uNi8zMC8yMDIxLkwuLlVTRC5IAQAAAMqAAQACAAAABTIxMDQyAQgAAAAFAAAAATEBAAAACy0yMDg2NDg4OTU0AwAAAAMxNjACAAAABDQwNTEEAAAAATAHAAAACTYvMzAvMjAyMQgAAAAJNi8zMC8yMDIxCQAAAAEwCRHHikQl3ghiEoOLRCXeCCtDSVEuQ1ZYLklRX0VCSVREQS5JUV9MVE0uNi8zMC8yMDExLkwuLlVTRC5IAQAAAMqAAQACAAAABTQ1NjU5AQgAAAAFAAAAATEBAAAACjE1NTc0MDUyNzIDAAAAAzE2MAIAAAAENDA1MQQAAAABMAcAAAAJNi8zMC8yMDExCAAAAAk2LzMwLzIwMTEJAAAAATCprpiJRCXeCEeqS4tEJd4IK0NJUS5DT1AuSVFfRUJJVERBLklRX0xUTS4zLzMxLzIwMTMuTC4uVVNELkgBAAAAT4YEAAIAAAAFMjE5NTcB</t>
  </si>
  <si>
    <t>CAAAAAUAAAABMQEAAAAKMTY3NTc0OTg2MwMAAAADMTYwAgAAAAQ0MDUxBAAAAAEwBwAAAAkzLzMxLzIwMTMIAAAACTMvMzEvMjAxMwkAAAABMG4riolEJd4INDpUi0Ql3ggsQ0lRLkVPRy5JUV9FQklUREEuSVFfTFRNLjEyLzMxLzIwMTkuTC4uVVNELkgBAAAAXB0EAAIAAAAENzg0MwEIAAAABQAAAAExAQAAAAstMjExMDU5MTIwMwMAAAADMTYwAgAAAAQ0MDUxBAAAAAEwBwAAAAoxMi8zMS8yMDE5CAAAAAoxMi8zMS8yMDE5CQAAAAEwk9vVyDwl3ggMLekpPSXeCCtDSVEuQ09QLklRX0VCSVREQS5JUV9MVE0uNi8zMC8yMDE0LkwuLlVTRC5IAQAAAE+GBAACAAAABTIyMDcyAQgAAAAFAAAAATEBAAAACjE3NDg2OTEyODUDAAAAAzE2MAIAAAAENDA1MQQAAAABMAcAAAAJNi8zMC8yMDE0CAAAAAk2LzMwLzIwMTQJAAAAATDbvXyJRCXeCKqeXItEJd4IK0NJUS5YT00uSVFfRUJJVERBLklRX0xUTS42LzMwLzIwMjQuTC4uVVNELkgBAAAAQjMGAAIAAAAFNjU0MjEBCAAAAAUAAAABMQEAAAALLTE5MzM0NDMzNjQDAAAAAzE2MAIAAAAENDA1MQQAAAABMAcAAAAJNi8zMC8yMDI0CAAAAAk2LzMwLzIwMjQJAAAAATDqI9qKRCXeCHcfkYtEJd4IK0NJUS5YT00uSVFfRUJJVERBLklRX0xUTS42LzMwLzIwMTAuTC4uVVNELkgBAAAAQjMGAAIAAAAFNDYyNDABCAAAAAUAAAABMQEAAAAKMTQ2NTAxNDQxMQMAAAADMTYw</t>
  </si>
  <si>
    <t>AgAAAAQ0MDUxBAAAAAEwBwAAAAk2LzMwLzIwMTAIAAAACTYvMzAvMjAxMAkAAAABMOfkfIlEJd4IU95Gi0Ql3ggrQ0lRLkNPUC5JUV9FQklUREEuSVFfTFRNLjkvMzAvMjAyMy5MLi5VU0QuSAEAAABPhgQAAgAAAAUyNTQ4MgEIAAAABQAAAAExAQAAAAstMTk3MTA0NjcwMwMAAAADMTYwAgAAAAQ0MDUxBAAAAAEwBwAAAAk5LzMwLzIwMjMIAAAACTkvMzAvMjAyMwkAAAABMOoj2opEJd4IAp2Ni0Ql3ggrQ0lRLkNPUC5JUV9FQklUREEuSVFfTFRNLjkvMzAvMjAxNS5MLi5VU0QuSAEAAABPhgQAAgAAAAQ4NDI1AQgAAAAFAAAAATEBAAAACjE4MTU3NzY5NDQDAAAAAzE2MAIAAAAENDA1MQQAAAABMAcAAAAJOS8zMC8yMDE1CAAAAAk5LzMwLzIwMTUJAAAAATChx4qJRCXeCAzcZItEJd4IK0NJUS5DT1AuSVFfRUJJVERBLklRX0xUTS45LzMwLzIwMTEuTC4uVVNELkgBAAAAT4YEAAIAAAAFMjQ1NTcBCAAAAAUAAAABMQEAAAAKMTU3Mzc1OTQxOQMAAAADMTYwAgAAAAQ0MDUxBAAAAAEwBwAAAAk5LzMwLzIwMTEIAAAACTkvMzAvMjAxMQkAAAABMKuHmIlEJd4IJcBMi0Ql3ggrQ0lRLlhPTS5JUV9FQklUREEuSVFfTFRNLjkvMzAvMjAyMy5MLi5VU0QuSAEAAABCMwYAAgAAAAU1OTAzNwEIAAAABQAAAAExAQAAAAstMTk3MDY0MTY0MQMAAAADMTYwAgAAAAQ0MDUxBAAAAAEwBwAAAAk5LzMwLzIwMjMIAAAACTkv</t>
  </si>
  <si>
    <t>MzAvMjAyMwkAAAABMOoj2opEJd4I+HWNi0Ql3ggrQ0lRLkNWWC5JUV9FQklUREEuSVFfTFRNLjkvMzAvMjAxNy5MLi5VU0QuSAEAAADKgAEAAgAAAAUyMDIxMAEIAAAABQAAAAExAQAAAAoxOTIwNTM1Njk4AwAAAAMxNjACAAAABDQwNTEEAAAAATAHAAAACTkvMzAvMjAxNwgAAAAJOS8zMC8yMDE3CQAAAAEwa1KKiUQl3ggvhnGLRCXeCCtDSVEuQ1ZYLklRX0VCSVREQS5JUV9MVE0uOS8zMC8yMDExLkwuLlVTRC5IAQAAAMqAAQACAAAABTQ5OTI0AQgAAAAFAAAAATEBAAAACjE1NzQ3NTY0MzcDAAAAAzE2MAIAAAAENDA1MQQAAAABMAcAAAAJOS8zMC8yMDExCAAAAAk5LzMwLzIwMTEJAAAAATCrh5iJRCXeCCXATItEJd4ILENJUS5YT00uSVFfRUJJVERBLklRX0xUTS4xMi8zMS8yMDIyLkwuLlVTRC5IAQAAAEIzBgACAAAABTg5NjQ4AQgAAAAFAAAAATEBAAAACy0xOTU4OTUzNTk4AwAAAAMxNjACAAAABDQwNTEEAAAAATAHAAAACjEyLzMxLzIwMjIIAAAACjEyLzMxLzIwMjIJAAAAATDlStqKRCXeCDPwiYtEJd4IK0NJUS5FT0cuSVFfRUJJVERBLklRX0xUTS45LzMwLzIwMTMuTC4uVVNELkgBAAAAXB0EAAIAAAAINjg1Ni43MjIBCAAAAAUAAAABMQEAAAAKMTcwNDYzMDU3MQMAAAADMTYwAgAAAAQ0MDUxBAAAAAEwBwAAAAk5LzMwLzIwMTMIAAAACTkvMzAvMjAxMwkAAAABMHOHMRU8Jd4ILQP9KT0l3ggr</t>
  </si>
  <si>
    <t>Q0lRLlhPTS5JUV9FQklUREEuSVFfTFRNLjYvMzAvMjAyNS5MLi5VU0QuSAEAAABCMwYAAgAAAAU2MzI3MgEIAAAABQAAAAExAQAAAAstMTkzMzQ0MzM2MwMAAAADMTYwAgAAAAQ0MDUxBAAAAAEwBwAAAAk2LzMwLzIwMjUIAAAACTYvMzAvMjAyNQkAAAABMOoj2opEJd4IpG2Ri0Ql3ggrQ0lRLkVPRy5JUV9FQklUREEuSVFfTFRNLjMvMzEvMjAyNC5MLi5VU0QuSAEAAABcHQQAAgAAAAUxMzIwNQEIAAAABQAAAAExAQAAAAstMTk0Njk4NjQ2MAMAAAADMTYwAgAAAAQ0MDUxBAAAAAEwBwAAAAkzLzMxLzIwMjQIAAAACTMvMzEvMjAyNAkAAAABMOoj2opEJd4I/eaPi0Ql3ggrQ0lRLlhPTS5JUV9FQklUREEuSVFfTFRNLjYvMzAvMjAyMy5MLi5VU0QuSAEAAABCMwYAAgAAAAU3NjkyOQEIAAAABQAAAAExAQAAAAstMTkxOTIzNDY3MQMAAAADMTYwAgAAAAQ0MDUxBAAAAAEwBwAAAAk2LzMwLzIwMjMIAAAACTYvMzAvMjAyMwkAAAABMOVK2opEJd4IeD2Mi0Ql3ggrQ0lRLkVPRy5JUV9FQklUREEuSVFfTFRNLjMvMzEvMjAyMi5MLi5VU0QuSAEAAABcHQQAAgAAAAQ5NjQwAQgAAAAFAAAAATEBAAAACy0yMDQ3NDczNjAwAwAAAAMxNjACAAAABDQwNTEEAAAAATAHAAAACTMvMzEvMjAyMggAAAAJMy8zMS8yMDIyCQAAAAEwJ20UFTwl3ghEe+kpPSXeCCtDSVEuRU9HLklRX0VCSVREQS5JUV9MVE0uMy8zMS8yMDIw</t>
  </si>
  <si>
    <t>LkwuLlVTRC5IAQAAAFwdBAACAAAACDg2OTguMDM3AQgAAAAFAAAAATEBAAAACjIwOTYwNTA1OTADAAAAAzE2MAIAAAAENDA1MQQAAAABMAcAAAAJMy8zMS8yMDIwCAAAAAkzLzMxLzIwMjAJAAAAATCT29XIPCXeCBlU6Sk9Jd4IK0NJUS5YT00uSVFfRUJJVERBLklRX0xUTS42LzMwLzIwMTkuTC4uVVNELkgBAAAAQjMGAAIAAAAFMzY2OTQBCAAAAAUAAAABMQEAAAAKMjA0ODMwNDI1NgMAAAADMTYwAgAAAAQ0MDUxBAAAAAEwBwAAAAk2LzMwLzIwMTkIAAAACTYvMzAvMjAxOQkAAAABMClfx4pEJd4IhJx5i0Ql3ggrQ0lRLkVPRy5JUV9FQklUREEuSVFfTFRNLjMvMzEvMjAxOC5MLi5VU0QuSAEAAABcHQQAAgAAAAg1NDgzLjE1NQEIAAAABQAAAAExAQAAAAoxOTU5MTU3Njc0AwAAAAMxNjACAAAABDQwNTEEAAAAATAHAAAACTMvMzEvMjAxOAgAAAAJMy8zMS8yMDE4CQAAAAEwV8OfyDwl3ghEe+kpPSXeCCtDSVEuRU9HLklRX0VCSVREQS5JUV9MVE0uMy8zMS8yMDE0LkwuLlVTRC5IAQAAAFwdBAACAAAACDc5MjkuNDE5AQgAAAAFAAAAATEBAAAACjE3MzMzMjE3MTEDAAAAAzE2MAIAAAAENDA1MQQAAAABMAcAAAAJMy8zMS8yMDE0CAAAAAkzLzMxLzIwMTQJAAAAATBoYDEVPCXeCAwt6Sk9Jd4IK0NJUS5DT1AuSVFfRUJJVERBLklRX0xUTS45LzMwLzIwMTguTC4uVVNELkgBAAAAT4YEAAIAAAAFMTQ4NTIB</t>
  </si>
  <si>
    <t>CAAAAAUAAAABMQEAAAAKMTk4OTkwMTgzNAMAAAADMTYwAgAAAAQ0MDUxBAAAAAEwBwAAAAk5LzMwLzIwMTgIAAAACTkvMzAvMjAxOAkAAAABMEiGx4pEJd4IEhp2i0Ql3ggrQ0lRLkNWWC5JUV9FQklUREEuSVFfTFRNLjYvMzAvMjAxNy5MLi5VU0QuSAEAAADKgAEAAgAAAAUxOTAzOQEIAAAABQAAAAExAQAAAAoxODk4MzU0NTQzAwAAAAMxNjACAAAABDQwNTEEAAAAATAHAAAACTYvMzAvMjAxNwgAAAAJNi8zMC8yMDE3CQAAAAEwa1KKiUQl3gi3TXCLRCXeCCtDSVEuQ1ZYLklRX0VCSVREQS5JUV9MVE0uMy8zMS8yMDE3LkwuLlVTRC5IAQAAAMqAAQACAAAABTE2NjI2AQgAAAAFAAAAATEBAAAACjE4ODY2MTcyMTIDAAAAAzE2MAIAAAAENDA1MQQAAAABMAcAAAAJMy8zMS8yMDE3CAAAAAkzLzMxLzIwMTcJAAAAATB6eYqJRCXeCASgbotEJd4IK0NJUS5FT0cuSVFfRUJJVERBLklRX0xUTS42LzMwLzIwMjAuTC4uVVNELkgBAAAAXB0EAAIAAAAINjUyOC45NzEBCAAAAAUAAAABMQEAAAALLTIxNDAxMTQxNDcDAAAAAzE2MAIAAAAENDA1MQQAAAABMAcAAAAJNi8zMC8yMDIwCAAAAAk2LzMwLzIwMjAJAAAAATCT29XIPCXeCFND8Sk9Jd4ILENJUS5DT1AuSVFfRUJJVERBLklRX0xUTS4xMi8zMS8yMDIwLkwuLlVTRC5IAQAAAE+GBAACAAAABDQ4MDABCAAAAAUAAAABMQEAAAALLTIwNjA2MTE4NzIDAAAAAzE2</t>
  </si>
  <si>
    <t>MAIAAAAENDA1MQQAAAABMAcAAAAKMTIvMzEvMjAyMAgAAAAKMTIvMzEvMjAyMAkAAAABMAkRx4pEJd4IY6GAi0Ql3ggrQ0lRLkNWWC5JUV9FQklUREEuSVFfTFRNLjYvMzAvMjAxOS5MLi5VU0QuSAEAAADKgAEAAgAAAAUzMzI0MwEIAAAABQAAAAExAQAAAAoyMDQ4MzAzNTk1AwAAAAMxNjACAAAABDQwNTEEAAAAATAHAAAACTYvMzAvMjAxOQgAAAAJNi8zMC8yMDE5CQAAAAEwKV/HikQl3giEnHmLRCXeCCtDSVEuQ09QLklRX0VCSVREQS5JUV9MVE0uOS8zMC8yMDE2LkwuLlVTRC5IAQAAAE+GBAACAAAABDM3MjEBCAAAAAUAAAABMQEAAAAKMTg2MzQ2MTA3NQMAAAADMTYwAgAAAAQ0MDUxBAAAAAEwBwAAAAk5LzMwLzIwMTYIAAAACTkvMzAvMjAxNgkAAAABMHp5iolEJd4IqURri0Ql3ggrQ0lRLkNWWC5JUV9FQklUREEuSVFfTFRNLjYvMzAvMjAxNS5MLi5VU0QuSAEAAADKgAEAAgAAAAUyNjM5MgEIAAAABQAAAAExAQAAAAoxODAxODk3Mjc4AwAAAAMxNjACAAAABDQwNTEEAAAAATAHAAAACTYvMzAvMjAxNQgAAAAJNi8zMC8yMDE1CQAAAAEwoceKiUQl3ghjVWOLRCXeCCtDSVEuQ1ZYLklRX0VCSVREQS5JUV9MVE0uNi8zMC8yMDEzLkwuLlVTRC5IAQAAAMqAAQACAAAABTQzMzI0AQgAAAAFAAAAATEBAAAACjE2ODk3NzQ5NzQDAAAAAzE2MAIAAAAENDA1MQQAAAABMAcAAAAJNi8zMC8yMDEzCAAAAAk2</t>
  </si>
  <si>
    <t>LzMwLzIwMTMJAAAAATBQBIqJRCXeCOjnVYtEJd4ILENJUS5DVlguSVFfRUJJVERBLklRX0xUTS4xMi8zMS8yMDEzLkwuLlVTRC5IAQAAAMqAAQACAAAABTQxNDIxAQgAAAAFAAAAATEBAAAACjE3Nzc5NzM0OTQDAAAAAzE2MAIAAAAENDA1MQQAAAABMAcAAAAKMTIvMzEvMjAxMwgAAAAKMTIvMzEvMjAxMwkAAAABMFAEiolEJd4IVWpZi0Ql3ggsQ0lRLkVPRy5JUV9FQklUREEuSVFfTFRNLjEyLzMxLzIwMTUuTC4uVVNELkgBAAAAXB0EAAIAAAAIMzI0OS45MDkBCAAAAAUAAAABMQEAAAAKMTg3Njc1NDQyMAMAAAADMTYwAgAAAAQ0MDUxBAAAAAEwBwAAAAoxMi8zMS8yMDE1CAAAAAoxMi8zMS8yMDE1CQAAAAEwiTigyDwl3ghigQIqPSXeCCtDSVEuQ09QLklRX0VCSVREQS5JUV9MVE0uNi8zMC8yMDI0LkwuLlVTRC5IAQAAAE+GBAACAAAABTI1MDE5AQgAAAAFAAAAATEBAAAACy0xOTMyODU4MzQ5AwAAAAMxNjACAAAABDQwNTEEAAAAATAHAAAACTYvMzAvMjAyNAgAAAAJNi8zMC8yMDI0CQAAAAEw6iPaikQl3gh3H5GLRCXeCCtDSVEuQ09QLklRX0VCSVREQS5JUV9MVE0uNi8zMC8yMDEyLkwuLlVTRC5IAQAAAE+GBAACAAAABTIxNTc5AQgAAAAFAAAAATEBAAAACjE2MjkyMTAzMDcDAAAAAzE2MAIAAAAENDA1MQQAAAABMAcAAAAJNi8zMC8yMDEyCAAAAAk2LzMwLzIwMTIJAAAAATCYYJiJRCXeCI1CUItE</t>
  </si>
  <si>
    <t>Jd4IK0NJUS5YT00uSVFfRUJJVERBLklRX0xUTS42LzMwLzIwMTYuTC4uVVNELkgBAAAAQjMGAAIAAAAFMjU1MjABCAAAAAUAAAABMQEAAAAKMTg3NjM5OTA5NQMAAAADMTYwAgAAAAQ0MDUxBAAAAAEwBwAAAAk2LzMwLzIwMTYIAAAACTYvMzAvMjAxNgkAAAABMI2giolEJd4ICL5pi0Ql3ggrQ0lRLkNPUC5JUV9FQklUREEuSVFfTFRNLjkvMzAvMjAyMS5MLi5VU0QuSAEAAABPhgQAAgAAAAUxNDU4NgEIAAAABQAAAAExAQAAAAstMjA3MTkzMzM4MQMAAAADMTYwAgAAAAQ0MDUxBAAAAAEwBwAAAAk5LzMwLzIwMjEIAAAACTkvMzAvMjAyMQkAAAABMP7pxopEJd4I0iOEi0Ql3ggrQ0lRLkNWWC5JUV9FQklUREEuSVFfTFRNLjYvMzAvMjAxNC5MLi5VU0QuSAEAAADKgAEAAgAAAAU0MDQ3OAEIAAAABQAAAAExAQAAAAoxNzQ4ODY1NDY2AwAAAAMxNjACAAAABDQwNTEEAAAAATAHAAAACTYvMzAvMjAxNAgAAAAJNi8zMC8yMDE0CQAAAAEw2718iUQl3gi1xVyLRCXeCCtDSVEuQ1ZYLklRX0VCSVREQS5JUV9MVE0uNi8zMC8yMDEyLkwuLlVTRC5IAQAAAMqAAQACAAAABTUwOTgwAQgAAAAFAAAAATEBAAAACjE2MzAwMTkxMzYDAAAAAzE2MAIAAAAENDA1MQQAAAABMAcAAAAJNi8zMC8yMDEyCAAAAAk2LzMwLzIwMTIJAAAAATCYYJiJRCXeCI1CUItEJd4IK0NJUS5FT0cuSVFfRUJJVERBLklRX0xUTS42LzMwLzIw</t>
  </si>
  <si>
    <t>MTYuTC4uVVNELkgBAAAAXB0EAAIAAAAIMjQ3Ny4xNTMBCAAAAAUAAAABMQEAAAAKMTg1MTMwNDU4MgMAAAADMTYwAgAAAAQ0MDUxBAAAAAEwBwAAAAk2LzMwLzIwMTYIAAAACTYvMzAvMjAxNgkAAAABMIk4oMg8Jd4Ib6gCKj0l3ggrQ0lRLlhPTS5JUV9FQklUREEuSVFfTFRNLjkvMzAvMjAxMy5MLi5VU0QuSAEAAABCMwYAAgAAAAU1OTc2NAEIAAAABQAAAAExAQAAAAoxNzA0OTI3ODk2AwAAAAMxNjACAAAABDQwNTEEAAAAATAHAAAACTkvMzAvMjAxMwgAAAAJOS8zMC8yMDEzCQAAAAEwUASKiUQl3gi241eLRCXeCCtDSVEuQ1ZYLklRX0VCSVREQS5JUV9MVE0uOS8zMC8yMDE5LkwuLlVTRC5IAQAAAMqAAQACAAAABTMxMTMzAQgAAAAFAAAAATEBAAAACjIwNjg1Mzg4ODQDAAAAAzE2MAIAAAAENDA1MQQAAAABMAcAAAAJOS8zMC8yMDE5CAAAAAk5LzMwLzIwMTkJAAAAATApX8eKRCXeCCQje4tEJd4IK0NJUS5DVlguSVFfRUJJVERBLklRX0xUTS42LzMwLzIwMjUuTC4uVVNELkgBAAAAyoABAAIAAAAFMzY3MDUBCAAAAAUAAAABMQEAAAALLTE5MTgwOTQ2MjIDAAAAAzE2MAIAAAAENDA1MQQAAAABMAcAAAAJNi8zMC8yMDI1CAAAAAk2LzMwLzIwMjUJAAAAATDqI9qKRCXeCKRtkYtEJd4IK0NJUS5DT1AuSVFfRUJJVERBLklRX0xUTS45LzMwLzIwMjQuTC4uVVNELkgBAAAAT4YEAAIAAAAFMjQ0NDYBCAAA</t>
  </si>
  <si>
    <t>AAUAAAABMQEAAAALLTE5MTgwNDU0NDEDAAAAAzE2MAIAAAAENDA1MQQAAAABMAcAAAAJOS8zMC8yMDI0CAAAAAk5LzMwLzIwMjQJAAAAATDqI9qKRCXeCBKmkotEJd4IK0NJUS5DVlguSVFfRUJJVERBLklRX0xUTS42LzMwLzIwMjMuTC4uVVNELkgBAAAAyoABAAIAAAAFNTE0NjMBCAAAAAUAAAABMQEAAAALLTE5NzAxMTQyNTcDAAAAAzE2MAIAAAAENDA1MQQAAAABMAcAAAAJNi8zMC8yMDIzCAAAAAk2LzMwLzIwMjMJAAAAATDlStqKRCXeCHg9jItEJd4IK0NJUS5DT1AuSVFfRUJJVERBLklRX0xUTS45LzMwLzIwMjIuTC4uVVNELkgBAAAAT4YEAAIAAAAFMzQzNjUBCAAAAAUAAAABMQEAAAALLTIwMjE0NzczMjYDAAAAAzE2MAIAAAAENDA1MQQAAAABMAcAAAAJOS8zMC8yMDIyCAAAAAk5LzMwLzIwMjIJAAAAATDlStqKRCXeCMHeiItEJd4ILENJUS5FT0cuSVFfRUJJVERBLklRX0xUTS4xMi8zMS8yMDA5LkwuLlVTRC5IAQAAAFwdBAACAAAACDIyOTAuNDI1AQgAAAAFAAAAATEBAAAACjE1NjIxNzY2MDkDAAAAAzE2MAIAAAAENDA1MQQAAAABMAcAAAAKMTIvMzEvMjAwOQgAAAAKMTIvMzEvMjAwOQkAAAABMFryV8g8Jd4IQsoOKj0l3ggrQ0lRLkNPUC5JUV9FQklUREEuSVFfTFRNLjYvMzAvMjAxMC5MLi5VU0QuSAEAAABPhgQAAgAAAAUyNTY4OAEIAAAABQAAAAExAQAAAAoxNDY0NTcyOTM0AwAAAAMx</t>
  </si>
  <si>
    <t>NjACAAAABDQwNTEEAAAAATAHAAAACTYvMzAvMjAxMAgAAAAJNi8zMC8yMDEwCQAAAAEw5+R8iUQl3ghT3kaLRCXeCCtDSVEuRU9HLklRX0VCSVREQS5JUV9MVE0uMy8zMS8yMDE5LkwuLlVTRC5IAQAAAFwdBAACAAAACDgxMzAuNDE3AQgAAAAFAAAAATEBAAAACjIwMzQwMjAwOTQDAAAAAzE2MAIAAAAENDA1MQQAAAABMAcAAAAJMy8zMS8yMDE5CAAAAAkzLzMxLzIwMTkJAAAAATCdAtbIPCXeCER76Sk9Jd4IK0NJUS5YT00uSVFfRUJJVERBLklRX0xUTS45LzMwLzIwMTkuTC4uVVNELkgBAAAAQjMGAAIAAAAFMzM4MDQBCAAAAAUAAAABMQEAAAAKMjA2ODI3MzE3MAMAAAADMTYwAgAAAAQ0MDUxBAAAAAEwBwAAAAk5LzMwLzIwMTkIAAAACTkvMzAvMjAxOQkAAAABMClfx4pEJd4IJCN7i0Ql3ggrQ0lRLlhPTS5JUV9FQklUREEuSVFfTFRNLjkvMzAvMjAxNi5MLi5VU0QuSAEAAABCMwYAAgAAAAUyMzY1MAEIAAAABQAAAAExAQAAAAoxODYzNjgzNDQyAwAAAAMxNjACAAAABDQwNTEEAAAAATAHAAAACTkvMzAvMjAxNggAAAAJOS8zMC8yMDE2CQAAAAEwenmKiUQl3gipRGuLRCXeCCtDSVEuRU9HLklRX0VCSVREQS5JUV9MVE0uNi8zMC8yMDEzLkwuLlVTRC5IAQAAAFwdBAACAAAACDY1MDcuNTE2AQgAAAAFAAAAATEBAAAACjE2ODk2NjQzMzEDAAAAAzE2MAIAAAAENDA1MQQAAAABMAcAAAAJNi8zMC8yMDEz</t>
  </si>
  <si>
    <t>CAAAAAk2LzMwLzIwMTMJAAAAATBzhzEVPCXeCONuCyo9Jd4IK0NJUS5YT00uSVFfRUJJVERBLklRX0xUTS45LzMwLzIwMTIuTC4uVVNELkgBAAAAQjMGAAIAAAAFNjQ4NzcBCAAAAAUAAAABMQEAAAAKMTY0MzQ4MDQ0MwMAAAADMTYwAgAAAAQ0MDUxBAAAAAEwBwAAAAk5LzMwLzIwMTIIAAAACTkvMzAvMjAxMgkAAAABMG4riolEJd4IDntRi0Ql3ggrQ0lRLlhPTS5JUV9FQklUREEuSVFfTFRNLjkvMzAvMjAxMC5MLi5VU0QuSAEAAABCMwYAAgAAAAU1MDAyOAEIAAAABQAAAAExAQAAAAoxNDgwNjE1NzE4AwAAAAMxNjACAAAABDQwNTEEAAAAATAHAAAACTkvMzAvMjAxMAgAAAAJOS8zMC8yMDEwCQAAAAEw5+R8iUQl3ggCL0iLRCXeCCxDSVEuRU9HLklRX0VCSVREQS5JUV9MVE0uMTIvMzEvMjAxMy5MLi5VU0QuSAEAAABcHQQAAgAAAAg3MzY1LjU2MwEIAAAABQAAAAExAQAAAAoxNzc3NzU2MzQ4AwAAAAMxNjACAAAABDQwNTEEAAAAATAHAAAACjEyLzMxLzIwMTMIAAAACjEyLzMxLzIwMTMJAAAAATBoYDEVPCXeCK/5Cio9Jd4IK0NJUS5DVlguSVFfRUJJVERBLklRX0xUTS4zLzMxLzIwMjEuTC4uVVNELkgBAAAAyoABAAIAAAAFMTIwNzUBCAAAAAUAAAABMQEAAAALLTIwOTg1NjM0ODADAAAAAzE2MAIAAAAENDA1MQQAAAABMAcAAAAJMy8zMS8yMDIxCAAAAAkzLzMxLzIwMjEJAAAAATAJEceKRCXeCNvZ</t>
  </si>
  <si>
    <t>gYtEJd4IK0NJUS5DVlguSVFfRUJJVERBLklRX0xUTS4zLzMxLzIwMTEuTC4uVVNELkgBAAAAyoABAAIAAAAFNDE0NDMBCAAAAAUAAAABMQEAAAAKMTU0NTA0MzMyMAMAAAADMTYwAgAAAAQ0MDUxBAAAAAEwBwAAAAkzLzMxLzIwMTEIAAAACTMvMzEvMjAxMQkAAAABMNu9fIlEJd4IaIFKi0Ql3ggrQ0lRLkVPRy5JUV9FQklUREEuSVFfTFRNLjMvMzEvMjAyMS5MLi5VU0QuSAEAAABcHQQAAgAAAAQ0MjcwAQgAAAAFAAAAATEBAAAACy0yMDk4NDk4MzYxAwAAAAMxNjACAAAABDQwNTEEAAAAATAHAAAACTMvMzEvMjAyMQgAAAAJMy8zMS8yMDIxCQAAAAEwk9vVyDwl3ghEe+kpPSXeCCtDSVEuQ1ZYLklRX0VCSVREQS5JUV9MVE0uNi8zMC8yMDE4LkwuLlVTRC5IAQAAAMqAAQACAAAABTI2MjgzAQgAAAAFAAAAATEBAAAACjE5NzQ1MjgzNzYDAAAAAzE2MAIAAAAENDA1MQQAAAABMAcAAAAJNi8zMC8yMDE4CAAAAAk2LzMwLzIwMTgJAAAAATDn5HyJRCXeCKEIdYtEJd4IK0NJUS5YT00uSVFfRUJJVERBLklRX0xUTS45LzMwLzIwMTUuTC4uVVNELkgBAAAAQjMGAAIAAAAFMzU1NjQBCAAAAAUAAAABMQEAAAAKMTgxNjIyMTk2NgMAAAADMTYwAgAAAAQ0MDUxBAAAAAEwBwAAAAk5LzMwLzIwMTUIAAAACTkvMzAvMjAxNQkAAAABMKHHiolEJd4IDNxki0Ql3ggsQ0lRLkNPUC5JUV9FQklUREEuSVFfTFRNLjEyLzMx</t>
  </si>
  <si>
    <t>LzIwMjQuTC4uVVNELkgBAAAAT4YEAAIAAAAFMjQzMDgBCAAAAAUAAAABMQEAAAALLTE5NTkyMDIxNzEDAAAAAzE2MAIAAAAENDA1MQQAAAABMAcAAAAKMTIvMzEvMjAyNAgAAAAKMTIvMzEvMjAyNAkAAAABMOoj2opEJd4Iea6Oi0Ql3ggsQ0lRLlhPTS5JUV9FQklUREEuSVFfTFRNLjEyLzMxLzIwMTQuTC4uVVNELkgBAAAAQjMGAAIAAAAFNTEzNzkBCAAAAAUAAAABMQEAAAAKMTgyODkwNDg3MAMAAAADMTYwAgAAAAQ0MDUxBAAAAAEwBwAAAAoxMi8zMS8yMDE0CAAAAAoxMi8zMS8yMDE0CQAAAAEwyJZ8iUQl3ggcIWCLRCXeCCtDSVEuRU9HLklRX0VCSVREQS5JUV9MVE0uNi8zMC8yMDI1LkwuLlVTRC5IAQAAAFwdBAACAAAABTExODA4AQgAAAAFAAAAATEBAAAACy0xOTMyNzExNjE4AwAAAAMxNjACAAAABDQwNTEEAAAAATAHAAAACTYvMzAvMjAyNQgAAAAJNi8zMC8yMDI1CQAAAAEw6iPaikQl3gikbZGLRCXeCCtDSVEuWE9NLklRX0VCSVREQS5JUV9MVE0uOS8zMC8yMDI0LkwuLlVTRC5IAQAAAEIzBgACAAAABTY2NTk1AQgAAAAFAAAAATEBAAAACy0xOTE4NjU1MDA5AwAAAAMxNjACAAAABDQwNTEEAAAAATAHAAAACTkvMzAvMjAyNAgAAAAJOS8zMC8yMDI0CQAAAAEw6iPaikQl3ggSppKLRCXeCCtDSVEuRU9HLklRX0VCSVREQS5JUV9MVE0uNi8zMC8yMDIzLkwuLlVTRC5IAQAAAFwdBAACAAAABTE0</t>
  </si>
  <si>
    <t>Nzc1AQgAAAAFAAAAATEBAAAACy0xOTg1NTAwMzIzAwAAAAMxNjACAAAABDQwNTEEAAAAATAHAAAACTYvMzAvMjAyMwgAAAAJNi8zMC8yMDIzCQAAAAEwNkYUFTwl3ghTQ/EpPSXeCCtDSVEuWE9NLklRX0VCSVREQS5JUV9MVE0uOS8zMC8yMDIyLkwuLlVTRC5IAQAAAEIzBgACAAAABTk1MTUzAQgAAAAFAAAAATEBAAAACy0yMDIxODY3OTA4AwAAAAMxNjACAAAABDQwNTEEAAAAATAHAAAACTkvMzAvMjAyMggAAAAJOS8zMC8yMDIyCQAAAAEw5UraikQl3gjB3oiLRCXeCCtDSVEuRU9HLklRX0VCSVREQS5JUV9MVE0uNi8zMC8yMDIxLkwuLlVTRC5IAQAAAFwdBAACAAAABDY0MzcBCAAAAAUAAAABMQEAAAALLTIwODY1ODQ3NzIDAAAAAzE2MAIAAAAENDA1MQQAAAABMAcAAAAJNi8zMC8yMDIxCAAAAAk2LzMwLzIwMjEJAAAAATCNtNXIPCXeCEgc8Sk9Jd4IK0NJUS5YT00uSVFfRUJJVERBLklRX0xUTS45LzMwLzIwMjAuTC4uVVNELkgBAAAAQjMGAAIAAAAFMTkxNDgBCAAAAAUAAAABMQEAAAALLTIxMjM5MjcyMjMDAAAAAzE2MAIAAAAENDA1MQQAAAABMAcAAAAJOS8zMC8yMDIwCAAAAAk5LzMwLzIwMjAJAAAAATAJEceKRCXeCPyPf4tEJd4IK0NJUS5FT0cuSVFfRUJJVERBLklRX0xUTS42LzMwLzIwMTkuTC4uVVNELkgBAAAAXB0EAAIAAAAIODMzOC44NTMBCAAAAAUAAAABMQEAAAAKMjA0ODYyOTQwMwMA</t>
  </si>
  <si>
    <t>AAADMTYwAgAAAAQ0MDUxBAAAAAEwBwAAAAk2LzMwLzIwMTkIAAAACTYvMzAvMjAxOQkAAAABMJ0C1sg8Jd4I3jHwKT0l3ggrQ0lRLlhPTS5JUV9FQklUREEuSVFfTFRNLjkvMzAvMjAxOC5MLi5VU0QuSAEAAABCMwYAAgAAAAUzNzcwNAEIAAAABQAAAAExAQAAAAoxOTkwNzg4NjEzAwAAAAMxNjACAAAABDQwNTEEAAAAATAHAAAACTkvMzAvMjAxOAgAAAAJOS8zMC8yMDE4CQAAAAEwSIbHikQl3ggSGnaLRCXeCCtDSVEuRU9HLklRX0VCSVREQS5JUV9MVE0uNi8zMC8yMDE3LkwuLlVTRC5IAQAAAFwdBAACAAAACDM4ODAuNjM1AQgAAAAFAAAAATEBAAAACjE4OTg0MTQ4NzYDAAAAAzE2MAIAAAAENDA1MQQAAAABMAcAAAAJNi8zMC8yMDE3CAAAAAk2LzMwLzIwMTcJAAAAATBn6p/IPCXeCFt4/Sk9Jd4IK0NJUS5FT0cuSVFfRUJJVERBLklRX0xUTS42LzMwLzIwMTUuTC4uVVNELkgBAAAAXB0EAAIAAAAINjk5Ni4yNjMBCAAAAAUAAAABMQEAAAAKMTgwMTc4NTAzOQMAAAADMTYwAgAAAAQ0MDUxBAAAAAEwBwAAAAk2LzMwLzIwMTUIAAAACTYvMzAvMjAxNQkAAAABMJlfoMg8Jd4I/iQJKj0l3ggrQ0lRLlhPTS5JUV9FQklUREEuSVFfTFRNLjkvMzAvMjAxNC5MLi5VU0QuSAEAAABCMwYAAgAAAAU1NTUyMQEIAAAABQAAAAExAQAAAAoxNzYyODM5MTIxAwAAAAMxNjACAAAABDQwNTEEAAAAATAHAAAACTkvMzAv</t>
  </si>
  <si>
    <t>MjAxNAgAAAAJOS8zMC8yMDE0CQAAAAEwyJZ8iUQl3ghHJV6LRCXeCCtDSVEuQ1ZYLklRX0VCSVREQS5JUV9MVE0uOS8zMC8yMDE2LkwuLlVTRC5IAQAAAMqAAQACAAAABTEzMTc5AQgAAAAFAAAAATEBAAAACjE4NjM4Njc3MDYDAAAAAzE2MAIAAAAENDA1MQQAAAABMAcAAAAJOS8zMC8yMDE2CAAAAAk5LzMwLzIwMTYJAAAAATB6eYqJRCXeCLVra4tEJd4ILENJUS5DT1AuSVFfRUJJVERBLklRX0xUTS4xMi8zMS8yMDE1LkwuLlVTRC5IAQAAAE+GBAACAAAABDYxNzQBCAAAAAUAAAABMQEAAAAKMTg3NTI4MDI4OAMAAAADMTYwAgAAAAQ0MDUxBAAAAAEwBwAAAAoxMi8zMS8yMDE1CAAAAAoxMi8zMS8yMDE1CQAAAAEwjaCKiUQl3gjKiWaLRCXeCCxDSVEuQ09QLklRX0VCSVREQS5JUV9MVE0uMTIvMzEvMjAxMy5MLi5VU0QuSAEAAABPhgQAAgAAAAUyMTc4MwEIAAAABQAAAAExAQAAAAoxNzc3NDQyNjYwAwAAAAMxNjACAAAABDQwNTEEAAAAATAHAAAACjEyLzMxLzIwMTMIAAAACjEyLzMxLzIwMTMJAAAAATBQBIqJRCXeCFVqWYtEJd4IK0NJUS5DVlguSVFfRUJJVERBLklRX0xUTS45LzMwLzIwMTIuTC4uVVNELkgBAAAAyoABAAIAAAAFNDg1MjEBCAAAAAUAAAABMQEAAAAKMTY0MzkwMjY3OQMAAAADMTYwAgAAAAQ0MDUxBAAAAAEwBwAAAAk5LzMwLzIwMTIIAAAACTkvMzAvMjAxMgkAAAABMG4riolEJd4I</t>
  </si>
  <si>
    <t>DntRi0Ql3ggsQ0lRLkNPUC5JUV9FQklUREEuSVFfTFRNLjEyLzMxLzIwMTEuTC4uVVNELkgBAAAAT4YEAAIAAAAFMjMwNzIBCAAAAAUAAAABMQEAAAAKMTY2MDI0ODg4NgMAAAADMTYwAgAAAAQ0MDUxBAAAAAEwBwAAAAoxMi8zMS8yMDExCAAAAAoxMi8zMS8yMDExCQAAAAEwq4eYiUQl3giN0U2LRCXeCCxDSVEuQ09QLklRX0VCSVREQS5JUV9MVE0uMTIvMzEvMjAwOS5MLi5VU0QuSAEAAABPhgQAAgAAAAUyMDc0MgEIAAAABQAAAAExAQAAAAoxNTE3NjE3MDc3AwAAAAMxNjACAAAABDQwNTEEAAAAATAHAAAACjEyLzMxLzIwMDkIAAAACjEyLzMxLzIwMDkJAAAAATD1C32JRCXeCGiURItEJd4IK0NJUS5FT0cuSVFfRUJJVERBLklRX0xUTS45LzMwLzIwMTQuTC4uVVNELkgBAAAAXB0EAAIAAAAIOTEyMy42MTQBCAAAAAUAAAABMQEAAAAKMTc2MzI2NDcwNQMAAAADMTYwAgAAAAQ0MDUxBAAAAAEwBwAAAAk5LzMwLzIwMTQIAAAACTkvMzAvMjAxNAkAAAABMGhgMRU8Jd4IGMryKT0l3ggsQ0lRLlhPTS5JUV9FQklUREEuSVFfTFRNLjEyLzMxLzIwMDkuTC4uVVNELkgBAAAAQjMGAAIAAAAFMzgxNTYBCAAAAAUAAAABMQEAAAAKMTUyMzgwNjQ2MQMAAAADMTYwAgAAAAQ0MDUxBAAAAAEwBwAAAAoxMi8zMS8yMDA5CAAAAAoxMi8zMS8yMDA5CQAAAAEw9Qt9iUQl3gholESLRCXeCCtDSVEuWE9NLklRX0VCSVRE</t>
  </si>
  <si>
    <t>QS5JUV9MVE0uMy8zMS8yMDEzLkwuLlVTRC5IAQAAAEIzBgACAAAABTY0MzYyAQgAAAAFAAAAATEBAAAACjE2NzU5OTA3MDYDAAAAAzE2MAIAAAAENDA1MQQAAAABMAcAAAAJMy8zMS8yMDEzCAAAAAkzLzMxLzIwMTMJAAAAATBuK4qJRCXeCFJhVItEJd4IK0NJUS5DT1AuSVFfRUJJVERBLklRX0xUTS42LzMwLzIwMjIuTC4uVVNELkgBAAAAT4YEAAIAAAAFMzAzMTMBCAAAAAUAAAABMQEAAAALLTIwMjE0NzQ4NTkDAAAAAzE2MAIAAAAENDA1MQQAAAABMAcAAAAJNi8zMC8yMDIyCAAAAAk2LzMwLzIwMjIJAAAAATDlStqKRCXeCEumh4tEJd4IK0NJUS5DT1AuSVFfRUJJVERBLklRX0xUTS42LzMwLzIwMTguTC4uVVNELkgBAAAAT4YEAAIAAAAFMTI3MDEBCAAAAAUAAAABMQEAAAAKMTk3NTExNjU4MQMAAAADMTYwAgAAAAQ0MDUxBAAAAAEwBwAAAAk2LzMwLzIwMTgIAAAACTYvMzAvMjAxOAkAAAABMOfkfIlEJd4IoQh1i0Ql3ggrQ0lRLkNPUC5JUV9FQklUREEuSVFfTFRNLjYvMzAvMjAxNi5MLi5VU0QuSAEAAABPhgQAAgAAAAQzNjk0AQgAAAAFAAAAATEBAAAACjE4NTEyNjc0NzUDAAAAAzE2MAIAAAAENDA1MQQAAAABMAcAAAAJNi8zMC8yMDE2CAAAAAk2LzMwLzIwMTYJAAAAATCNoIqJRCXeCAi+aYtEJd4IK0NJUS5DVlguSVFfRUJJVERBLklRX0xUTS4zLzMxLzIwMTMuTC4uVVNELkgBAAAAyoABAAIA</t>
  </si>
  <si>
    <t>AAAFNDYxOTcBCAAAAAUAAAABMQEAAAAKMTY3NTA0MTcwOQMAAAADMTYwAgAAAAQ0MDUxBAAAAAEwBwAAAAkzLzMxLzIwMTMIAAAACTMvMzEvMjAxMwkAAAABMG4riolEJd4IUmFUi0Ql3ggrQ0lRLlhPTS5JUV9FQklUREEuSVFfTFRNLjYvMzAvMjAyMi5MLi5VU0QuSAEAAABCMwYAAgAAAAU3NDMwOAEIAAAABQAAAAExAQAAAAstMjAzNjE2NTY4OQMAAAADMTYwAgAAAAQ0MDUxBAAAAAEwBwAAAAk2LzMwLzIwMjIIAAAACTYvMzAvMjAyMgkAAAABMOVK2opEJd4IU82Hi0Ql3ggrQ0lRLkVPRy5JUV9FQklUREEuSVFfTFRNLjMvMzEvMjAxMS5MLi5VU0QuSAEAAABcHQQAAgAAAAgzMTIwLjUzOAEIAAAABQAAAAExAQAAAAoxNTQ1Njg3MzQxAwAAAAMxNjACAAAABDQwNTEEAAAAATAHAAAACTMvMzEvMjAxMQgAAAAJMy8zMS8yMDExCQAAAAEwSMtXyDwl3giNbu8pPSXeCCtDSVEuQ1ZYLklRX0VCSVREQS5JUV9MVE0uNi8zMC8yMDE2LkwuLlVTRC5IAQAAAMqAAQACAAAABTE0MzY5AQgAAAAFAAAAATEBAAAACjE4NTE2OTU2NzIDAAAAAzE2MAIAAAAENDA1MQQAAAABMAcAAAAJNi8zMC8yMDE2CAAAAAk2LzMwLzIwMTYJAAAAATCNoIqJRCXeCAi+aYtEJd4IK0NJUS5FT0cuSVFfRUJJVERBLklRX0xUTS42LzMwLzIwMjIuTC4uVVNELkgBAAAAXB0EAAIAAAAFMTEzNzABCAAAAAUAAAABMQEAAAALLTIwMzU3NTQz</t>
  </si>
  <si>
    <t>NDgDAAAAAzE2MAIAAAAENDA1MQQAAAABMAcAAAAJNi8zMC8yMDIyCAAAAAk2LzMwLzIwMjIJAAAAATAnbRQVPCXeCFND8Sk9Jd4IK0NJUS5YT00uSVFfRUJJVERBLklRX0xUTS45LzMwLzIwMTcuTC4uVVNELkgBAAAAQjMGAAIAAAAFMzAwNDQBCAAAAAUAAAABMQEAAAAKMTkyMDAxODUzMAMAAAADMTYwAgAAAAQ0MDUxBAAAAAEwBwAAAAk5LzMwLzIwMTcIAAAACTkvMzAvMjAxNwkAAAABMGtSiolEJd4IL4Zxi0Ql3ggsQ0lRLlhPTS5JUV9FQklUREEuSVFfTFRNLjEyLzMxLzIwMjAuTC4uVVNELkgBAAAAQjMGAAIAAAAFMTcwMTYBCAAAAAUAAAABMQEAAAALLTIwNTk5MTUyMTUDAAAAAzE2MAIAAAAENDA1MQQAAAABMAcAAAAKMTIvMzEvMjAyMAgAAAAKMTIvMzEvMjAyMAkAAAABMAkRx4pEJd4IcMiAi0Ql3ggrQ0lRLkVPRy5JUV9FQklUREEuSVFfTFRNLjkvMzAvMjAxOS5MLi5VU0QuSAEAAABcHQQAAgAAAAg3NzY3LjM5MgEIAAAABQAAAAExAQAAAAoyMDY4NDMxMDU2AwAAAAMxNjACAAAABDQwNTEEAAAAATAHAAAACTkvMzAvMjAxOQgAAAAJOS8zMC8yMDE5CQAAAAEwnQLWyDwl3ghLyekpPSXeCCxDSVEuWE9NLklRX0VCSVREQS5JUV9MVE0uMTIvMzEvMjAxNi5MLi5VU0QuSAEAAABCMwYAAgAAAAUyMzI0NAEIAAAABQAAAAExAQAAAAoxOTQ3NDA0NjU0AwAAAAMxNjACAAAABDQwNTEEAAAAATAHAAAA</t>
  </si>
  <si>
    <t>CjEyLzMxLzIwMTYIAAAACjEyLzMxLzIwMTYJAAAAATB6eYqJRCXeCFbybItEJd4IK0NJUS5DVlguSVFfRUJJVERBLklRX0xUTS45LzMwLzIwMjQuTC4uVVNELkgBAAAAyoABAAIAAAAFMzg5NDMBCAAAAAUAAAABMQEAAAALLTE5MTgwOTYzNjMDAAAAAzE2MAIAAAAENDA1MQQAAAABMAcAAAAJOS8zMC8yMDI0CAAAAAk5LzMwLzIwMjQJAAAAATDqI9qKRCXeCBKmkotEJd4ILENJUS5DT1AuSVFfRUJJVERBLklRX0xUTS4xMi8zMS8yMDIzLkwuLlVTRC5IAQAAAE+GBAACAAAABTI0NzUzAQgAAAAFAAAAATEBAAAACy0xOTU5MjAyMTc1AwAAAAMxNjACAAAABDQwNTEEAAAAATAHAAAACjEyLzMxLzIwMjMIAAAACjEyLzMxLzIwMjMJAAAAATDqI9qKRCXeCHmujotEJd4IK0NJUS5DVlguSVFfRUJJVERBLklRX0xUTS45LzMwLzIwMjIuTC4uVVNELkgBAAAAyoABAAIAAAAFNTQzMzIBCAAAAAUAAAABMQEAAAALLTIwMjE0MDkwMDgDAAAAAzE2MAIAAAAENDA1MQQAAAABMAcAAAAJOS8zMC8yMDIyCAAAAAk5LzMwLzIwMjIJAAAAATDlStqKRCXeCMHeiItEJd4ILENJUS5DT1AuSVFfRUJJVERBLklRX0xUTS4xMi8zMS8yMDIxLkwuLlVTRC5IAQAAAE+GBAACAAAABTIwMjc0AQgAAAAFAAAAATEBAAAACy0yMDEwMTI1MDc4AwAAAAMxNjACAAAABDQwNTEEAAAAATAHAAAACjEyLzMxLzIwMjEIAAAACjEyLzMxLzIwMjEJ</t>
  </si>
  <si>
    <t>AAAAATD+6caKRCXeCE1chYtEJd4IK0NJUS5DVlguSVFfRUJJVERBLklRX0xUTS45LzMwLzIwMjAuTC4uVVNELkgBAAAAyoABAAIAAAAFMTU3NjEBCAAAAAUAAAABMQEAAAALLTIxMjM2MDQyNjkDAAAAAzE2MAIAAAAENDA1MQQAAAABMAcAAAAJOS8zMC8yMDIwCAAAAAk5LzMwLzIwMjAJAAAAATAJEceKRCXeCPyPf4tEJd4ILENJUS5DT1AuSVFfRUJJVERBLklRX0xUTS4xMi8zMS8yMDE5LkwuLlVTRC5IAQAAAE+GBAACAAAABTEzNzQ2AQgAAAAFAAAAATEBAAAACy0yMTExNjQzMzI5AwAAAAMxNjACAAAABDQwNTEEAAAAATAHAAAACjEyLzMxLzIwMTkIAAAACjEyLzMxLzIwMTkJAAAAATAxOMeKRCXeCIo0fItEJd4IK0NJUS5DVlguSVFfRUJJVERBLklRX0xUTS45LzMwLzIwMTguTC4uVVNELkgBAAAAyoABAAIAAAAFMzAxNzMBCAAAAAUAAAABMQEAAAAKMTk5MDk4ODEzNgMAAAADMTYwAgAAAAQ0MDUxBAAAAAEwBwAAAAk5LzMwLzIwMTgIAAAACTkvMzAvMjAxOAkAAAABMEiGx4pEJd4IHkF2i0Ql3ggsQ0lRLkNPUC5JUV9FQklUREEuSVFfTFRNLjEyLzMxLzIwMTcuTC4uVVNELkgBAAAAT4YEAAIAAAAEOTY5NgEIAAAABQAAAAExAQAAAAoyMDE1NjM1ODQ3AwAAAAMxNjACAAAABDQwNTEEAAAAATAHAAAACjEyLzMxLzIwMTcIAAAACjEyLzMxLzIwMTcJAAAAATBrUoqJRCXeCKu+cotEJd4IK0NJUS5DVlgu</t>
  </si>
  <si>
    <t>SVFfRUJJVERBLklRX0xUTS45LzMwLzIwMTQuTC4uVVNELkgBAAAAyoABAAIAAAAFMzk4MzQBCAAAAAUAAAABMQEAAAAKMTc2MzMzMDM4OQMAAAADMTYwAgAAAAQ0MDUxBAAAAAEwBwAAAAk5LzMwLzIwMTQIAAAACTkvMzAvMjAxNAkAAAABMMiWfIlEJd4IWExei0Ql3ggrQ0lRLkNWWC5JUV9FQklUREEuSVFfTFRNLjkvMzAvMjAxMC5MLi5VU0QuSAEAAADKgAEAAgAAAAUzNjI5MwEIAAAABQAAAAExAQAAAAoxNDgwMDc0MDQ5AwAAAAMxNjACAAAABDQwNTEEAAAAATAHAAAACTkvMzAvMjAxMAgAAAAJOS8zMC8yMDEwCQAAAAEw5+R8iUQl3ggCL0iLRCXeCCxDSVEuWE9NLklRX0VCSVREQS5JUV9MVE0uMTIvMzEvMjAxNy5MLi5VU0QuSAEAAABCMwYAAgAAAAUzMTk2NwEIAAAABQAAAAExAQAAAAoyMDE3MzgxMTQxAwAAAAMxNjACAAAABDQwNTEEAAAAATAHAAAACjEyLzMxLzIwMTcIAAAACjEyLzMxLzIwMTcJAAAAATBrUoqJRCXeCKu+cotEJd4ILENJUS5YT00uSVFfRUJJVERBLklRX0xUTS4xMi8zMS8yMDE1LkwuLlVTRC5IAQAAAEIzBgACAAAABTMyNDgzAQgAAAAFAAAAATEBAAAACjE4NzcyMzM2MDADAAAAAzE2MAIAAAAENDA1MQQAAAABMAcAAAAKMTIvMzEvMjAxNQgAAAAKMTIvMzEvMjAxNQkAAAABMI2giolEJd4Iyolmi0Ql3ggsQ0lRLlhPTS5JUV9FQklUREEuSVFfTFRNLjEyLzMxLzIwMTMuTC4u</t>
  </si>
  <si>
    <t>VVNELkgBAAAAQjMGAAIAAAAFNTc0ODMBCAAAAAUAAAABMQEAAAAKMTc3NzYzNDg2OQMAAAADMTYwAgAAAAQ0MDUxBAAAAAEwBwAAAAoxMi8zMS8yMDEzCAAAAAoxMi8zMS8yMDEzCQAAAAEwUASKiUQl3ghValmLRCXeCCxDSVEuWE9NLklRX0VCSVREQS5JUV9MVE0uMTIvMzEvMjAxMS5MLi5VU0QuSAEAAABCMwYAAgAAAAU2OTY4NwEIAAAABQAAAAExAQAAAAoxNjYwNDcyODUxAwAAAAMxNjACAAAABDQwNTEEAAAAATAHAAAACjEyLzMxLzIwMTEIAAAACjEyLzMxLzIwMTEJAAAAATCrh5iJRCXeCI3RTYtEJd4IK0NJUS5FT0cuSVFfRUJJVERBLklRX0xUTS45LzMwLzIwMTAuTC4uVVNELkgBAAAAXB0EAAIAAAAIMjgxOS4yOTkBCAAAAAUAAAABMQEAAAAKMTQ3OTc2MTU0NwMAAAADMTYwAgAAAAQ0MDUxBAAAAAEwBwAAAAk5LzMwLzIwMTAIAAAACTkvMzAvMjAxMAkAAAABMEjLV8g8Jd4If4QKKj0l3ggrQ0lRLkNPUC5JUV9FQklUREEuSVFfTFRNLjMvMzEvMjAxMS5MLi5VU0QuSAEAAABPhgQAAgAAAAUyNTk0NAEIAAAABQAAAAExAQAAAAoxNTU3MDUwNzAzAwAAAAMxNjACAAAABDQwNTEEAAAAATAHAAAACTMvMzEvMjAxMQgAAAAJMy8zMS8yMDExCQAAAAEw2718iUQl3ghogUqLRCXeCCtDSVEuWE9NLklRX0VCSVREQS5JUV9MVE0uMy8zMS8yMDIxLkwuLlVTRC5IAQAAAEIzBgACAAAABTE4OTEyAQgAAAAF</t>
  </si>
  <si>
    <t>AAAAATEBAAAACy0yMDk4NjI4NTkwAwAAAAMxNjACAAAABDQwNTEEAAAAATAHAAAACTMvMzEvMjAyMQgAAAAJMy8zMS8yMDIxCQAAAAEwCRHHikQl3gjb2YGLRCXeCCtDSVEuWE9NLklRX0VCSVREQS5JUV9MVE0uMy8zMS8yMDE3LkwuLlVTRC5IAQAAAEIzBgACAAAABTI3NjU4AQgAAAAFAAAAATEBAAAACjE4ODY0NzY2MDYDAAAAAzE2MAIAAAAENDA1MQQAAAABMAcAAAAJMy8zMS8yMDE3CAAAAAkzLzMxLzIwMTcJAAAAATB6eYqJRCXeCASgbotEJd4IK0NJUS5YT00uSVFfRUJJVERBLklRX0xUTS4zLzMxLzIwMTUuTC4uVVNELkgBAAAAQjMGAAIAAAAFNDUwNzABCAAAAAUAAAABMQEAAAAKMTc4OTYxMTMzOQMAAAADMTYwAgAAAAQ0MDUxBAAAAAEwBwAAAAkzLzMxLzIwMTUIAAAACTMvMzEvMjAxNQkAAAABMKHHiolEJd4Itqdhi0Ql3ggrQ0lRLkNWWC5JUV9FQklUREEuSVFfTFRNLjMvMzEvMjAyMy5MLi5VU0QuSAEAAADKgAEAAgAAAAU1ODcyNgEIAAAABQAAAAExAQAAAAstMTk4NDU3Mzc4MgMAAAADMTYwAgAAAAQ0MDUxBAAAAAEwBwAAAAkzLzMxLzIwMjMIAAAACTMvMzEvMjAyMwkAAAABMOVK2opEJd4IECyLi0Ql3ggrQ0lRLlhPTS5JUV9FQklUREEuSVFfTFRNLjYvMzAvMjAyMC5MLi5VU0QuSAEAAABCMwYAAgAAAAUyNDQyNwEIAAAABQAAAAExAQAAAAstMjE0MDA3MDk1MAMAAAADMTYwAgAAAAQ0</t>
  </si>
  <si>
    <t>MDUxBAAAAAEwBwAAAAk2LzMwLzIwMjAIAAAACTYvMzAvMjAyMAkAAAABMDE4x4pEJd4IhH5+i0Ql3ggrQ0lRLlhPTS5JUV9FQklUREEuSVFfTFRNLjYvMzAvMjAxOC5MLi5VU0QuSAEAAABCMwYAAgAAAAUzNTAwOAEIAAAABQAAAAExAQAAAAoxOTc0NTI4Mzc3AwAAAAMxNjACAAAABDQwNTEEAAAAATAHAAAACTYvMzAvMjAxOAgAAAAJNi8zMC8yMDE4CQAAAAEw5+R8iUQl3gihCHWLRCXeCCtDSVEuRU9HLklRX0VCSVREQS5JUV9MVE0uMy8zMS8yMDE1LkwuLlVTRC5IAQAAAFwdBAACAAAACDgxNDkuODM4AQgAAAAFAAAAATEBAAAACjE3ODk3MTE3MjIDAAAAAzE2MAIAAAAENDA1MQQAAAABMAcAAAAJMy8zMS8yMDE1CAAAAAkzLzMxLzIwMTUJAAAAATCZX6DIPCXeCEOi6Sk9Jd4IK0NJUS5FT0cuSVFfRUJJVERBLklRX0xUTS4zLzMxLzIwMTMuTC4uVVNELkgBAAAAXB0EAAIAAAAINTkyMi4xNTgBCAAAAAUAAAABMQEAAAAKMTY3NTc1MDYwNAMAAAADMTYwAgAAAAQ0MDUxBAAAAAEwBwAAAAkzLzMxLzIwMTMIAAAACTMvMzEvMjAxMwkAAAABMHOHMRU8Jd4IDC3pKT0l3ggrQ0lRLkNWWC5JUV9FQklUREEuSVFfTFRNLjYvMzAvMjAyNC5MLi5VU0QuSAEAAADKgAEAAgAAAAU0MDkwMQEIAAAABQAAAAExAQAAAAstMTkxODA5NDYzNAMAAAADMTYwAgAAAAQ0MDUxBAAAAAEwBwAAAAk2LzMwLzIwMjQIAAAACTYv</t>
  </si>
  <si>
    <t>MzAvMjAyNAkAAAABMOoj2opEJd4Ig0aRi0Ql3ggrQ0lRLkNPUC5JUV9FQklUREEuSVFfTFRNLjkvMzAvMjAxMy5MLi5VU0QuSAEAAABPhgQAAgAAAAUyMjM0NwEIAAAABQAAAAExAQAAAAoxNzA0NzkzMjM2AwAAAAMxNjACAAAABDQwNTEEAAAAATAHAAAACTkvMzAvMjAxMwgAAAAJOS8zMC8yMDEzCQAAAAEwUASKiUQl3gikvFeLRCXeCCtDSVEuQ1ZYLklRX0VCSVREQS5JUV9MVE0uOS8zMC8yMDIxLkwuLlVTRC5IAQAAAMqAAQACAAAABTI3Njg1AQgAAAAFAAAAATEBAAAACy0yMDcyMTIyMDQwAwAAAAMxNjACAAAABDQwNTEEAAAAATAHAAAACTkvMzAvMjAyMQgAAAAJOS8zMC8yMDIxCQAAAAEw/unGikQl3gjSI4SLRCXeCCtDSVEuRU9HLklRX0VCSVREQS5JUV9MVE0uOS8zMC8yMDIxLkwuLlVTRC5IAQAAAFwdBAACAAAABDc5NDYBCAAAAAUAAAABMQEAAAALLTIwNzIxNzE3MzYDAAAAAzE2MAIAAAAENDA1MQQAAAABMAcAAAAJOS8zMC8yMDIxCAAAAAk5LzMwLzIwMjEJAAAAATCNtNXIPCXeCGdq8Sk9Jd4ILENJUS5YT00uSVFfRUJJVERBLklRX0xUTS4xMi8zMS8yMDEwLkwuLlVTRC5IAQAAAEIzBgACAAAABTU0ODgyAQgAAAAFAAAAATEBAAAACjE1ODk1NDcxNjkDAAAAAzE2MAIAAAAENDA1MQQAAAABMAcAAAAKMTIvMzEvMjAxMAgAAAAKMTIvMzEvMjAxMAkAAAABMOfkfIlEJd4I71dJi0Ql3ggsQ0lR</t>
  </si>
  <si>
    <t>LlhPTS5JUV9FQklUREEuSVFfTFRNLjEyLzMxLzIwMjMuTC4uVVNELkgBAAAAQjMGAAIAAAAFNjYzNTYBCAAAAAUAAAABMQEAAAALLTE5NTg5NTM2MTADAAAAAzE2MAIAAAAENDA1MQQAAAABMAcAAAAKMTIvMzEvMjAyMwgAAAAKMTIvMzEvMjAyMwkAAAABMOoj2opEJd4Iea6Oi0Ql3ggrQ0lRLkVPRy5JUV9FQklUREEuSVFfTFRNLjkvMzAvMjAyMi5MLi5VU0QuSAEAAABcHQQAAgAAAAUxMzU3NgEIAAAABQAAAAExAQAAAAstMjAyMTM3NTAzMQMAAAADMTYwAgAAAAQ0MDUxBAAAAAEwBwAAAAk5LzMwLzIwMjIIAAAACTkvMzAvMjAyMgkAAAABMCdtFBU8Jd4IS8npKT0l3ggsQ0lRLlhPTS5JUV9FQklUREEuSVFfTFRNLjEyLzMxLzIwMjEuTC4uVVNELkgBAAAAQjMGAAIAAAAFNDQyODgBCAAAAAUAAAABMQEAAAALLTIwMDc4MzI3MDkDAAAAAzE2MAIAAAAENDA1MQQAAAABMAcAAAAKMTIvMzEvMjAyMQgAAAAKMTIvMzEvMjAyMQkAAAABMP7pxopEJd4ITVyFi0Ql3ggrQ0lRLkVPRy5JUV9FQklUREEuSVFfTFRNLjkvMzAvMjAyMC5MLi5VU0QuSAEAAABcHQQAAgAAAAg1NzE2Ljg5MgEIAAAABQAAAAExAQAAAAstMjEyMzgzMTc2OAMAAAADMTYwAgAAAAQ0MDUxBAAAAAEwBwAAAAk5LzMwLzIwMjAIAAAACTkvMzAvMjAyMAkAAAABMJPb1cg8Jd4IZ2rxKT0l3ggsQ0lRLlhPTS5JUV9FQklUREEuSVFfTFRNLjEy</t>
  </si>
  <si>
    <t>LzMxLzIwMTkuTC4uVVNELkgBAAAAQjMGAAIAAAAFMzQ0NDMBCAAAAAUAAAABMQEAAAALLTIxMTEwNzM4MjADAAAAAzE2MAIAAAAENDA1MQQAAAABMAcAAAAKMTIvMzEvMjAxOQgAAAAKMTIvMzEvMjAxOQkAAAABMDE4x4pEJd4IijR8i0Ql3ggrQ0lRLkVPRy5JUV9FQklUREEuSVFfTFRNLjkvMzAvMjAxOC5MLi5VU0QuSAEAAABcHQQAAgAAAAg3NTA0LjI0NgEIAAAABQAAAAExAQAAAAoxOTkwNzM0ODA5AwAAAAMxNjACAAAABDQwNTEEAAAAATAHAAAACTkvMzAvMjAxOAgAAAAJOS8zMC8yMDE4CQAAAAEwnQLWyDwl3ghLyekpPSXeCCtDSVEuRU9HLklRX0VCSVREQS5JUV9MVE0uOS8zMC8yMDE2LkwuLlVTRC5IAQAAAFwdBAACAAAABzI0MDMuMTUBCAAAAAUAAAABMQEAAAAKMTg2Mzc3MDY0MQMAAAADMTYwAgAAAAQ0MDUxBAAAAAEwBwAAAAk5LzMwLzIwMTYIAAAACTkvMzAvMjAxNgkAAAABMIkRoMg8Jd4IDC3pKT0l3ggrQ0lRLkVPRy5JUV9FQklUREEuSVFfTFRNLjkvMzAvMjAxMi5MLi5VU0QuSAEAAABcHQQAAgAAAAc1Njg5LjEyAQgAAAAFAAAAATEBAAAACjE2NDM4NDYxMTIDAAAAAzE2MAIAAAAENDA1MQQAAAABMAcAAAAJOS8zMC8yMDEyCAAAAAk5LzMwLzIwMTIJAAAAATCArjEVPCXeCJDt/Sk9Jd4ILENJUS5DVlguSVFfRUJJVERBLklRX0xUTS4xMi8zMS8yMDE3LkwuLlVTRC5IAQAAAMqAAQAC</t>
  </si>
  <si>
    <t>AAAABTIxODY2AQgAAAAFAAAAATEBAAAACjIwMTYzNDk4OTADAAAAAzE2MAIAAAAENDA1MQQAAAABMAcAAAAKMTIvMzEvMjAxNwgAAAAKMTIvMzEvMjAxNwkAAAABMGtSiolEJd4Iq75yi0Ql3ggrQ0lRLkNPUC5JUV9FQklUREEuSVFfTFRNLjMvMzEvMjAxNy5MLi5VU0QuSAEAAABPhgQAAgAAAAQ2NjUzAQgAAAAFAAAAATEBAAAACjE4ODY3MzIxMjkDAAAAAzE2MAIAAAAENDA1MQQAAAABMAcAAAAJMy8zMS8yMDE3CAAAAAkzLzMxLzIwMTcJAAAAATB6eYqJRCXeCPV4botEJd4IK0NJUS5DT1AuSVFfRUJJVERBLklRX0xUTS4zLzMxLzIwMTUuTC4uVVNELkgBAAAAT4YEAAIAAAAFMTU2NTYBCAAAAAUAAAABMQEAAAAKMTc4OTM0NjM5MwMAAAADMTYwAgAAAAQ0MDUxBAAAAAEwBwAAAAkzLzMxLzIwMTUIAAAACTMvMzEvMjAxNQkAAAABMKHHiolEJd4Itqdhi0Ql3ggrQ0lRLkNWWC5JUV9FQklUREEuSVFfTFRNLjMvMzEvMjAxOS5MLi5VU0QuSAEAAADKgAEAAgAAAAUzMzE4MQEIAAAABQAAAAExAQAAAAoyMDMzNzI4MzQzAwAAAAMxNjACAAAABDQwNTEEAAAAATAHAAAACTMvMzEvMjAxOQgAAAAJMy8zMS8yMDE5CQAAAAEwKV/HikQl3ggRi3iLRCXeCCtDSVEuWE9NLklRX0VCSVREQS5JUV9MVE0uNi8zMC8yMDEyLkwuLlVTRC5IAQAAAEIzBgACAAAABTY1NDAyAQgAAAAFAAAAATEBAAAACjE2NDM0ODM5NzMD</t>
  </si>
  <si>
    <t>AAAAAzE2MAIAAAAENDA1MQQAAAABMAcAAAAJNi8zMC8yMDEyCAAAAAk2LzMwLzIwMTIJAAAAATCYYJiJRCXeCI1CUItEJd4IK0NJUS5FT0cuSVFfRUJJVERBLklRX0xUTS42LzMwLzIwMTQuTC4uVVNELkgBAAAAXB0EAAIAAAAIODA3OC41NDEBCAAAAAUAAAABMQEAAAAKMTc0OTczNDQxMgMAAAADMTYwAgAAAAQ0MDUxBAAAAAEwBwAAAAk2LzMwLzIwMTQIAAAACTYvMzAvMjAxNAkAAAABMGhgMRU8Jd4IYDYKKj0l3ggrQ0lRLkVPRy5JUV9FQklUREEuSVFfTFRNLjYvMzAvMjAxMi5MLi5VU0QuSAEAAABcHQQAAgAAAAY1NzM5LjcBCAAAAAUAAAABMQEAAAAKMTYyOTUyMTM3MQMAAAADMTYwAgAAAAQ0MDUxBAAAAAEwBwAAAAk2LzMwLzIwMTIIAAAACTYvMzAvMjAxMgkAAAABMICuMRU8Jd4IifUMKj0l3ggrQ0lRLkVPRy5JUV9FQklUREEuSVFfTFRNLjYvMzAvMjAxMC5MLi5VU0QuSAEAAABcHQQAAgAAAAgyNTMxLjUzNAEIAAAABQAAAAExAQAAAAoxNDY1MDE0MDcxAwAAAAMxNjACAAAABDQwNTEEAAAAATAHAAAACTYvMzAvMjAxMAgAAAAJNi8zMC8yMDEwCQAAAAEwSMtXyDwl3ggSVQ4qPSXeCCtDSVEuQ1ZYLklRX0VCSVREQS5JUV9MVE0uOS8zMC8yMDIzLkwuLlVTRC5IAQAAAMqAAQACAAAABTQ2Mjk5AQgAAAAFAAAAATEBAAAACy0xOTcwMTE2MjM2AwAAAAMxNjACAAAABDQwNTEEAAAAATAHAAAACTkv</t>
  </si>
  <si>
    <t>MzAvMjAyMwgAAAAJOS8zMC8yMDIzCQAAAAEw6iPaikQl3gj4dY2LRCXeCCxDSVEuQ09QLklRX0VCSVREQS5JUV9MVE0uMTIvMzEvMjAxMC5MLi5VU0QuSAEAAABPhgQAAgAAAAUyMTcyMAEIAAAABQAAAAExAQAAAAoxNTg4NDUzMjY5AwAAAAMxNjACAAAABDQwNTEEAAAAATAHAAAACjEyLzMxLzIwMTAIAAAACjEyLzMxLzIwMTAJAAAAATDn5HyJRCXeCO9XSYtEJd4ILENJUS5YT00uSVFfRUJJVERBLklRX0xUTS4xMi8zMS8yMDE4LkwuLlVTRC5IAQAAAEIzBgACAAAABTQxMzEyAQgAAAAFAAAAATEBAAAACjIwODE3NDY1NTYDAAAAAzE2MAIAAAAENDA1MQQAAAABMAcAAAAKMTIvMzEvMjAxOAgAAAAKMTIvMzEvMjAxOAkAAAABMClfx4pEJd4IjlJ3i0Ql3ggrQ0lRLkVPRy5JUV9FQklUREEuSVFfTFRNLjkvMzAvMjAxNS5MLi5VU0QuSAEAAABcHQQAAgAAAAg0OTgyLjcwNwEIAAAABQAAAAExAQAAAAoxODE2MDE3Mjg5AwAAAAMxNjACAAAABDQwNTEEAAAAATAHAAAACTkvMzAvMjAxNQgAAAAJOS8zMC8yMDE1CQAAAAEwmV+gyDwl3ggRp/ApPSXeCCxDSVEuWE9NLklRX0VCSVREQS5JUV9MVE0uMTIvMzEvMjAxMi5MLi5VU0QuSAEAAABCMwYAAgAAAAU2NTc2OQEIAAAABQAAAAExAQAAAAoxNzIwNzYzMDg3AwAAAAMxNjACAAAABDQwNTEEAAAAATAHAAAACjEyLzMxLzIwMTIIAAAACjEyLzMxLzIwMTIJAAAA</t>
  </si>
  <si>
    <t>ATBuK4qJRCXeCIeMUotEJd4IK0NJUS5FT0cuSVFfRUJJVERBLklRX0xUTS45LzMwLzIwMTEuTC4uVVNELkgBAAAAXB0EAAIAAAAINDUyOS4xMDUBCAAAAAUAAAABMQEAAAAKMTU3NDM5MTQwNwMAAAADMTYwAgAAAAQ0MDUxBAAAAAEwBwAAAAk5LzMwLzIwMTEIAAAACTkvMzAvMjAxMQkAAAABMICuMRU8Jd4IkmcFKj0l3ggrQ0lRLkVPRy5JUV9FQklUREEuSVFfTFRNLjkvMzAvMjAyNC5MLi5VU0QuSAEAAABcHQQAAgAAAAUxMzE2OAEIAAAABQAAAAExAQAAAAstMTkxODE2OTMzMQMAAAADMTYwAgAAAAQ0MDUxBAAAAAEwBwAAAAk5LzMwLzIwMjQIAAAACTkvMzAvMjAyNAkAAAABMOoj2opEJd4IEqaSi0Ql3ggsQ0lRLkVPRy5JUV9FQklUREEuSVFfTFRNLjEyLzMxLzIwMTEuTC4uVVNELkgBAAAAXB0EAAIAAAAINTE2Ny44MTgBCAAAAAUAAAABMQEAAAAKMTY2MDA0NDE4NAMAAAADMTYwAgAAAAQ0MDUxBAAAAAEwBwAAAAoxMi8zMS8yMDExCAAAAAoxMi8zMS8yMDExCQAAAAEwgK4xFTwl3gguMgwqPSXeCCtDSVEuQ1ZYLklRX0VCSVREQS5JUV9MVE0uMy8zMS8yMDI1LkwuLlVTRC5IAQAAAMqAAQACAAAABTM4MDA1AQgAAAAFAAAAATEBAAAACy0xOTMyNTkwNDU2AwAAAAMxNjACAAAABDQwNTEEAAAAATAHAAAACTMvMzEvMjAyNQgAAAAJMy8zMS8yMDI1CQAAAAEw6iPaikQl3ggXNZCLRCXeCCtDSVEuRU9H</t>
  </si>
  <si>
    <t>LklRX0VCSVREQS5JUV9MVE0uMy8zMS8yMDI1LkwuLlVTRC5IAQAAAFwdBAACAAAABTEyMTQ0AQgAAAAFAAAAATEBAAAACy0xOTQ2OTg2NDQ1AwAAAAMxNjACAAAABDQwNTEEAAAAATAHAAAACTMvMzEvMjAyNQgAAAAJMy8zMS8yMDI1CQAAAAEw6iPaikQl3ggXNZCLRCXeCCtDSVEuQ09QLklRX0VCSVREQS5JUV9MVE0uOS8zMC8yMDE5LkwuLlVTRC5IAQAAAE+GBAACAAAABTE0NTA4AQgAAAAFAAAAATEBAAAACjIwNjgxNDU5MzEDAAAAAzE2MAIAAAAENDA1MQQAAAABMAcAAAAJOS8zMC8yMDE5CAAAAAk5LzMwLzIwMTkJAAAAATApX8eKRCXeCCP8eotEJd4IK0NJUS5YT00uSVFfRUJJVERBLklRX0xUTS45LzMwLzIwMTEuTC4uVVNELkgBAAAAQjMGAAIAAAAFNjk3NTkBCAAAAAUAAAABMQEAAAAKMTU3NDc1NzA1NgMAAAADMTYwAgAAAAQ0MDUxBAAAAAEwBwAAAAk5LzMwLzIwMTEIAAAACTkvMzAvMjAxMQkAAAABMKuHmIlEJd4IJcBMi0Ql3ggsQ0lRLkNPUC5JUV9FQklUREEuSVFfTFRNLjEyLzMxLzIwMTguTC4uVVNELkgBAAAAT4YEAAIAAAAFMTU2ODUBCAAAAAUAAAABMQEAAAAKMjA4MDU3NDQ2OAMAAAADMTYwAgAAAAQ0MDUxBAAAAAEwBwAAAAoxMi8zMS8yMDE4CAAAAAoxMi8zMS8yMDE4CQAAAAEwKV/HikQl3giOUneLRCXeCCxDSVEuQ09QLklRX0VCSVREQS5JUV9MVE0uMTIvMzEvMjAxMi5MLi5V</t>
  </si>
  <si>
    <t>U0QuSAEAAABPhgQAAgAAAAUyMjQxNgEIAAAABQAAAAExAQAAAAoxNzIwNTg0NDkyAwAAAAMxNjACAAAABDQwNTEEAAAAATAHAAAACjEyLzMxLzIwMTIIAAAACjEyLzMxLzIwMTIJAAAAATBuK4qJRCXeCIeMUotEJd4IK0NJUS5DT1AuSVFfRUJJVERBLklRX0xUTS4zLzMxLzIwMjMuTC4uVVNELkgBAAAAT4YEAAIAAAAFMzI2NDEBCAAAAAUAAAABMQEAAAALLTE5ODU0MzI4NTMDAAAAAzE2MAIAAAAENDA1MQQAAAABMAcAAAAJMy8zMS8yMDIzCAAAAAkzLzMxLzIwMjMJAAAAATDlStqKRCXeCBAsi4tEJd4IK0NJUS5DT1AuSVFfRUJJVERBLklRX0xUTS4zLzMxLzIwMjEuTC4uVVNELkgBAAAAT4YEAAIAAAAENTkyOQEIAAAABQAAAAExAQAAAAstMjA5ODQ2NjgwMAMAAAADMTYwAgAAAAQ0MDUxBAAAAAEwBwAAAAkzLzMxLzIwMjEIAAAACTMvMzEvMjAyMQkAAAABMAkRx4pEJd4I29mBi0Ql3ggsQ0lRLkNWWC5JUV9FQklUREEuSVFfTFRNLjEyLzMxLzIwMTkuTC4uVVNELkgBAAAAyoABAAIAAAAFMjkwMjQBCAAAAAUAAAABMQEAAAALLTIxMTA4ODI4MjYDAAAAAzE2MAIAAAAENDA1MQQAAAABMAcAAAAKMTIvMzEvMjAxOQgAAAAKMTIvMzEvMjAxOQkAAAABMDE4x4pEJd4IijR8i0Ql3ggrQ0lRLkNPUC5JUV9FQklUREEuSVFfTFRNLjMvMzEvMjAxOS5MLi5VU0QuSAEAAABPhgQAAgAAAAUxNTc4MwEIAAAABQAA</t>
  </si>
  <si>
    <t>AAExAQAAAAoyMDMzNDY2NzAzAwAAAAMxNjACAAAABDQwNTEEAAAAATAHAAAACTMvMzEvMjAxOQgAAAAJMy8zMS8yMDE5CQAAAAEwKV/HikQl3ggRi3iLRCXeCCtDSVEuQ09QLklRX0VCSVREQS5JUV9MVE0uMy8zMS8yMDI1LkwuLlVTRC5IAQAAAE+GBAACAAAABTI1NTg3AQgAAAAFAAAAATEBAAAACy0xOTQ0OTQ2MTc2AwAAAAMxNjACAAAABDQwNTEEAAAAATAHAAAACTMvMzEvMjAyNQgAAAAJMy8zMS8yMDI1CQAAAAEw6iPaikQl3ggDDpCLRCXeCCxDSVEuQ1ZYLklRX0VCSVREQS5JUV9MVE0uMTIvMzEvMjAyMy5MLi5VU0QuSAEAAADKgAEAAgAAAAU0MjE3NwEIAAAABQAAAAExAQAAAAstMTk1ODc1Nzc5NQMAAAADMTYwAgAAAAQ0MDUxBAAAAAEwBwAAAAoxMi8zMS8yMDIzCAAAAAoxMi8zMS8yMDIzCQAAAAEw6iPaikQl3ghih46LRCXeCCxDSVEuQ1ZYLklRX0VCSVREQS5JUV9MVE0uMTIvMzEvMjAyMS5MLi5VU0QuSAEAAADKgAEAAgAAAAUzMzYzMgEIAAAABQAAAAExAQAAAAstMjAwODU1NzUxMwMAAAADMTYwAgAAAAQ0MDUxBAAAAAEwBwAAAAoxMi8zMS8yMDIxCAAAAAoxMi8zMS8yMDIxCQAAAAEw/unGikQl3ghNXIWLRCXeCCxDSVEuQ1ZYLklRX0VCSVREQS5JUV9MVE0uMTIvMzEvMjAxNS5MLi5VU0QuSAEAAADKgAEAAgAAAAUxODcyMQEIAAAABQAAAAExAQAAAAoxODc1Njc2MjM0AwAAAAMxNjAC</t>
  </si>
  <si>
    <t>AAAABDQwNTEEAAAAATAHAAAACjEyLzMxLzIwMTUIAAAACjEyLzMxLzIwMTUJAAAAATCNoIqJRCXeCMqJZotEJd4ILENJUS5DVlguSVFfRUJJVERBLklRX0xUTS4xMi8zMS8yMDA5LkwuLlVTRC5IAQAAAMqAAQACAAAABTI2NDMyAQgAAAAFAAAAATEBAAAACjE1MTk1Njc5NDEDAAAAAzE2MAIAAAAENDA1MQQAAAABMAcAAAAKMTIvMzEvMjAwOQgAAAAKMTIvMzEvMjAwOQkAAAABMPULfYlEJd4IaJREi0Ql3ggsQ0lRLkVPRy5JUV9FQklUREEuSVFfTFRNLjEyLzMxLzIwMTcuTC4uVVNELkgBAAAAXB0EAAIAAAAINDkxNC4xMjUBCAAAAAUAAAABMQEAAAAKMjAxODE2OTAxNwMAAAADMTYwAgAAAAQ0MDUxBAAAAAEwBwAAAAoxMi8zMS8yMDE3CAAAAAoxMi8zMS8yMDE3CQAAAAEwZ+qfyDwl3ggqIfgpPSXeCCtDSVEuQ1ZYLklRX0VCSVREQS5JUV9MVE0uNi8zMC8yMDIwLkwuLlVTRC5IAQAAAMqAAQACAAAABTE5MzQyAQgAAAAFAAAAATEBAAAACy0yMTM5Nzk3MzM0AwAAAAMxNjACAAAABDQwNTEEAAAAATAHAAAACTYvMzAvMjAyMAgAAAAJNi8zMC8yMDIwCQAAAAEwMTjHikQl3giEfn6LRCXeCCtDSVEuQ1ZYLklRX0VCSVREQS5JUV9MVE0uNi8zMC8yMDEwLkwuLlVTRC5IAQAAAMqAAQACAAAABTM0OTE5AQgAAAAFAAAAATEBAAAACjE0NjQ4NTc1NzEDAAAAAzE2MAIAAAAENDA1MQQAAAABMAcAAAAJNi8zMC8y</t>
  </si>
  <si>
    <t>MDEwCAAAAAk2LzMwLzIwMTAJAAAAATDn5HyJRCXeCFPeRotEJd4IK0NJUS5YT00uSVFfRUJJVERBLklRX0xUTS45LzMwLzIwMjEuTC4uVVNELkgBAAAAQjMGAAIAAAAFMzQ2NzcBCAAAAAUAAAABMQEAAAALLTIwNzIzMzcxODgDAAAAAzE2MAIAAAAENDA1MQQAAAABMAcAAAAJOS8zMC8yMDIxCAAAAAk5LzMwLzIwMjEJAAAAATD+6caKRCXeCNIjhItEJd4ILENJUS5DT1AuSVFfRUJJVERBLklRX0xUTS4xMi8zMS8yMDE2LkwuLlVTRC5IAQAAAE+GBAACAAAABDQ5MDEBCAAAAAUAAAABMQEAAAAKMTk0NjAwNTc0NAMAAAADMTYwAgAAAAQ0MDUxBAAAAAEwBwAAAAoxMi8zMS8yMDE2CAAAAAoxMi8zMS8yMDE2CQAAAAEwenmKiUQl3ghFy2yLRCXeCCtDSVEuQ1ZYLklRX0VCSVREQS5JUV9MVE0uOS8zMC8yMDEzLkwuLlVTRC5IAQAAAMqAAQACAAAABTQyOTk0AQgAAAAFAAAAATEBAAAACjE3MDUyNjQwMDkDAAAAAzE2MAIAAAAENDA1MQQAAAABMAcAAAAJOS8zMC8yMDEzCAAAAAk5LzMwLzIwMTMJAAAAATBQBIqJRCXeCLbjV4tEJd4IK0NJUS5YT00uSVFfRUJJVERBLklRX0xUTS4zLzMxLzIwMjUuTC4uVVNELkgBAAAAQjMGAAIAAAAFNjQ5OTkBCAAAAAUAAAABMQEAAAALLTE5NDYxNTc5MDgDAAAAAzE2MAIAAAAENDA1MQQAAAABMAcAAAAJMy8zMS8yMDI1CAAAAAkzLzMxLzIwMjUJAAAAATDqI9qKRCXeCBc1</t>
  </si>
  <si>
    <t>kItEJd4ILENJUS5FT0cuSVFfRUJJVERBLklRX0xUTS4xMi8zMS8yMDIzLkwuLlVTRC5IAQAAAFwdBAACAAAABTEzMjAyAQgAAAAFAAAAATEBAAAACy0xOTU3OTY2ODUzAwAAAAMxNjACAAAABDQwNTEEAAAAATAHAAAACjEyLzMxLzIwMjMIAAAACjEyLzMxLzIwMjMJAAAAATDqI9qKRCXeCGKHjotEJd4IK0NJUS5YT00uSVFfRUJJVERBLklRX0xUTS4zLzMxLzIwMjMuTC4uVVNELkgBAAAAQjMGAAIAAAAFOTM5MzABCAAAAAUAAAABMQEAAAALLTE5OTgwNTU5ODADAAAAAzE2MAIAAAAENDA1MQQAAAABMAcAAAAJMy8zMS8yMDIzCAAAAAkzLzMxLzIwMjMJAAAAATDlStqKRCXeCBAsi4tEJd4ILENJUS5FT0cuSVFfRUJJVERBLklRX0xUTS4xMi8zMS8yMDIxLkwuLlVTRC5IAQAAAFwdBAACAAAABTEwMTAzAQgAAAAFAAAAATEBAAAACy0yMDA5MjM3MjM4AwAAAAMxNjACAAAABDQwNTEEAAAAATAHAAAACjEyLzMxLzIwMjEIAAAACjEyLzMxLzIwMjEJAAAAATAnbRQVPCXeCEgc8Sk9Jd4IK0NJUS5YT00uSVFfRUJJVERBLklRX0xUTS4zLzMxLzIwMTkuTC4uVVNELkgBAAAAQjMGAAIAAAAFMzc3NzcBCAAAAAUAAAABMQEAAAAKMjAzMzc0NDIyMgMAAAADMTYwAgAAAAQ0MDUxBAAAAAEwBwAAAAkzLzMxLzIwMTkIAAAACTMvMzEvMjAxOQkAAAABMClfx4pEJd4IEYt4i0Ql3ggrQ0lRLkNPUC5JUV9FQklUREEuSVFf</t>
  </si>
  <si>
    <t>TFRNLjYvMzAvMjAyMC5MLi5VU0QuSAEAAABPhgQAAgAAAAQ4Njk0AQgAAAAFAAAAATEBAAAACy0yMTM5NzQyMDY5AwAAAAMxNjACAAAABDQwNTEEAAAAATAHAAAACTYvMzAvMjAyMAgAAAAJNi8zMC8yMDIwCQAAAAEwMTjHikQl3giEfn6LRCXeCCtDSVEuRU9HLklRX0VCSVREQS5JUV9MVE0uMy8zMS8yMDE3LkwuLlVTRC5IAQAAAFwdBAACAAAACDM1MDQuMDc1AQgAAAAFAAAAATEBAAAACjE4ODYzMjQwODcDAAAAAzE2MAIAAAAENDA1MQQAAAABMAcAAAAJMy8zMS8yMDE3CAAAAAkzLzMxLzIwMTcJAAAAATCJEaDIPCXeCEOi6Sk9Jd4IK0NJUS5DT1AuSVFfRUJJVERBLklRX0xUTS45LzMwLzIwMTcuTC4uVVNELkgBAAAAT4YEAAIAAAAEODY2NgEIAAAABQAAAAExAQAAAAoxOTE3MzE5NzQwAwAAAAMxNjACAAAABDQwNTEEAAAAATAHAAAACTkvMzAvMjAxNwgAAAAJOS8zMC8yMDE3CQAAAAEwa1KKiUQl3ggvhnGLRCXeCCtDSVEuQ1ZYLklRX0VCSVREQS5JUV9MVE0uOS8zMC8yMDE1LkwuLlVTRC5IAQAAAMqAAQACAAAABTIxOTUwAQgAAAAFAAAAATEBAAAACjE4MTYyMzA0MTYDAAAAAzE2MAIAAAAENDA1MQQAAAABMAcAAAAJOS8zMC8yMDE1CAAAAAk5LzMwLzIwMTUJAAAAATChx4qJRCXeCBkDZYtEJd4ILENJUS5YT00uSVFfRUJJVERBLklRX0xUTS4xMi8zMS8yMDI0LkwuLlVTRC5IAQAAAEIzBgACAAAA</t>
  </si>
  <si>
    <t>BTY0Mjk0AQgAAAAFAAAAATEBAAAACy0xOTU4OTUzNjQ0AwAAAAMxNjACAAAABDQwNTEEAAAAATAHAAAACjEyLzMxLzIwMjQIAAAACjEyLzMxLzIwMjQJAAAAATDqI9qKRCXeCHmujotEJd4IK0NJUS5FT0cuSVFfRUJJVERBLklRX0xUTS45LzMwLzIwMjMuTC4uVVNELkgBAAAAXB0EAAIAAAAFMTM1NjQBCAAAAAUAAAABMQEAAAALLTE5NzAyMzMzODEDAAAAAzE2MAIAAAAENDA1MQQAAAABMAcAAAAJOS8zMC8yMDIzCAAAAAk5LzMwLzIwMjMJAAAAATDqI9qKRCXeCPh1jYtEJd4ILENJUS5DVlguSVFfRUJJVERBLklRX0xUTS4xMi8zMS8yMDI0LkwuLlVTRC5IAQAAAMqAAQACAAAABTQwMDgxAQgAAAAFAAAAATEBAAAACy0xOTU4NzU4MzM3AwAAAAMxNjACAAAABDQwNTEEAAAAATAHAAAACjEyLzMxLzIwMjQIAAAACjEyLzMxLzIwMjQJAAAAATDqI9qKRCXeCHmujotEJd4IK0NJUS5DT1AuSVFfRUJJVERBLklRX0xUTS4zLzMxLzIwMjQuTC4uVVNELkgBAAAAT4YEAAIAAAAFMjQyODcBCAAAAAUAAAABMQEAAAALLTE5NDQ5NDYyMDYDAAAAAzE2MAIAAAAENDA1MQQAAAABMAcAAAAJMy8zMS8yMDI0CAAAAAkzLzMxLzIwMjQJAAAAATDqI9qKRCXeCAMOkItEJd4ILENJUS5DVlguSVFfRUJJVERBLklRX0xUTS4xMi8zMS8yMDIyLkwuLlVTRC5IAQAAAMqAAQACAAAABTU3NDQ3AQgAAAAFAAAAATEBAAAACy0xOTU4</t>
  </si>
  <si>
    <t>NzU4MDMxAwAAAAMxNjACAAAABDQwNTEEAAAAATAHAAAACjEyLzMxLzIwMjIIAAAACjEyLzMxLzIwMjIJAAAAATDlStqKRCXeCDPwiYtEJd4IK0NJUS5DT1AuSVFfRUJJVERBLklRX0xUTS4zLzMxLzIwMjIuTC4uVVNELkgBAAAAT4YEAAIAAAAFMjU1NjkBCAAAAAUAAAABMQEAAAALLTIwNDcyNTA2NjMDAAAAAzE2MAIAAAAENDA1MQQAAAABMAcAAAAJMy8zMS8yMDIyCAAAAAkzLzMxLzIwMjIJAAAAATDlStqKRCXeCMuUhotEJd4ILENJUS5DVlguSVFfRUJJVERBLklRX0xUTS4xMi8zMS8yMDIwLkwuLlVTRC5IAQAAAMqAAQACAAAABTEzMTMxAQgAAAAFAAAAATEBAAAACy0yMDU5NzY4MjI4AwAAAAMxNjACAAAABDQwNTEEAAAAATAHAAAACjEyLzMxLzIwMjAIAAAACjEyLzMxLzIwMjAJAAAAATAJEceKRCXeCHDIgItEJd4IK0NJUS5DT1AuSVFfRUJJVERBLklRX0xUTS4zLzMxLzIwMjAuTC4uVVNELkgBAAAAT4YEAAIAAAAFMTIwNzMBCAAAAAUAAAABMQEAAAAKMjA5NjM3ODQ2NgMAAAADMTYwAgAAAAQ0MDUxBAAAAAEwBwAAAAkzLzMxLzIwMjAIAAAACTMvMzEvMjAyMAkAAAABMDE4x4pEJd4I/kV9i0Ql3ggsQ0lRLkNWWC5JUV9FQklUREEuSVFfTFRNLjEyLzMxLzIwMTguTC4uVVNELkgBAAAAyoABAAIAAAAFMzM2NDEBCAAAAAUAAAABMQEAAAAKMjA4MTk4MDI0MgMAAAADMTYwAgAAAAQ0MDUxBAAAAAEw</t>
  </si>
  <si>
    <t>BwAAAAoxMi8zMS8yMDE4CAAAAAoxMi8zMS8yMDE4CQAAAAEwKV/HikQl3giOUneLRCXeCCtDSVEuQ09QLklRX0VCSVREQS5JUV9MVE0uMy8zMS8yMDE4LkwuLlVTRC5IAQAAAE+GBAACAAAABTEwOTQyAQgAAAAFAAAAATEBAAAACjE5NTk0Nzg5MTkDAAAAAzE2MAIAAAAENDA1MQQAAAABMAcAAAAJMy8zMS8yMDE4CAAAAAkzLzMxLzIwMTgJAAAAATD1C32JRCXeCBzQc4tEJd4ILENJUS5DVlguSVFfRUJJVERBLklRX0xUTS4xMi8zMS8yMDE2LkwuLlVTRC5IAQAAAMqAAQACAAAABTEzMzU5AQgAAAAFAAAAATEBAAAACjE5NDY2ODM4ODIDAAAAAzE2MAIAAAAENDA1MQQAAAABMAcAAAAKMTIvMzEvMjAxNggAAAAKMTIvMzEvMjAxNgkAAAABMHp5iolEJd4IVvJsi0Ql3ggrQ0lRLkNPUC5JUV9FQklUREEuSVFfTFRNLjMvMzEvMjAxNi5MLi5VU0QuSAEAAABPhgQAAgAAAAQ1MjQyAQgAAAAFAAAAATEBAAAACjE4NDA0Mjc5NjkDAAAAAzE2MAIAAAAENDA1MQQAAAABMAcAAAAJMy8zMS8yMDE2CAAAAAkzLzMxLzIwMTYJAAAAATCNoIqJRCXeCFUQaItEJd4ILENJUS5DVlguSVFfRUJJVERBLklRX0xUTS4xMi8zMS8yMDE0LkwuLlVTRC5IAQAAAMqAAQACAAAABTM2Nzk5AQgAAAAFAAAAATEBAAAACjE4MjkwODg5NDIDAAAAAzE2MAIAAAAENDA1MQQAAAABMAcAAAAKMTIvMzEvMjAxNAgAAAAKMTIvMzEvMjAxNAkA</t>
  </si>
  <si>
    <t>AAABMMiWfIlEJd4IHCFgi0Ql3ggrQ0lRLkNPUC5JUV9FQklUREEuSVFfTFRNLjMvMzEvMjAxNC5MLi5VU0QuSAEAAABPhgQAAgAAAAUyMTg1MgEIAAAABQAAAAExAQAAAAoxNzMyNTgwOTkzAwAAAAMxNjACAAAABDQwNTEEAAAAATAHAAAACTMvMzEvMjAxNAgAAAAJMy8zMS8yMDE0CQAAAAEw2718iUQl3gj28FqLRCXeCCxDSVEuQ1ZYLklRX0VCSVREQS5JUV9MVE0uMTIvMzEvMjAxMi5MLi5VU0QuSAEAAADKgAEAAgAAAAU0ODQzMgEIAAAABQAAAAExAQAAAAoxNzIwMDM5NTIyAwAAAAMxNjACAAAABDQwNTEEAAAAATAHAAAACjEyLzMxLzIwMTIIAAAACjEyLzMxLzIwMTIJAAAAATBuK4qJRCXeCIeMUotEJd4IK0NJUS5DT1AuSVFfRUJJVERBLklRX0xUTS4zLzMxLzIwMTIuTC4uVVNELkgBAAAAT4YEAAIAAAAFMjI2MjUBCAAAAAUAAAABMQEAAAAKMTYxNDk4ODU5MwMAAAADMTYwAgAAAAQ0MDUxBAAAAAEwBwAAAAkzLzMxLzIwMTIIAAAACTMvMzEvMjAxMgkAAAABMJhgmIlEJd4IDgpPi0Ql3ggsQ0lRLkNWWC5JUV9FQklUREEuSVFfTFRNLjEyLzMxLzIwMTAuTC4uVVNELkgBAAAAyoABAAIAAAAFMzg0MzgBCAAAAAUAAAABMQEAAAAKMTU4ODg0NjQ0MAMAAAADMTYwAgAAAAQ0MDUxBAAAAAEwBwAAAAoxMi8zMS8yMDEwCAAAAAoxMi8zMS8yMDEwCQAAAAEw5+R8iUQl3gjvV0mLRCXeCCtDSVEuQ09QLklR</t>
  </si>
  <si>
    <t>X0VCSVREQS5JUV9MVE0uMy8zMS8yMDEwLkwuLlVTRC5IAQAAAE+GBAACAAAABTIzMjE3AQgAAAAFAAAAATEBAAAACjE0NTEwODI5OTgDAAAAAzE2MAIAAAAENDA1MQQAAAABMAcAAAAJMy8zMS8yMDEwCAAAAAkzLzMxLzIwMTAJAAAAATD1C32JRCXeCOfMRYtEJd4ILENJUS5FT0cuSVFfRUJJVERBLklRX0xUTS4xMi8zMS8yMDI0LkwuLlVTRC5IAQAAAFwdBAACAAAABTEyNTY1AQgAAAAFAAAAATEBAAAACy0xOTU3OTY2ODUwAwAAAAMxNjACAAAABDQwNTEEAAAAATAHAAAACjEyLzMxLzIwMjQIAAAACjEyLzMxLzIwMjQJAAAAATDqI9qKRCXeCHmujotEJd4IK0NJUS5YT00uSVFfRUJJVERBLklRX0xUTS4zLzMxLzIwMjQuTC4uVVNELkgBAAAAQjMGAAIAAAAFNjIyNjEBCAAAAAUAAAABMQEAAAALLTE5NDYxNTc5MjIDAAAAAzE2MAIAAAAENDA1MQQAAAABMAcAAAAJMy8zMS8yMDI0CAAAAAkzLzMxLzIwMjQJAAAAATDqI9qKRCXeCP3mj4tEJd4ILENJUS5FT0cuSVFfRUJJVERBLklRX0xUTS4xMi8zMS8yMDIyLkwuLlVTRC5IAQAAAFwdBAACAAAABTEzNzkxAQgAAAAFAAAAATEBAAAACy0xOTU3OTY2ODU2AwAAAAMxNjACAAAABDQwNTEEAAAAATAHAAAACjEyLzMxLzIwMjIIAAAACjEyLzMxLzIwMjIJAAAAATA2RhQVPCXeCFND8Sk9Jd4IK0NJUS5YT00uSVFfRUJJVERBLklRX0xUTS4zLzMxLzIwMjIuTC4u</t>
  </si>
  <si>
    <t>VVNELkgBAAAAQjMGAAIAAAAFNTM4OTUBCAAAAAUAAAABMQEAAAALLTIwNDc4OTA1NTcDAAAAAzE2MAIAAAAENDA1MQQAAAABMAcAAAAJMy8zMS8yMDIyCAAAAAkzLzMxLzIwMjIJAAAAATDlStqKRCXeCMuUhotEJd4ILENJUS5FT0cuSVFfRUJJVERBLklRX0xUTS4xMi8zMS8yMDIwLkwuLlVTRC5IAQAAAFwdBAACAAAABDUwMDMBCAAAAAUAAAABMQEAAAALLTIwNTk4NDEzNDcDAAAAAzE2MAIAAAAENDA1MQQAAAABMAcAAAAKMTIvMzEvMjAyMAgAAAAKMTIvMzEvMjAyMAkAAAABMJPb1cg8Jd4IPfXwKT0l3ggrQ0lRLlhPTS5JUV9FQklUREEuSVFfTFRNLjMvMzEvMjAyMC5MLi5VU0QuSAEAAABCMwYAAgAAAAUyODQ0NgEIAAAABQAAAAExAQAAAAoyMDk1Njk4NTYyAwAAAAMxNjACAAAABDQwNTEEAAAAATAHAAAACTMvMzEvMjAyMAgAAAAJMy8zMS8yMDIwCQAAAAEwMTjHikQl3gj+RX2LRCXeCCxDSVEuRU9HLklRX0VCSVREQS5JUV9MVE0uMTIvMzEvMjAxOC5MLi5VU0QuSAEAAABcHQQAAgAAAAg4MDczLjE2NgEIAAAABQAAAAExAQAAAAoyMDgxNzg1NDE3AwAAAAMxNjACAAAABDQwNTEEAAAAATAHAAAACjEyLzMxLzIwMTgIAAAACjEyLzMxLzIwMTgJAAAAATCdAtbIPCXeCM3j7yk9Jd4IK0NJUS5YT00uSVFfRUJJVERBLklRX0xUTS4zLzMxLzIwMTguTC4uVVNELkgBAAAAQjMGAAIAAAAFMzI3MjABCAAA</t>
  </si>
  <si>
    <t>AAUAAAABMQEAAAAKMTk1OTUwMTUwMgMAAAADMTYwAgAAAAQ0MDUxBAAAAAEwBwAAAAkzLzMxLzIwMTgIAAAACTMvMzEvMjAxOAkAAAABMPULfYlEJd4IHNBzi0Ql3ggsQ0lRLkVPRy5JUV9FQklUREEuSVFfTFRNLjEyLzMxLzIwMTYuTC4uVVNELkgBAAAAXB0EAAIAAAAIMjcyOC41NjgBCAAAAAUAAAABMQEAAAAKMTk0NzEwNjY0MAMAAAADMTYwAgAAAAQ0MDUxBAAAAAEwBwAAAAoxMi8zMS8yMDE2CAAAAAoxMi8zMS8yMDE2CQAAAAEwiRGgyDwl3ggtA/0pPSXeCCtDSVEuWE9NLklRX0VCSVREQS5JUV9MVE0uMy8zMS8yMDE2LkwuLlVTRC5IAQAAAEIzBgACAAAABTI3NzM4AQgAAAAFAAAAATEBAAAACjE4ODY0NzY4MDMDAAAAAzE2MAIAAAAENDA1MQQAAAABMAcAAAAJMy8zMS8yMDE2CAAAAAkzLzMxLzIwMTYJAAAAATCNoIqJRCXeCFUQaItEJd4IK0NJUS5YT00uSVFfRUJJVERBLklRX0xUTS4zLzMxLzIwMTIuTC4uVVNELkgBAAAAQjMGAAIAAAAFNjgzMzMBCAAAAAUAAAABMQEAAAAKMTYxNTA0ODI5MgMAAAADMTYwAgAAAAQ0MDUxBAAAAAEwBwAAAAkzLzMxLzIwMTIIAAAACTMvMzEvMjAxMgkAAAABMKuHmIlEJd4IDgpPi0Ql3ggrQ0lRLlhPTS5JUV9FQklUREEuSVFfTFRNLjMvMzEvMjAxMC5MLi5VU0QuSAEAAABCMwYAAgAAAAU0MTQ5NQEIAAAABQAAAAExAQAAAAoxNDUxMjA3Nzk2AwAAAAMxNjAC</t>
  </si>
  <si>
    <t>AAAABDQwNTEEAAAAATAHAAAACTMvMzEvMjAxMAgAAAAJMy8zMS8yMDEwCQAAAAEw9Qt9iUQl3gjnzEWLRCXeCCtDSVEuWE9NLklRX0VCSVREQS5JUV9MVE0uMy8zMS8yMDE0LkwuLlVTRC5IAQAAAEIzBgACAAAABTU2NzYyAQgAAAAFAAAAATEBAAAACjE3MzI5ODQzNDADAAAAAzE2MAIAAAAENDA1MQQAAAABMAcAAAAJMy8zMS8yMDE0CAAAAAkzLzMxLzIwMTQJAAAAATDbvXyJRCXeCAQYW4tEJd4ILENJUS5FT0cuSVFfRUJJVERBLklRX0xUTS4xMi8zMS8yMDEyLkwuLlVTRC5IAQAAAFwdBAACAAAACDU3MjcuNTc1AQgAAAAFAAAAATEBAAAACjE3MjAzNDU4ODUDAAAAAzE2MAIAAAAENDA1MQQAAAABMAcAAAAKMTIvMzEvMjAxMggAAAAKMTIvMzEvMjAxMgkAAAABMHOHMRU8Jd4IDeQLKj0l3ggsQ0lRLkVPRy5JUV9FQklUREEuSVFfTFRNLjEyLzMxLzIwMTAuTC4uVVNELkgBAAAAXB0EAAIAAAAIMjk4NC4zNTQBCAAAAAUAAAABMQEAAAAKMTU4ODg0NjM0MgMAAAADMTYwAgAAAAQ0MDUxBAAAAAEwBwAAAAoxMi8zMS8yMDEwCAAAAAoxMi8zMS8yMDEwCQAAAAEwSMtXyDwl3giXHA0qPSXeCCxDSVEuRU9HLklRX0VCSVREQS5JUV9MVE0uMTIvMzEvMjAxNC5MLi5VU0QuSAEAAABcHQQAAgAAAAg5NDc0Ljg0OQEIAAAABQAAAAExAQAAAAoxODI5NDUwNzI0AwAAAAMxNjACAAAABDQwNTEEAAAAATAHAAAACjEy</t>
  </si>
  <si>
    <t>LzMxLzIwMTQIAAAACjEyLzMxLzIwMTQJAAAAATCZX6DIPCXeCAkIBCo9Jd4IMENJUS5CUC5JUV9UT1RBTF9SRVZFTlVFLklRX0NRLjMvMzEvMjAxMy5MLi5VU0QuSAEAAADiBAYAAgAAAAU5NDEwNwEIAAAABQAAAAExAQAAAAoxNjc0MjE4NjI1AwAAAAMxNjACAAAAAjI4BAAAAAEwBwAAAAkzLzMxLzIwMTMIAAAACTMvMzEvMjAxMwkAAAABMJhgmIlEJd4IZc1Pi0Ql3ggwQ0lRLkJQLklRX1RPVEFMX1JFVkVOVUUuSVFfQ1EuMy8zMS8yMDIwLkwuLlVTRC5IAQAAAOIEBgACAAAABTMwNzcwAQgAAAAFAAAAATEBAAAACjIwOTIxMzc5OTYDAAAAAzE2MAIAAAACMjgEAAAAATAHAAAACTMvMzEvMjAyMAgAAAAJMy8zMS8yMDIwCQAAAAEwKV/HikQl3ghgTnmLRCXeCDBDSVEuQlAuSVFfVE9UQUxfUkVWRU5VRS5JUV9DUS4zLzMxLzIwMTYuTC4uVVNELkgBAAAA4gQGAAIAAAAFMzg0OTgBCAAAAAUAAAABMQEAAAAKMTgzOTQwOTExNQMAAAADMTYwAgAAAAIyOAQAAAABMAcAAAAJMy8zMS8yMDE2CAAAAAkzLzMxLzIwMTYJAAAAATChx4qJRCXeCCO5YotEJd4IMUNJUS5CUC5JUV9UT1RBTF9SRVZFTlVFLklRX0NRLjEyLzMxLzIwMTEuTC4uVVNELkgBAAAA4gQGAAIAAAAFOTM0NDEBCAAAAAUAAAABMQEAAAAKMTU5MDQ1NTcxOAMAAAADMTYwAgAAAAIyOAQAAAABMAcAAAAKMTIvMzEvMjAxMQgAAAAKMTIvMzEvMjAx</t>
  </si>
  <si>
    <t>MQkAAAABMNu9fIlEJd4ImApKi0Ql3ggwQ0lRLkJQLklRX1RPVEFMX1JFVkVOVUUuSVFfQ1EuOS8zMC8yMDIwLkwuLlVTRC5IAQAAAOIEBgACAAAABTI2MTcyAQgAAAAFAAAAATEBAAAACy0yMTI0MzE2MDA4AwAAAAMxNjACAAAAAjI4BAAAAAEwBwAAAAk5LzMwLzIwMjAIAAAACTkvMzAvMjAyMAkAAAABMDE4x4pEJd4IX797i0Ql3ggwQ0lRLkJQLklRX1RPVEFMX1JFVkVOVUUuSVFfQ1EuMy8zMS8yMDEyLkwuLlVTRC5IAQAAAOIEBgACAAAABTk0ODc4AQgAAAAFAAAAATEBAAAACjE2MTQ5NzgyNzYDAAAAAzE2MAIAAAACMjgEAAAAATAHAAAACTMvMzEvMjAxMggAAAAJMy8zMS8yMDEyCQAAAAEw2718iUQl3givM0uLRCXeCDBDSVEuQlAuSVFfVE9UQUxfUkVWRU5VRS5JUV9DUS4zLzMxLzIwMjUuTC4uVVNELkgBAAAA4gQGAAIAAAAFNDY0NTgBCAAAAAUAAAABMQEAAAALLTE5NDc5MDg3MTIDAAAAAzE2MAIAAAACMjgEAAAAATAHAAAACTMvMzEvMjAyNQgAAAAJMy8zMS8yMDI1CQAAAAEw6iPaikQl3ghS0ZCLRCXeCDBDSVEuQlAuSVFfVE9UQUxfUkVWRU5VRS5JUV9DUS42LzMwLzIwMTMuTC4uVVNELkgBAAAA4gQGAAIAAAAFOTQ3MTEBCAAAAAUAAAABMQEAAAAKMTY4ODY3NTY1NgMAAAADMTYwAgAAAAIyOAQAAAABMAcAAAAJNi8zMC8yMDEzCAAAAAk2LzMwLzIwMTMJAAAAATBuK4qJRCXeCOkFUYtEJd4I</t>
  </si>
  <si>
    <t>MENJUS5CUC5JUV9UT1RBTF9SRVZFTlVFLklRX0NRLjkvMzAvMjAxOS5MLi5VU0QuSAEAAADiBAYAAgAAAAU2Nzk1MQEIAAAABQAAAAExAQAAAAoyMDY2MzIzNTkzAwAAAAMxNjACAAAAAjI4BAAAAAEwBwAAAAk5LzMwLzIwMTkIAAAACTkvMzAvMjAxOQkAAAABMEiGx4pEJd4IY912i0Ql3ggxQ0lRLkJQLklRX1RPVEFMX1JFVkVOVUUuSVFfQ1EuMTIvMzEvMjAyMC5MLi5VU0QuSAEAAADiBAYAAgAAAAUyNzU5MgEIAAAABQAAAAExAQAAAAstMjEwNzc1MzIxNAMAAAADMTYwAgAAAAIyOAQAAAABMAcAAAAKMTIvMzEvMjAyMAgAAAAKMTIvMzEvMjAyMAkAAAABMDE4x4pEJd4I4Pd8i0Ql3ggwQ0lRLkJQLklRX1RPVEFMX1JFVkVOVUUuSVFfQ1EuMy8zMS8yMDExLkwuLlVTRC5IAQAAAOIEBgACAAAABTg1MzI5AQgAAAAFAAAAATEBAAAACjE1NDQ4ODA2OTIDAAAAAzE2MAIAAAACMjgEAAAAATAHAAAACTMvMzEvMjAxMQgAAAAJMy8zMS8yMDExCQAAAAEw5+R8iUQl3ggwkEaLRCXeCDBDSVEuQlAuSVFfVE9UQUxfUkVWRU5VRS5JUV9DUS4zLzMxLzIwMjQuTC4uVVNELkgBAAAA4gQGAAIAAAAFNDg0MzYBCAAAAAUAAAABMQEAAAALLTE5NDc5MDg3MTcDAAAAAzE2MAIAAAACMjgEAAAAATAHAAAACTMvMzEvMjAyNAgAAAAJMy8zMS8yMDI0CQAAAAEw5UraikQl3ghZ74uLRCXeCDBDSVEuQlAuSVFfVE9UQUxfUkVW</t>
  </si>
  <si>
    <t>RU5VRS5JUV9DUS42LzMwLzIwMTUuTC4uVVNELkgBAAAA4gQGAAIAAAAFNjE4NzgBCAAAAAUAAAABMQEAAAAKMTgwMDI4Njc5NwMAAAADMTYwAgAAAAIyOAQAAAABMAcAAAAJNi8zMC8yMDE1CAAAAAk2LzMwLzIwMTUJAAAAATDIlnyJRCXeCB6wXYtEJd4IMUNJUS5CUC5JUV9UT1RBTF9SRVZFTlVFLklRX0NRLjEyLzMxLzIwMTYuTC4uVVNELkgBAAAA4gQGAAIAAAAFNTExMzEBCAAAAAUAAAABMQEAAAAKMTg4MDU1NTY1OQMAAAADMTYwAgAAAAIyOAQAAAABMAcAAAAKMTIvMzEvMjAxNggAAAAKMTIvMzEvMjAxNgkAAAABMI2giolEJd4IJ5tni0Ql3ggwQ0lRLkJQLklRX1RPVEFMX1JFVkVOVUUuSVFfQ1EuMy8zMS8yMDE5LkwuLlVTRC5IAQAAAOIEBgACAAAABTY1ODk3AQgAAAAFAAAAATEBAAAACjIwMzEwNzU0MTQDAAAAAzE2MAIAAAACMjgEAAAAATAHAAAACTMvMzEvMjAxOQgAAAAJMy8zMS8yMDE5CQAAAAEw5+R8iUQl3ghqk3SLRCXeCDBDSVEuQlAuSVFfVE9UQUxfUkVWRU5VRS5JUV9DUS42LzMwLzIwMjMuTC4uVVNELkgBAAAA4gQGAAIAAAAFNDg3NjABCAAAAAUAAAABMQEAAAALLTE5NzA4ODM0MDcDAAAAAzE2MAIAAAACMjgEAAAAATAHAAAACTYvMzAvMjAyMwgAAAAJNi8zMC8yMDIzCQAAAAEw5UraikQl3gijkIiLRCXeCDBDSVEuQlAuSVFfVE9UQUxfUkVWRU5VRS5JUV9DUS4zLzMxLzIwMTUu</t>
  </si>
  <si>
    <t>TC4uVVNELkgBAAAA4gQGAAIAAAAFNTUxNTcBCAAAAAUAAAABMQEAAAAKMTgwMDM1OTA5NQMAAAADMTYwAgAAAAIyOAQAAAABMAcAAAAJMy8zMS8yMDE1CAAAAAkzLzMxLzIwMTUJAAAAATDbvXyJRCXeCHspXItEJd4IMENJUS5CUC5JUV9UT1RBTF9SRVZFTlVFLklRX0NRLjYvMzAvMjAxOS5MLi5VU0QuSAEAAADiBAYAAgAAAAU3MjMwNQEIAAAABQAAAAExAQAAAAoyMDQ3OTIwMTY4AwAAAAMxNjACAAAAAjI4BAAAAAEwBwAAAAk2LzMwLzIwMTkIAAAACTYvMzAvMjAxOQkAAAABMEiGx4pEJd4I6ct1i0Ql3ggwQ0lRLkJQLklRX1RPVEFMX1JFVkVOVUUuSVFfQ1EuOS8zMC8yMDE2LkwuLlVTRC5IAQAAAOIEBgACAAAABTQ2ODM1AQgAAAAFAAAAATEBAAAACjE4NjMyMDkyOTEDAAAAAzE2MAIAAAACMjgEAAAAATAHAAAACTkvMzAvMjAxNggAAAAJOS8zMC8yMDE2CQAAAAEwjaCKiUQl3giLFGaLRCXeCDBDSVEuQlAuSVFfVE9UQUxfUkVWRU5VRS5JUV9DUS42LzMwLzIwMjIuTC4uVVNELkgBAAAA4gQGAAIAAAAFNjcyNDIBCAAAAAUAAAABMQEAAAALLTIwMzYzMzQwNjEDAAAAAzE2MAIAAAACMjgEAAAAATAHAAAACTYvMzAvMjAyMggAAAAJNi8zMC8yMDIyCQAAAAEw/unGikQl3git1YOLRCXeCDBDSVEuQlAuSVFfVE9UQUxfUkVWRU5VRS5JUV9DUS4zLzMxLzIwMjEuTC4uVVNELkgBAAAA4gQGAAIAAAAFMzQy</t>
  </si>
  <si>
    <t>OTEBCAAAAAUAAAABMQEAAAALLTIwOTkxOTcyMzcDAAAAAzE2MAIAAAACMjgEAAAAATAHAAAACTMvMzEvMjAyMQgAAAAJMy8zMS8yMDIxCQAAAAEwMTjHikQl3ghMCX6LRCXeCDBDSVEuQlAuSVFfVE9UQUxfUkVWRU5VRS5JUV9DUS42LzMwLzIwMTguTC4uVVNELkgBAAAA4gQGAAIAAAAFNzQ5MDgBCAAAAAUAAAABMQEAAAAKMTk3MjgxMjY3NQMAAAADMTYwAgAAAAIyOAQAAAABMAcAAAAJNi8zMC8yMDE4CAAAAAk2LzMwLzIwMTgJAAAAATBrUoqJRCXeCBA4cYtEJd4IMENJUS5CUC5JUV9UT1RBTF9SRVZFTlVFLklRX0NRLjYvMzAvMjAxMi5MLi5VU0QuSAEAAADiBAYAAgAAAAU5NDk3NQEIAAAABQAAAAExAQAAAAoxNjI4NjI1MTc3AwAAAAMxNjACAAAAAjI4BAAAAAEwBwAAAAk2LzMwLzIwMTIIAAAACTYvMzAvMjAxMgkAAAABMKuHmIlEJd4Iul1Mi0Ql3ggxQ0lRLkJQLklRX1RPVEFMX1JFVkVOVUUuSVFfQ1EuMTIvMzEvMjAxOS5MLi5VU0QuSAEAAADiBAYAAgAAAAU3MTA0NgEIAAAABQAAAAExAQAAAAoyMDg1NTY5MDE3AwAAAAMxNjACAAAAAjI4BAAAAAEwBwAAAAoxMi8zMS8yMDE5CAAAAAoxMi8zMS8yMDE5CQAAAAEwKV/HikQl3gjkFXiLRCXeCDFDSVEuQlAuSVFfVE9UQUxfUkVWRU5VRS5JUV9DUS4xMi8zMS8yMDEyLkwuLlVTRC5IAQAAAOIEBgACAAAABTk1MjY4AQgAAAAFAAAAATEBAAAACjE2</t>
  </si>
  <si>
    <t>NjE4MzY3MTADAAAAAzE2MAIAAAACMjgEAAAAATAHAAAACjEyLzMxLzIwMTIIAAAACjEyLzMxLzIwMTIJAAAAATCrh5iJRCXeCOu7TotEJd4IMENJUS5CUC5JUV9UT1RBTF9SRVZFTlVFLklRX0NRLjYvMzAvMjAyMS5MLi5VU0QuSAEAAADiBAYAAgAAAAUzNjE3MgEIAAAABQAAAAExAQAAAAstMjA4NzE4MzQyMAMAAAADMTYwAgAAAAIyOAQAAAABMAcAAAAJNi8zMC8yMDIxCAAAAAk2LzMwLzIwMjEJAAAAATAJEceKRCXeCMtBf4tEJd4IPUNJUS5CUC5JUV9UT1RBTF9SRVZfMVlSX0FOTl9HUk9XVEguSVFfTFRNLjEyLzMxLzIwMTEuTC4uVVNELkgBAAAA4gQGAAIAAAAHMjYuNjA2NQEIAAAABQAAAAExAQAAAAoxNjYxODM2MjEyAwAAAAMxNjACAAAABDQxOTQEAAAAATAHAAAACjEyLzMxLzIwMTEIAAAACjEyLzMxLzIwMTEJAAAAATDn5HyJRCXeCJnOSYtEJd4IPUNJUS5CUC5JUV9UT1RBTF9SRVZfMVlSX0FOTl9HUk9XVEguSVFfTFRNLjEyLzMxLzIwMTUuTC4uVVNELkgBAAAA4gQGAAIAAAAILTM2LjcxODEBCAAAAAUAAAABMQEAAAAKMTg4MDU1NTcxMgMAAAADMTYwAgAAAAQ0MTk0BAAAAAEwBwAAAAoxMi8zMS8yMDE1CAAAAAoxMi8zMS8yMDE1CQAAAAEwpu6KiUQl3ghp5GCLRCXeCDxDSVEuQlAuSVFfVE9UQUxfUkVWXzFZUl9BTk5fR1JPV1RILklRX0xUTS42LzMwLzIwMTUuTC4uVVNELkgBAAAA4gQG</t>
  </si>
  <si>
    <t>AAIAAAAILTI0LjA2MDYBCAAAAAUAAAABMQEAAAAKMTgwMDI4Njg1NQMAAAADMTYwAgAAAAQ0MTk0BAAAAAEwBwAAAAk2LzMwLzIwMTUIAAAACTYvMzAvMjAxNQkAAAABMMiWfIlEJd4II4ldi0Ql3gg8Q0lRLkJQLklRX1RPVEFMX1JFVl8xWVJfQU5OX0dST1dUSC5JUV9MVE0uMy8zMS8yMDE2LkwuLlVTRC5IAQAAAOIEBgACAAAACC0zNS4yNjk2AQgAAAAFAAAAATEBAAAACjE4Mzk0MDk0MzYDAAAAAzE2MAIAAAAENDE5NAQAAAABMAcAAAAJMy8zMS8yMDE2CAAAAAkzLzMxLzIwMTYJAAAAATChx4qJRCXeCBWSYotEJd4IPUNJUS5CUC5JUV9UT1RBTF9SRVZfMVlSX0FOTl9HUk9XVEguSVFfTFRNLjEyLzMxLzIwMDkuTC4uVVNELkgBAAAA4gQGAAIAAAAILTMzLjY1ODQBCAAAAAUAAAABMQEAAAAKMTUyNjgyODU2NwMAAAADMTYwAgAAAAQ0MTk0BAAAAAEwBwAAAAoxMi8zMS8yMDA5CAAAAAoxMi8zMS8yMDA5CQAAAAEwBjN9iUQl3gjxEUGLRCXeCDxDSVEuQlAuSVFfVE9UQUxfUkVWXzFZUl9BTk5fR1JPV1RILklRX0xUTS45LzMwLzIwMTguTC4uVVNELkgBAAAA4gQGAAIAAAAHMzAuMDQzNwEIAAAABQAAAAExAQAAAAoxOTg5MjM4OTI2AwAAAAMxNjACAAAABDQxOTQEAAAAATAHAAAACTkvMzAvMjAxOAgAAAAJOS8zMC8yMDE4CQAAAAEwa1KKiUQl3gh0InKLRCXeCDxDSVEuQlAuSVFfVE9UQUxfUkVWXzFZ</t>
  </si>
  <si>
    <t>Ul9BTk5fR1JPV1RILklRX0xUTS45LzMwLzIwMjQuTC4uVVNELkgBAAAA4gQGAAIAAAAHLTE0LjMzOQEIAAAABQAAAAExAQAAAAstMTkxODY0NjcxNAMAAAADMTYwAgAAAAQ0MTk0BAAAAAEwBwAAAAk5LzMwLzIwMjQIAAAACTkvMzAvMjAyNAkAAAABMOoj2opEJd4IIeuNi0Ql3gg9Q0lRLkJQLklRX1RPVEFMX1JFVl8xWVJfQU5OX0dST1dUSC5JUV9MVE0uMTIvMzEvMjAxOS5MLi5VU0QuSAEAAADiBAYAAgAAAAgtNDYuODYwMQEIAAAABQAAAAExAQAAAAstMjEwNzc1MzIyNAMAAAADMTYwAgAAAAQ0MTk0BAAAAAEwBwAAAAoxMi8zMS8yMDE5CAAAAAoxMi8zMS8yMDE5CQAAAAEwKV/HikQl3gjL7neLRCXeCD1DSVEuQlAuSVFfVE9UQUxfUkVWXzFZUl9BTk5fR1JPV1RILklRX0xUTS4xMi8zMS8yMDIxLkwuLlVTRC5IAQAAAOIEBgACAAAABzQ4LjAzNDQBCAAAAAUAAAABMQEAAAALLTIwMDY3ODA4NzADAAAAAzE2MAIAAAAENDE5NAQAAAABMAcAAAAKMTIvMzEvMjAyMQgAAAAKMTIvMzEvMjAyMQkAAAABMAkRx4pEJd4IrGSBi0Ql3gg9Q0lRLkJQLklRX1RPVEFMX1JFVl8xWVJfQU5OX0dST1dUSC5JUV9MVE0uMTIvMzEvMjAxMy5MLi5VU0QuSAEAAADiBAYAAgAAAAYxLjAyODgBCAAAAAUAAAABMQEAAAAKMTc3OTE1OTQxNwMAAAADMTYwAgAAAAQ0MTk0BAAAAAEwBwAAAAoxMi8zMS8yMDEzCAAAAAoxMi8z</t>
  </si>
  <si>
    <t>MS8yMDEzCQAAAAEwbiuKiUQl3gjldlOLRCXeCD1DSVEuQlAuSVFfVE9UQUxfUkVWXzFZUl9BTk5fR1JPV1RILklRX0xUTS4xMi8zMS8yMDE3LkwuLlVTRC5IAQAAAOIEBgACAAAABzMwLjc3MzYBCAAAAAUAAAABMQEAAAAKMjAyMzA1NzIyMgMAAAADMTYwAgAAAAQ0MTk0BAAAAAEwBwAAAAoxMi8zMS8yMDE3CAAAAAoxMi8zMS8yMDE3CQAAAAEwenmKiUQl3gijtW2LRCXeCDxDSVEuQlAuSVFfVE9UQUxfUkVWXzFZUl9BTk5fR1JPV1RILklRX0xUTS45LzMwLzIwMTQuTC4uVVNELkgBAAAA4gQGAAIAAAAHLTEuOTQzNgEIAAAABQAAAAExAQAAAAoxNzYxNTA4NDYxAwAAAAMxNjACAAAABDQxOTQEAAAAATAHAAAACTkvMzAvMjAxNAgAAAAJOS8zMC8yMDE0CQAAAAEwUASKiUQl3ggMp1iLRCXeCDxDSVEuQlAuSVFfVE9UQUxfUkVWXzFZUl9BTk5fR1JPV1RILklRX0xUTS4zLzMxLzIwMjAuTC4uVVNELkgBAAAA4gQGAAIAAAAILTE4LjAyODcBCAAAAAUAAAABMQEAAAAKMjA5MjEzODAzMgMAAAADMTYwAgAAAAQ0MTk0BAAAAAEwBwAAAAkzLzMxLzIwMjAIAAAACTMvMzEvMjAyMAkAAAABMClfx4pEJd4IRwB5i0Ql3gg8Q0lRLkJQLklRX1RPVEFMX1JFVl8xWVJfQU5OX0dST1dUSC5JUV9MVE0uNi8zMC8yMDIyLkwuLlVTRC5IAQAAAOIEBgACAAAABzYyLjg2MTUBCAAAAAUAAAABMQEAAAALLTIwMzYzMzM5ODQD</t>
  </si>
  <si>
    <t>AAAAAzE2MAIAAAAENDE5NAQAAAABMAcAAAAJNi8zMC8yMDIyCAAAAAk2LzMwLzIwMjIJAAAAATD+6caKRCXeCKWug4tEJd4IPUNJUS5CUC5JUV9UT1RBTF9SRVZfMVlSX0FOTl9HUk9XVEguSVFfTFRNLjEyLzMxLzIwMTYuTC4uVVNELkgBAAAA4gQGAAIAAAAILTE3Ljk2MTUBCAAAAAUAAAABMQEAAAAKMTk1MTc0MDE5OAMAAAADMTYwAgAAAAQ0MTk0BAAAAAEwBwAAAAoxMi8zMS8yMDE2CAAAAAoxMi8zMS8yMDE2CQAAAAEwjaCKiUQl3ggldGeLRCXeCD1DSVEuQlAuSVFfVE9UQUxfUkVWXzFZUl9BTk5fR1JPV1RILklRX0xUTS4xMi8zMS8yMDIzLkwuLlVTRC5IAQAAAOIEBgACAAAACC0xMi44NDgzAQgAAAAFAAAAATEBAAAACy0xOTU2NzkwODkxAwAAAAMxNjACAAAABDQxOTQEAAAAATAHAAAACjEyLzMxLzIwMjMIAAAACjEyLzMxLzIwMjMJAAAAATDlStqKRCXeCIOziotEJd4IPENJUS5CUC5JUV9UT1RBTF9SRVZfMVlSX0FOTl9HUk9XVEguSVFfTFRNLjMvMzEvMjAxOS5MLi5VU0QuSAEAAADiBAYAAgAAAAcxNy43Mjg2AQgAAAAFAAAAATEBAAAACjIwMzEwNzU0NTMDAAAAAzE2MAIAAAAENDE5NAQAAAABMAcAAAAJMy8zMS8yMDE5CAAAAAkzLzMxLzIwMTkJAAAAATD1C32JRCXeCFtsdItEJd4IPENJUS5CUC5JUV9UT1RBTF9SRVZfMVlSX0FOTl9HUk9XVEguSVFfTFRNLjkvMzAvMjAxNy5MLi5VU0Qu</t>
  </si>
  <si>
    <t>SAEAAADiBAYAAgAAAAcyMi45MjMzAQgAAAAFAAAAATEBAAAACjE5MTY1MzM2NjMDAAAAAzE2MAIAAAAENDE5NAQAAAABMAcAAAAJOS8zMC8yMDE3CAAAAAk5LzMwLzIwMTcJAAAAATB6eYqJRCXeCA4vbItEJd4IPENJUS5CUC5JUV9UT1RBTF9SRVZfMVlSX0FOTl9HUk9XVEguSVFfTFRNLjYvMzAvMjAxOC5MLi5VU0QuSAEAAADiBAYAAgAAAAcyOC42NjUzAQgAAAAFAAAAATEBAAAACjE5NzI4MTI3NjcDAAAAAzE2MAIAAAAENDE5NAQAAAABMAcAAAAJNi8zMC8yMDE4CAAAAAk2LzMwLzIwMTgJAAAAATBrUoqJRCXeCAoRcYtEJd4IPENJUS5CUC5JUV9UT1RBTF9SRVZfMVlSX0FOTl9HUk9XVEguSVFfTFRNLjkvMzAvMjAxMS5MLi5VU0QuSAEAAADiBAYAAgAAAAcyNS4zNTgyAQgAAAAFAAAAATEBAAAACjE1NzM4ODczOTQDAAAAAzE2MAIAAAAENDE5NAQAAAABMAcAAAAJOS8zMC8yMDExCAAAAAk5LzMwLzIwMTEJAAAAATDn5HyJRCXeCOClSItEJd4IPENJUS5CUC5JUV9UT1RBTF9SRVZfMVlSX0FOTl9HUk9XVEguSVFfTFRNLjYvMzAvMjAxMi5MLi5VU0QuSAEAAADiBAYAAgAAAAcxMi4yMzA1AQgAAAAFAAAAATEBAAAACjE2Mjg2MzY3MjkDAAAAAzE2MAIAAAAENDE5NAQAAAABMAcAAAAJNi8zMC8yMDEyCAAAAAk2LzMwLzIwMTIJAAAAATCrh5iJRCXeCMwgTItEJd4IPENJUS5CUC5JUV9UT1RBTF9SRVZf</t>
  </si>
  <si>
    <t>MVlSX0FOTl9HUk9XVEguSVFfTFRNLjMvMzEvMjAxMC5MLi5VU0QuSAEAAADiBAYAAgAAAAgtMTcuMjEwNgEIAAAABQAAAAExAQAAAAoxNDQ5MDAyODcyAwAAAAMxNjACAAAABDQxOTQEAAAAATAHAAAACTMvMzEvMjAxMAgAAAAJMy8zMS8yMDEwCQAAAAEwBjN9iUQl3ghS/EGLRCXeCDxDSVEuQlAuSVFfVE9UQUxfUkVWXzFZUl9BTk5fR1JPV1RILklRX0xUTS45LzMwLzIwMTUuTC4uVVNELkgBAAAA4gQGAAIAAAAILTMzLjY4OTEBCAAAAAUAAAABMQEAAAAKMTgxNTUzNzExNAMAAAADMTYwAgAAAAQ0MTk0BAAAAAEwBwAAAAk5LzMwLzIwMTUIAAAACTkvMzAvMjAxNQkAAAABMMiWfIlEJd4IpQ9fi0Ql3gg9Q0lRLkJQLklRX1RPVEFMX1JFVl8xWVJfQU5OX0dST1dUSC5JUV9MVE0uMTIvMzEvMjAyMC5MLi5VU0QuSAEAAADiBAYAAgAAAAgtMzMuMTY1MQEIAAAABQAAAAExAQAAAAstMjA1NzUxOTYyNQMAAAADMTYwAgAAAAQ0MTk0BAAAAAEwBwAAAAoxMi8zMS8yMDIwCAAAAAoxMi8zMS8yMDIwCQAAAAEwMTjHikQl3gjM0HyLRCXeCDxDSVEuQlAuSVFfVE9UQUxfUkVWXzFZUl9BTk5fR1JPV1RILklRX0xUTS4zLzMxLzIwMjMuTC4uVVNELkgBAAAA4gQGAAIAAAAHNDMuNjY0MQEIAAAABQAAAAExAQAAAAstMTk5NjM2NzY1NwMAAAADMTYwAgAAAAQ0MTk0BAAAAAEwBwAAAAkzLzMxLzIwMjMIAAAACTMvMzEv</t>
  </si>
  <si>
    <t>MjAyMwkAAAABMOVK2opEJd4IDjGHi0Ql3gg8Q0lRLkJQLklRX1RPVEFMX1JFVl8xWVJfQU5OX0dST1dUSC5JUV9MVE0uNi8zMC8yMDI1LkwuLlVTRC5IAQAAAOIEBgACAAAABy03LjU4MTcBCAAAAAUAAAABMQEAAAALLTE5MTg2NDY2MzADAAAAAzE2MAIAAAAENDE5NAQAAAABMAcAAAAJNi8zMC8yMDI1CAAAAAk2LzMwLzIwMjUJAAAAATDqI9qKRCXeCOQwkotEJd4IPENJUS5CUC5JUV9UT1RBTF9SRVZfMVlSX0FOTl9HUk9XVEguSVFfTFRNLjYvMzAvMjAxNC5MLi5VU0QuSAEAAADiBAYAAgAAAActMC4wMjc0AQgAAAAFAAAAATEBAAAACjE3NDczNjc5MTYDAAAAAzE2MAIAAAAENDE5NAQAAAABMAcAAAAJNi8zMC8yMDE0CAAAAAk2LzMwLzIwMTQJAAAAATBQBIqJRCXeCELSVotEJd4IPENJUS5CUC5JUV9UT1RBTF9SRVZfMVlSX0FOTl9HUk9XVEguSVFfTFRNLjkvMzAvMjAyMy5MLi5VU0QuSAEAAADiBAYAAgAAAAYyLjQ5OTYBCAAAAAUAAAABMQEAAAALLTE5NzE5MjYxNjcDAAAAAzE2MAIAAAAENDE5NAQAAAABMAcAAAAJOS8zMC8yMDIzCAAAAAk5LzMwLzIwMjMJAAAAATDlStqKRCXeCAN7iYtEJd4IPENJUS5CUC5JUV9UT1RBTF9SRVZfMVlSX0FOTl9HUk9XVEguSVFfTFRNLjMvMzEvMjAxNy5MLi5VU0QuSAEAAADiBAYAAgAAAActMi45Mzc1AQgAAAAFAAAAATEBAAAACjE4ODU4MjE1NjcDAAAAAzE2</t>
  </si>
  <si>
    <t>MAIAAAAENDE5NAQAAAABMAcAAAAJMy8zMS8yMDE3CAAAAAkzLzMxLzIwMTcJAAAAATCNoIqJRCXeCLX6aItEJd4IPUNJUS5CUC5JUV9UT1RBTF9SRVZfMVlSX0FOTl9HUk9XVEguSVFfTFRNLjEyLzMxLzIwMTQuTC4uVVNELkgBAAAA4gQGAAIAAAAHLTcuNDkwNQEIAAAABQAAAAExAQAAAAoxODM1MDk3NDcyAwAAAAMxNjACAAAABDQxOTQEAAAAATAHAAAACjEyLzMxLzIwMTQIAAAACjEyLzMxLzIwMTQJAAAAATDn5HyJRCXeCKgtWotEJd4IPENJUS5CUC5JUV9UT1RBTF9SRVZfMVlSX0FOTl9HUk9XVEguSVFfTFRNLjMvMzEvMjAxMy5MLi5VU0QuSAEAAADiBAYAAgAAAAYtMi4yNjMBCAAAAAUAAAABMQEAAAAKMTY3NDIzMzk1NQMAAAADMTYwAgAAAAQ0MTk0BAAAAAEwBwAAAAkzLzMxLzIwMTMIAAAACTMvMzEvMjAxMwkAAAABMJhgmIlEJd4ITaZPi0Ql3gg8Q0lRLkJQLklRX1RPVEFMX1JFVl8xWVJfQU5OX0dST1dUSC5JUV9MVE0uNi8zMC8yMDE5LkwuLlVTRC5IAQAAAOIEBgACAAAABjguNTc3NQEIAAAABQAAAAExAQAAAAoyMDQ3OTIwMjE5AwAAAAMxNjACAAAABDQxOTQEAAAAATAHAAAACTYvMzAvMjAxOQgAAAAJNi8zMC8yMDE5CQAAAAEwSIbHikQl3gjhpHWLRCXeCDxDSVEuQlAuSVFfVE9UQUxfUkVWXzFZUl9BTk5fR1JPV1RILklRX0xUTS45LzMwLzIwMjEuTC4uVVNELkgBAAAA4gQGAAIAAAAH</t>
  </si>
  <si>
    <t>LTEwLjIyNwEIAAAABQAAAAExAQAAAAstMjA3MjYzMjAwNQMAAAADMTYwAgAAAAQ0MTk0BAAAAAEwBwAAAAk5LzMwLzIwMjEIAAAACTkvMzAvMjAyMQkAAAABMAkRx4pEJd4IRCyAi0Ql3gg9Q0lRLkJQLklRX1RPVEFMX1JFVl8xWVJfQU5OX0dST1dUSC5JUV9MVE0uMTIvMzEvMjAyNC5MLi5VU0QuSAEAAADiBAYAAgAAAAgtMTAuMDYyNAEIAAAABQAAAAExAQAAAAstMTk1Njc5MDg2NgMAAAADMTYwAgAAAAQ0MTk0BAAAAAEwBwAAAAoxMi8zMS8yMDI0CAAAAAoxMi8zMS8yMDI0CQAAAAEw6iPaikQl3gjBSo+LRCXeCDxDSVEuQlAuSVFfVE9UQUxfUkVWXzFZUl9BTk5fR1JPV1RILklRX0xUTS4zLzMxLzIwMTEuTC4uVVNELkgBAAAA4gQGAAIAAAAHMTYuNjM4NQEIAAAABQAAAAExAQAAAAoxNTQ0ODg1MjI1AwAAAAMxNjACAAAABDQxOTQEAAAAATAHAAAACTMvMzEvMjAxMQgAAAAJMy8zMS8yMDExCQAAAAEw9Qt9iUQl3ggmaUaLRCXeCDxDSVEuQlAuSVFfVE9UQUxfUkVWXzFZUl9BTk5fR1JPV1RILklRX0xUTS42LzMwLzIwMTYuTC4uVVNELkgBAAAA4gQGAAIAAAAILTMzLjQ5MzYBCAAAAAUAAAABMQEAAAAKMTg1MTEyMzE2OAMAAAADMTYwAgAAAAQ0MTk0BAAAAAEwBwAAAAk2LzMwLzIwMTYIAAAACTYvMzAvMjAxNgkAAAABMKHHiolEJd4IvRhki0Ql3gg9Q0lRLkJQLklRX1RPVEFMX1JFVl8xWVJfQU5O</t>
  </si>
  <si>
    <t>X0dST1dUSC5JUV9MVE0uMTIvMzEvMjAxMC5MLi5VU0QuSAEAAADiBAYAAgAAAAcyMy44OTQyAQgAAAAFAAAAATEBAAAACjE1OTA0NTgwMzYDAAAAAzE2MAIAAAAENDE5NAQAAAABMAcAAAAKMTIvMzEvMjAxMAgAAAAKMTIvMzEvMjAxMAkAAAABMPULfYlEJd4IpjBFi0Ql3gg8Q0lRLkJQLklRX1RPVEFMX1JFVl8xWVJfQU5OX0dST1dUSC5JUV9MVE0uMy8zMS8yMDIxLkwuLlVTRC5IAQAAAOIEBgACAAAACC01NC44OTI0AQgAAAAFAAAAATEBAAAACy0yMDk5MTk2ODM5AwAAAAMxNjACAAAABDQxOTQEAAAAATAHAAAACTMvMzEvMjAyMQgAAAAJMy8zMS8yMDIxCQAAAAEwMTjHikQl3gg/4n2LRCXeCD1DSVEuQlAuSVFfVE9UQUxfUkVWXzFZUl9BTk5fR1JPV1RILklRX0xUTS4xMi8zMS8yMDEyLkwuLlVTRC5IAQAAAOIEBgACAAAABy0wLjEwNDMBCAAAAAUAAAABMQEAAAAKMTcyMTkxOTc1NQMAAAADMTYwAgAAAAQ0MTk0BAAAAAEwBwAAAAoxMi8zMS8yMDEyCAAAAAoxMi8zMS8yMDEyCQAAAAEwq4eYiUQl3gjilE6LRCXeCDxDSVEuQlAuSVFfVE9UQUxfUkVWXzFZUl9BTk5fR1JPV1RILklRX0xUTS4zLzMxLzIwMTQuTC4uVVNELkgBAAAA4gQGAAIAAAAGMC4xMDI4AQgAAAAFAAAAATEBAAAACjE3MzA2MDUxMTADAAAAAzE2MAIAAAAENDE5NAQAAAABMAcAAAAJMy8zMS8yMDE0CAAAAAkzLzMxLzIwMTQJAAAA</t>
  </si>
  <si>
    <t>ATBQBIqJRCXeCJwkVYtEJd4IPENJUS5CUC5JUV9UT1RBTF9SRVZfMVlSX0FOTl9HUk9XVEguSVFfTFRNLjYvMzAvMjAyMS5MLi5VU0QuSAEAAADiBAYAAgAAAAgtMzQuOTI3NAEIAAAABQAAAAExAQAAAAstMjA4NzE4MzMzMAMAAAADMTYwAgAAAAQ0MTk0BAAAAAEwBwAAAAk2LzMwLzIwMjEIAAAACTYvMzAvMjAyMQkAAAABMAkRx4pEJd4IrPN+i0Ql3gg8Q0lRLkJQLklRX1RPVEFMX1JFVl8xWVJfQU5OX0dST1dUSC5JUV9MVE0uOS8zMC8yMDI1LkwuLlVTRC5IAQAAAOIEBgACAAAABy00LjEyMjcBCAAAAAUAAAABMQEAAAALLTE5MTg2NDY3MTMDAAAAAzE2MAIAAAAENDE5NAQAAAABMAcAAAAJOS8zMC8yMDI1CAAAAAk5LzMwLzIwMjUJAAAAATDa/NmKRCXeCGNpk4tEJd4IPENJUS5CUC5JUV9UT1RBTF9SRVZfMVlSX0FOTl9HUk9XVEguSVFfTFRNLjYvMzAvMjAxMC5MLi5VU0QuSAEAAADiBAYAAgAAAAY2LjYzNjYBCAAAAAUAAAABMQEAAAAKMTQ2Mzg1ODgzNAMAAAADMTYwAgAAAAQ0MTk0BAAAAAEwBwAAAAk2LzMwLzIwMTAIAAAACTYvMzAvMjAxMAkAAAABMAYzfYlEJd4IxeZCi0Ql3gg9Q0lRLkJQLklRX1RPVEFMX1JFVl8xWVJfQU5OX0dST1dUSC5JUV9MVE0uMTIvMzEvMjAxOC5MLi5VU0QuSAEAAADiBAYAAgAAAAcyNC43ODY4AQgAAAAFAAAAATEBAAAACjIwODU1NjkwMTEDAAAAAzE2MAIAAAAE</t>
  </si>
  <si>
    <t>NDE5NAQAAAABMAcAAAAKMTIvMzEvMjAxOAgAAAAKMTIvMzEvMjAxOAkAAAABMG4riolEJd4I9Fpzi0Ql3gg9Q0lRLkJQLklRX1RPVEFMX1JFVl8xWVJfQU5OX0dST1dUSC5JUV9MVE0uMTIvMzEvMjAyMi5MLi5VU0QuSAEAAADiBAYAAgAAAAc1Mi44MjU4AQgAAAAFAAAAATEBAAAACy0xOTU2NzkwOTA3AwAAAAMxNjACAAAABDQxOTQEAAAAATAHAAAACjEyLzMxLzIwMjIIAAAACjEyLzMxLzIwMjIJAAAAATD+6caKRCXeCJ0fhotEJd4IPENJUS5CUC5JUV9UT1RBTF9SRVZfMVlSX0FOTl9HUk9XVEguSVFfTFRNLjkvMzAvMjAxNi5MLi5VU0QuSAEAAADiBAYAAgAAAAgtMjYuOTU0MgEIAAAABQAAAAExAQAAAAoxODYzMjA5NTU5AwAAAAMxNjACAAAABDQxOTQEAAAAATAHAAAACTkvMzAvMjAxNggAAAAJOS8zMC8yMDE2CQAAAAEwoceKiUQl3ghvxmWLRCXeCDxDSVEuQlAuSVFfVE9UQUxfUkVWXzFZUl9BTk5fR1JPV1RILklRX0xUTS42LzMwLzIwMjAuTC4uVVNELkgBAAAA4gQGAAIAAAAILTM0Ljc4MDIBCAAAAAUAAAABMQEAAAALLTIxNDA1MDExNjADAAAAAzE2MAIAAAAENDE5NAQAAAABMAcAAAAJNi8zMC8yMDIwCAAAAAk2LzMwLzIwMjAJAAAAATApX8eKRCXeCMI4eotEJd4IPENJUS5CUC5JUV9UT1RBTF9SRVZfMVlSX0FOTl9HUk9XVEguSVFfTFRNLjkvMzAvMjAxMC5MLi5VU0QuSAEAAADiBAYAAgAA</t>
  </si>
  <si>
    <t>AAcyNS42OTA2AQgAAAAFAAAAATEBAAAACjE0Nzg3MzIyNTUDAAAAAzE2MAIAAAAENDE5NAQAAAABMAcAAAAJOS8zMC8yMDEwCAAAAAk5LzMwLzIwMTAJAAAAATAGM32JRCXeCCP4Q4tEJd4IPENJUS5CUC5JUV9UT1RBTF9SRVZfMVlSX0FOTl9HUk9XVEguSVFfTFRNLjYvMzAvMjAyNC5MLi5VU0QuSAEAAADiBAYAAgAAAAgtMTIuMTM0NgEIAAAABQAAAAExAQAAAAstMTkxODYxNzYzMAMAAAADMTYwAgAAAAQ0MTk0BAAAAAEwBwAAAAk2LzMwLzIwMjQIAAAACTYvMzAvMjAyNAkAAAABMOVK2opEJd4It9mMi0Ql3gg8Q0lRLkJQLklRX1RPVEFMX1JFVl8xWVJfQU5OX0dST1dUSC5JUV9MVE0uNi8zMC8yMDExLkwuLlVTRC5IAQAAAOIEBgACAAAABjE4LjU4NQEIAAAABQAAAAExAQAAAAoxNTU2OTYyMTQyAwAAAAMxNjACAAAABDQxOTQEAAAAATAHAAAACTYvMzAvMjAxMQgAAAAJNi8zMC8yMDExCQAAAAEw5+R8iUQl3giSekeLRCXeCDxDSVEuQlAuSVFfVE9UQUxfUkVWXzFZUl9BTk5fR1JPV1RILklRX0xUTS4zLzMxLzIwMTguTC4uVVNELkgBAAAA4gQGAAIAAAAHMjUuNzA2OQEIAAAABQAAAAExAQAAAAoxOTU3OTI5MjIwAwAAAAMxNjACAAAABDQxOTQEAAAAATAHAAAACTMvMzEvMjAxOAgAAAAJMy8zMS8yMDE4CQAAAAEwenmKiUQl3giKim+LRCXeCDxDSVEuQlAuSVFfVE9UQUxfUkVWXzFZUl9BTk5fR1JP</t>
  </si>
  <si>
    <t>V1RILklRX0xUTS45LzMwLzIwMjIuTC4uVVNELkgBAAAA4gQGAAIAAAAHNjQuOTgyMgEIAAAABQAAAAExAQAAAAstMjAyMjMxNzM1MQMAAAADMTYwAgAAAAQ0MTk0BAAAAAEwBwAAAAk5LzMwLzIwMjIIAAAACTkvMzAvMjAyMgkAAAABMP7pxopEJd4IDMCEi0Ql3gg8Q0lRLkJQLklRX1RPVEFMX1JFVl8xWVJfQU5OX0dST1dUSC5JUV9MVE0uOS8zMC8yMDE5LkwuLlVTRC5IAQAAAOIEBgACAAAABy0yLjU1NjgBCAAAAAUAAAABMQEAAAAKMjA2NjMyMzkxMwMAAAADMTYwAgAAAAQ0MTk0BAAAAAEwBwAAAAk5LzMwLzIwMTkIAAAACTkvMzAvMjAxOQkAAAABMEiGx4pEJd4ITbZ2i0Ql3gg8Q0lRLkJQLklRX1RPVEFMX1JFVl8xWVJfQU5OX0dST1dUSC5JUV9MVE0uMy8zMS8yMDI1LkwuLlVTRC5IAQAAAOIEBgACAAAABy03Ljc5MzUBCAAAAAUAAAABMQEAAAALLTE5NDc5MDgwNTYDAAAAAzE2MAIAAAAENDE5NAQAAAABMAcAAAAJMy8zMS8yMDI1CAAAAAkzLzMxLzIwMjUJAAAAATDqI9qKRCXeCEGqkItEJd4IPENJUS5CUC5JUV9UT1RBTF9SRVZfMVlSX0FOTl9HUk9XVEguSVFfTFRNLjYvMzAvMjAyMy5MLi5VU0QuSAEAAADiBAYAAgAAAAcxMi40NjY1AQgAAAAFAAAAATEBAAAACy0xOTcwODgzNDA2AwAAAAMxNjACAAAABDQxOTQEAAAAATAHAAAACTYvMzAvMjAyMwgAAAAJNi8zMC8yMDIzCQAAAAEw5UraikQl</t>
  </si>
  <si>
    <t>3giPaYiLRCXeCDxDSVEuQlAuSVFfVE9UQUxfUkVWXzFZUl9BTk5fR1JPV1RILklRX0xUTS4zLzMxLzIwMTUuTC4uVVNELkgBAAAA4gQGAAIAAAAILTE1LjY5NzcBCAAAAAUAAAABMQEAAAAKMTgwMDM1OTA5NgMAAAADMTYwAgAAAAQ0MTk0BAAAAAEwBwAAAAkzLzMxLzIwMTUIAAAACTMvMzEvMjAxNQkAAAABMNu9fIlEJd4IWNtbi0Ql3gg8Q0lRLkJQLklRX1RPVEFMX1JFVl8xWVJfQU5OX0dST1dUSC5JUV9MVE0uMy8zMS8yMDI0LkwuLlVTRC5IAQAAAOIEBgACAAAACC0xOC4yNjc5AQgAAAAFAAAAATEBAAAACy0xOTQ3OTA4MDYxAwAAAAMxNjACAAAABDQxOTQEAAAAATAHAAAACTMvMzEvMjAyNAgAAAAJMy8zMS8yMDI0CQAAAAEw5UraikQl3ghEyIuLRCXeCDxDSVEuQlAuSVFfVE9UQUxfUkVWXzFZUl9BTk5fR1JPV1RILklRX0xUTS42LzMwLzIwMTcuTC4uVVNELkgBAAAA4gQGAAIAAAAHMTAuMzQwMQEIAAAABQAAAAExAQAAAAoxODk3NzI0MjAwAwAAAAMxNjACAAAABDQxOTQEAAAAATAHAAAACTYvMzAvMjAxNwgAAAAJNi8zMC8yMDE3CQAAAAEwjaCKiUQl3ghRgWqLRCXeCDxDSVEuQlAuSVFfVE9UQUxfUkVWXzFZUl9BTk5fR1JPV1RILklRX0xUTS42LzMwLzIwMTMuTC4uVVNELkgBAAAA4gQGAAIAAAAHLTAuNjgzNwEIAAAABQAAAAExAQAAAAoxNjg4NzU2ODQ3AwAAAAMxNjACAAAABDQxOTQEAAAA</t>
  </si>
  <si>
    <t>ATAHAAAACTYvMzAvMjAxMwgAAAAJNi8zMC8yMDEzCQAAAAEwoceKiUQl3gjQ3lCLRCXeCDxDSVEuQlAuSVFfVE9UQUxfUkVWXzFZUl9BTk5fR1JPV1RILklRX0xUTS45LzMwLzIwMTMuTC4uVVNELkgBAAAA4gQGAAIAAAAGMS40MzY0AQgAAAAFAAAAATEBAAAACjE3MDM0NDk3MTIDAAAAAzE2MAIAAAAENDE5NAQAAAABMAcAAAAJOS8zMC8yMDEzCAAAAAk5LzMwLzIwMTMJAAAAATBuK4qJRCXeCEwXUotEJd4IPENJUS5CUC5JUV9UT1RBTF9SRVZfMVlSX0FOTl9HUk9XVEguSVFfTFRNLjkvMzAvMjAxMi5MLi5VU0QuSAEAAADiBAYAAgAAAAYzLjYxOTkBCAAAAAUAAAABMQEAAAAKMTY0MjY1MTIxNgMAAAADMTYwAgAAAAQ0MTk0BAAAAAEwBwAAAAk5LzMwLzIwMTIIAAAACTkvMzAvMjAxMgkAAAABMKuHmIlEJd4IYlxNi0Ql3gg8Q0lRLkJQLklRX1RPVEFMX1JFVl8xWVJfQU5OX0dST1dUSC5JUV9MVE0uOS8zMC8yMDIwLkwuLlVTRC5IAQAAAOIEBgACAAAACC00Ny4wNTE2AQgAAAAFAAAAATEBAAAACy0yMTI0MzE1ODUwAwAAAAMxNjACAAAABDQxOTQEAAAAATAHAAAACTkvMzAvMjAyMAgAAAAJOS8zMC8yMDIwCQAAAAEwKV/HikQl3ghNmHuLRCXeCDxDSVEuQlAuSVFfVE9UQUxfUkVWXzFZUl9BTk5fR1JPV1RILklRX0xUTS4zLzMxLzIwMTIuTC4uVVNELkgBAAAA4gQGAAIAAAAHMjQuMzA2NgEIAAAABQAA</t>
  </si>
  <si>
    <t>AAExAQAAAAoxNjE0OTg4MzQxAwAAAAMxNjACAAAABDQxOTQEAAAAATAHAAAACTMvMzEvMjAxMggAAAAJMy8zMS8yMDEyCQAAAAEw2718iUQl3givM0uLRCXeCDxDSVEuQlAuSVFfVE9UQUxfUkVWXzFZUl9BTk5fR1JPV1RILklRX0xUTS4zLzMxLzIwMjIuTC4uVVNELkgBAAAA4gQGAAIAAAAHNTYuODMwNQEIAAAABQAAAAExAQAAAAstMjA0ODE1MTIyMAMAAAADMTYwAgAAAAQ0MTk0BAAAAAEwBwAAAAkzLzMxLzIwMjIIAAAACTMvMzEvMjAyMgkAAAABMAkRx4pEJd4IJXaCi0Ql3ggWQ0lRLkJQLklRX0NPTVBBTllfTkFNRQEAAADiBAYAAwAAAAlCUCBwLmwuYy4AhWDZikQl3gghPpWLRCXeCCpDSVEuQlAuSVFfRUJJVERBLklRX0xUTS45LzMwLzIwMTEuTC4uVVNELkgBAAAA4gQGAAIAAAAFNDEzNzIBCAAAAAUAAAABMQEAAAAKMTU3Mzg4NzM5NAMAAAADMTYwAgAAAAQ0MDUxBAAAAAEwBwAAAAk5LzMwLzIwMTEIAAAACTkvMzAvMjAxMQkAAAABMKuHmIlEJd4IJcBMi0Ql3ggqQ0lRLkJQLklRX0VCSVREQS5JUV9MVE0uOS8zMC8yMDEzLkwuLlVTRC5IAQAAAOIEBgACAAAABTM2MjY2AQgAAAAFAAAAATEBAAAACjE3MDM0NDk3MTIDAAAAAzE2MAIAAAAENDA1MQQAAAABMAcAAAAJOS8zMC8yMDEzCAAAAAk5LzMwLzIwMTMJAAAAATBQBIqJRCXeCLbjV4tEJd4IKkNJUS5CUC5JUV9FQklUREEuSVFfTFRNLjkv</t>
  </si>
  <si>
    <t>MzAvMjAxNS5MLi5VU0QuSAEAAADiBAYAAgAAAAUyMDczMgEIAAAABQAAAAExAQAAAAoxODE1NTM3MTE0AwAAAAMxNjACAAAABDQwNTEEAAAAATAHAAAACTkvMzAvMjAxNQgAAAAJOS8zMC8yMDE1CQAAAAEwoceKiUQl3ggZA2WLRCXeCCpDSVEuQlAuSVFfRUJJVERBLklRX0xUTS45LzMwLzIwMTcuTC4uVVNELkgBAAAA4gQGAAIAAAAFMjMzNjkBCAAAAAUAAAABMQEAAAAKMTkxNjUzMzY2MwMAAAADMTYwAgAAAAQ0MDUxBAAAAAEwBwAAAAk5LzMwLzIwMTcIAAAACTkvMzAvMjAxNwkAAAABMGtSiolEJd4IRK1xi0Ql3ggqQ0lRLkJQLklRX0VCSVREQS5JUV9MVE0uOS8zMC8yMDE5LkwuLlVTRC5IAQAAAOIEBgACAAAABTMyNTk4AQgAAAAFAAAAATEBAAAACjIwNjYzMjM5MTMDAAAAAzE2MAIAAAAENDA1MQQAAAABMAcAAAAJOS8zMC8yMDE5CAAAAAk5LzMwLzIwMTkJAAAAATApX8eKRCXeCCQje4tEJd4IKkNJUS5CUC5JUV9FQklUREEuSVFfTFRNLjkvMzAvMjAyMS5MLi5VU0QuSAEAAADiBAYAAgAAAAUxNzk4OQEIAAAABQAAAAExAQAAAAstMjA3MjYzMjAwNQMAAAADMTYwAgAAAAQ0MDUxBAAAAAEwBwAAAAk5LzMwLzIwMjEIAAAACTkvMzAvMjAyMQkAAAABMP7pxopEJd4I4kqEi0Ql3ggqQ0lRLkJQLklRX0VCSVREQS5JUV9MVE0uOS8zMC8yMDIzLkwuLlVTRC5IAQAAAOIEBgACAAAABTU5OTU2AQgAAAAF</t>
  </si>
  <si>
    <t>AAAAATEBAAAACy0xOTcxOTI2MTY3AwAAAAMxNjACAAAABDQwNTEEAAAAATAHAAAACTkvMzAvMjAyMwgAAAAJOS8zMC8yMDIzCQAAAAEw6iPaikQl3gj4dY2LRCXeCCpDSVEuQlAuSVFfRUJJVERBLklRX0xUTS42LzMwLzIwMTAuTC4uVVNELkgBAAAA4gQGAAIAAAAFMzg5OTgBCAAAAAUAAAABMQEAAAAKMTQ2Mzg1ODgzNAMAAAADMTYwAgAAAAQ0MDUxBAAAAAEwBwAAAAk2LzMwLzIwMTAIAAAACTYvMzAvMjAxMAkAAAABMOfkfIlEJd4IU95Gi0Ql3ggqQ0lRLkJQLklRX0VCSVREQS5JUV9MVE0uNi8zMC8yMDIwLkwuLlVTRC5IAQAAAOIEBgACAAAABTIwNTkyAQgAAAAFAAAAATEBAAAACy0yMTQwNTAxMTYwAwAAAAMxNjACAAAABDQwNTEEAAAAATAHAAAACTYvMzAvMjAyMAgAAAAJNi8zMC8yMDIwCQAAAAEwMTjHikQl3giEfn6LRCXeCCtDSVEuQlAuSVFfRUJJVERBLklRX0xUTS4xMi8zMS8yMDEzLkwuLlVTRC5IAQAAAOIEBgACAAAABTMzMTI5AQgAAAAFAAAAATEBAAAACjE3NzkxNTk0MTcDAAAAAzE2MAIAAAAENDA1MQQAAAABMAcAAAAKMTIvMzEvMjAxMwgAAAAKMTIvMzEvMjAxMwkAAAABMFAEiolEJd4IVWpZi0Ql3ggqQ0lRLkJQLklRX0VCSVREQS5JUV9MVE0uOS8zMC8yMDIyLkwuLlVTRC5IAQAAAOIEBgACAAAABTM4MDg4AQgAAAAFAAAAATEBAAAACy0yMDIyMzE3MzUxAwAAAAMxNjACAAAABDQw</t>
  </si>
  <si>
    <t>NTEEAAAAATAHAAAACTkvMzAvMjAyMggAAAAJOS8zMC8yMDIyCQAAAAEw5UraikQl3gjB3oiLRCXeCCpDSVEuQlAuSVFfRUJJVERBLklRX0xUTS45LzMwLzIwMjQuTC4uVVNELkgBAAAA4gQGAAIAAAAFMzE2OTMBCAAAAAUAAAABMQEAAAALLTE5MTg2NDY3MTQDAAAAAzE2MAIAAAAENDA1MQQAAAABMAcAAAAJOS8zMC8yMDI0CAAAAAk5LzMwLzIwMjQJAAAAATDqI9qKRCXeCBKmkotEJd4IKkNJUS5CUC5JUV9FQklUREEuSVFfTFRNLjkvMzAvMjAxOC5MLi5VU0QuSAEAAADiBAYAAgAAAAUzMTg1MQEIAAAABQAAAAExAQAAAAoxOTg5MjM4OTI2AwAAAAMxNjACAAAABDQwNTEEAAAAATAHAAAACTkvMzAvMjAxOAgAAAAJOS8zMC8yMDE4CQAAAAEwSIbHikQl3ggeQXaLRCXeCCpDSVEuQlAuSVFfRUJJVERBLklRX0xUTS45LzMwLzIwMjAuTC4uVVNELkgBAAAA4gQGAAIAAAAFMTc3MTcBCAAAAAUAAAABMQEAAAALLTIxMjQzMTU4NTADAAAAAzE2MAIAAAAENDA1MQQAAAABMAcAAAAJOS8zMC8yMDIwCAAAAAk5LzMwLzIwMjAJAAAAATAJEceKRCXeCPyPf4tEJd4IKkNJUS5CUC5JUV9FQklUREEuSVFfTFRNLjYvMzAvMjAxNC5MLi5VU0QuSAEAAADiBAYAAgAAAAUzMjI3NQEIAAAABQAAAAExAQAAAAoxNzQ3MzY3OTE2AwAAAAMxNjACAAAABDQwNTEEAAAAATAHAAAACTYvMzAvMjAxNAgAAAAJNi8zMC8yMDE0CQAA</t>
  </si>
  <si>
    <t>AAEw2718iUQl3gi1xVyLRCXeCCpDSVEuQlAuSVFfRUJJVERBLklRX0xUTS42LzMwLzIwMTYuTC4uVVNELkgBAAAA4gQGAAIAAAAFMTU5NDkBCAAAAAUAAAABMQEAAAAKMTg1MTEyMzE2OAMAAAADMTYwAgAAAAQ0MDUxBAAAAAEwBwAAAAk2LzMwLzIwMTYIAAAACTYvMzAvMjAxNgkAAAABMI2giolEJd4ICL5pi0Ql3ggqQ0lRLkJQLklRX0VCSVREQS5JUV9MVE0uMy8zMS8yMDExLkwuLlVTRC5IAQAAAOIEBgACAAAABTM5ODY0AQgAAAAFAAAAATEBAAAACjE1NDQ4ODUyMjUDAAAAAzE2MAIAAAAENDA1MQQAAAABMAcAAAAJMy8zMS8yMDExCAAAAAkzLzMxLzIwMTEJAAAAATDbvXyJRCXeCGiBSotEJd4IKkNJUS5CUC5JUV9FQklUREEuSVFfTFRNLjMvMzEvMjAxNy5MLi5VU0QuSAEAAADiBAYAAgAAAAUxOTcyNgEIAAAABQAAAAExAQAAAAoxODg1ODIxNTY3AwAAAAMxNjACAAAABDQwNTEEAAAAATAHAAAACTMvMzEvMjAxNwgAAAAJMy8zMS8yMDE3CQAAAAEwenmKiUQl3ggEoG6LRCXeCCpDSVEuQlAuSVFfRUJJVERBLklRX0xUTS4zLzMxLzIwMjMuTC4uVVNELkgBAAAA4gQGAAIAAAAFNTg1NzIBCAAAAAUAAAABMQEAAAALLTE5OTYzNjc2NTcDAAAAAzE2MAIAAAAENDA1MQQAAAABMAcAAAAJMy8zMS8yMDIzCAAAAAkzLzMxLzIwMjMJAAAAATDlStqKRCXeCBAsi4tEJd4IK0NJUS5CUC5JUV9FQklUREEuSVFf</t>
  </si>
  <si>
    <t>TFRNLjEyLzMxLzIwMDkuTC4uVVNELkgBAAAA4gQGAAIAAAAFMzQwOTUBCAAAAAUAAAABMQEAAAAKMTUyNjgyODU2NwMAAAADMTYwAgAAAAQ0MDUxBAAAAAEwBwAAAAoxMi8zMS8yMDA5CAAAAAoxMi8zMS8yMDA5CQAAAAEw9Qt9iUQl3gholESLRCXeCCtDSVEuQlAuSVFfRUJJVERBLklRX0xUTS4xMi8zMS8yMDE1LkwuLlVTRC5IAQAAAOIEBgACAAAABTE5NTI1AQgAAAAFAAAAATEBAAAACjE4ODA1NTU3MTIDAAAAAzE2MAIAAAAENDA1MQQAAAABMAcAAAAKMTIvMzEvMjAxNQgAAAAKMTIvMzEvMjAxNQkAAAABMI2giolEJd4IzbBmi0Ql3ggqQ0lRLkJQLklRX0VCSVREQS5JUV9MVE0uNi8zMC8yMDE5LkwuLlVTRC5IAQAAAOIEBgACAAAABTM0MjEzAQgAAAAFAAAAATEBAAAACjIwNDc5MjAyMTkDAAAAAzE2MAIAAAAENDA1MQQAAAABMAcAAAAJNi8zMC8yMDE5CAAAAAk2LzMwLzIwMTkJAAAAATApX8eKRCXeCISceYtEJd4IKkNJUS5CUC5JUV9FQklUREEuSVFfTFRNLjYvMzAvMjAyMS5MLi5VU0QuSAEAAADiBAYAAgAAAAUyMDA5OAEIAAAABQAAAAExAQAAAAstMjA4NzE4MzMzMAMAAAADMTYwAgAAAAQ0MDUxBAAAAAEwBwAAAAk2LzMwLzIwMjEIAAAACTYvMzAvMjAyMQkAAAABMAkRx4pEJd4IYhKDi0Ql3ggqQ0lRLkJQLklRX0VCSVREQS5JUV9MVE0uNi8zMC8yMDIzLkwuLlVTRC5IAQAAAOIEBgACAAAA</t>
  </si>
  <si>
    <t>BTUxMDg5AQgAAAAFAAAAATEBAAAACy0xOTcwODgzNDA2AwAAAAMxNjACAAAABDQwNTEEAAAAATAHAAAACTYvMzAvMjAyMwgAAAAJNi8zMC8yMDIzCQAAAAEw5UraikQl3gh4PYyLRCXeCCpDSVEuQlAuSVFfRUJJVERBLklRX0xUTS42LzMwLzIwMjUuTC4uVVNELkgBAAAA4gQGAAIAAAAFMjczMTABCAAAAAUAAAABMQEAAAALLTE5MTg2NDY2MzADAAAAAzE2MAIAAAAENDA1MQQAAAABMAcAAAAJNi8zMC8yMDI1CAAAAAk2LzMwLzIwMjUJAAAAATDqI9qKRCXeCKRtkYtEJd4IKkNJUS5CUC5JUV9FQklUREEuSVFfTFRNLjYvMzAvMjAxMi5MLi5VU0QuSAEAAADiBAYAAgAAAAUzNDM5MwEIAAAABQAAAAExAQAAAAoxNjI4NjM2NzI5AwAAAAMxNjACAAAABDQwNTEEAAAAATAHAAAACTYvMzAvMjAxMggAAAAJNi8zMC8yMDEyCQAAAAEwmGCYiUQl3giNQlCLRCXeCCpDSVEuQlAuSVFfRUJJVERBLklRX0xUTS42LzMwLzIwMjIuTC4uVVNELkgBAAAA4gQGAAIAAAAFMzY4ODQBCAAAAAUAAAABMQEAAAALLTIwMzYzMzM5ODQDAAAAAzE2MAIAAAAENDA1MQQAAAABMAcAAAAJNi8zMC8yMDIyCAAAAAk2LzMwLzIwMjIJAAAAATDlStqKRCXeCFPNh4tEJd4IKkNJUS5CUC5JUV9FQklUREEuSVFfTFRNLjMvMzEvMjAxOS5MLi5VU0QuSAEAAADiBAYAAgAAAAUzMzY2NwEIAAAABQAAAAExAQAAAAoyMDMxMDc1NDUzAwAAAAMx</t>
  </si>
  <si>
    <t>NjACAAAABDQwNTEEAAAAATAHAAAACTMvMzEvMjAxOQgAAAAJMy8zMS8yMDE5CQAAAAEwKV/HikQl3ggRi3iLRCXeCCpDSVEuQlAuSVFfRUJJVERBLklRX0xUTS4zLzMxLzIwMjUuTC4uVVNELkgBAAAA4gQGAAIAAAAFMjU0NTYBCAAAAAUAAAABMQEAAAALLTE5NDc5MDgwNTYDAAAAAzE2MAIAAAAENDA1MQQAAAABMAcAAAAJMy8zMS8yMDI1CAAAAAkzLzMxLzIwMjUJAAAAATDqI9qKRCXeCBc1kItEJd4IKkNJUS5CUC5JUV9FQklUREEuSVFfTFRNLjkvMzAvMjAxMi5MLi5VU0QuSAEAAADiBAYAAgAAAAUzNTM1MgEIAAAABQAAAAExAQAAAAoxNjQyNjUxMjE2AwAAAAMxNjACAAAABDQwNTEEAAAAATAHAAAACTkvMzAvMjAxMggAAAAJOS8zMC8yMDEyCQAAAAEwbiuKiUQl3ggOe1GLRCXeCCpDSVEuQlAuSVFfRUJJVERBLklRX0xUTS42LzMwLzIwMTEuTC4uVVNELkgBAAAA4gQGAAIAAAAFNDEyMDkBCAAAAAUAAAABMQEAAAAKMTU1Njk2MjE0MgMAAAADMTYwAgAAAAQ0MDUxBAAAAAEwBwAAAAk2LzMwLzIwMTEIAAAACTYvMzAvMjAxMQkAAAABMKmumIlEJd4IR6pLi0Ql3ggqQ0lRLkJQLklRX0VCSVREQS5JUV9MVE0uNi8zMC8yMDEzLkwuLlVTRC5IAQAAAOIEBgACAAAABTM3NjUyAQgAAAAFAAAAATEBAAAACjE2ODg3NTY4NDcDAAAAAzE2MAIAAAAENDA1MQQAAAABMAcAAAAJNi8zMC8yMDEzCAAAAAk2LzMw</t>
  </si>
  <si>
    <t>LzIwMTMJAAAAATBQBIqJRCXeCOjnVYtEJd4IKkNJUS5CUC5JUV9FQklUREEuSVFfTFRNLjYvMzAvMjAxNS5MLi5VU0QuSAEAAADiBAYAAgAAAAUyMzk2MQEIAAAABQAAAAExAQAAAAoxODAwMjg2ODU1AwAAAAMxNjACAAAABDQwNTEEAAAAATAHAAAACTYvMzAvMjAxNQgAAAAJNi8zMC8yMDE1CQAAAAEwoceKiUQl3ghjVWOLRCXeCCpDSVEuQlAuSVFfRUJJVERBLklRX0xUTS42LzMwLzIwMTcuTC4uVVNELkgBAAAA4gQGAAIAAAAFMTk5NzEBCAAAAAUAAAABMQEAAAAKMTg5NzcyNDIwMAMAAAADMTYwAgAAAAQ0MDUxBAAAAAEwBwAAAAk2LzMwLzIwMTcIAAAACTYvMzAvMjAxNwkAAAABMGtSiolEJd4It01wi0Ql3ggqQ0lRLkJQLklRX0VCSVREQS5JUV9MVE0uOS8zMC8yMDEwLkwuLlVTRC5IAQAAAOIEBgACAAAABTM4MzA3AQgAAAAFAAAAATEBAAAACjE0Nzg3MzIyNTUDAAAAAzE2MAIAAAAENDA1MQQAAAABMAcAAAAJOS8zMC8yMDEwCAAAAAk5LzMwLzIwMTAJAAAAATDn5HyJRCXeCAIvSItEJd4IKkNJUS5CUC5JUV9FQklUREEuSVFfTFRNLjYvMzAvMjAxOC5MLi5VU0QuSAEAAADiBAYAAgAAAAUyOTU0MAEIAAAABQAAAAExAQAAAAoxOTcyODEyNzY3AwAAAAMxNjACAAAABDQwNTEEAAAAATAHAAAACTYvMzAvMjAxOAgAAAAJNi8zMC8yMDE4CQAAAAEw5+R8iUQl3gihCHWLRCXeCCpDSVEuQlAuSVFfRUJJ</t>
  </si>
  <si>
    <t>VERBLklRX0xUTS4zLzMxLzIwMjEuTC4uVVNELkgBAAAA4gQGAAIAAAAFMTk2NzcBCAAAAAUAAAABMQEAAAALLTIwOTkxOTY4MzkDAAAAAzE2MAIAAAAENDA1MQQAAAABMAcAAAAJMy8zMS8yMDIxCAAAAAkzLzMxLzIwMjEJAAAAATAJEceKRCXeCNvZgYtEJd4IK0NJUS5CUC5JUV9FQklUREEuSVFfTFRNLjEyLzMxLzIwMTkuTC4uVVNELkgBAAAA4gQGAAIAAAAFMzQwNzMBCAAAAAUAAAABMQEAAAALLTIxMDc3NTMyMjQDAAAAAzE2MAIAAAAENDA1MQQAAAABMAcAAAAKMTIvMzEvMjAxOQgAAAAKMTIvMzEvMjAxOQkAAAABMDE4x4pEJd4IijR8i0Ql3ggqQ0lRLkJQLklRX0VCSVREQS5JUV9MVE0uMy8zMS8yMDEwLkwuLlVTRC5IAQAAAOIEBgACAAAABTM4OTE2AQgAAAAFAAAAATEBAAAACjE0NDkwMDI4NzIDAAAAAzE2MAIAAAAENDA1MQQAAAABMAcAAAAJMy8zMS8yMDEwCAAAAAkzLzMxLzIwMTAJAAAAATD1C32JRCXeCOfMRYtEJd4IKkNJUS5CUC5JUV9FQklUREEuSVFfTFRNLjMvMzEvMjAxNi5MLi5VU0QuSAEAAADiBAYAAgAAAAUxNjgxNwEIAAAABQAAAAExAQAAAAoxODM5NDA5NDM2AwAAAAMxNjACAAAABDQwNTEEAAAAATAHAAAACTMvMzEvMjAxNggAAAAJMy8zMS8yMDE2CQAAAAEwjaCKiUQl3ghkN2iLRCXeCCpDSVEuQlAuSVFfRUJJVERBLklRX0xUTS4zLzMxLzIwMjIuTC4uVVNELkgBAAAA4gQG</t>
  </si>
  <si>
    <t>AAIAAAAFMjUyODABCAAAAAUAAAABMQEAAAALLTIwNDgxNTEyMjADAAAAAzE2MAIAAAAENDA1MQQAAAABMAcAAAAJMy8zMS8yMDIyCAAAAAkzLzMxLzIwMjIJAAAAATDzcdqKRCXeCMuUhotEJd4IKkNJUS5CUC5JUV9FQklUREEuSVFfTFRNLjMvMzEvMjAyNC5MLi5VU0QuSAEAAADiBAYAAgAAAAUzODAxOQEIAAAABQAAAAExAQAAAAstMTk0NzkwODA2MQMAAAADMTYwAgAAAAQ0MDUxBAAAAAEwBwAAAAkzLzMxLzIwMjQIAAAACTMvMzEvMjAyNAkAAAABMOoj2opEJd4I/eaPi0Ql3ggqQ0lRLkJQLklRX0VCSVREQS5JUV9MVE0uMy8zMS8yMDE1LkwuLlVTRC5IAQAAAOIEBgACAAAABTI2MzY2AQgAAAAFAAAAATEBAAAACjE4MDAzNTkwOTYDAAAAAzE2MAIAAAAENDA1MQQAAAABMAcAAAAJMy8zMS8yMDE1CAAAAAkzLzMxLzIwMTUJAAAAATChx4qJRCXeCMrOYYtEJd4IKkNJUS5CUC5JUV9FQklUREEuSVFfTFRNLjYvMzAvMjAyNC5MLi5VU0QuSAEAAADiBAYAAgAAAAUzNjMzNQEIAAAABQAAAAExAQAAAAstMTkxODYxNzYzMAMAAAADMTYwAgAAAAQ0MDUxBAAAAAEwBwAAAAk2LzMwLzIwMjQIAAAACTYvMzAvMjAyNAkAAAABMOoj2opEJd4Ig0aRi0Ql3ggqQ0lRLkJQLklRX0VCSVREQS5JUV9MVE0uMy8zMS8yMDEzLkwuLlVTRC5IAQAAAOIEBgACAAAABTM1ODE0AQgAAAAFAAAAATEBAAAACjE2NzQyMzM5NTUD</t>
  </si>
  <si>
    <t>AAAAAzE2MAIAAAAENDA1MQQAAAABMAcAAAAJMy8zMS8yMDEzCAAAAAkzLzMxLzIwMTMJAAAAATBuK4qJRCXeCFJhVItEJd4IK0NJUS5CUC5JUV9FQklUREEuSVFfTFRNLjEyLzMxLzIwMTEuTC4uVVNELkgBAAAA4gQGAAIAAAAFNDA3NjQBCAAAAAUAAAABMQEAAAAKMTY2MTgzNjIxMgMAAAADMTYwAgAAAAQ0MDUxBAAAAAEwBwAAAAoxMi8zMS8yMDExCAAAAAoxMi8zMS8yMDExCQAAAAEwq4eYiUQl3gif+E2LRCXeCCtDSVEuQlAuSVFfRUJJVERBLklRX0xUTS4xMi8zMS8yMDE3LkwuLlVTRC5IAQAAAOIEBgACAAAABTI1ODIwAQgAAAAFAAAAATEBAAAACjIwMjMwNTcyMjIDAAAAAzE2MAIAAAAENDA1MQQAAAABMAcAAAAKMTIvMzEvMjAxNwgAAAAKMTIvMzEvMjAxNwkAAAABMGtSiolEJd4Iq75yi0Ql3ggrQ0lRLkJQLklRX0VCSVREQS5JUV9MVE0uMTIvMzEvMjAyMy5MLi5VU0QuSAEAAADiBAYAAgAAAAU0NDE1OAEIAAAABQAAAAExAQAAAAstMTk1Njc5MDg5MQMAAAADMTYwAgAAAAQ0MDUxBAAAAAEwBwAAAAoxMi8zMS8yMDIzCAAAAAoxMi8zMS8yMDIzCQAAAAEw6iPaikQl3ghih46LRCXeCCpDSVEuQlAuSVFfRUJJVERBLklRX0xUTS4zLzMxLzIwMTIuTC4uVVNELkgBAAAA4gQGAAIAAAAFMzg1OTEBCAAAAAUAAAABMQEAAAAKMTYxNDk4ODM0MQMAAAADMTYwAgAAAAQ0MDUxBAAAAAEwBwAAAAkzLzMx</t>
  </si>
  <si>
    <t>LzIwMTIIAAAACTMvMzEvMjAxMgkAAAABMKuHmIlEJd4IDgpPi0Ql3ggqQ0lRLkJQLklRX0VCSVREQS5JUV9MVE0uMy8zMS8yMDE0LkwuLlVTRC5IAQAAAOIEBgACAAAABTMxMzgwAQgAAAAFAAAAATEBAAAACjE3MzA2MDUxMTADAAAAAzE2MAIAAAAENDA1MQQAAAABMAcAAAAJMy8zMS8yMDE0CAAAAAkzLzMxLzIwMTQJAAAAATDbvXyJRCXeCAQYW4tEJd4IKkNJUS5CUC5JUV9FQklUREEuSVFfTFRNLjMvMzEvMjAxOC5MLi5VU0QuSAEAAADiBAYAAgAAAAUyNzIwNAEIAAAABQAAAAExAQAAAAoxOTU3OTI5MjIwAwAAAAMxNjACAAAABDQwNTEEAAAAATAHAAAACTMvMzEvMjAxOAgAAAAJMy8zMS8yMDE4CQAAAAEw9Qt9iUQl3ggo93OLRCXeCCpDSVEuQlAuSVFfRUJJVERBLklRX0xUTS4zLzMxLzIwMjAuTC4uVVNELkgBAAAA4gQGAAIAAAAFMjM5ODgBCAAAAAUAAAABMQEAAAAKMjA5MjEzODAzMgMAAAADMTYwAgAAAAQ0MDUxBAAAAAEwBwAAAAkzLzMxLzIwMjAIAAAACTMvMzEvMjAyMAkAAAABMDE4x4pEJd4I/kV9i0Ql3ggrQ0lRLkJQLklRX0VCSVREQS5JUV9MVE0uMTIvMzEvMjAyMS5MLi5VU0QuSAEAAADiBAYAAgAAAAUyNTE1OAEIAAAABQAAAAExAQAAAAstMjAwNjc4MDg3MAMAAAADMTYwAgAAAAQ0MDUxBAAAAAEwBwAAAAoxMi8zMS8yMDIxCAAAAAoxMi8zMS8yMDIxCQAAAAEw/unGikQl3ghhg4WL</t>
  </si>
  <si>
    <t>RCXeCCpDSVEuQlAuSVFfRUJJVERBLklRX0xUTS45LzMwLzIwMTQuTC4uVVNELkgBAAAA4gQGAAIAAAAFMzE1MjkBCAAAAAUAAAABMQEAAAAKMTc2MTUwODQ2MQMAAAADMTYwAgAAAAQ0MDUxBAAAAAEwBwAAAAk5LzMwLzIwMTQIAAAACTkvMzAvMjAxNAkAAAABMMiWfIlEJd4IWExei0Ql3ggqQ0lRLkJQLklRX0VCSVREQS5JUV9MVE0uOS8zMC8yMDE2LkwuLlVTRC5IAQAAAOIEBgACAAAABTE1MTA0AQgAAAAFAAAAATEBAAAACjE4NjMyMDk1NTkDAAAAAzE2MAIAAAAENDA1MQQAAAABMAcAAAAJOS8zMC8yMDE2CAAAAAk5LzMwLzIwMTYJAAAAATB6eYqJRCXeCLVra4tEJd4IK0NJUS5CUC5JUV9FQklUREEuSVFfTFRNLjEyLzMxLzIwMTAuTC4uVVNELkgBAAAA4gQGAAIAAAAFMzkzNDQBCAAAAAUAAAABMQEAAAAKMTU5MDQ1ODAzNgMAAAADMTYwAgAAAAQ0MDUxBAAAAAEwBwAAAAoxMi8zMS8yMDEwCAAAAAoxMi8zMS8yMDEwCQAAAAEw5+R8iUQl3gjvV0mLRCXeCCtDSVEuQlAuSVFfRUJJVERBLklRX0xUTS4xMi8zMS8yMDEyLkwuLlVTRC5IAQAAAOIEBgACAAAABTMxMzg3AQgAAAAFAAAAATEBAAAACjE3MjE5MTk3NTUDAAAAAzE2MAIAAAAENDA1MQQAAAABMAcAAAAKMTIvMzEvMjAxMggAAAAKMTIvMzEvMjAxMgkAAAABMG4riolEJd4InLNSi0Ql3ggrQ0lRLkJQLklRX0VCSVREQS5JUV9MVE0uMTIvMzEv</t>
  </si>
  <si>
    <t>MjAxNC5MLi5VU0QuSAEAAADiBAYAAgAAAAUyOTI0MQEIAAAABQAAAAExAQAAAAoxODM1MDk3NDcyAwAAAAMxNjACAAAABDQwNTEEAAAAATAHAAAACjEyLzMxLzIwMTQIAAAACjEyLzMxLzIwMTQJAAAAATDIlnyJRCXeCBwhYItEJd4IK0NJUS5CUC5JUV9FQklUREEuSVFfTFRNLjEyLzMxLzIwMTYuTC4uVVNELkgBAAAA4gQGAAIAAAAFMTYyMjcBCAAAAAUAAAABMQEAAAAKMTk1MTc0MDE5OAMAAAADMTYwAgAAAAQ0MDUxBAAAAAEwBwAAAAoxMi8zMS8yMDE2CAAAAAoxMi8zMS8yMDE2CQAAAAEwenmKiUQl3ghW8myLRCXeCCtDSVEuQlAuSVFfRUJJVERBLklRX0xUTS4xMi8zMS8yMDE4LkwuLlVTRC5IAQAAAOIEBgACAAAABTMyNDg4AQgAAAAFAAAAATEBAAAACjIwODU1NjkwMTEDAAAAAzE2MAIAAAAENDA1MQQAAAABMAcAAAAKMTIvMzEvMjAxOAgAAAAKMTIvMzEvMjAxOAkAAAABMClfx4pEJd4IjlJ3i0Ql3ggrQ0lRLkJQLklRX0VCSVREQS5JUV9MVE0uMTIvMzEvMjAyMC5MLi5VU0QuSAEAAADiBAYAAgAAAAUxNDQ0MQEIAAAABQAAAAExAQAAAAstMjA1NzUxOTYyNQMAAAADMTYwAgAAAAQ0MDUxBAAAAAEwBwAAAAoxMi8zMS8yMDIwCAAAAAoxMi8zMS8yMDIwCQAAAAEwCRHHikQl3ghwyICLRCXeCCtDSVEuQlAuSVFfRUJJVERBLklRX0xUTS4xMi8zMS8yMDIyLkwuLlVTRC5IAQAAAOIEBgACAAAABTU1</t>
  </si>
  <si>
    <t>NTQ5AQgAAAAFAAAAATEBAAAACy0xOTU2NzkwOTA3AwAAAAMxNjACAAAABDQwNTEEAAAAATAHAAAACjEyLzMxLzIwMjIIAAAACjEyLzMxLzIwMjIJAAAAATDlStqKRCXeCDPwiYtEJd4IK0NJUS5CUC5JUV9FQklUREEuSVFfTFRNLjEyLzMxLzIwMjQuTC4uVVNELkgBAAAA4gQGAAIAAAAFMjY5NjEBCAAAAAUAAAABMQEAAAALLTE5NTY3OTA4NjYDAAAAAzE2MAIAAAAENDA1MQQAAAABMAcAAAAKMTIvMzEvMjAyNAgAAAAKMTIvMzEvMjAyNAkAAAABMOoj2opEJd4Iea6Oi0Ql3ggqQ0lRLkJQLklRX0VCSVREQS5JUV9MVE0uOS8zMC8yMDI1LkwuLlVTRC5IAQAAAOIEBgACAAAABTI4NjU4AQgAAAAFAAAAATEBAAAACy0xOTE4NjQ2NzEzAwAAAAMxNjACAAAABDQwNTEEAAAAATAHAAAACTkvMzAvMjAyNQgAAAAJOS8zMC8yMDI1CQAAAAEw6iPaikQl3ggSppKLRCXeCClDSVEuQlAuSVFfRUJJVERBLklRX0NRLjYvMzAvMjAyNC5MLi5VU0QuSAEAAADiBAYAAgAAAAQ3ODQ4AQgAAAAFAAAAATEBAAAACy0xOTE4NjE3NjMxAwAAAAMxNjACAAAABDQwNTEEAAAAATAHAAAACTYvMzAvMjAyNAgAAAAJNi8zMC8yMDI0CQAAAAEw6iPaikQl3gikbZGLRCXeCClDSVEuQlAuSVFfRUJJVERBLklRX0NRLjYvMzAvMjAxNC5MLi5VU0QuSAEAAADiBAYAAgAAAAQ4NTMyAQgAAAAFAAAAATEBAAAACjE3NDczNjc3MzEDAAAAAzE2</t>
  </si>
  <si>
    <t>MAIAAAAENDA1MQQAAAABMAcAAAAJNi8zMC8yMDE0CAAAAAk2LzMwLzIwMTQJAAAAATDbvXyJRCXeCKqeXItEJd4IKUNJUS5CUC5JUV9FQklUREEuSVFfQ1EuMy8zMS8yMDE5LkwuLlVTRC5IAQAAAOIEBgACAAAABDk1MTkBCAAAAAUAAAABMQEAAAAKMjAzMTA3NTQxNAMAAAADMTYwAgAAAAQ0MDUxBAAAAAEwBwAAAAkzLzMxLzIwMTkIAAAACTMvMzEvMjAxOQkAAAABMClfx4pEJd4IDWR4i0Ql3ggpQ0lRLkJQLklRX0VCSVREQS5JUV9DUS45LzMwLzIwMTEuTC4uVVNELkgBAAAA4gQGAAIAAAAEODgzOAEIAAAABQAAAAExAQAAAAoxNTczODY1ODA3AwAAAAMxNjACAAAABDQwNTEEAAAAATAHAAAACTkvMzAvMjAxMQgAAAAJOS8zMC8yMDExCQAAAAEwq4eYiUQl3gglwEyLRCXeCClDSVEuQlAuSVFfRUJJVERBLklRX0NRLjkvMzAvMjAxMy5MLi5VU0QuSAEAAADiBAYAAgAAAAQ4NDExAQgAAAAFAAAAATEBAAAACjE3MDM0NDAxMTADAAAAAzE2MAIAAAAENDA1MQQAAAABMAcAAAAJOS8zMC8yMDEzCAAAAAk5LzMwLzIwMTMJAAAAATBQBIqJRCXeCKS8V4tEJd4IKUNJUS5CUC5JUV9FQklUREEuSVFfQ1EuOS8zMC8yMDE3LkwuLlVTRC5IAQAAAOIEBgACAAAABDY5ODkBCAAAAAUAAAABMQEAAAAKMTkxNjUzMzU3NwMAAAADMTYwAgAAAAQ0MDUxBAAAAAEwBwAAAAk5LzMwLzIwMTcIAAAACTkvMzAvMjAxNwkAAAAB</t>
  </si>
  <si>
    <t>MGtSiolEJd4IL4Zxi0Ql3ggpQ0lRLkJQLklRX0VCSVREQS5JUV9DUS45LzMwLzIwMjEuTC4uVVNELkgBAAAA4gQGAAIAAAAEMjcwMQEIAAAABQAAAAExAQAAAAstMjA3MjYzMjA2NQMAAAADMTYwAgAAAAQ0MDUxBAAAAAEwBwAAAAk5LzMwLzIwMjEIAAAACTkvMzAvMjAyMQkAAAABMP7pxopEJd4I0iOEi0Ql3ggpQ0lRLkJQLklRX0VCSVREQS5JUV9DUS42LzMwLzIwMTAuTC4uVVNELkgBAAAA4gQGAAIAAAAEODY1MgEIAAAABQAAAAExAQAAAAoxNDYzODQ3MzAxAwAAAAMxNjACAAAABDQwNTEEAAAAATAHAAAACTYvMzAvMjAxMAgAAAAJNi8zMC8yMDEwCQAAAAEw5+R8iUQl3ghT3kaLRCXeCClDSVEuQlAuSVFfRUJJVERBLklRX0NRLjYvMzAvMjAyMi5MLi5VU0QuSAEAAADiBAYAAgAAAAUxNzAxNQEIAAAABQAAAAExAQAAAAstMjAzNjMzNDA2MQMAAAADMTYwAgAAAAQ0MDUxBAAAAAEwBwAAAAk2LzMwLzIwMjIIAAAACTYvMzAvMjAyMgkAAAABMOVK2opEJd4IS6aHi0Ql3ggpQ0lRLkJQLklRX0VCSVREQS5JUV9DUS45LzMwLzIwMTUuTC4uVVNELkgBAAAA4gQGAAIAAAAENDQzNgEIAAAABQAAAAExAQAAAAoxODE1NTM2OTY5AwAAAAMxNjACAAAABDQwNTEEAAAAATAHAAAACTkvMzAvMjAxNQgAAAAJOS8zMC8yMDE1CQAAAAEwoceKiUQl3ggM3GSLRCXeCClDSVEuQlAuSVFfRUJJVERBLklRX0NRLjkvMzAv</t>
  </si>
  <si>
    <t>MjAxOS5MLi5VU0QuSAEAAADiBAYAAgAAAAQ3Njg1AQgAAAAFAAAAATEBAAAACjIwNjYzMjM1OTMDAAAAAzE2MAIAAAAENDA1MQQAAAABMAcAAAAJOS8zMC8yMDE5CAAAAAk5LzMwLzIwMTkJAAAAATApX8eKRCXeCCP8eotEJd4IKUNJUS5CUC5JUV9FQklUREEuSVFfQ1EuOS8zMC8yMDIzLkwuLlVTRC5IAQAAAOIEBgACAAAABTEyNzcyAQgAAAAFAAAAATEBAAAACy0xOTcxOTI3MDgzAwAAAAMxNjACAAAABDQwNTEEAAAAATAHAAAACTkvMzAvMjAyMwgAAAAJOS8zMC8yMDIzCQAAAAEw6iPaikQl3ggCnY2LRCXeCClDSVEuQlAuSVFfRUJJVERBLklRX0NRLjMvMzEvMjAxNS5MLi5VU0QuSAEAAADiBAYAAgAAAAQ2MjgxAQgAAAAFAAAAATEBAAAACjE4MDAzNTkwOTUDAAAAAzE2MAIAAAAENDA1MQQAAAABMAcAAAAJMy8zMS8yMDE1CAAAAAkzLzMxLzIwMTUJAAAAATChx4qJRCXeCLanYYtEJd4IKUNJUS5CUC5JUV9FQklUREEuSVFfQ1EuNi8zMC8yMDE2LkwuLlVTRC5IAQAAAOIEBgACAAAABDUyNTkBCAAAAAUAAAABMQEAAAAKMTg1MTEyMzAwOQMAAAADMTYwAgAAAAQ0MDUxBAAAAAEwBwAAAAk2LzMwLzIwMTYIAAAACTYvMzAvMjAxNgkAAAABMI2giolEJd4I95Zpi0Ql3ggpQ0lRLkJQLklRX0VCSVREQS5JUV9DUS42LzMwLzIwMTIuTC4uVVNELkgBAAAA4gQGAAIAAAAENTc5OQEIAAAABQAAAAExAQAAAAox</t>
  </si>
  <si>
    <t>NjI4NjI1MTc3AwAAAAMxNjACAAAABDQwNTEEAAAAATAHAAAACTYvMzAvMjAxMggAAAAJNi8zMC8yMDEyCQAAAAEwmGCYiUQl3giNQlCLRCXeCCpDSVEuQlAuSVFfRUJJVERBLklRX0NRLjEyLzMxLzIwMjMuTC4uVVNELkgBAAAA4gQGAAIAAAAENTk5NQEIAAAABQAAAAExAQAAAAstMTk1Njc5MDg5MwMAAAADMTYwAgAAAAQ0MDUxBAAAAAEwBwAAAAoxMi8zMS8yMDIzCAAAAAoxMi8zMS8yMDIzCQAAAAEw6iPaikQl3gh5ro6LRCXeCClDSVEuQlAuSVFfRUJJVERBLklRX0NRLjMvMzEvMjAyNS5MLi5VU0QuSAEAAADiBAYAAgAAAAQ4MjE1AQgAAAAFAAAAATEBAAAACy0xOTQ3OTA4NzEyAwAAAAMxNjACAAAABDQwNTEEAAAAATAHAAAACTMvMzEvMjAyNQgAAAAJMy8zMS8yMDI1CQAAAAEw6iPaikQl3ggyXJCLRCXeCCpDSVEuQlAuSVFfRUJJVERBLklRX0NRLjEyLzMxLzIwMTEuTC4uVVNELkgBAAAA4gQGAAIAAAAEOTgxOQEIAAAABQAAAAExAQAAAAoxNTkwNDU1NzE4AwAAAAMxNjACAAAABDQwNTEEAAAAATAHAAAACjEyLzMxLzIwMTEIAAAACjEyLzMxLzIwMTEJAAAAATCrh5iJRCXeCI3RTYtEJd4IKkNJUS5CUC5JUV9FQklUREEuSVFfQ1EuMTIvMzEvMjAxNy5MLi5VU0QuSAEAAADiBAYAAgAAAAQ2Njg0AQgAAAAFAAAAATEBAAAACjE5NTE3NDAzMjMDAAAAAzE2MAIAAAAENDA1MQQAAAABMAcAAAAKMTIv</t>
  </si>
  <si>
    <t>MzEvMjAxNwgAAAAKMTIvMzEvMjAxNwkAAAABMGtSiolEJd4IoJdyi0Ql3ggqQ0lRLkJQLklRX0VCSVREQS5JUV9DUS4xMi8zMS8yMDE5LkwuLlVTRC5IAQAAAOIEBgACAAAABDYyNDIBCAAAAAUAAAABMQEAAAAKMjA4NTU2OTAxNwMAAAADMTYwAgAAAAQ0MDUxBAAAAAEwBwAAAAoxMi8zMS8yMDE5CAAAAAoxMi8zMS8yMDE5CQAAAAEwMTjHikQl3giBDXyLRCXeCCpDSVEuQlAuSVFfRUJJVERBLklRX0NRLjEyLzMxLzIwMjEuTC4uVVNELkgBAAAA4gQGAAIAAAAFMTA3MzYBCAAAAAUAAAABMQEAAAALLTIwNTc1MTk2NzgDAAAAAzE2MAIAAAAENDA1MQQAAAABMAcAAAAKMTIvMzEvMjAyMQgAAAAKMTIvMzEvMjAyMQkAAAABMP7pxopEJd4ITVyFi0Ql3ggpQ0lRLkJQLklRX0VCSVREQS5JUV9DUS4zLzMxLzIwMjMuTC4uVVNELkgBAAAA4gQGAAIAAAAFMTU4NTkBCAAAAAUAAAABMQEAAAALLTE5OTYzNjgwNTEDAAAAAzE2MAIAAAAENDA1MQQAAAABMAcAAAAJMy8zMS8yMDIzCAAAAAkzLzMxLzIwMjMJAAAAATDlStqKRCXeCBhTi4tEJd4IKkNJUS5CUC5JUV9FQklUREEuSVFfQ1EuMTIvMzEvMjAxMy5MLi5VU0QuSAEAAADiBAYAAgAAAAQ2MTc2AQgAAAAFAAAAATEBAAAACjE3MjE5MTk1NDgDAAAAAzE2MAIAAAAENDA1MQQAAAABMAcAAAAKMTIvMzEvMjAxMwgAAAAKMTIvMzEvMjAxMwkAAAABMFAEiolEJd4I</t>
  </si>
  <si>
    <t>RkNZi0Ql3ggqQ0lRLkJQLklRX0VCSVREQS5JUV9DUS4xMi8zMS8yMDE1LkwuLlVTRC5IAQAAAOIEBgACAAAABDI2ODEBCAAAAAUAAAABMQEAAAAKMTgzNTA5NzQ3NgMAAAADMTYwAgAAAAQ0MDUxBAAAAAEwBwAAAAoxMi8zMS8yMDE1CAAAAAoxMi8zMS8yMDE1CQAAAAEwjaCKiUQl3gioYmaLRCXeCClDSVEuQlAuSVFfRUJJVERBLklRX0NRLjMvMzEvMjAxNy5MLi5VU0QuSAEAAADiBAYAAgAAAAQ2NjQzAQgAAAAFAAAAATEBAAAACjE4ODU4MjA4MTMDAAAAAzE2MAIAAAAENDA1MQQAAAABMAcAAAAJMy8zMS8yMDE3CAAAAAkzLzMxLzIwMTcJAAAAATB6eYqJRCXeCPV4botEJd4IKUNJUS5CUC5JUV9FQklUREEuSVFfQ1EuNi8zMC8yMDE4LkwuLlVTRC5IAQAAAOIEBgACAAAABDc5MjYBCAAAAAUAAAABMQEAAAAKMTk3MjgxMjY3NQMAAAADMTYwAgAAAAQ0MDUxBAAAAAEwBwAAAAk2LzMwLzIwMTgIAAAACTYvMzAvMjAxOAkAAAABMMBvfIlEJd4IoQh1i0Ql3ggpQ0lRLkJQLklRX0VCSVREQS5JUV9DUS4zLzMxLzIwMTEuTC4uVVNELkgBAAAA4gQGAAIAAAAFMTE4NzEBCAAAAAUAAAABMQEAAAAKMTU0NDg4MDY5MgMAAAADMTYwAgAAAAQ0MDUxBAAAAAEwBwAAAAkzLzMxLzIwMTEIAAAACTMvMzEvMjAxMQkAAAABMNu9fIlEJd4I9UVKi0Ql3ggpQ0lRLkJQLklRX0VCSVREQS5JUV9DUS4zLzMxLzIwMTMuTC4u</t>
  </si>
  <si>
    <t>VVNELkgBAAAA4gQGAAIAAAAFMTA0MTABCAAAAAUAAAABMQEAAAAKMTY3NDIxODYyNQMAAAADMTYwAgAAAAQ0MDUxBAAAAAEwBwAAAAkzLzMxLzIwMTMIAAAACTMvMzEvMjAxMwkAAAABMG4riolEJd4INDpUi0Ql3ggqQ0lRLkJQLklRX0VCSVREQS5JUV9DUS4xMi8zMS8yMDA5LkwuLlVTRC5IAQAAAOIEBgACAAAABDk1NTABCAAAAAUAAAABMQEAAAAKMTQzNDE5MTg5NAMAAAADMTYwAgAAAAQ0MDUxBAAAAAEwBwAAAAoxMi8zMS8yMDA5CAAAAAoxMi8zMS8yMDA5CQAAAAEw9Qt9iUQl3gholESLRCXeCClDSVEuQlAuSVFfRUJJVERBLklRX0NRLjkvMzAvMjAxNi5MLi5VU0QuSAEAAADiBAYAAgAAAAQzNTkxAQgAAAAFAAAAATEBAAAACjE4NjMyMDkyOTEDAAAAAzE2MAIAAAAENDA1MQQAAAABMAcAAAAJOS8zMC8yMDE2CAAAAAk5LzMwLzIwMTYJAAAAATB6eYqJRCXeCKlEa4tEJd4IKUNJUS5CUC5JUV9FQklUREEuSVFfQ1EuOS8zMC8yMDE4LkwuLlVTRC5IAQAAAOIEBgACAAAABDkzMDABCAAAAAUAAAABMQEAAAAKMTk4OTIzODg5NQMAAAADMTYwAgAAAAQ0MDUxBAAAAAEwBwAAAAk5LzMwLzIwMTgIAAAACTkvMzAvMjAxOAkAAAABMEiGx4pEJd4IEhp2i0Ql3ggpQ0lRLkJQLklRX0VCSVREQS5JUV9DUS45LzMwLzIwMjIuTC4uVVNELkgBAAAA4gQGAAIAAAAEMzkwNQEIAAAABQAAAAExAQAAAAstMjAyMjMx</t>
  </si>
  <si>
    <t>Nzg1NwMAAAADMTYwAgAAAAQ0MDUxBAAAAAEwBwAAAAk5LzMwLzIwMjIIAAAACTkvMzAvMjAyMgkAAAABMOVK2opEJd4Iwd6Ii0Ql3ggpQ0lRLkJQLklRX0VCSVREQS5JUV9DUS45LzMwLzIwMjQuTC4uVVNELkgBAAAA4gQGAAIAAAAEODEzMAEIAAAABQAAAAExAQAAAAstMTkxODY0Njc0NgMAAAADMTYwAgAAAAQ0MDUxBAAAAAEwBwAAAAk5LzMwLzIwMjQIAAAACTkvMzAvMjAyNAkAAAABMOoj2opEJd4IKM2Si0Ql3ggpQ0lRLkJQLklRX0VCSVREQS5JUV9DUS45LzMwLzIwMTQuTC4uVVNELkgBAAAA4gQGAAIAAAAENzY2NQEIAAAABQAAAAExAQAAAAoxNzYxNTA3NTgwAwAAAAMxNjACAAAABDQwNTEEAAAAATAHAAAACTkvMzAvMjAxNAgAAAAJOS8zMC8yMDE0CQAAAAEwyJZ8iUQl3ghHJV6LRCXeCClDSVEuQlAuSVFfRUJJVERBLklRX0NRLjYvMzAvMjAxMy5MLi5VU0QuSAEAAADiBAYAAgAAAAQ3NjM3AQgAAAAFAAAAATEBAAAACjE2ODg2NzU2NTYDAAAAAzE2MAIAAAAENDA1MQQAAAABMAcAAAAJNi8zMC8yMDEzCAAAAAk2LzMwLzIwMTMJAAAAATBQBIqJRCXeCOjnVYtEJd4IKUNJUS5CUC5JUV9FQklUREEuSVFfQ1EuNi8zMC8yMDE1LkwuLlVTRC5IAQAAAOIEBgACAAAABDYxMjcBCAAAAAUAAAABMQEAAAAKMTgwMDI4Njc5NwMAAAADMTYwAgAAAAQ0MDUxBAAAAAEwBwAAAAk2LzMwLzIwMTUIAAAACTYv</t>
  </si>
  <si>
    <t>MzAvMjAxNQkAAAABMKHHiolEJd4IWy5ji0Ql3ggpQ0lRLkJQLklRX0VCSVREQS5JUV9DUS42LzMwLzIwMTcuTC4uVVNELkgBAAAA4gQGAAIAAAAENTUwNAEIAAAABQAAAAExAQAAAAoxODk3NzI0MDUxAwAAAAMxNjACAAAABDQwNTEEAAAAATAHAAAACTYvMzAvMjAxNwgAAAAJNi8zMC8yMDE3CQAAAAEwa1KKiUQl3giiJnCLRCXeCClDSVEuQlAuSVFfRUJJVERBLklRX0NRLjYvMzAvMjAxOS5MLi5VU0QuSAEAAADiBAYAAgAAAAQ4NTAxAQgAAAAFAAAAATEBAAAACjIwNDc5MjAxNjgDAAAAAzE2MAIAAAAENDA1MQQAAAABMAcAAAAJNi8zMC8yMDE5CAAAAAk2LzMwLzIwMTkJAAAAATApX8eKRCXeCISceYtEJd4IKUNJUS5CUC5JUV9FQklUREEuSVFfQ1EuNi8zMC8yMDIxLkwuLlVTRC5IAQAAAOIEBgACAAAABDU0MTEBCAAAAAUAAAABMQEAAAALLTIwODcxODM0MjADAAAAAzE2MAIAAAAENDA1MQQAAAABMAcAAAAJNi8zMC8yMDIxCAAAAAk2LzMwLzIwMjEJAAAAATAJEceKRCXeCGISg4tEJd4IKUNJUS5CUC5JUV9FQklUREEuSVFfQ1EuNi8zMC8yMDIzLkwuLlVTRC5IAQAAAOIEBgACAAAABDk1MzIBCAAAAAUAAAABMQEAAAALLTE5NzA4ODM0MDcDAAAAAzE2MAIAAAAENDA1MQQAAAABMAcAAAAJNi8zMC8yMDIzCAAAAAk2LzMwLzIwMjMJAAAAATDlStqKRCXeCIFkjItEJd4IKUNJUS5CUC5JUV9FQklUREEu</t>
  </si>
  <si>
    <t>SVFfQ1EuNi8zMC8yMDI1LkwuLlVTRC5IAQAAAOIEBgACAAAABDk3MDIBCAAAAAUAAAABMQEAAAALLTE5MTg2NDY2MzEDAAAAAzE2MAIAAAAENDA1MQQAAAABMAcAAAAJNi8zMC8yMDI1CAAAAAk2LzMwLzIwMjUJAAAAATDqI9qKRCXeCKRtkYtEJd4IKUNJUS5CUC5JUV9FQklUREEuSVFfQ1EuOS8zMC8yMDEwLkwuLlVTRC5IAQAAAOIEBgACAAAABDg2NzUBCAAAAAUAAAABMQEAAAAKMTQ3ODcwOTM5MgMAAAADMTYwAgAAAAQ0MDUxBAAAAAEwBwAAAAk5LzMwLzIwMTAIAAAACTkvMzAvMjAxMAkAAAABMOfkfIlEJd4Ix+9Hi0Ql3ggpQ0lRLkJQLklRX0VCSVREQS5JUV9DUS45LzMwLzIwMjAuTC4uVVNELkgBAAAA4gQGAAIAAAAENDgxMAEIAAAABQAAAAExAQAAAAstMjEyNDMxNjAwOAMAAAADMTYwAgAAAAQ0MDUxBAAAAAEwBwAAAAk5LzMwLzIwMjAIAAAACTkvMzAvMjAyMAkAAAABMAkRx4pEJd4I/I9/i0Ql3ggpQ0lRLkJQLklRX0VCSVREQS5JUV9DUS42LzMwLzIwMTEuTC4uVVNELkgBAAAA4gQGAAIAAAAEOTk5NwEIAAAABQAAAAExAQAAAAoxNTU2OTUzNDA5AwAAAAMxNjACAAAABDQwNTEEAAAAATAHAAAACTYvMzAvMjAxMQgAAAAJNi8zMC8yMDExCQAAAAEwq4eYiUQl3ghHqkuLRCXeCClDSVEuQlAuSVFfRUJJVERBLklRX0NRLjYvMzAvMjAyMC5MLi5VU0QuSAEAAADiBAYAAgAAAAQ0OTkwAQgAAAAF</t>
  </si>
  <si>
    <t>AAAAATEBAAAACy0yMTQwNTAxNjI5AwAAAAMxNjACAAAABDQwNTEEAAAAATAHAAAACTYvMzAvMjAyMAgAAAAJNi8zMC8yMDIwCQAAAAEwMTjHikQl3ghtV36LRCXeCClDSVEuQlAuSVFfRUJJVERBLklRX0NRLjMvMzEvMjAyMS5MLi5VU0QuSAEAAADiBAYAAgAAAAQ5MTE4AQgAAAAFAAAAATEBAAAACy0yMDk5MTk3MjM3AwAAAAMxNjACAAAABDQwNTEEAAAAATAHAAAACTMvMzEvMjAyMQgAAAAJMy8zMS8yMDIxCQAAAAEwCRHHikQl3gjb2YGLRCXeCClDSVEuQlAuSVFfRUJJVERBLklRX0NRLjkvMzAvMjAxMi5MLi5VU0QuSAEAAADiBAYAAgAAAAQ5Nzk3AQgAAAAFAAAAATEBAAAACjE2NDI2MzkzNjYDAAAAAzE2MAIAAAAENDA1MQQAAAABMAcAAAAJOS8zMC8yMDEyCAAAAAk5LzMwLzIwMTIJAAAAATBuK4qJRCXeCANUUYtEJd4IKUNJUS5CUC5JUV9FQklUREEuSVFfQ1EuMy8zMS8yMDEwLkwuLlVTRC5IAQAAAOIEBgACAAAABTExNDMwAQgAAAAFAAAAATEBAAAACjE0NDg5OTEyNjEDAAAAAzE2MAIAAAAENDA1MQQAAAABMAcAAAAJMy8zMS8yMDEwCAAAAAkzLzMxLzIwMTAJAAAAATD1C32JRCXeCOfMRYtEJd4IKUNJUS5CUC5JUV9FQklUREEuSVFfQ1EuMy8zMS8yMDEyLkwuLlVTRC5IAQAAAOIEBgACAAAABDk5MzcBCAAAAAUAAAABMQEAAAAKMTYxNDk3ODI3NgMAAAADMTYwAgAAAAQ0MDUxBAAAAAEwBwAA</t>
  </si>
  <si>
    <t>AAkzLzMxLzIwMTIIAAAACTMvMzEvMjAxMgkAAAABMJhgmIlEJd4IDgpPi0Ql3ggpQ0lRLkJQLklRX0VCSVREQS5JUV9DUS4zLzMxLzIwMTQuTC4uVVNELkgBAAAA4gQGAAIAAAAEOTE1NgEIAAAABQAAAAExAQAAAAoxNzMwNjAzNjg4AwAAAAMxNjACAAAABDQwNTEEAAAAATAHAAAACTMvMzEvMjAxNAgAAAAJMy8zMS8yMDE0CQAAAAEw2718iUQl3gj28FqLRCXeCClDSVEuQlAuSVFfRUJJVERBLklRX0NRLjMvMzEvMjAxNi5MLi5VU0QuSAEAAADiBAYAAgAAAAQzNTczAQgAAAAFAAAAATEBAAAACjE4Mzk0MDkxMTUDAAAAAzE2MAIAAAAENDA1MQQAAAABMAcAAAAJMy8zMS8yMDE2CAAAAAkzLzMxLzIwMTYJAAAAATCNoIqJRCXeCFUQaItEJd4IKUNJUS5CUC5JUV9FQklUREEuSVFfQ1EuMy8zMS8yMDE4LkwuLlVTRC5IAQAAAOIEBgACAAAABDgwMjcBCAAAAAUAAAABMQEAAAAKMTk1NzkyOTE0MQMAAAADMTYwAgAAAAQ0MDUxBAAAAAEwBwAAAAkzLzMxLzIwMTgIAAAACTMvMzEvMjAxOAkAAAABMPULfYlEJd4IHNBzi0Ql3ggpQ0lRLkJQLklRX0VCSVREQS5JUV9DUS4zLzMxLzIwMjAuTC4uVVNELkgBAAAA4gQGAAIAAAAEMTY3NQEIAAAABQAAAAExAQAAAAoyMDkyMTM3OTk2AwAAAAMxNjACAAAABDQwNTEEAAAAATAHAAAACTMvMzEvMjAyMAgAAAAJMy8zMS8yMDIwCQAAAAEwMTjHikQl3gj+RX2LRCXeCClD</t>
  </si>
  <si>
    <t>SVEuQlAuSVFfRUJJVERBLklRX0NRLjMvMzEvMjAyMi5MLi5VU0QuSAEAAADiBAYAAgAAAAUxMDg2NwEIAAAABQAAAAExAQAAAAstMjA0ODE1MTMyMwMAAAADMTYwAgAAAAQ0MDUxBAAAAAEwBwAAAAkzLzMxLzIwMjIIAAAACTMvMzEvMjAyMgkAAAABMOVK2opEJd4Iy5SGi0Ql3ggpQ0lRLkJQLklRX0VCSVREQS5JUV9DUS4zLzMxLzIwMjQuTC4uVVNELkgBAAAA4gQGAAIAAAAEOTcyMAEIAAAABQAAAAExAQAAAAstMTk0NzkwODcxNwMAAAADMTYwAgAAAAQ0MDUxBAAAAAEwBwAAAAkzLzMxLzIwMjQIAAAACTMvMzEvMjAyNAkAAAABMOoj2opEJd4IAw6Qi0Ql3ggqQ0lRLkJQLklRX0VCSVREQS5JUV9DUS4xMi8zMS8yMDEwLkwuLlVTRC5IAQAAAOIEBgACAAAABTEwNjY2AQgAAAAFAAAAATEBAAAACjE1MjY4MjkyMzgDAAAAAzE2MAIAAAAENDA1MQQAAAABMAcAAAAKMTIvMzEvMjAxMAgAAAAKMTIvMzEvMjAxMAkAAAABMOfkfIlEJd4IoRxJi0Ql3ggqQ0lRLkJQLklRX0VCSVREQS5JUV9DUS4xMi8zMS8yMDEyLkwuLlVTRC5IAQAAAOIEBgACAAAABDk4MDgBCAAAAAUAAAABMQEAAAAKMTY2MTgzNjcxMAMAAAADMTYwAgAAAAQ0MDUxBAAAAAEwBwAAAAoxMi8zMS8yMDEyCAAAAAoxMi8zMS8yMDEyCQAAAAEwbiuKiUQl3giHjFKLRCXeCCpDSVEuQlAuSVFfRUJJVERBLklRX0NRLjEyLzMxLzIwMTQuTC4uVVNE</t>
  </si>
  <si>
    <t>LkgBAAAA4gQGAAIAAAAEMzg4OAEIAAAABQAAAAExAQAAAAoxNzc5MTU5NDQ3AwAAAAMxNjACAAAABDQwNTEEAAAAATAHAAAACjEyLzMxLzIwMTQIAAAACjEyLzMxLzIwMTQJAAAAATDIlnyJRCXeCBX6X4tEJd4IKkNJUS5CUC5JUV9FQklUREEuSVFfQ1EuMTIvMzEvMjAxNi5MLi5VU0QuSAEAAADiBAYAAgAAAAQ0MjMzAQgAAAAFAAAAATEBAAAACjE4ODA1NTU2NTkDAAAAAzE2MAIAAAAENDA1MQQAAAABMAcAAAAKMTIvMzEvMjAxNggAAAAKMTIvMzEvMjAxNgkAAAABMHp5iolEJd4IRctsi0Ql3ggqQ0lRLkJQLklRX0VCSVREQS5JUV9DUS4xMi8zMS8yMDE4LkwuLlVTRC5IAQAAAOIEBgACAAAABDcwMDgBCAAAAAUAAAABMQEAAAAKMjAyMzA1NzI0MgMAAAADMTYwAgAAAAQ0MDUxBAAAAAEwBwAAAAoxMi8zMS8yMDE4CAAAAAoxMi8zMS8yMDE4CQAAAAEwKV/HikQl3giDK3eLRCXeCCpDSVEuQlAuSVFfRUJJVERBLklRX0NRLjEyLzMxLzIwMjAuTC4uVVNELkgBAAAA4gQGAAIAAAADNzU5AQgAAAAFAAAAATEBAAAACy0yMTA3NzUzMjE0AwAAAAMxNjACAAAABDQwNTEEAAAAATAHAAAACjEyLzMxLzIwMjAIAAAACjEyLzMxLzIwMjAJAAAAATAJEceKRCXeCGOhgItEJd4IKkNJUS5CUC5JUV9FQklUREEuSVFfQ1EuMTIvMzEvMjAyMi5MLi5VU0QuSAEAAADiBAYAAgAAAAUyMTc5MwEIAAAABQAAAAExAQAAAAst</t>
  </si>
  <si>
    <t>MjAwNjc4MDg2NgMAAAADMTYwAgAAAAQ0MDUxBAAAAAEwBwAAAAoxMi8zMS8yMDIyCAAAAAoxMi8zMS8yMDIyCQAAAAEw5UraikQl3ggz8ImLRCXeCCpDSVEuQlAuSVFfRUJJVERBLklRX0NRLjEyLzMxLzIwMjQuTC4uVVNELkgBAAAA4gQGAAIAAAAEMTI2MwEIAAAABQAAAAExAQAAAAstMTk1Njc5MDg2OAMAAAADMTYwAgAAAAQ0MDUxBAAAAAEwBwAAAAoxMi8zMS8yMDI0CAAAAAoxMi8zMS8yMDI0CQAAAAEw6iPaikQl3giB1Y6LRCXeCClDSVEuQlAuSVFfRUJJVERBLklRX0NRLjkvMzAvMjAyNS5MLi5VU0QuSAEAAADiBAYAAgAAAAQ5NDc4AQgAAAAFAAAAATEBAAAACy0xOTE4NjQ2NzQzAwAAAAMxNjACAAAABDQwNTEEAAAAATAHAAAACTkvMzAvMjAyNQgAAAAJOS8zMC8yMDI1CQAAAAEw6iPaikQl3ggozZKLRCXeCDZDSVEuQlAuSVFfTklfMVlSX0FOTl9HUk9XVEguSVFfTFRNLjEyLzMxLzIwMTAuTC4uVVNELkgBAAAA4gQGAAMAAAACTk0BCAAAAAUAAAABMQEAAAAKMTU5MDQ1ODAzNgMAAAADMTYwAgAAAAQ0MTk5BAAAAAEwBwAAAAoxMi8zMS8yMDEwCAAAAAoxMi8zMS8yMDEwCQAAAAEw9Qt9iUQl3gholESLRCXeCDVDSVEuQlAuSVFfTklfMVlSX0FOTl9HUk9XVEguSVFfTFRNLjMvMzEvMjAxOC5MLi5VU0QuSAEAAADiBAYAAgAAAAgxMDUuMzU2MwEIAAAABQAAAAExAQAAAAoxOTU3OTI5MjIwAwAA</t>
  </si>
  <si>
    <t>AAMxNjACAAAABDQxOTkEAAAAATAHAAAACTMvMzEvMjAxOAgAAAAJMy8zMS8yMDE4CQAAAAEwenmKiUQl3gg0x26LRCXeCDVDSVEuQlAuSVFfTklfMVlSX0FOTl9HUk9XVEguSVFfTFRNLjMvMzEvMjAyMC5MLi5VU0QuSAEAAADiBAYAAwAAAAJOTQEIAAAABQAAAAExAQAAAAoyMDkyMTM4MDMyAwAAAAMxNjACAAAABDQxOTkEAAAAATAHAAAACTMvMzEvMjAyMAgAAAAJMy8zMS8yMDIwCQAAAAEwKV/HikQl3ggRi3iLRCXeCDVDSVEuQlAuSVFfTklfMVlSX0FOTl9HUk9XVEguSVFfTFRNLjMvMzEvMjAxMi5MLi5VU0QuSAEAAADiBAYAAwAAAAJOTQEIAAAABQAAAAExAQAAAAoxNjE0OTg4MzQxAwAAAAMxNjACAAAABDQxOTkEAAAAATAHAAAACTMvMzEvMjAxMggAAAAJMy8zMS8yMDEyCQAAAAEw2718iUQl3ghogUqLRCXeCDVDSVEuQlAuSVFfTklfMVlSX0FOTl9HUk9XVEguSVFfTFRNLjMvMzEvMjAxOS5MLi5VU0QuSAEAAADiBAYAAgAAAAgxMjMuMzYxMwEIAAAABQAAAAExAQAAAAoyMDMxMDc1NDUzAwAAAAMxNjACAAAABDQxOTkEAAAAATAHAAAACTMvMzEvMjAxOQgAAAAJMy8zMS8yMDE5CQAAAAEw9Qt9iUQl3ggo93OLRCXeCDVDSVEuQlAuSVFfTklfMVlSX0FOTl9HUk9XVEguSVFfTFRNLjMvMzEvMjAxNC5MLi5VU0QuSAEAAADiBAYAAgAAAAgtNTQuMjUzMgEIAAAABQAAAAExAQAAAAoxNzMwNjA1MTEw</t>
  </si>
  <si>
    <t>AwAAAAMxNjACAAAABDQxOTkEAAAAATAHAAAACTMvMzEvMjAxNAgAAAAJMy8zMS8yMDE0CQAAAAEwbiuKiUQl3ghSYVSLRCXeCDZDSVEuQlAuSVFfTklfMVlSX0FOTl9HUk9XVEguSVFfTFRNLjEyLzMxLzIwMTIuTC4uVVNELkgBAAAA4gQGAAIAAAAILTU2LjMwMjYBCAAAAAUAAAABMQEAAAAKMTcyMTkxOTc1NQMAAAADMTYwAgAAAAQ0MTk5BAAAAAEwBwAAAAoxMi8zMS8yMDEyCAAAAAoxMi8zMS8yMDEyCQAAAAEwq4eYiUQl3gif+E2LRCXeCDVDSVEuQlAuSVFfTklfMVlSX0FOTl9HUk9XVEguSVFfTFRNLjMvMzEvMjAyNC5MLi5VU0QuSAEAAADiBAYAAgAAAAgtNjQuNDQ5NgEIAAAABQAAAAExAQAAAAstMTk0NzkwODA2MQMAAAADMTYwAgAAAAQ0MTk5BAAAAAEwBwAAAAkzLzMxLzIwMjQIAAAACTMvMzEvMjAyNAkAAAABMOVK2opEJd4IECyLi0Ql3gg1Q0lRLkJQLklRX05JXzFZUl9BTk5fR1JPV1RILklRX0xUTS4zLzMxLzIwMjMuTC4uVVNELkgBAAAA4gQGAAMAAAACTk0BCAAAAAUAAAABMQEAAAALLTE5OTYzNjc2NTcDAAAAAzE2MAIAAAAENDE5OQQAAAABMAcAAAAJMy8zMS8yMDIzCAAAAAkzLzMxLzIwMjMJAAAAATDlStqKRCXeCMuUhotEJd4INUNJUS5CUC5JUV9OSV8xWVJfQU5OX0dST1dUSC5JUV9MVE0uMy8zMS8yMDE2LkwuLlVTRC5IAQAAAOIEBgADAAAAAk5NAQgAAAAFAAAAATEBAAAACjE4</t>
  </si>
  <si>
    <t>Mzk0MDk0MzYDAAAAAzE2MAIAAAAENDE5OQQAAAABMAcAAAAJMy8zMS8yMDE2CAAAAAkzLzMxLzIwMTYJAAAAATChx4qJRCXeCMrOYYtEJd4INUNJUS5CUC5JUV9OSV8xWVJfQU5OX0dST1dUSC5JUV9MVE0uMy8zMS8yMDI1LkwuLlVTRC5IAQAAAOIEBgADAAAAAk5NAQgAAAAFAAAAATEBAAAACy0xOTQ3OTA4MDU2AwAAAAMxNjACAAAABDQxOTkEAAAAATAHAAAACTMvMzEvMjAyNQgAAAAJMy8zMS8yMDI1CQAAAAEw6iPaikQl3ggXNZCLRCXeCDVDSVEuQlAuSVFfTklfMVlSX0FOTl9HUk9XVEguSVFfTFRNLjMvMzEvMjAyMi5MLi5VU0QuSAEAAADiBAYAAwAAAAJOTQEIAAAABQAAAAExAQAAAAstMjA0ODE1MTIyMAMAAAADMTYwAgAAAAQ0MTk5BAAAAAEwBwAAAAkzLzMxLzIwMjIIAAAACTMvMzEvMjAyMgkAAAABMAkRx4pEJd4I6gCCi0Ql3gg2Q0lRLkJQLklRX05JXzFZUl9BTk5fR1JPV1RILklRX0xUTS4xMi8zMS8yMDE0LkwuLlVTRC5IAQAAAOIEBgACAAAACC04My44ODEzAQgAAAAFAAAAATEBAAAACjE4MzUwOTc0NzIDAAAAAzE2MAIAAAAENDE5OQQAAAABMAcAAAAKMTIvMzEvMjAxNAgAAAAKMTIvMzEvMjAxNAkAAAABMBlafYlEJd4IVWpZi0Ql3gg1Q0lRLkJQLklRX05JXzFZUl9BTk5fR1JPV1RILklRX0xUTS4zLzMxLzIwMjEuTC4uVVNELkgBAAAA4gQGAAMAAAACTk0BCAAAAAUAAAABMQEAAAAL</t>
  </si>
  <si>
    <t>LTIwOTkxOTY4MzkDAAAAAzE2MAIAAAAENDE5OQQAAAABMAcAAAAJMy8zMS8yMDIxCAAAAAkzLzMxLzIwMjEJAAAAATAxOMeKRCXeCP5FfYtEJd4INkNJUS5CUC5JUV9OSV8xWVJfQU5OX0dST1dUSC5JUV9MVE0uMTIvMzEvMjAxNi5MLi5VU0QuSAEAAADiBAYAAwAAAAJOTQEIAAAABQAAAAExAQAAAAoxOTUxNzQwMTk4AwAAAAMxNjACAAAABDQxOTkEAAAAATAHAAAACjEyLzMxLzIwMTYIAAAACjEyLzMxLzIwMTYJAAAAATCNoIqJRCXeCM2wZotEJd4INUNJUS5CUC5JUV9OSV8xWVJfQU5OX0dST1dUSC5JUV9MVE0uOS8zMC8yMDEzLkwuLlVTRC5IAQAAAOIEBgACAAAABjM4LjgyMwEIAAAABQAAAAExAQAAAAoxNzAzNDQ5NzEyAwAAAAMxNjACAAAABDQxOTkEAAAAATAHAAAACTkvMzAvMjAxMwgAAAAJOS8zMC8yMDEzCQAAAAEwbiuKiUQl3ggOe1GLRCXeCDZDSVEuQlAuSVFfTklfMVlSX0FOTl9HUk9XVEguSVFfTFRNLjEyLzMxLzIwMjAuTC4uVVNELkgBAAAA4gQGAAMAAAACTk0BCAAAAAUAAAABMQEAAAALLTIwNTc1MTk2MjUDAAAAAzE2MAIAAAAENDE5OQQAAAABMAcAAAAKMTIvMzEvMjAyMAgAAAAKMTIvMzEvMjAyMAkAAAABMDE4x4pEJd4IijR8i0Ql3gg2Q0lRLkJQLklRX05JXzFZUl9BTk5fR1JPV1RILklRX0xUTS4xMi8zMS8yMDI0LkwuLlVTRC5IAQAAAOIEBgACAAAACC05Ny40OTk5AQgAAAAF</t>
  </si>
  <si>
    <t>AAAAATEBAAAACy0xOTU2NzkwODY2AwAAAAMxNjACAAAABDQxOTkEAAAAATAHAAAACjEyLzMxLzIwMjQIAAAACjEyLzMxLzIwMjQJAAAAATDqI9qKRCXeCJH8jotEJd4INkNJUS5CUC5JUV9OSV8xWVJfQU5OX0dST1dUSC5JUV9MVE0uMTIvMzEvMjAxOC5MLi5VU0QuSAEAAADiBAYAAgAAAAgxNzYuODY2MwEIAAAABQAAAAExAQAAAAoyMDg1NTY5MDExAwAAAAMxNjACAAAABDQxOTkEAAAAATAHAAAACjEyLzMxLzIwMTgIAAAACjEyLzMxLzIwMTgJAAAAATBrUoqJRCXeCKu+cotEJd4INUNJUS5CUC5JUV9OSV8xWVJfQU5OX0dST1dUSC5JUV9MVE0uOS8zMC8yMDEyLkwuLlVTRC5IAQAAAOIEBgACAAAACC0yNy4wMDM3AQgAAAAFAAAAATEBAAAACjE2NDI2NTEyMTYDAAAAAzE2MAIAAAAENDE5OQQAAAABMAcAAAAJOS8zMC8yMDEyCAAAAAk5LzMwLzIwMTIJAAAAATCrh5iJRCXeCDDnTItEJd4INUNJUS5CUC5JUV9OSV8xWVJfQU5OX0dST1dUSC5JUV9MVE0uOS8zMC8yMDExLkwuLlVTRC5IAQAAAOIEBgADAAAAAk5NAQgAAAAFAAAAATEBAAAACjE1NzM4ODczOTQDAAAAAzE2MAIAAAAENDE5OQQAAAABMAcAAAAJOS8zMC8yMDExCAAAAAk5LzMwLzIwMTEJAAAAATDn5HyJRCXeCAIvSItEJd4INkNJUS5CUC5JUV9OSV8xWVJfQU5OX0dST1dUSC5JUV9MVE0uMTIvMzEvMjAyMi5MLi5VU0QuSAEAAADiBAYAAwAA</t>
  </si>
  <si>
    <t>AAJOTQEIAAAABQAAAAExAQAAAAstMTk1Njc5MDkwNwMAAAADMTYwAgAAAAQ0MTk5BAAAAAEwBwAAAAoxMi8zMS8yMDIyCAAAAAoxMi8zMS8yMDIyCQAAAAEw/unGikQl3ghhg4WLRCXeCDVDSVEuQlAuSVFfTklfMVlSX0FOTl9HUk9XVEguSVFfTFRNLjYvMzAvMjAxMC5MLi5VU0QuSAEAAADiBAYAAwAAAAJOTQEIAAAABQAAAAExAQAAAAoxNDYzODU4ODM0AwAAAAMxNjACAAAABDQxOTkEAAAAATAHAAAACTYvMzAvMjAxMAgAAAAJNi8zMC8yMDEwCQAAAAEwBjN9iUQl3giAcUKLRCXeCDVDSVEuQlAuSVFfTklfMVlSX0FOTl9HUk9XVEguSVFfTFRNLjkvMzAvMjAxNS5MLi5VU0QuSAEAAADiBAYAAwAAAAJOTQEIAAAABQAAAAExAQAAAAoxODE1NTM3MTE0AwAAAAMxNjACAAAABDQxOTkEAAAAATAHAAAACTkvMzAvMjAxNQgAAAAJOS8zMC8yMDE1CQAAAAEwyJZ8iUQl3ghYTF6LRCXeCDVDSVEuQlAuSVFfTklfMVlSX0FOTl9HUk9XVEguSVFfTFRNLjkvMzAvMjAxNy5MLi5VU0QuSAEAAADiBAYAAwAAAAJOTQEIAAAABQAAAAExAQAAAAoxOTE2NTMzNjYzAwAAAAMxNjACAAAABDQxOTkEAAAAATAHAAAACTkvMzAvMjAxNwgAAAAJOS8zMC8yMDE3CQAAAAEwenmKiUQl3gi1a2uLRCXeCDVDSVEuQlAuSVFfTklfMVlSX0FOTl9HUk9XVEguSVFfTFRNLjkvMzAvMjAxNC5MLi5VU0QuSAEAAADiBAYAAgAAAAgtNjEu</t>
  </si>
  <si>
    <t>MzgwMQEIAAAABQAAAAExAQAAAAoxNzYxNTA4NDYxAwAAAAMxNjACAAAABDQxOTkEAAAAATAHAAAACTkvMzAvMjAxNAgAAAAJOS8zMC8yMDE0CQAAAAEwUASKiUQl3gi241eLRCXeCDVDSVEuQlAuSVFfTklfMVlSX0FOTl9HUk9XVEguSVFfTFRNLjkvMzAvMjAxOS5MLi5VU0QuSAEAAADiBAYAAgAAAAgtNDQuNzgyNgEIAAAABQAAAAExAQAAAAoyMDY2MzIzOTEzAwAAAAMxNjACAAAABDQxOTkEAAAAATAHAAAACTkvMzAvMjAxOQgAAAAJOS8zMC8yMDE5CQAAAAEwSIbHikQl3ggeQXaLRCXeCDVDSVEuQlAuSVFfTklfMVlSX0FOTl9HUk9XVEguSVFfTFRNLjkvMzAvMjAxNi5MLi5VU0QuSAEAAADiBAYAAwAAAAJOTQEIAAAABQAAAAExAQAAAAoxODYzMjA5NTU5AwAAAAMxNjACAAAABDQxOTkEAAAAATAHAAAACTkvMzAvMjAxNggAAAAJOS8zMC8yMDE2CQAAAAEwoceKiUQl3ggZA2WLRCXeCDVDSVEuQlAuSVFfTklfMVlSX0FOTl9HUk9XVEguSVFfTFRNLjkvMzAvMjAyMC5MLi5VU0QuSAEAAADiBAYAAwAAAAJOTQEIAAAABQAAAAExAQAAAAstMjEyNDMxNTg1MAMAAAADMTYwAgAAAAQ0MTk5BAAAAAEwBwAAAAk5LzMwLzIwMjAIAAAACTkvMzAvMjAyMAkAAAABMClfx4pEJd4IJCN7i0Ql3gg1Q0lRLkJQLklRX05JXzFZUl9BTk5fR1JPV1RILklRX0xUTS45LzMwLzIwMjEuTC4uVVNELkgBAAAA4gQGAAMAAAAC</t>
  </si>
  <si>
    <t>Tk0BCAAAAAUAAAABMQEAAAALLTIwNzI2MzIwMDUDAAAAAzE2MAIAAAAENDE5OQQAAAABMAcAAAAJOS8zMC8yMDIxCAAAAAk5LzMwLzIwMjEJAAAAATAJEceKRCXeCPyPf4tEJd4INUNJUS5CUC5JUV9OSV8xWVJfQU5OX0dST1dUSC5JUV9MVE0uOS8zMC8yMDE4LkwuLlVTRC5IAQAAAOIEBgACAAAACDEyMy45OTU4AQgAAAAFAAAAATEBAAAACjE5ODkyMzg5MjYDAAAAAzE2MAIAAAAENDE5OQQAAAABMAcAAAAJOS8zMC8yMDE4CAAAAAk5LzMwLzIwMTgJAAAAATBrUoqJRCXeCEStcYtEJd4INUNJUS5CUC5JUV9OSV8xWVJfQU5OX0dST1dUSC5JUV9MVE0uNi8zMC8yMDE2LkwuLlVTRC5IAQAAAOIEBgADAAAAAk5NAQgAAAAFAAAAATEBAAAACjE4NTExMjMxNjgDAAAAAzE2MAIAAAAENDE5OQQAAAABMAcAAAAJNi8zMC8yMDE2CAAAAAk2LzMwLzIwMTYJAAAAATChx4qJRCXeCGNVY4tEJd4INUNJUS5CUC5JUV9OSV8xWVJfQU5OX0dST1dUSC5JUV9MVE0uNi8zMC8yMDEyLkwuLlVTRC5IAQAAAOIEBgACAAAACC0xNi40NzMyAQgAAAAFAAAAATEBAAAACjE2Mjg2MzY3MjkDAAAAAzE2MAIAAAAENDE5OQQAAAABMAcAAAAJNi8zMC8yMDEyCAAAAAk2LzMwLzIwMTIJAAAAATCrh5iJRCXeCEeqS4tEJd4INUNJUS5CUC5JUV9OSV8xWVJfQU5OX0dST1dUSC5JUV9MVE0uOS8zMC8yMDI1LkwuLlVTRC5IAQAAAOIEBgAC</t>
  </si>
  <si>
    <t>AAAABy00NC4wMDYBCAAAAAUAAAABMQEAAAALLTE5MTg2NDY3MTMDAAAAAzE2MAIAAAAENDE5OQQAAAABMAcAAAAJOS8zMC8yMDI1CAAAAAk5LzMwLzIwMjUJAAAAATDqI9qKRCXeCDT0kotEJd4INUNJUS5CUC5JUV9OSV8xWVJfQU5OX0dST1dUSC5JUV9MVE0uNi8zMC8yMDI0LkwuLlVTRC5IAQAAAOIEBgACAAAACC02MC41MjAyAQgAAAAFAAAAATEBAAAACy0xOTE4NjE3NjMwAwAAAAMxNjACAAAABDQxOTkEAAAAATAHAAAACTYvMzAvMjAyNAgAAAAJNi8zMC8yMDI0CQAAAAEw5UraikQl3giZi4yLRCXeCDVDSVEuQlAuSVFfTklfMVlSX0FOTl9HUk9XVEguSVFfTFRNLjYvMzAvMjAxOC5MLi5VU0QuSAEAAADiBAYAAgAAAAc5MC40MDQzAQgAAAAFAAAAATEBAAAACjE5NzI4MTI3NjcDAAAAAzE2MAIAAAAENDE5OQQAAAABMAcAAAAJNi8zMC8yMDE4CAAAAAk2LzMwLzIwMTgJAAAAATBrUoqJRCXeCN50cItEJd4INUNJUS5CUC5JUV9OSV8xWVJfQU5OX0dST1dUSC5JUV9MVE0uNi8zMC8yMDIyLkwuLlVTRC5IAQAAAOIEBgADAAAAAk5NAQgAAAAFAAAAATEBAAAACy0yMDM2MzMzOTg0AwAAAAMxNjACAAAABDQxOTkEAAAAATAHAAAACTYvMzAvMjAyMggAAAAJNi8zMC8yMDIyCQAAAAEwCRHHikQl3ghiEoOLRCXeCDVDSVEuQlAuSVFfTklfMVlSX0FOTl9HUk9XVEguSVFfTFRNLjkvMzAvMjAyMi5MLi5VU0Qu</t>
  </si>
  <si>
    <t>SAEAAADiBAYAAwAAAAJOTQEIAAAABQAAAAExAQAAAAstMjAyMjMxNzM1MQMAAAADMTYwAgAAAAQ0MTk5BAAAAAEwBwAAAAk5LzMwLzIwMjIIAAAACTkvMzAvMjAyMgkAAAABMP7pxopEJd4I4kqEi0Ql3gg1Q0lRLkJQLklRX05JXzFZUl9BTk5fR1JPV1RILklRX0xUTS4zLzMxLzIwMTUuTC4uVVNELkgBAAAA4gQGAAIAAAAILTcxLjc4NzMBCAAAAAUAAAABMQEAAAAKMTgwMDM1OTA5NgMAAAADMTYwAgAAAAQ0MTk5BAAAAAEwBwAAAAkzLzMxLzIwMTUIAAAACTMvMzEvMjAxNQkAAAABMNu9fIlEJd4IBBhbi0Ql3gg1Q0lRLkJQLklRX05JXzFZUl9BTk5fR1JPV1RILklRX0xUTS45LzMwLzIwMjMuTC4uVVNELkgBAAAA4gQGAAMAAAACTk0BCAAAAAUAAAABMQEAAAALLTE5NzE5MjYxNjcDAAAAAzE2MAIAAAAENDE5OQQAAAABMAcAAAAJOS8zMC8yMDIzCAAAAAk5LzMwLzIwMjMJAAAAATDlStqKRCXeCMHeiItEJd4INUNJUS5CUC5JUV9OSV8xWVJfQU5OX0dST1dUSC5JUV9MVE0uMy8zMS8yMDExLkwuLlVTRC5IAQAAAOIEBgADAAAAAk5NAQgAAAAFAAAAATEBAAAACjE1NDQ4ODUyMjUDAAAAAzE2MAIAAAAENDE5OQQAAAABMAcAAAAJMy8zMS8yMDExCAAAAAkzLzMxLzIwMTEJAAAAATD1C32JRCXeCOfMRYtEJd4INUNJUS5CUC5JUV9OSV8xWVJfQU5OX0dST1dUSC5JUV9MVE0uOS8zMC8yMDI0LkwuLlVTRC5I</t>
  </si>
  <si>
    <t>AQAAAOIEBgACAAAACC04OS40Mzk1AQgAAAAFAAAAATEBAAAACy0xOTE4NjQ2NzE0AwAAAAMxNjACAAAABDQxOTkEAAAAATAHAAAACTkvMzAvMjAyNAgAAAAJOS8zMC8yMDI0CQAAAAEw6iPaikQl3ggCnY2LRCXeCDVDSVEuQlAuSVFfTklfMVlSX0FOTl9HUk9XVEguSVFfTFRNLjYvMzAvMjAxNC5MLi5VU0QuSAEAAADiBAYAAgAAAAgtNTUuNDI5NwEIAAAABQAAAAExAQAAAAoxNzQ3MzY3OTE2AwAAAAMxNjACAAAABDQxOTkEAAAAATAHAAAACTYvMzAvMjAxNAgAAAAJNi8zMC8yMDE0CQAAAAEwUASKiUQl3gj1DlaLRCXeCDVDSVEuQlAuSVFfTklfMVlSX0FOTl9HUk9XVEguSVFfTFRNLjYvMzAvMjAyMC5MLi5VU0QuSAEAAADiBAYAAwAAAAJOTQEIAAAABQAAAAExAQAAAAstMjE0MDUwMTE2MAMAAAADMTYwAgAAAAQ0MTk5BAAAAAEwBwAAAAk2LzMwLzIwMjAIAAAACTYvMzAvMjAyMAkAAAABMClfx4pEJd4IlcN5i0Ql3gg1Q0lRLkJQLklRX05JXzFZUl9BTk5fR1JPV1RILklRX0xUTS4zLzMxLzIwMTMuTC4uVVNELkgBAAAA4gQGAAIAAAAHLTguNjczMQEIAAAABQAAAAExAQAAAAoxNjc0MjMzOTU1AwAAAAMxNjACAAAABDQxOTkEAAAAATAHAAAACTMvMzEvMjAxMwgAAAAJMy8zMS8yMDEzCQAAAAEwmGCYiUQl3ggOCk+LRCXeCDVDSVEuQlAuSVFfTklfMVlSX0FOTl9HUk9XVEguSVFfTFRNLjMvMzEvMjAx</t>
  </si>
  <si>
    <t>Ny5MLi5VU0QuSAEAAADiBAYAAwAAAAJOTQEIAAAABQAAAAExAQAAAAoxODg1ODIxNTY3AwAAAAMxNjACAAAABDQxOTkEAAAAATAHAAAACTMvMzEvMjAxNwgAAAAJMy8zMS8yMDE3CQAAAAEwjaCKiUQl3ghkN2iLRCXeCDVDSVEuQlAuSVFfTklfMVlSX0FOTl9HUk9XVEguSVFfTFRNLjMvMzEvMjAxMC5MLi5VU0QuSAEAAADiBAYAAgAAAAcyMC44NzIxAQgAAAAFAAAAATEBAAAACjE0NDkwMDI4NzIDAAAAAzE2MAIAAAAENDE5OQQAAAABMAcAAAAJMy8zMS8yMDEwCAAAAAkzLzMxLzIwMTAJAAAAATAGM32JRCXeCDCuQYtEJd4INUNJUS5CUC5JUV9OSV8xWVJfQU5OX0dST1dUSC5JUV9MVE0uNi8zMC8yMDI1LkwuLlVTRC5IAQAAAOIEBgACAAAACC05Mi4zNTM3AQgAAAAFAAAAATEBAAAACy0xOTE4NjQ2NjMwAwAAAAMxNjACAAAABDQxOTkEAAAAATAHAAAACTYvMzAvMjAyNQgAAAAJNi8zMC8yMDI1CQAAAAEw6iPaikQl3gillJGLRCXeCDVDSVEuQlAuSVFfTklfMVlSX0FOTl9HUk9XVEguSVFfTFRNLjYvMzAvMjAxOS5MLi5VU0QuSAEAAADiBAYAAgAAAAcyNS41ODA0AQgAAAAFAAAAATEBAAAACjIwNDc5MjAyMTkDAAAAAzE2MAIAAAAENDE5OQQAAAABMAcAAAAJNi8zMC8yMDE5CAAAAAk2LzMwLzIwMTkJAAAAATDAb3yJRCXeCKEIdYtEJd4INUNJUS5CUC5JUV9OSV8xWVJfQU5OX0dST1dUSC5JUV9MVE0u</t>
  </si>
  <si>
    <t>Ni8zMC8yMDE1LkwuLlVTRC5IAQAAAOIEBgADAAAAAk5NAQgAAAAFAAAAATEBAAAACjE4MDAyODY4NTUDAAAAAzE2MAIAAAAENDE5OQQAAAABMAcAAAAJNi8zMC8yMDE1CAAAAAk2LzMwLzIwMTUJAAAAATDbvXyJRCXeCLXFXItEJd4INUNJUS5CUC5JUV9OSV8xWVJfQU5OX0dST1dUSC5JUV9MVE0uNi8zMC8yMDIzLkwuLlVTRC5IAQAAAOIEBgADAAAAAk5NAQgAAAAFAAAAATEBAAAACy0xOTcwODgzNDA2AwAAAAMxNjACAAAABDQxOTkEAAAAATAHAAAACTYvMzAvMjAyMwgAAAAJNi8zMC8yMDIzCQAAAAEw5UraikQl3ghTzYeLRCXeCDVDSVEuQlAuSVFfTklfMVlSX0FOTl9HUk9XVEguSVFfTFRNLjYvMzAvMjAyMS5MLi5VU0QuSAEAAADiBAYAAwAAAAJOTQEIAAAABQAAAAExAQAAAAstMjA4NzE4MzMzMAMAAAADMTYwAgAAAAQ0MTk5BAAAAAEwBwAAAAk2LzMwLzIwMjEIAAAACTYvMzAvMjAyMQkAAAABMDE4x4pEJd4IhH5+i0Ql3gg1Q0lRLkJQLklRX05JXzFZUl9BTk5fR1JPV1RILklRX0xUTS42LzMwLzIwMTEuTC4uVVNELkgBAAAA4gQGAAMAAAACTk0BCAAAAAUAAAABMQEAAAAKMTU1Njk2MjE0MgMAAAADMTYwAgAAAAQ0MTk5BAAAAAEwBwAAAAk2LzMwLzIwMTEIAAAACTYvMzAvMjAxMQkAAAABMOfkfIlEJd4IXwVHi0Ql3gg1Q0lRLkJQLklRX05JXzFZUl9BTk5fR1JPV1RILklRX0xUTS42LzMwLzIw</t>
  </si>
  <si>
    <t>MTcuTC4uVVNELkgBAAAA4gQGAAMAAAACTk0BCAAAAAUAAAABMQEAAAAKMTg5NzcyNDIwMAMAAAADMTYwAgAAAAQ0MTk5BAAAAAEwBwAAAAk2LzMwLzIwMTcIAAAACTYvMzAvMjAxNwkAAAABMI2giolEJd4IFuVpi0Ql3gg1Q0lRLkJQLklRX05JXzFZUl9BTk5fR1JPV1RILklRX0xUTS42LzMwLzIwMTMuTC4uVVNELkgBAAAA4gQGAAIAAAAGNTEuMjM3AQgAAAAFAAAAATEBAAAACjE2ODg3NTY4NDcDAAAAAzE2MAIAAAAENDE5OQQAAAABMAcAAAAJNi8zMC8yMDEzCAAAAAk2LzMwLzIwMTMJAAAAATCYYJiJRCXeCI1CUItEJd4INUNJUS5CUC5JUV9OSV8xWVJfQU5OX0dST1dUSC5JUV9MVE0uOS8zMC8yMDEwLkwuLlVTRC5IAQAAAOIEBgADAAAAAk5NAQgAAAAFAAAAATEBAAAACjE0Nzg3MzIyNTUDAAAAAzE2MAIAAAAENDE5OQQAAAABMAcAAAAJOS8zMC8yMDEwCAAAAAk5LzMwLzIwMTAJAAAAATAGM32JRCXeCPGCQ4tEJd4INkNJUS5CUC5JUV9OSV8xWVJfQU5OX0dST1dUSC5JUV9MVE0uMTIvMzEvMjAyMS5MLi5VU0QuSAEAAADiBAYAAwAAAAJOTQEIAAAABQAAAAExAQAAAAstMjAwNjc4MDg3MAMAAAADMTYwAgAAAAQ0MTk5BAAAAAEwBwAAAAoxMi8zMS8yMDIxCAAAAAoxMi8zMS8yMDIxCQAAAAEwCRHHikQl3ghwyICLRCXeCDZDSVEuQlAuSVFfTklfMVlSX0FOTl9HUk9XVEguSVFfTFRNLjEyLzMxLzIw</t>
  </si>
  <si>
    <t>MjMuTC4uVVNELkgBAAAA4gQGAAMAAAACTk0BCAAAAAUAAAABMQEAAAALLTE5NTY3OTA4OTEDAAAAAzE2MAIAAAAENDE5OQQAAAABMAcAAAAKMTIvMzEvMjAyMwgAAAAKMTIvMzEvMjAyMwkAAAABMOVK2opEJd4IQReKi0Ql3gg2Q0lRLkJQLklRX05JXzFZUl9BTk5fR1JPV1RILklRX0xUTS4xMi8zMS8yMDE1LkwuLlVTRC5IAQAAAOIEBgADAAAAAk5NAQgAAAAFAAAAATEBAAAACjE4ODA1NTU3MTIDAAAAAzE2MAIAAAAENDE5OQQAAAABMAcAAAAKMTIvMzEvMjAxNQgAAAAKMTIvMzEvMjAxNQkAAAABMMiWfIlEJd4IHCFgi0Ql3gg2Q0lRLkJQLklRX05JXzFZUl9BTk5fR1JPV1RILklRX0xUTS4xMi8zMS8yMDE5LkwuLlVTRC5IAQAAAOIEBgACAAAACC01Ny4wOTI3AQgAAAAFAAAAATEBAAAACy0yMTA3NzUzMjI0AwAAAAMxNjACAAAABDQxOTkEAAAAATAHAAAACjEyLzMxLzIwMTkIAAAACjEyLzMxLzIwMTkJAAAAATApX8eKRCXeCI5Sd4tEJd4INkNJUS5CUC5JUV9OSV8xWVJfQU5OX0dST1dUSC5JUV9MVE0uMTIvMzEvMjAxMS5MLi5VU0QuSAEAAADiBAYAAwAAAAJOTQEIAAAABQAAAAExAQAAAAoxNjYxODM2MjEyAwAAAAMxNjACAAAABDQxOTkEAAAAATAHAAAACjEyLzMxLzIwMTEIAAAACjEyLzMxLzIwMTEJAAAAATDn5HyJRCXeCO9XSYtEJd4INkNJUS5CUC5JUV9OSV8xWVJfQU5OX0dST1dUSC5JUV9M</t>
  </si>
  <si>
    <t>VE0uMTIvMzEvMjAwOS5MLi5VU0QuSAEAAADiBAYAAgAAAActMjEuNjQzAQgAAAAFAAAAATEBAAAACjE1MjY4Mjg1NjcDAAAAAzE2MAIAAAAENDE5OQQAAAABMAcAAAAKMTIvMzEvMjAwOQgAAAAKMTIvMzEvMjAwOQkAAAABMBlafYlEJd4IwnVAi0Ql3gg2Q0lRLkJQLklRX05JXzFZUl9BTk5fR1JPV1RILklRX0xUTS4xMi8zMS8yMDE3LkwuLlVTRC5IAQAAAOIEBgACAAAACTI4NDYuOTU2NQEIAAAABQAAAAExAQAAAAoyMDIzMDU3MjIyAwAAAAMxNjACAAAABDQxOTkEAAAAATAHAAAACjEyLzMxLzIwMTcIAAAACjEyLzMxLzIwMTcJAAAAATB6eYqJRCXeCFbybItEJd4INkNJUS5CUC5JUV9OSV8xWVJfQU5OX0dST1dUSC5JUV9MVE0uMTIvMzEvMjAxMy5MLi5VU0QuSAEAAADiBAYAAgAAAAgxMTIuODYxOQEIAAAABQAAAAExAQAAAAoxNzc5MTU5NDE3AwAAAAMxNjACAAAABDQxOTkEAAAAATAHAAAACjEyLzMxLzIwMTMIAAAACjEyLzMxLzIwMTMJAAAAATBuK4qJRCXeCJyzUotEJd4INUNJUS5CUC5JUV9OSV8xWVJfQU5OX0dST1dUSC5JUV9DUS4xMi8zMS8yMDIzLkwuLlVTRC5IAQAAAOIEBgACAAAACC05Ni41NjU4AQgAAAAFAAAAATEBAAAACy0xOTU2NzkwODkzAwAAAAMxNjACAAAABDQxOTkEAAAAATAHAAAACjEyLzMxLzIwMjMIAAAACjEyLzMxLzIwMjMJAAAAATDlStqKRCXeCFU+iotEJd4INENJUS5C</t>
  </si>
  <si>
    <t>UC5JUV9OSV8xWVJfQU5OX0dST1dUSC5JUV9DUS45LzMwLzIwMTEuTC4uVVNELkgBAAAA4gQGAAIAAAAHMTgyLjUyMQEIAAAABQAAAAExAQAAAAoxNTczODY1ODA3AwAAAAMxNjACAAAABDQxOTkEAAAAATAHAAAACTkvMzAvMjAxMQgAAAAJOS8zMC8yMDExCQAAAAEw5+R8iUQl3ghKakiLRCXeCDRDSVEuQlAuSVFfTklfMVlSX0FOTl9HUk9XVEguSVFfQ1EuMy8zMS8yMDEzLkwuLlVTRC5IAQAAAOIEBgACAAAABzE5Mi40MDUBCAAAAAUAAAABMQEAAAAKMTY3NDIxODYyNQMAAAADMTYwAgAAAAQ0MTk5BAAAAAEwBwAAAAkzLzMxLzIwMTMIAAAACTMvMzEvMjAxMwkAAAABMJhgmIlEJd4IITFPi0Ql3gg0Q0lRLkJQLklRX05JXzFZUl9BTk5fR1JPV1RILklRX0NRLjMvMzEvMjAxOS5MLi5VU0QuSAEAAADiBAYAAgAAAAcxOC44MzM1AQgAAAAFAAAAATEBAAAACjIwMzEwNzU0MTQDAAAAAzE2MAIAAAAENDE5OQQAAAABMAcAAAAJMy8zMS8yMDE5CAAAAAkzLzMxLzIwMTkJAAAAATD1C32JRCXeCDwedItEJd4INENJUS5CUC5JUV9OSV8xWVJfQU5OX0dST1dUSC5JUV9DUS45LzMwLzIwMTQuTC4uVVNELkgBAAAA4gQGAAIAAAAHLTYzLjE4NQEIAAAABQAAAAExAQAAAAoxNzYxNTA3NTgwAwAAAAMxNjACAAAABDQxOTkEAAAAATAHAAAACTkvMzAvMjAxNAgAAAAJOS8zMC8yMDE0CQAAAAEwUASKiUQl3gjDCliLRCXe</t>
  </si>
  <si>
    <t>CDVDSVEuQlAuSVFfTklfMVlSX0FOTl9HUk9XVEguSVFfQ1EuMTIvMzEvMjAxOC5MLi5VU0QuSAEAAADiBAYAAgAAAAgyNzM3LjAzNwEIAAAABQAAAAExAQAAAAoyMDIzMDU3MjQyAwAAAAMxNjACAAAABDQxOTkEAAAAATAHAAAACjEyLzMxLzIwMTgIAAAACjEyLzMxLzIwMTgJAAAAATBrUoqJRCXeCMTlcotEJd4INUNJUS5CUC5JUV9OSV8xWVJfQU5OX0dST1dUSC5JUV9DUS4xMi8zMS8yMDE1LkwuLlVTRC5IAQAAAOIEBgADAAAAAk5NAQgAAAAFAAAAATEBAAAACjE4MzUwOTc0NzYDAAAAAzE2MAIAAAAENDE5OQQAAAABMAcAAAAKMTIvMzEvMjAxNQgAAAAKMTIvMzEvMjAxNQkAAAABMKbuiolEJd4ILUhgi0Ql3gg0Q0lRLkJQLklRX05JXzFZUl9BTk5fR1JPV1RILklRX0NRLjkvMzAvMjAxMC5MLi5VU0QuSAEAAADiBAYAAgAAAActNjYuNTQ4AQgAAAAFAAAAATEBAAAACjE0Nzg3MDkzOTIDAAAAAzE2MAIAAAAENDE5OQQAAAABMAcAAAAJOS8zMC8yMDEwCAAAAAk5LzMwLzIwMTAJAAAAATAGM32JRCXeCAaqQ4tEJd4INUNJUS5CUC5JUV9OSV8xWVJfQU5OX0dST1dUSC5JUV9DUS4xMi8zMS8yMDI0LkwuLlVTRC5IAQAAAOIEBgADAAAAAk5NAQgAAAAFAAAAATEBAAAACy0xOTU2NzkwODY4AwAAAAMxNjACAAAABDQxOTkEAAAAATAHAAAACjEyLzMxLzIwMjQIAAAACjEyLzMxLzIwMjQJAAAAATDqI9qKRCXe</t>
  </si>
  <si>
    <t>CIHVjotEJd4INENJUS5CUC5JUV9OSV8xWVJfQU5OX0dST1dUSC5JUV9DUS45LzMwLzIwMTguTC4uVVNELkgBAAAA4gQGAAIAAAAHODkuMzE1OQEIAAAABQAAAAExAQAAAAoxOTg5MjM4ODk1AwAAAAMxNjACAAAABDQxOTkEAAAAATAHAAAACTkvMzAvMjAxOAgAAAAJOS8zMC8yMDE4CQAAAAEwa1KKiUQl3ghT1HGLRCXeCDRDSVEuQlAuSVFfTklfMVlSX0FOTl9HUk9XVEguSVFfQ1EuNi8zMC8yMDIwLkwuLlVTRC5IAQAAAOIEBgADAAAAAk5NAQgAAAAFAAAAATEBAAAACy0yMTQwNTAxNjI5AwAAAAMxNjACAAAABDQxOTkEAAAAATAHAAAACTYvMzAvMjAyMAgAAAAJNi8zMC8yMDIwCQAAAAEwKV/HikQl3gin6nmLRCXeCDRDSVEuQlAuSVFfTklfMVlSX0FOTl9HUk9XVEguSVFfQ1EuOS8zMC8yMDE5LkwuLlVTRC5IAQAAAOIEBgADAAAAAk5NAQgAAAAFAAAAATEBAAAACjIwNjYzMjM1OTMDAAAAAzE2MAIAAAAENDE5OQQAAAABMAcAAAAJOS8zMC8yMDE5CAAAAAk5LzMwLzIwMTkJAAAAATBIhseKRCXeCDFodotEJd4INUNJUS5CUC5JUV9OSV8xWVJfQU5OX0dST1dUSC5JUV9DUS4xMi8zMS8yMDE3LkwuLlVTRC5IAQAAAOIEBgACAAAACC05NC41Njc1AQgAAAAFAAAAATEBAAAACjE5NTE3NDAzMjMDAAAAAzE2MAIAAAAENDE5OQQAAAABMAcAAAAKMTIvMzEvMjAxNwgAAAAKMTIvMzEvMjAxNwkAAAABMHp5iolE</t>
  </si>
  <si>
    <t>Jd4IaBlti0Ql3gg0Q0lRLkJQLklRX05JXzFZUl9BTk5fR1JPV1RILklRX0NRLjYvMzAvMjAyMi5MLi5VU0QuSAEAAADiBAYAAgAAAAgxOTcuMDc5NQEIAAAABQAAAAExAQAAAAstMjAzNjMzNDA2MQMAAAADMTYwAgAAAAQ0MTk5BAAAAAEwBwAAAAk2LzMwLzIwMjIIAAAACTYvMzAvMjAyMgkAAAABMAkRx4pEJd4IczmDi0Ql3gg0Q0lRLkJQLklRX05JXzFZUl9BTk5fR1JPV1RILklRX0NRLjMvMzEvMjAyMy5MLi5VU0QuSAEAAADiBAYAAwAAAAJOTQEIAAAABQAAAAExAQAAAAstMTk5NjM2ODA1MQMAAAADMTYwAgAAAAQ0MTk5BAAAAAEwBwAAAAkzLzMxLzIwMjMIAAAACTMvMzEvMjAyMwkAAAABMOVK2opEJd4I3buGi0Ql3gg0Q0lRLkJQLklRX05JXzFZUl9BTk5fR1JPV1RILklRX0NRLjYvMzAvMjAxMi5MLi5VU0QuSAEAAADiBAYAAwAAAAJOTQEIAAAABQAAAAExAQAAAAoxNjI4NjI1MTc3AwAAAAMxNjACAAAABDQxOTkEAAAAATAHAAAACTYvMzAvMjAxMggAAAAJNi8zMC8yMDEyCQAAAAEwq4eYiUQl3gh15UuLRCXeCDRDSVEuQlAuSVFfTklfMVlSX0FOTl9HUk9XVEguSVFfQ1EuOS8zMC8yMDIzLkwuLlVTRC5IAQAAAOIEBgADAAAAAk5NAQgAAAAFAAAAATEBAAAACy0xOTcxOTI3MDgzAwAAAAMxNjACAAAABDQxOTkEAAAAATAHAAAACTkvMzAvMjAyMwgAAAAJOS8zMC8yMDIzCQAAAAEw5UraikQl3gjP</t>
  </si>
  <si>
    <t>BYmLRCXeCDRDSVEuQlAuSVFfTklfMVlSX0FOTl9HUk9XVEguSVFfQ1EuNi8zMC8yMDE0LkwuLlVTRC5IAQAAAOIEBgACAAAABzY0Ljk4NTMBCAAAAAUAAAABMQEAAAAKMTc0NzM2NzczMQMAAAADMTYwAgAAAAQ0MTk5BAAAAAEwBwAAAAk2LzMwLzIwMTQIAAAACTYvMzAvMjAxNAkAAAABMFAEiolEJd4IDzZWi0Ql3gg0Q0lRLkJQLklRX05JXzFZUl9BTk5fR1JPV1RILklRX0NRLjkvMzAvMjAxNS5MLi5VU0QuSAEAAADiBAYAAgAAAAgtOTYuNDM0MgEIAAAABQAAAAExAQAAAAoxODE1NTM2OTY5AwAAAAMxNjACAAAABDQxOTkEAAAAATAHAAAACTkvMzAvMjAxNQgAAAAJOS8zMC8yMDE1CQAAAAEwyJZ8iUQl3ghjc16LRCXeCDVDSVEuQlAuSVFfTklfMVlSX0FOTl9HUk9XVEguSVFfQ1EuMTIvMzEvMjAxNi5MLi5VU0QuSAEAAADiBAYAAwAAAAJOTQEIAAAABQAAAAExAQAAAAoxODgwNTU1NjU5AwAAAAMxNjACAAAABDQxOTkEAAAAATAHAAAACjEyLzMxLzIwMTYIAAAACjEyLzMxLzIwMTYJAAAAATCNoIqJRCXeCNvXZotEJd4INUNJUS5CUC5JUV9OSV8xWVJfQU5OX0dST1dUSC5JUV9DUS4xMi8zMS8yMDExLkwuLlVTRC5IAQAAAOIEBgACAAAABzM4LjA0NTYBCAAAAAUAAAABMQEAAAAKMTU5MDQ1NTcxOAMAAAADMTYwAgAAAAQ0MTk5BAAAAAEwBwAAAAoxMi8zMS8yMDExCAAAAAoxMi8zMS8yMDExCQAAAAEw</t>
  </si>
  <si>
    <t>5+R8iUQl3gg1k0mLRCXeCDRDSVEuQlAuSVFfTklfMVlSX0FOTl9HUk9XVEguSVFfQ1EuOS8zMC8yMDIyLkwuLlVTRC5IAQAAAOIEBgADAAAAAk5NAQgAAAAFAAAAATEBAAAACy0yMDIyMzE3ODU3AwAAAAMxNjACAAAABDQxOTkEAAAAATAHAAAACTkvMzAvMjAyMggAAAAJOS8zMC8yMDIyCQAAAAEw/unGikQl3gj8cYSLRCXeCDRDSVEuQlAuSVFfTklfMVlSX0FOTl9HUk9XVEguSVFfQ1EuNi8zMC8yMDEwLkwuLlVTRC5IAQAAAOIEBgADAAAAAk5NAQgAAAAFAAAAATEBAAAACjE0NjM4NDczMDEDAAAAAzE2MAIAAAAENDE5OQQAAAABMAcAAAAJNi8zMC8yMDEwCAAAAAk2LzMwLzIwMTAJAAAAATAGM32JRCXeCJSYQotEJd4INENJUS5CUC5JUV9OSV8xWVJfQU5OX0dST1dUSC5JUV9DUS45LzMwLzIwMjUuTC4uVVNELkgBAAAA4gQGAAIAAAAINDYzLjU5MjIBCAAAAAUAAAABMQEAAAALLTE5MTg2NDY3NDMDAAAAAzE2MAIAAAAENDE5OQQAAAABMAcAAAAJOS8zMC8yMDI1CAAAAAk5LzMwLzIwMjUJAAAAATDa/NmKRCXeCEIbk4tEJd4INENJUS5CUC5JUV9OSV8xWVJfQU5OX0dST1dUSC5JUV9DUS45LzMwLzIwMjQuTC4uVVNELkgBAAAA4gQGAAIAAAAILTk1Ljc1OTYBCAAAAAUAAAABMQEAAAALLTE5MTg2NDY3NDYDAAAAAzE2MAIAAAAENDE5OQQAAAABMAcAAAAJOS8zMC8yMDI0CAAAAAk5LzMwLzIwMjQJAAAA</t>
  </si>
  <si>
    <t>ATDqI9qKRCXeCBbEjYtEJd4INENJUS5CUC5JUV9OSV8xWVJfQU5OX0dST1dUSC5JUV9DUS4zLzMxLzIwMTUuTC4uVVNELkgBAAAA4gQGAAIAAAAILTI2LjI0NzIBCAAAAAUAAAABMQEAAAAKMTgwMDM1OTA5NQMAAAADMTYwAgAAAAQ0MTk5BAAAAAEwBwAAAAkzLzMxLzIwMTUIAAAACTMvMzEvMjAxNQkAAAABMNu9fIlEJd4IJWZbi0Ql3gg0Q0lRLkJQLklRX05JXzFZUl9BTk5fR1JPV1RILklRX0NRLjkvMzAvMjAxNy5MLi5VU0QuSAEAAADiBAYAAgAAAAY5LjE5NzUBCAAAAAUAAAABMQEAAAAKMTkxNjUzMzU3NwMAAAADMTYwAgAAAAQ0MTk5BAAAAAEwBwAAAAk5LzMwLzIwMTcIAAAACTkvMzAvMjAxNwkAAAABMHp5iolEJd4I3Llri0Ql3gg0Q0lRLkJQLklRX05JXzFZUl9BTk5fR1JPV1RILklRX0NRLjMvMzEvMjAyMS5MLi5VU0QuSAEAAADiBAYAAwAAAAJOTQEIAAAABQAAAAExAQAAAAstMjA5OTE5NzIzNwMAAAADMTYwAgAAAAQ0MTk5BAAAAAEwBwAAAAkzLzMxLzIwMjEIAAAACTMvMzEvMjAyMQkAAAABMDE4x4pEJd4II5R9i0Ql3gg0Q0lRLkJQLklRX05JXzFZUl9BTk5fR1JPV1RILklRX0NRLjkvMzAvMjAxNi5MLi5VU0QuSAEAAADiBAYAAgAAAAkzNDIxLjczOTEBCAAAAAUAAAABMQEAAAAKMTg2MzIwOTI5MQMAAAADMTYwAgAAAAQ0MTk5BAAAAAEwBwAAAAk5LzMwLzIwMTYIAAAACTkvMzAvMjAx</t>
  </si>
  <si>
    <t>NgkAAAABMKHHiolEJd4IJipli0Ql3gg0Q0lRLkJQLklRX05JXzFZUl9BTk5fR1JPV1RILklRX0NRLjMvMzEvMjAxMS5MLi5VU0QuSAEAAADiBAYAAgAAAAcxOS4zMjg4AQgAAAAFAAAAATEBAAAACjE1NDQ4ODA2OTIDAAAAAzE2MAIAAAAENDE5OQQAAAABMAcAAAAJMy8zMS8yMDExCAAAAAkzLzMxLzIwMTEJAAAAATD1C32JRCXeCPnzRYtEJd4INENJUS5CUC5JUV9OSV8xWVJfQU5OX0dST1dUSC5JUV9DUS42LzMwLzIwMTguTC4uVVNELkgBAAAA4gQGAAIAAAAHMTg0My43NQEIAAAABQAAAAExAQAAAAoxOTcyODEyNjc1AwAAAAMxNjACAAAABDQxOTkEAAAAATAHAAAACTYvMzAvMjAxOAgAAAAJNi8zMC8yMDE4CQAAAAEwa1KKiUQl3gjgm3CLRCXeCDVDSVEuQlAuSVFfTklfMVlSX0FOTl9HUk9XVEguSVFfQ1EuMTIvMzEvMjAxMy5MLi5VU0QuSAEAAADiBAYAAgAAAAgtMjkuOTczMgEIAAAABQAAAAExAQAAAAoxNzIxOTE5NTQ4AwAAAAMxNjACAAAABDQxOTkEAAAAATAHAAAACjEyLzMxLzIwMTMIAAAACjEyLzMxLzIwMTMJAAAAATBuK4qJRCXeCKbaUotEJd4INUNJUS5CUC5JUV9OSV8xWVJfQU5OX0dST1dUSC5JUV9DUS4xMi8zMS8yMDIyLkwuLlVTRC5IAQAAAOIEBgACAAAACDM2NC40NDUzAQgAAAAFAAAAATEBAAAACy0yMDA2NzgwODY2AwAAAAMxNjACAAAABDQxOTkEAAAAATAHAAAACjEyLzMxLzIw</t>
  </si>
  <si>
    <t>MjIIAAAACjEyLzMxLzIwMjIJAAAAATD+6caKRCXeCGuqhYtEJd4INUNJUS5CUC5JUV9OSV8xWVJfQU5OX0dST1dUSC5JUV9DUS4xMi8zMS8yMDIxLkwuLlVTRC5IAQAAAOIEBgACAAAABzcxLjI4MTIBCAAAAAUAAAABMQEAAAALLTIwNTc1MTk2NzgDAAAAAzE2MAIAAAAENDE5OQQAAAABMAcAAAAKMTIvMzEvMjAyMQgAAAAKMTIvMzEvMjAyMQkAAAABMAkRx4pEJd4Igu+Ai0Ql3gg1Q0lRLkJQLklRX05JXzFZUl9BTk5fR1JPV1RILklRX0NRLjEyLzMxLzIwMTkuTC4uVVNELkgBAAAA4gQGAAIAAAAILTk3LjUxOTYBCAAAAAUAAAABMQEAAAAKMjA4NTU2OTAxNwMAAAADMTYwAgAAAAQ0MTk5BAAAAAEwBwAAAAoxMi8zMS8yMDE5CAAAAAoxMi8zMS8yMDE5CQAAAAEwKV/HikQl3giveXeLRCXeCDRDSVEuQlAuSVFfTklfMVlSX0FOTl9HUk9XVEguSVFfQ1EuNi8zMC8yMDE2LkwuLlVTRC5IAQAAAOIEBgADAAAAAk5NAQgAAAAFAAAAATEBAAAACjE4NTExMjMwMDkDAAAAAzE2MAIAAAAENDE5OQQAAAABMAcAAAAJNi8zMC8yMDE2CAAAAAk2LzMwLzIwMTYJAAAAATChx4qJRCXeCIl8Y4tEJd4INENJUS5CUC5JUV9OSV8xWVJfQU5OX0dST1dUSC5JUV9DUS42LzMwLzIwMjQuTC4uVVNELkgBAAAA4gQGAAMAAAACTk0BCAAAAAUAAAABMQEAAAALLTE5MTg2MTc2MzEDAAAAAzE2MAIAAAAENDE5OQQAAAABMAcAAAAJ</t>
  </si>
  <si>
    <t>Ni8zMC8yMDI0CAAAAAk2LzMwLzIwMjQJAAAAATDlStqKRCXeCIFkjItEJd4INUNJUS5CUC5JUV9OSV8xWVJfQU5OX0dST1dUSC5JUV9DUS4xMi8zMS8yMDIwLkwuLlVTRC5IAQAAAOIEBgACAAAACTcwNDcuMzY4NAEIAAAABQAAAAExAQAAAAstMjEwNzc1MzIxNAMAAAADMTYwAgAAAAQ0MTk5BAAAAAEwBwAAAAoxMi8zMS8yMDIwCAAAAAoxMi8zMS8yMDIwCQAAAAEwMTjHikQl3gijW3yLRCXeCDRDSVEuQlAuSVFfTklfMVlSX0FOTl9HUk9XVEguSVFfQ1EuOS8zMC8yMDEyLkwuLlVTRC5IAQAAAOIEBgACAAAABjQuNzE5NAEIAAAABQAAAAExAQAAAAoxNjQyNjM5MzY2AwAAAAMxNjACAAAABDQxOTkEAAAAATAHAAAACTkvMzAvMjAxMggAAAAJOS8zMC8yMDEyCQAAAAEwq4eYiUQl3ggw50yLRCXeCDVDSVEuQlAuSVFfTklfMVlSX0FOTl9HUk9XVEguSVFfQ1EuMTIvMzEvMjAwOS5MLi5VU0QuSAEAAADiBAYAAwAAAAJOTQEIAAAABQAAAAExAQAAAAoxNDM0MTkxODk0AwAAAAMxNjACAAAABDQxOTkEAAAAATAHAAAACjEyLzMxLzIwMDkIAAAACjEyLzMxLzIwMDkJAAAAATAGM32JRCXeCMycQItEJd4INENJUS5CUC5JUV9OSV8xWVJfQU5OX0dST1dUSC5JUV9DUS45LzMwLzIwMTMuTC4uVVNELkgBAAAA4gQGAAIAAAAHLTMzLjY0OQEIAAAABQAAAAExAQAAAAoxNzAzNDQwMTEwAwAAAAMxNjACAAAABDQxOTkE</t>
  </si>
  <si>
    <t>AAAAATAHAAAACTkvMzAvMjAxMwgAAAAJOS8zMC8yMDEzCQAAAAEwbiuKiUQl3ggwolGLRCXeCDRDSVEuQlAuSVFfTklfMVlSX0FOTl9HUk9XVEguSVFfQ1EuOS8zMC8yMDIxLkwuLlVTRC5IAQAAAOIEBgADAAAAAk5NAQgAAAAFAAAAATEBAAAACy0yMDcyNjMyMDY1AwAAAAMxNjACAAAABDQxOTkEAAAAATAHAAAACTkvMzAvMjAyMQgAAAAJOS8zMC8yMDIxCQAAAAEwCRHHikQl3gj/tn+LRCXeCDRDSVEuQlAuSVFfTklfMVlSX0FOTl9HUk9XVEguSVFfQ1EuMy8zMS8yMDE3LkwuLlVTRC5IAQAAAOIEBgADAAAAAk5NAQgAAAAFAAAAATEBAAAACjE4ODU4MjA4MTMDAAAAAzE2MAIAAAAENDE5OQQAAAABMAcAAAAJMy8zMS8yMDE3CAAAAAkzLzMxLzIwMTcJAAAAATCNoIqJRCXeCHJeaItEJd4INENJUS5CUC5JUV9OSV8xWVJfQU5OX0dST1dUSC5JUV9DUS4zLzMxLzIwMjUuTC4uVVNELkgBAAAA4gQGAAIAAAAILTY5LjY0MjEBCAAAAAUAAAABMQEAAAALLTE5NDc5MDg3MTIDAAAAAzE2MAIAAAAENDE5OQQAAAABMAcAAAAJMy8zMS8yMDI1CAAAAAkzLzMxLzIwMjUJAAAAATDqI9qKRCXeCDJckItEJd4INUNJUS5CUC5JUV9OSV8xWVJfQU5OX0dST1dUSC5JUV9DUS4xMi8zMS8yMDEwLkwuLlVTRC5IAQAAAOIEBgACAAAABzI5LjYxNTgBCAAAAAUAAAABMQEAAAAKMTUyNjgyOTIzOAMAAAADMTYwAgAAAAQ0MTk5</t>
  </si>
  <si>
    <t>BAAAAAEwBwAAAAoxMi8zMS8yMDEwCAAAAAoxMi8zMS8yMDEwCQAAAAEw9Qt9iUQl3gh3u0SLRCXeCDRDSVEuQlAuSVFfTklfMVlSX0FOTl9HUk9XVEguSVFfQ1EuOS8zMC8yMDIwLkwuLlVTRC5IAQAAAOIEBgADAAAAAk5NAQgAAAAFAAAAATEBAAAACy0yMTI0MzE2MDA4AwAAAAMxNjACAAAABDQxOTkEAAAAATAHAAAACTkvMzAvMjAyMAgAAAAJOS8zMC8yMDIwCQAAAAEwKV/HikQl3ggxSnuLRCXeCDVDSVEuQlAuSVFfTklfMVlSX0FOTl9HUk9XVEguSVFfQ1EuMTIvMzEvMjAxNC5MLi5VU0QuSAEAAADiBAYAAwAAAAJOTQEIAAAABQAAAAExAQAAAAoxNzc5MTU5NDQ3AwAAAAMxNjACAAAABDQxOTkEAAAAATAHAAAACjEyLzMxLzIwMTQIAAAACjEyLzMxLzIwMTQJAAAAATAGM32JRCXeCGKRWYtEJd4INENJUS5CUC5JUV9OSV8xWVJfQU5OX0dST1dUSC5JUV9DUS4zLzMxLzIwMjIuTC4uVVNELkgBAAAA4gQGAAMAAAACTk0BCAAAAAUAAAABMQEAAAALLTIwNDgxNTEzMjMDAAAAAzE2MAIAAAAENDE5OQQAAAABMAcAAAAJMy8zMS8yMDIyCAAAAAkzLzMxLzIwMjIJAAAAATAJEceKRCXeCOoAgotEJd4INENJUS5CUC5JUV9OSV8xWVJfQU5OX0dST1dUSC5JUV9DUS4zLzMxLzIwMTQuTC4uVVNELkgBAAAA4gQGAAIAAAAILTc5LjA3ODUBCAAAAAUAAAABMQEAAAAKMTczMDYwMzY4OAMAAAADMTYwAgAAAAQ0MTk5</t>
  </si>
  <si>
    <t>BAAAAAEwBwAAAAkzLzMxLzIwMTQIAAAACTMvMzEvMjAxNAkAAAABMG4riolEJd4IU4hUi0Ql3gg0Q0lRLkJQLklRX05JXzFZUl9BTk5fR1JPV1RILklRX0NRLjMvMzEvMjAxMi5MLi5VU0QuSAEAAADiBAYAAgAAAAgtMjAuNDk5MQEIAAAABQAAAAExAQAAAAoxNjE0OTc4Mjc2AwAAAAMxNjACAAAABDQxOTkEAAAAATAHAAAACTMvMzEvMjAxMggAAAAJMy8zMS8yMDEyCQAAAAEw2718iUQl3gjbvEqLRCXeCDRDSVEuQlAuSVFfTklfMVlSX0FOTl9HUk9XVEguSVFfQ1EuMy8zMS8yMDE4LkwuLlVTRC5IAQAAAOIEBgACAAAABzcwLjM5MzMBCAAAAAUAAAABMQEAAAAKMTk1NzkyOTE0MQMAAAADMTYwAgAAAAQ0MTk5BAAAAAEwBwAAAAkzLzMxLzIwMTgIAAAACTMvMzEvMjAxOAkAAAABMHp5iolEJd4IIe5ui0Ql3gg1Q0lRLkJQLklRX05JXzFZUl9BTk5fR1JPV1RILklRX0NRLjEyLzMxLzIwMTIuTC4uVVNELkgBAAAA4gQGAAIAAAAILTgwLjYzNzcBCAAAAAUAAAABMQEAAAAKMTY2MTgzNjcxMAMAAAADMTYwAgAAAAQ0MTk5BAAAAAEwBwAAAAoxMi8zMS8yMDEyCAAAAAoxMi8zMS8yMDEyCQAAAAEwq4eYiUQl3gi1H06LRCXeCDRDSVEuQlAuSVFfTklfMVlSX0FOTl9HUk9XVEguSVFfQ1EuMy8zMS8yMDIwLkwuLlVTRC5IAQAAAOIEBgADAAAAAk5NAQgAAAAFAAAAATEBAAAACjIwOTIxMzc5OTYDAAAAAzE2MAIA</t>
  </si>
  <si>
    <t>AAAENDE5OQQAAAABMAcAAAAJMy8zMS8yMDIwCAAAAAkzLzMxLzIwMjAJAAAAATApX8eKRCXeCB6yeItEJd4INENJUS5CUC5JUV9OSV8xWVJfQU5OX0dST1dUSC5JUV9DUS4zLzMxLzIwMTYuTC4uVVNELkgBAAAA4gQGAAMAAAACTk0BCAAAAAUAAAABMQEAAAAKMTgzOTQwOTExNQMAAAADMTYwAgAAAAQ0MTk5BAAAAAEwBwAAAAkzLzMxLzIwMTYIAAAACTMvMzEvMjAxNgkAAAABMKHHiolEJd4I0/Vhi0Ql3gg0Q0lRLkJQLklRX05JXzFZUl9BTk5fR1JPV1RILklRX0NRLjMvMzEvMjAxMC5MLi5VU0QuSAEAAADiBAYAAgAAAAgxMzcuMjc1NQEIAAAABQAAAAExAQAAAAoxNDQ4OTkxMjYxAwAAAAMxNjACAAAABDQxOTkEAAAAATAHAAAACTMvMzEvMjAxMAgAAAAJMy8zMS8yMDEwCQAAAAEwBjN9iUQl3ghW1UGLRCXeCDRDSVEuQlAuSVFfTklfMVlSX0FOTl9HUk9XVEguSVFfQ1EuMy8zMS8yMDI0LkwuLlVTRC5IAQAAAOIEBgACAAAACC03Mi40NjI5AQgAAAAFAAAAATEBAAAACy0xOTQ3OTA4NzE3AwAAAAMxNjACAAAABDQxOTkEAAAAATAHAAAACTMvMzEvMjAyNAgAAAAJMy8zMS8yMDI0CQAAAAEw5UraikQl3ggYU4uLRCXeCDRDSVEuQlAuSVFfTklfMVlSX0FOTl9HUk9XVEguSVFfQ1EuNi8zMC8yMDI1LkwuLlVTRC5IAQAAAOIEBgADAAAAAk5NAQgAAAAFAAAAATEBAAAACy0xOTE4NjQ2NjMxAwAAAAMxNjAC</t>
  </si>
  <si>
    <t>AAAABDQxOTkEAAAAATAHAAAACTYvMzAvMjAyNQgAAAAJNi8zMC8yMDI1CQAAAAEw6iPaikQl3gillJGLRCXeCDRDSVEuQlAuSVFfTklfMVlSX0FOTl9HUk9XVEguSVFfQ1EuNi8zMC8yMDIxLkwuLlVTRC5IAQAAAOIEBgADAAAAAk5NAQgAAAAFAAAAATEBAAAACy0yMDg3MTgzNDIwAwAAAAMxNjACAAAABDQxOTkEAAAAATAHAAAACTYvMzAvMjAyMQgAAAAJNi8zMC8yMDIxCQAAAAEwMTjHikQl3giSpX6LRCXeCDRDSVEuQlAuSVFfTklfMVlSX0FOTl9HUk9XVEguSVFfQ1EuNi8zMC8yMDE5LkwuLlVTRC5IAQAAAOIEBgACAAAACC0zNC45MDU0AQgAAAAFAAAAATEBAAAACjIwNDc5MjAxNjgDAAAAAzE2MAIAAAAENDE5OQQAAAABMAcAAAAJNi8zMC8yMDE5CAAAAAk2LzMwLzIwMTkJAAAAATDAb3yJRCXeCKsvdYtEJd4INENJUS5CUC5JUV9OSV8xWVJfQU5OX0dST1dUSC5JUV9DUS42LzMwLzIwMTUuTC4uVVNELkgBAAAA4gQGAAMAAAACTk0BCAAAAAUAAAABMQEAAAAKMTgwMDI4Njc5NwMAAAADMTYwAgAAAAQ0MTk5BAAAAAEwBwAAAAk2LzMwLzIwMTUIAAAACTYvMzAvMjAxNQkAAAABMNu9fIlEJd4I2BNdi0Ql3gg0Q0lRLkJQLklRX05JXzFZUl9BTk5fR1JPV1RILklRX0NRLjYvMzAvMjAyMy5MLi5VU0QuSAEAAADiBAYAAgAAAAgtODAuNjQxNwEIAAAABQAAAAExAQAAAAstMTk3MDg4MzQwNwMAAAADMTYw</t>
  </si>
  <si>
    <t>AgAAAAQ0MTk5BAAAAAEwBwAAAAk2LzMwLzIwMjMIAAAACTYvMzAvMjAyMwkAAAABMOVK2opEJd4IXPSHi0Ql3gg0Q0lRLkJQLklRX05JXzFZUl9BTk5fR1JPV1RILklRX0NRLjYvMzAvMjAxMS5MLi5VU0QuSAEAAADiBAYAAwAAAAJOTQEIAAAABQAAAAExAQAAAAoxNTU2OTUzNDA5AwAAAAMxNjACAAAABDQxOTkEAAAAATAHAAAACTYvMzAvMjAxMQgAAAAJNi8zMC8yMDExCQAAAAEw5+R8iUQl3ghfBUeLRCXeCDRDSVEuQlAuSVFfTklfMVlSX0FOTl9HUk9XVEguSVFfQ1EuNi8zMC8yMDE3LkwuLlVTRC5IAQAAAOIEBgADAAAAAk5NAQgAAAAFAAAAATEBAAAACjE4OTc3MjQwNTEDAAAAAzE2MAIAAAAENDE5OQQAAAABMAcAAAAJNi8zMC8yMDE3CAAAAAk2LzMwLzIwMTcJAAAAATCNoIqJRCXeCCkMaotEJd4INENJUS5CUC5JUV9OSV8xWVJfQU5OX0dST1dUSC5JUV9DUS42LzMwLzIwMTMuTC4uVVNELkgBAAAA4gQGAAMAAAACTk0BCAAAAAUAAAABMQEAAAAKMTY4ODY3NTY1NgMAAAADMTYwAgAAAAQ0MTk5BAAAAAEwBwAAAAk2LzMwLzIwMTMIAAAACTYvMzAvMjAxMwkAAAABMJhgmIlEJd4Io2lQi0Ql3ggxQ0lRLkJQLklRX1RPVEFMX1JFVkVOVUUuSVFfTFRNLjYvMzAvMjAyNS5MLi5VU0QuSAEAAADiBAYAAgAAAAYxODQ3NzEBCAAAAAUAAAABMQEAAAALLTE5MTg2NDY2MzADAAAAAzE2MAIAAAACMjgEAAAA</t>
  </si>
  <si>
    <t>ATAHAAAACTYvMzAvMjAyNQgAAAAJNi8zMC8yMDI1CQAAAAEw6iPaikQl3gjkMJKLRCXeCDFDSVEuQlAuSVFfVE9UQUxfUkVWRU5VRS5JUV9MVE0uMy8zMS8yMDI1LkwuLlVTRC5IAQAAAOIEBgACAAAABjE4NTQwOAEIAAAABQAAAAExAQAAAAstMTk0NzkwODA1NgMAAAADMTYwAgAAAAIyOAQAAAABMAcAAAAJMy8zMS8yMDI1CAAAAAkzLzMxLzIwMjUJAAAAATDqI9qKRCXeCGj4kItEJd4IMkNJUS5CUC5JUV9UT1RBTF9SRVZFTlVFLklRX0xUTS4xMi8zMS8yMDI0LkwuLlVTRC5IAQAAAOIEBgACAAAABjE4NzM4NgEIAAAABQAAAAExAQAAAAstMTk1Njc5MDg2NgMAAAADMTYwAgAAAAIyOAQAAAABMAcAAAAKMTIvMzEvMjAyNAgAAAAKMTIvMzEvMjAyNAkAAAABMOoj2opEJd4I2JiPi0Ql3ggxQ0lRLkJQLklRX1RPVEFMX1JFVkVOVUUuSVFfTFRNLjkvMzAvMjAyNS5MLi5VU0QuSAEAAADiBAYAAgAAAAYxODU5MzQBCAAAAAUAAAABMQEAAAALLTE5MTg2NDY3MTMDAAAAAzE2MAIAAAACMjgEAAAAATAHAAAACTkvMzAvMjAyNQgAAAAJOS8zMC8yMDI1CQAAAAEw2vzZikQl3gh2kJOLRCXeCCVDSVEuQlAuSVFfTkkuSVFfQ1EuOS8zMC8yMDIzLkwuLlVTRC5IAQAAAOIEBgACAAAABDQ4NTgBCAAAAAUAAAABMQEAAAALLTE5NzE5MjcwODMDAAAAAzE2MAIAAAACMTUEAAAAATAHAAAACTkvMzAvMjAyMwgAAAAJOS8z</t>
  </si>
  <si>
    <t>MC8yMDIzCQAAAAEw5UraikQl3gjpU4mLRCXeCCVDSVEuQlAuSVFfTkkuSVFfQ1EuMy8zMS8yMDExLkwuLlVTRC5IAQAAAOIEBgACAAAABDcyNTQBCAAAAAUAAAABMQEAAAAKMTU0NDg4MDY5MgMAAAADMTYwAgAAAAIxNQQAAAABMAcAAAAJMy8zMS8yMDExCAAAAAkzLzMxLzIwMTEJAAAAATD1C32JRCXeCA9CRotEJd4IJUNJUS5CUC5JUV9OSS5JUV9DUS42LzMwLzIwMTQuTC4uVVNELkgBAAAA4gQGAAIAAAAEMzM2OQEIAAAABQAAAAExAQAAAAoxNzQ3MzY3NzMxAwAAAAMxNjACAAAAAjE1BAAAAAEwBwAAAAk2LzMwLzIwMTQIAAAACTYvMzAvMjAxNAkAAAABMFAEiolEJd4IKoRWi0Ql3gglQ0lRLkJQLklRX05JLklRX0NRLjkvMzAvMjAxOS5MLi5VU0QuSAEAAADiBAYAAgAAAAQtNzQ5AQgAAAAFAAAAATEBAAAACjIwNjYzMjM1OTMDAAAAAzE2MAIAAAACMTUEAAAAATAHAAAACTkvMzAvMjAxOQgAAAAJOS8zMC8yMDE5CQAAAAEwSIbHikQl3ghDj3aLRCXeCCZDSVEuQlAuSVFfTkkuSVFfQ1EuMTIvMzEvMjAxMC5MLi5VU0QuSAEAAADiBAYAAgAAAAQ1NTY3AQgAAAAFAAAAATEBAAAACjE1MjY4MjkyMzgDAAAAAzE2MAIAAAACMTUEAAAAATAHAAAACjEyLzMxLzIwMTAIAAAACjEyLzMxLzIwMTAJAAAAATD1C32JRCXeCJAJRYtEJd4IJkNJUS5CUC5JUV9OSS5JUV9DUS4xMi8zMS8yMDE2LkwuLlVTRC5IAQAA</t>
  </si>
  <si>
    <t>AOIEBgACAAAAAzQ5NwEIAAAABQAAAAExAQAAAAoxODgwNTU1NjU5AwAAAAMxNjACAAAAAjE1BAAAAAEwBwAAAAoxMi8zMS8yMDE2CAAAAAoxMi8zMS8yMDE2CQAAAAEwjaCKiUQl3ggITWeLRCXeCCVDSVEuQlAuSVFfTkkuSVFfQ1EuOS8zMC8yMDE1LkwuLlVTRC5IAQAAAOIEBgACAAAAAjQ2AQgAAAAFAAAAATEBAAAACjE4MTU1MzY5NjkDAAAAAzE2MAIAAAACMTUEAAAAATAHAAAACTkvMzAvMjAxNQgAAAAJOS8zMC8yMDE1CQAAAAEwyJZ8iUQl3giX6F6LRCXeCCVDSVEuQlAuSVFfTkkuSVFfQ1EuOS8zMC8yMDI1LkwuLlVTRC5IAQAAAOIEBgACAAAABDExNjEBCAAAAAUAAAABMQEAAAALLTE5MTg2NDY3NDMDAAAAAzE2MAIAAAACMTUEAAAAATAHAAAACTkvMzAvMjAyNQgAAAAJOS8zMC8yMDI1CQAAAAEw2vzZikQl3ghjaZOLRCXeCCVDSVEuQlAuSVFfTkkuSVFfQ1EuMy8zMS8yMDEzLkwuLlVTRC5IAQAAAOIEBgACAAAABTE2ODYzAQgAAAAFAAAAATEBAAAACjE2NzQyMTg2MjUDAAAAAzE2MAIAAAACMTUEAAAAATAHAAAACTMvMzEvMjAxMwgAAAAJMy8zMS8yMDEzCQAAAAEwmGCYiUQl3ghDf0+LRCXeCCVDSVEuQlAuSVFfTkkuSVFfQ1EuNi8zMC8yMDI0LkwuLlVTRC5IAQAAAOIEBgACAAAABC0xMjkBCAAAAAUAAAABMQEAAAALLTE5MTg2MTc2MzEDAAAAAzE2MAIAAAACMTUEAAAAATAHAAAACTYvMzAv</t>
  </si>
  <si>
    <t>MjAyNAgAAAAJNi8zMC8yMDI0CQAAAAEw5UraikQl3giisoyLRCXeCCVDSVEuQlAuSVFfTkkuSVFfQ1EuOS8zMC8yMDIxLkwuLlVTRC5IAQAAAOIEBgACAAAABS0yNTQ0AQgAAAAFAAAAATEBAAAACy0yMDcyNjMyMDY1AwAAAAMxNjACAAAAAjE1BAAAAAEwBwAAAAk5LzMwLzIwMjEIAAAACTkvMzAvMjAyMQkAAAABMAkRx4pEJd4IMAWAi0Ql3ggmQ0lRLkJQLklRX05JLklRX0NRLjEyLzMxLzIwMjAuTC4uVVNELkgBAAAA4gQGAAIAAAAEMTM1OAEIAAAABQAAAAExAQAAAAstMjEwNzc1MzIxNAMAAAADMTYwAgAAAAIxNQQAAAABMAcAAAAKMTIvMzEvMjAyMAgAAAAKMTIvMzEvMjAyMAkAAAABMDE4x4pEJd4Iuql8i0Ql3ggmQ0lRLkJQLklRX05JLklRX0NRLjEyLzMxLzIwMjQuTC4uVVNELkgBAAAA4gQGAAIAAAAFLTE5NTkBCAAAAAUAAAABMQEAAAALLTE5NTY3OTA4NjgDAAAAAzE2MAIAAAACMTUEAAAAATAHAAAACjEyLzMxLzIwMjQIAAAACjEyLzMxLzIwMjQJAAAAATDqI9qKRCXeCKkjj4tEJd4IJUNJUS5CUC5JUV9OSS5JUV9DUS42LzMwLzIwMTYuTC4uVVNELkgBAAAA4gQGAAIAAAAFLTE0MTkBCAAAAAUAAAABMQEAAAAKMTg1MTEyMzAwOQMAAAADMTYwAgAAAAIxNQQAAAABMAcAAAAJNi8zMC8yMDE2CAAAAAk2LzMwLzIwMTYJAAAAATChx4qJRCXeCK3xY4tEJd4IJkNJUS5CUC5JUV9OSS5JUV9DUS4x</t>
  </si>
  <si>
    <t>Mi8zMS8yMDIyLkwuLlVTRC5IAQAAAOIEBgACAAAABTEwODAzAQgAAAAFAAAAATEBAAAACy0yMDA2NzgwODY2AwAAAAMxNjACAAAAAjE1BAAAAAEwBwAAAAoxMi8zMS8yMDIyCAAAAAoxMi8zMS8yMDIyCQAAAAEw/unGikQl3giM+IWLRCXeCCZDSVEuQlAuSVFfTkkuSVFfQ1EuMTIvMzEvMjAxNC5MLi5VU0QuSAEAAADiBAYAAgAAAAUtNDQwNwEIAAAABQAAAAExAQAAAAoxNzc5MTU5NDQ3AwAAAAMxNjACAAAAAjE1BAAAAAEwBwAAAAoxMi8zMS8yMDE0CAAAAAoxMi8zMS8yMDE0CQAAAAEw9Qt9iUQl3gidBlqLRCXeCCZDSVEuQlAuSVFfTkkuSVFfQ1EuMTIvMzEvMjAxOC5MLi5VU0QuSAEAAADiBAYAAgAAAAM3NjYBCAAAAAUAAAABMQEAAAAKMjAyMzA1NzI0MgMAAAADMTYwAgAAAAIxNQQAAAABMAcAAAAKMTIvMzEvMjAxOAgAAAAKMTIvMzEvMjAxOAkAAAABMG4riolEJd4I4DNzi0Ql3gglQ0lRLkJQLklRX05JLklRX0NRLjYvMzAvMjAyMC5MLi5VU0QuSAEAAADiBAYAAgAAAAYtMTY4NDgBCAAAAAUAAAABMQEAAAALLTIxNDA1MDE2MjkDAAAAAzE2MAIAAAACMTUEAAAAATAHAAAACTYvMzAvMjAyMAgAAAAJNi8zMC8yMDIwCQAAAAEwKV/HikQl3gjCOHqLRCXeCCVDSVEuQlAuSVFfTkkuSVFfQ1EuMy8zMS8yMDIzLkwuLlVTRC5IAQAAAOIEBgACAAAABDgyMTgBCAAAAAUAAAABMQEAAAALLTE5OTYzNjgw</t>
  </si>
  <si>
    <t>NTEDAAAAAzE2MAIAAAACMTUEAAAAATAHAAAACTMvMzEvMjAyMwgAAAAJMy8zMS8yMDIzCQAAAAEw5UraikQl3ggQCoeLRCXeCCVDSVEuQlAuSVFfTkkuSVFfQ1EuMy8zMS8yMDE3LkwuLlVTRC5IAQAAAOIEBgACAAAABDE0NDkBCAAAAAUAAAABMQEAAAAKMTg4NTgyMDgxMwMAAAADMTYwAgAAAAIxNQQAAAABMAcAAAAJMy8zMS8yMDE3CAAAAAkzLzMxLzIwMTcJAAAAATCNoIqJRCXeCJWsaItEJd4IJUNJUS5CUC5JUV9OSS5JUV9DUS42LzMwLzIwMTguTC4uVVNELkgBAAAA4gQGAAIAAAAEMjc5OQEIAAAABQAAAAExAQAAAAoxOTcyODEyNjc1AwAAAAMxNjACAAAAAjE1BAAAAAEwBwAAAAk2LzMwLzIwMTgIAAAACTYvMzAvMjAxOAkAAAABMGtSiolEJd4I+elwi0Ql3gglQ0lRLkJQLklRX05JLklRX0NRLjMvMzEvMjAyMS5MLi5VU0QuSAEAAADiBAYAAgAAAAQ0NjY3AQgAAAAFAAAAATEBAAAACy0yMDk5MTk3MjM3AwAAAAMxNjACAAAAAjE1BAAAAAEwBwAAAAkzLzMxLzIwMjEIAAAACTMvMzEvMjAyMQkAAAABMDE4x4pEJd4IMrt9i0Ql3gglQ0lRLkJQLklRX05JLklRX0NRLjYvMzAvMjAyMi5MLi5VU0QuSAEAAADiBAYAAgAAAAQ5MjU3AQgAAAAFAAAAATEBAAAACy0yMDM2MzM0MDYxAwAAAAMxNjACAAAAAjE1BAAAAAEwBwAAAAk2LzMwLzIwMjIIAAAACTYvMzAvMjAyMgkAAAABMP7pxopEJd4IkIeDi0Ql</t>
  </si>
  <si>
    <t>3gglQ0lRLkJQLklRX05JLklRX0NRLjkvMzAvMjAxMy5MLi5VU0QuSAEAAADiBAYAAgAAAAQzNTA0AQgAAAAFAAAAATEBAAAACjE3MDM0NDAxMTADAAAAAzE2MAIAAAACMTUEAAAAATAHAAAACTkvMzAvMjAxMwgAAAAJOS8zMC8yMDEzCQAAAAEwbiuKiUQl3ghB8FGLRCXeCCVDSVEuQlAuSVFfTkkuSVFfQ1EuMy8zMS8yMDIwLkwuLlVTRC5IAQAAAOIEBgACAAAABS00MzY1AQgAAAAFAAAAATEBAAAACjIwOTIxMzc5OTYDAAAAAzE2MAIAAAACMTUEAAAAATAHAAAACTMvMzEvMjAyMAgAAAAJMy8zMS8yMDIwCQAAAAEwKV/HikQl3ghHAHmLRCXeCCVDSVEuQlAuSVFfTkkuSVFfQ1EuMy8zMS8yMDE2LkwuLlVTRC5IAQAAAOIEBgACAAAABC01ODMBCAAAAAUAAAABMQEAAAAKMTgzOTQwOTExNQMAAAADMTYwAgAAAAIxNQQAAAABMAcAAAAJMy8zMS8yMDE2CAAAAAkzLzMxLzIwMTYJAAAAATChx4qJRCXeCA1rYotEJd4IJUNJUS5CUC5JUV9OSS5JUV9DUS4zLzMxLzIwMjQuTC4uVVNELkgBAAAA4gQGAAIAAAAEMjI2MwEIAAAABQAAAAExAQAAAAstMTk0NzkwODcxNwMAAAADMTYwAgAAAAIxNQQAAAABMAcAAAAJMy8zMS8yMDI0CAAAAAkzLzMxLzIwMjQJAAAAATDlStqKRCXeCDKhi4tEJd4IJUNJUS5CUC5JUV9OSS5JUV9DUS4zLzMxLzIwMTUuTC4uVVNELkgBAAAA4gQGAAIAAAAEMjYwMgEIAAAABQAAAAExAQAA</t>
  </si>
  <si>
    <t>AAoxODAwMzU5MDk1AwAAAAMxNjACAAAAAjE1BAAAAAEwBwAAAAkzLzMxLzIwMTUIAAAACTMvMzEvMjAxNQkAAAABMNu9fIlEJd4IQrRbi0Ql3gglQ0lRLkJQLklRX05JLklRX0NRLjkvMzAvMjAxNy5MLi5VU0QuSAEAAADiBAYAAgAAAAQxNzY5AQgAAAAFAAAAATEBAAAACjE5MTY1MzM1NzcDAAAAAzE2MAIAAAACMTUEAAAAATAHAAAACTkvMzAvMjAxNwgAAAAJOS8zMC8yMDE3CQAAAAEwenmKiUQl3ggPCGyLRCXeCCVDSVEuQlAuSVFfTkkuSVFfQ1EuOS8zMC8yMDExLkwuLlVTRC5IAQAAAOIEBgACAAAABDUwNDMBCAAAAAUAAAABMQEAAAAKMTU3Mzg2NTgwNwMAAAADMTYwAgAAAAIxNQQAAAABMAcAAAAJOS8zMC8yMDExCAAAAAk5LzMwLzIwMTEJAAAAATDn5HyJRCXeCOClSItEJd4IJUNJUS5CUC5JUV9OSS5JUV9DUS42LzMwLzIwMTAuTC4uVVNELkgBAAAA4gQGAAIAAAAGLTE3MTUwAQgAAAAFAAAAATEBAAAACjE0NjM4NDczMDEDAAAAAzE2MAIAAAACMTUEAAAAATAHAAAACTYvMzAvMjAxMAgAAAAJNi8zMC8yMDEwCQAAAAEwBjN9iUQl3gjZDUOLRCXeCCVDSVEuQlAuSVFfTkkuSVFfQ1EuNi8zMC8yMDI1LkwuLlVTRC5IAQAAAOIEBgACAAAABDE2MjkBCAAAAAUAAAABMQEAAAALLTE5MTg2NDY2MzEDAAAAAzE2MAIAAAACMTUEAAAAATAHAAAACTYvMzAvMjAyNQgAAAAJNi8zMC8yMDI1CQAAAAEw6iPa</t>
  </si>
  <si>
    <t>ikQl3gjZCZKLRCXeCCVDSVEuQlAuSVFfTkkuSVFfQ1EuNi8zMC8yMDIzLkwuLlVTRC5IAQAAAOIEBgACAAAABDE3OTIBCAAAAAUAAAABMQEAAAALLTE5NzA4ODM0MDcDAAAAAzE2MAIAAAACMTUEAAAAATAHAAAACTYvMzAvMjAyMwgAAAAJNi8zMC8yMDIzCQAAAAEw5UraikQl3giFQoiLRCXeCCVDSVEuQlAuSVFfTkkuSVFfQ1EuMy8zMS8yMDEwLkwuLlVTRC5IAQAAAOIEBgACAAAABDYwNzkBCAAAAAUAAAABMQEAAAAKMTQ0ODk5MTI2MQMAAAADMTYwAgAAAAIxNQQAAAABMAcAAAAJMy8zMS8yMDEwCAAAAAkzLzMxLzIwMTAJAAAAATAGM32JRCXeCFbVQYtEJd4IJUNJUS5CUC5JUV9OSS5JUV9DUS4zLzMxLzIwMTguTC4uVVNELkgBAAAA4gQGAAIAAAAEMjQ2OQEIAAAABQAAAAExAQAAAAoxOTU3OTI5MTQxAwAAAAMxNjACAAAAAjE1BAAAAAEwBwAAAAkzLzMxLzIwMTgIAAAACTMvMzEvMjAxOAkAAAABMHp5iolEJd4ISzxvi0Ql3gglQ0lRLkJQLklRX05JLklRX0NRLjMvMzEvMjAxNC5MLi5VU0QuSAEAAADiBAYAAgAAAAQzNTI4AQgAAAAFAAAAATEBAAAACjE3MzA2MDM2ODgDAAAAAzE2MAIAAAACMTUEAAAAATAHAAAACTMvMzEvMjAxNAgAAAAJMy8zMS8yMDE0CQAAAAEwUASKiUQl3giH/VSLRCXeCCVDSVEuQlAuSVFfTkkuSVFfQ1EuNi8zMC8yMDEyLkwuLlVTRC5IAQAAAOIEBgACAAAABS0xNTE5AQgA</t>
  </si>
  <si>
    <t>AAAFAAAAATEBAAAACjE2Mjg2MjUxNzcDAAAAAzE2MAIAAAACMTUEAAAAATAHAAAACTYvMzAvMjAxMggAAAAJNi8zMC8yMDEyCQAAAAEwq4eYiUQl3gjMIEyLRCXeCCVDSVEuQlAuSVFfTkkuSVFfQ1EuMy8zMS8yMDI1LkwuLlVTRC5IAQAAAOIEBgACAAAAAzY4NwEIAAAABQAAAAExAQAAAAstMTk0NzkwODcxMgMAAAADMTYwAgAAAAIxNQQAAAABMAcAAAAJMy8zMS8yMDI1CAAAAAkzLzMxLzIwMjUJAAAAATDqI9qKRCXeCDKDkItEJd4IJUNJUS5CUC5JUV9OSS5JUV9DUS45LzMwLzIwMTYuTC4uVVNELkgBAAAA4gQGAAIAAAAEMTYyMAEIAAAABQAAAAExAQAAAAoxODYzMjA5MjkxAwAAAAMxNjACAAAAAjE1BAAAAAEwBwAAAAk5LzMwLzIwMTYIAAAACTkvMzAvMjAxNgkAAAABMKHHiolEJd4IW59li0Ql3gglQ0lRLkJQLklRX05JLklRX0NRLjYvMzAvMjAxMy5MLi5VU0QuSAEAAADiBAYAAgAAAAQyMDQyAQgAAAAFAAAAATEBAAAACjE2ODg2NzU2NTYDAAAAAzE2MAIAAAACMTUEAAAAATAHAAAACTYvMzAvMjAxMwgAAAAJNi8zMC8yMDEzCQAAAAEwmGCYiUQl3gi7t1CLRCXeCCVDSVEuQlAuSVFfTkkuSVFfQ1EuNi8zMC8yMDExLkwuLlVTRC5IAQAAAOIEBgACAAAABDU3MTgBCAAAAAUAAAABMQEAAAAKMTU1Njk1MzQwOQMAAAADMTYwAgAAAAIxNQQAAAABMAcAAAAJNi8zMC8yMDExCAAAAAk2LzMwLzIwMTEJ</t>
  </si>
  <si>
    <t>AAAAATDn5HyJRCXeCIhTR4tEJd4IJUNJUS5CUC5JUV9OSS5JUV9DUS42LzMwLzIwMTcuTC4uVVNELkgBAAAA4gQGAAIAAAADMTQ0AQgAAAAFAAAAATEBAAAACjE4OTc3MjQwNTEDAAAAAzE2MAIAAAACMTUEAAAAATAHAAAACTYvMzAvMjAxNwgAAAAJNi8zMC8yMDE3CQAAAAEwjaCKiUQl3ghEWmqLRCXeCCVDSVEuQlAuSVFfTkkuSVFfQ1EuNi8zMC8yMDE1LkwuLlVTRC5IAQAAAOIEBgACAAAABS01ODIzAQgAAAAFAAAAATEBAAAACjE4MDAyODY3OTcDAAAAAzE2MAIAAAACMTUEAAAAATAHAAAACTYvMzAvMjAxNQgAAAAJNi8zMC8yMDE1CQAAAAEwyJZ8iUQl3gjgOl2LRCXeCCZDSVEuQlAuSVFfTkkuSVFfQ1EuMTIvMzEvMjAxMi5MLi5VU0QuSAEAAADiBAYAAgAAAAQxNDg4AQgAAAAFAAAAATEBAAAACjE2NjE4MzY3MTADAAAAAzE2MAIAAAACMTUEAAAAATAHAAAACjEyLzMxLzIwMTIIAAAACjEyLzMxLzIwMTIJAAAAATCrh5iJRCXeCMBGTotEJd4IJUNJUS5CUC5JUV9OSS5JUV9DUS4zLzMxLzIwMTkuTC4uVVNELkgBAAAA4gQGAAIAAAAEMjkzNAEIAAAABQAAAAExAQAAAAoyMDMxMDc1NDE0AwAAAAMxNjACAAAAAjE1BAAAAAEwBwAAAAkzLzMxLzIwMTkIAAAACTMvMzEvMjAxOQkAAAABMPULfYlEJd4IWUV0i0Ql3ggmQ0lRLkJQLklRX05JLklRX0NRLjEyLzMxLzIwMTcuTC4uVVNELkgBAAAA4gQGAAIA</t>
  </si>
  <si>
    <t>AAACMjcBCAAAAAUAAAABMQEAAAAKMTk1MTc0MDMyMwMAAAADMTYwAgAAAAIxNQQAAAABMAcAAAAKMTIvMzEvMjAxNwgAAAAKMTIvMzEvMjAxNwkAAAABMHp5iolEJd4ImY5ti0Ql3gglQ0lRLkJQLklRX05JLklRX0NRLjkvMzAvMjAxMC5MLi5VU0QuSAEAAADiBAYAAgAAAAQxNzg1AQgAAAAFAAAAATEBAAAACjE0Nzg3MDkzOTIDAAAAAzE2MAIAAAACMTUEAAAAATAHAAAACTkvMzAvMjAxMAgAAAAJOS8zMC8yMDEwCQAAAAEwBjN9iUQl3ggj+EOLRCXeCCZDSVEuQlAuSVFfTkkuSVFfQ1EuMTIvMzEvMjAyMy5MLi5VU0QuSAEAAADiBAYAAgAAAAMzNzEBCAAAAAUAAAABMQEAAAALLTE5NTY3OTA4OTMDAAAAAzE2MAIAAAACMTUEAAAAATAHAAAACjEyLzMxLzIwMjMIAAAACjEyLzMxLzIwMjMJAAAAATDlStqKRCXeCGJliotEJd4IJkNJUS5CUC5JUV9OSS5JUV9DUS4xMi8zMS8yMDIxLkwuLlVTRC5IAQAAAOIEBgACAAAABDIzMjYBCAAAAAUAAAABMQEAAAALLTIwNTc1MTk2NzgDAAAAAzE2MAIAAAACMTUEAAAAATAHAAAACjEyLzMxLzIwMjEIAAAACjEyLzMxLzIwMjEJAAAAATAJEceKRCXeCJo9gYtEJd4IJkNJUS5CUC5JUV9OSS5JUV9DUS4xMi8zMS8yMDA5LkwuLlVTRC5IAQAAAOIEBgACAAAABDQyOTUBCAAAAAUAAAABMQEAAAAKMTQzNDE5MTg5NAMAAAADMTYwAgAAAAIxNQQAAAABMAcAAAAKMTIvMzEv</t>
  </si>
  <si>
    <t>MjAwOQgAAAAKMTIvMzEvMjAwOQkAAAABMAYzfYlEJd4I7+pAi0Ql3gglQ0lRLkJQLklRX05JLklRX0NRLjMvMzEvMjAxMi5MLi5VU0QuSAEAAADiBAYAAgAAAAQ1NzY3AQgAAAAFAAAAATEBAAAACjE2MTQ5NzgyNzYDAAAAAzE2MAIAAAACMTUEAAAAATAHAAAACTMvMzEvMjAxMggAAAAJMy8zMS8yMDEyCQAAAAEw2718iUQl3ghM+EqLRCXeCCVDSVEuQlAuSVFfTkkuSVFfQ1EuMy8zMS8yMDIyLkwuLlVTRC5IAQAAAOIEBgACAAAABi0yMDM4NAEIAAAABQAAAAExAQAAAAstMjA0ODE1MTMyMwMAAAADMTYwAgAAAAIxNQQAAAABMAcAAAAJMy8zMS8yMDIyCAAAAAkzLzMxLzIwMjIJAAAAATAJEceKRCXeCBNPgotEJd4IJUNJUS5CUC5JUV9OSS5JUV9DUS45LzMwLzIwMTQuTC4uVVNELkgBAAAA4gQGAAIAAAAEMTI5MAEIAAAABQAAAAExAQAAAAoxNzYxNTA3NTgwAwAAAAMxNjACAAAAAjE1BAAAAAEwBwAAAAk5LzMwLzIwMTQIAAAACTkvMzAvMjAxNAkAAAABMFAEiolEJd4I8n9Yi0Ql3gglQ0lRLkJQLklRX05JLklRX0NRLjkvMzAvMjAyNC5MLi5VU0QuSAEAAADiBAYAAgAAAAMyMDYBCAAAAAUAAAABMQEAAAALLTE5MTg2NDY3NDYDAAAAAzE2MAIAAAACMTUEAAAAATAHAAAACTkvMzAvMjAyNAgAAAAJOS8zMC8yMDI0CQAAAAEw6iPaikQl3ggWxI2LRCXeCCVDSVEuQlAuSVFfTkkuSVFfQ1EuOS8zMC8yMDIy</t>
  </si>
  <si>
    <t>LkwuLlVTRC5IAQAAAOIEBgACAAAABS0yMTYzAQgAAAAFAAAAATEBAAAACy0yMDIyMzE3ODU3AwAAAAMxNjACAAAAAjE1BAAAAAEwBwAAAAk5LzMwLzIwMjIIAAAACTkvMzAvMjAyMgkAAAABMP7pxopEJd4IApmEi0Ql3gglQ0lRLkJQLklRX05JLklRX0NRLjkvMzAvMjAyMC5MLi5VU0QuSAEAAADiBAYAAgAAAAQtNDUwAQgAAAAFAAAAATEBAAAACy0yMTI0MzE2MDA4AwAAAAMxNjACAAAAAjE1BAAAAAEwBwAAAAk5LzMwLzIwMjAIAAAACTkvMzAvMjAyMAkAAAABMClfx4pEJd4IQXF7i0Ql3ggmQ0lRLkJQLklRX05JLklRX0NRLjEyLzMxLzIwMTUuTC4uVVNELkgBAAAA4gQGAAIAAAAFLTMzMDcBCAAAAAUAAAABMQEAAAAKMTgzNTA5NzQ3NgMAAAADMTYwAgAAAAIxNQQAAAABMAcAAAAKMTIvMzEvMjAxNQgAAAAKMTIvMzEvMjAxNQkAAAABMKbuiolEJd4IYr1gi0Ql3gglQ0lRLkJQLklRX05JLklRX0NRLjYvMzAvMjAyMS5MLi5VU0QuSAEAAADiBAYAAgAAAAQzMTE2AQgAAAAFAAAAATEBAAAACy0yMDg3MTgzNDIwAwAAAAMxNjACAAAAAjE1BAAAAAEwBwAAAAk2LzMwLzIwMjEIAAAACTYvMzAvMjAyMQkAAAABMDE4x4pEJd4IrPN+i0Ql3gglQ0lRLkJQLklRX05JLklRX0NRLjYvMzAvMjAxOS5MLi5VU0QuSAEAAADiBAYAAgAAAAQxODIyAQgAAAAFAAAAATEBAAAACjIwNDc5MjAxNjgDAAAAAzE2MAIAAAAC</t>
  </si>
  <si>
    <t>MTUEAAAAATAHAAAACTYvMzAvMjAxOQgAAAAJNi8zMC8yMDE5CQAAAAEwwG98iUQl3gjPfXWLRCXeCDtDSVEuQlAuSVFfVE9UQUxfUkVWXzFZUl9BTk5fR1JPV1RILklRX0NRLjkvMzAvMjAyMS5MLi5VU0QuSAEAAADiBAYAAgAAAAczNi44NjM4AQgAAAAFAAAAATEBAAAACy0yMDcyNjMyMDY1AwAAAAMxNjACAAAABDQxOTQEAAAAATAHAAAACTkvMzAvMjAyMQgAAAAJOS8zMC8yMDIxCQAAAAEwCRHHikQl3ghELICLRCXeCDtDSVEuQlAuSVFfVE9UQUxfUkVWXzFZUl9BTk5fR1JPV1RILklRX0NRLjYvMzAvMjAxOC5MLi5VU0QuSAEAAADiBAYAAgAAAAczMy4zNzM2AQgAAAAFAAAAATEBAAAACjE5NzI4MTI2NzUDAAAAAzE2MAIAAAAENDE5NAQAAAABMAcAAAAJNi8zMC8yMDE4CAAAAAk2LzMwLzIwMTgJAAAAATBrUoqJRCXeCPnpcItEJd4IO0NJUS5CUC5JUV9UT1RBTF9SRVZfMVlSX0FOTl9HUk9XVEguSVFfQ1EuMy8zMS8yMDE3LkwuLlVTRC5IAQAAAOIEBgACAAAABzQzLjg5MDUBCAAAAAUAAAABMQEAAAAKMTg4NTgyMDgxMwMAAAADMTYwAgAAAAQ0MTk0BAAAAAEwBwAAAAkzLzMxLzIwMTcIAAAACTMvMzEvMjAxNwkAAAABMI2giolEJd4IwNNoi0Ql3gg8Q0lRLkJQLklRX1RPVEFMX1JFVl8xWVJfQU5OX0dST1dUSC5JUV9DUS4xMi8zMS8yMDIyLkwuLlVTRC5IAQAAAOIEBgACAAAABzM2LjAzMTUBCAAA</t>
  </si>
  <si>
    <t>AAUAAAABMQEAAAALLTIwMDY3ODA4NjYDAAAAAzE2MAIAAAAENDE5NAQAAAABMAcAAAAKMTIvMzEvMjAyMggAAAAKMTIvMzEvMjAyMgkAAAABMP7pxopEJd4IjPiFi0Ql3gg7Q0lRLkJQLklRX1RPVEFMX1JFVl8xWVJfQU5OX0dST1dUSC5JUV9DUS45LzMwLzIwMTIuTC4uVVNELkgBAAAA4gQGAAIAAAAHLTMuNTQ0NwEIAAAABQAAAAExAQAAAAoxNjQyNjM5MzY2AwAAAAMxNjACAAAABDQxOTQEAAAAATAHAAAACTkvMzAvMjAxMggAAAAJOS8zMC8yMDEyCQAAAAEwq4eYiUQl3ghiXE2LRCXeCCVDSVEuQlAuSVFfTkkuSVFfQ1EuOS8zMC8yMDEyLkwuLlVTRC5IAQAAAOIEBgACAAAABDUyODEBCAAAAAUAAAABMQEAAAAKMTY0MjYzOTM2NgMAAAADMTYwAgAAAAIxNQQAAAABMAcAAAAJOS8zMC8yMDEyCAAAAAk5LzMwLzIwMTIJAAAAATCrh5iJRCXeCGJcTYtEJd4IJUNJUS5CUC5JUV9OSS5JUV9DUS45LzMwLzIwMTguTC4uVVNELkgBAAAA4gQGAAIAAAAEMzM0OQEIAAAABQAAAAExAQAAAAoxOTg5MjM4ODk1AwAAAAMxNjACAAAAAjE1BAAAAAEwBwAAAAk5LzMwLzIwMTgIAAAACTkvMzAvMjAxOAkAAAABMGtSiolEJd4IZPtxi0Ql3gg7Q0lRLkJQLklRX1RPVEFMX1JFVl8xWVJfQU5OX0dST1dUSC5JUV9DUS4zLzMxLzIwMTUuTC4uVVNELkgBAAAA4gQGAAIAAAAILTM5Ljg1NzIBCAAAAAUAAAABMQEAAAAKMTgw</t>
  </si>
  <si>
    <t>MDM1OTA5NQMAAAADMTYwAgAAAAQ0MTk0BAAAAAEwBwAAAAkzLzMxLzIwMTUIAAAACTMvMzEvMjAxNQkAAAABMNu9fIlEJd4IQrRbi0Ql3gg8Q0lRLkJQLklRX1RPVEFMX1JFVl8xWVJfQU5OX0dST1dUSC5JUV9DUS4xMi8zMS8yMDExLkwuLlVTRC5IAQAAAOIEBgACAAAABzE2LjY0MjMBCAAAAAUAAAABMQEAAAAKMTU5MDQ1NTcxOAMAAAADMTYwAgAAAAQ0MTk0BAAAAAEwBwAAAAoxMi8zMS8yMDExCAAAAAoxMi8zMS8yMDExCQAAAAEw5+R8iUQl3giZzkmLRCXeCDtDSVEuQlAuSVFfVE9UQUxfUkVWXzFZUl9BTk5fR1JPV1RILklRX0NRLjkvMzAvMjAxMC5MLi5VU0QuSAEAAADiBAYAAgAAAAY2LjYyOTYBCAAAAAUAAAABMQEAAAAKMTQ3ODcwOTM5MgMAAAADMTYwAgAAAAQ0MTk0BAAAAAEwBwAAAAk5LzMwLzIwMTAIAAAACTkvMzAvMjAxMAkAAAABMAYzfYlEJd4II/hDi0Ql3gg7Q0lRLkJQLklRX1RPVEFMX1JFVl8xWVJfQU5OX0dST1dUSC5JUV9DUS42LzMwLzIwMTIuTC4uVVNELkgBAAAA4gQGAAIAAAAHLTYuMzAzMQEIAAAABQAAAAExAQAAAAoxNjI4NjI1MTc3AwAAAAMxNjACAAAABDQxOTQEAAAAATAHAAAACTYvMzAvMjAxMggAAAAJNi8zMC8yMDEyCQAAAAEwq4eYiUQl3gjMIEyLRCXeCDtDSVEuQlAuSVFfVE9UQUxfUkVWXzFZUl9BTk5fR1JPV1RILklRX0NRLjMvMzEvMjAyNS5MLi5VU0QuSAEA</t>
  </si>
  <si>
    <t>AADiBAYAAgAAAActNC4wODM4AQgAAAAFAAAAATEBAAAACy0xOTQ3OTA4NzEyAwAAAAMxNjACAAAABDQxOTQEAAAAATAHAAAACTMvMzEvMjAyNQgAAAAJMy8zMS8yMDI1CQAAAAEw6iPaikQl3ghS0ZCLRCXeCCZDSVEuQlAuSVFfTkkuSVFfQ1EuMTIvMzEvMjAxMy5MLi5VU0QuSAEAAADiBAYAAgAAAAQxMDQyAQgAAAAFAAAAATEBAAAACjE3MjE5MTk1NDgDAAAAAzE2MAIAAAACMTUEAAAAATAHAAAACjEyLzMxLzIwMTMIAAAACjEyLzMxLzIwMTMJAAAAATBuK4qJRCXeCN9PU4tEJd4IJkNJUS5CUC5JUV9OSS5JUV9DUS4xMi8zMS8yMDExLkwuLlVTRC5IAQAAAOIEBgACAAAABDc2ODUBCAAAAAUAAAABMQEAAAAKMTU5MDQ1NTcxOAMAAAADMTYwAgAAAAIxNQQAAAABMAcAAAAKMTIvMzEvMjAxMQgAAAAKMTIvMzEvMjAxMQkAAAABMOfkfIlEJd4Imc5Ji0Ql3gg7Q0lRLkJQLklRX1RPVEFMX1JFVl8xWVJfQU5OX0dST1dUSC5JUV9DUS45LzMwLzIwMTMuTC4uVVNELkgBAAAA4gQGAAIAAAAGNC45OTg4AQgAAAAFAAAAATEBAAAACjE3MDM0NDAxMTADAAAAAzE2MAIAAAAENDE5NAQAAAABMAcAAAAJOS8zMC8yMDEzCAAAAAk5LzMwLzIwMTMJAAAAATBuK4qJRCXeCEHwUYtEJd4IPENJUS5CUC5JUV9UT1RBTF9SRVZfMVlSX0FOTl9HUk9XVEguSVFfQ1EuMTIvMzEvMjAxOS5MLi5VU0QuSAEAAADiBAYAAgAAAAct</t>
  </si>
  <si>
    <t>NS44ODgyAQgAAAAFAAAAATEBAAAACjIwODU1NjkwMTcDAAAAAzE2MAIAAAAENDE5NAQAAAABMAcAAAAKMTIvMzEvMjAxOQgAAAAKMTIvMzEvMjAxOQkAAAABMClfx4pEJd4IvMd3i0Ql3gg8Q0lRLkJQLklRX1RPVEFMX1JFVl8xWVJfQU5OX0dST1dUSC5JUV9DUS4xMi8zMS8yMDIwLkwuLlVTRC5IAQAAAOIEBgACAAAACC02MS4xNjMyAQgAAAAFAAAAATEBAAAACy0yMTA3NzUzMjE0AwAAAAMxNjACAAAABDQxOTQEAAAAATAHAAAACjEyLzMxLzIwMjAIAAAACjEyLzMxLzIwMjAJAAAAATAxOMeKRCXeCLqpfItEJd4IO0NJUS5CUC5JUV9UT1RBTF9SRVZfMVlSX0FOTl9HUk9XVEguSVFfQ1EuOS8zMC8yMDE0LkwuLlVTRC5IAQAAAOIEBgACAAAABy0yLjc5MTkBCAAAAAUAAAABMQEAAAAKMTc2MTUwNzU4MAMAAAADMTYwAgAAAAQ0MTk0BAAAAAEwBwAAAAk5LzMwLzIwMTQIAAAACTkvMzAvMjAxNAkAAAABMFAEiolEJd4I8n9Yi0Ql3gg7Q0lRLkJQLklRX1RPVEFMX1JFVl8xWVJfQU5OX0dST1dUSC5JUV9DUS45LzMwLzIwMjQuTC4uVVNELkgBAAAA4gQGAAIAAAAILTExLjI3MzQBCAAAAAUAAAABMQEAAAALLTE5MTg2NDY3NDYDAAAAAzE2MAIAAAAENDE5NAQAAAABMAcAAAAJOS8zMC8yMDI0CAAAAAk5LzMwLzIwMjQJAAAAATDqI9qKRCXeCDMSjotEJd4IO0NJUS5CUC5JUV9UT1RBTF9SRVZfMVlSX0FOTl9H</t>
  </si>
  <si>
    <t>Uk9XVEguSVFfQ1EuOS8zMC8yMDE1LkwuLlVTRC5IAQAAAOIEBgACAAAACC00MC40NTYzAQgAAAAFAAAAATEBAAAACjE4MTU1MzY5NjkDAAAAAzE2MAIAAAAENDE5NAQAAAABMAcAAAAJOS8zMC8yMDE1CAAAAAk5LzMwLzIwMTUJAAAAATDIlnyJRCXeCKUPX4tEJd4IJkNJUS5CUC5JUV9OSS5JUV9DUS4xMi8zMS8yMDE5LkwuLlVTRC5IAQAAAOIEBgACAAAAAjE5AQgAAAAFAAAAATEBAAAACjIwODU1NjkwMTcDAAAAAzE2MAIAAAACMTUEAAAAATAHAAAACjEyLzMxLzIwMTkIAAAACjEyLzMxLzIwMTkJAAAAATApX8eKRCXeCLzHd4tEJd4IPENJUS5CUC5JUV9UT1RBTF9SRVZfMVlSX0FOTl9HUk9XVEguSVFfQ1EuMTIvMzEvMjAwOS5MLi5VU0QuSAEAAADiBAYAAgAAAAcxNi4xNDQ1AQgAAAAFAAAAATEBAAAACjE0MzQxOTE4OTQDAAAAAzE2MAIAAAAENDE5NAQAAAABMAcAAAAKMTIvMzEvMjAwOQgAAAAKMTIvMzEvMjAwOQkAAAABMAYzfYlEJd4ICjlBi0Ql3gg7Q0lRLkJQLklRX1RPVEFMX1JFVl8xWVJfQU5OX0dST1dUSC5JUV9DUS45LzMwLzIwMjUuTC4uVVNELkgBAAAA4gQGAAIAAAAGMi40NjI3AQgAAAAFAAAAATEBAAAACy0xOTE4NjQ2NzQzAwAAAAMxNjACAAAABDQxOTQEAAAAATAHAAAACTkvMzAvMjAyNQgAAAAJOS8zMC8yMDI1CQAAAAEw2vzZikQl3ghjaZOLRCXeCDtDSVEuQlAuSVFfVE9UQUxf</t>
  </si>
  <si>
    <t>UkVWXzFZUl9BTk5fR1JPV1RILklRX0NRLjkvMzAvMjAxMS5MLi5VU0QuSAEAAADiBAYAAgAAAAYzNS4wODgBCAAAAAUAAAABMQEAAAAKMTU3Mzg2NTgwNwMAAAADMTYwAgAAAAQ0MTk0BAAAAAEwBwAAAAk5LzMwLzIwMTEIAAAACTkvMzAvMjAxMQkAAAABMOfkfIlEJd4I4KVIi0Ql3gg7Q0lRLkJQLklRX1RPVEFMX1JFVl8xWVJfQU5OX0dST1dUSC5JUV9DUS45LzMwLzIwMjIuTC4uVVNELkgBAAAA4gQGAAIAAAAHNTEuNzkyMgEIAAAABQAAAAExAQAAAAstMjAyMjMxNzg1NwMAAAADMTYwAgAAAAQ0MTk0BAAAAAEwBwAAAAk5LzMwLzIwMjIIAAAACTkvMzAvMjAyMgkAAAABMP7pxopEJd4IDMCEi0Ql3gg7Q0lRLkJQLklRX1RPVEFMX1JFVl8xWVJfQU5OX0dST1dUSC5JUV9DUS45LzMwLzIwMjAuTC4uVVNELkgBAAAA4gQGAAIAAAAILTYxLjQ4NDEBCAAAAAUAAAABMQEAAAALLTIxMjQzMTYwMDgDAAAAAzE2MAIAAAAENDE5NAQAAAABMAcAAAAJOS8zMC8yMDIwCAAAAAk5LzMwLzIwMjAJAAAAATApX8eKRCXeCE2Ye4tEJd4IPENJUS5CUC5JUV9UT1RBTF9SRVZfMVlSX0FOTl9HUk9XVEguSVFfQ1EuMTIvMzEvMjAxMC5MLi5VU0QuSAEAAADiBAYAAgAAAAcxMi4wMTU0AQgAAAAFAAAAATEBAAAACjE1MjY4MjkyMzgDAAAAAzE2MAIAAAAENDE5NAQAAAABMAcAAAAKMTIvMzEvMjAxMAgAAAAKMTIvMzEvMjAx</t>
  </si>
  <si>
    <t>MAkAAAABMPULfYlEJd4IkAlFi0Ql3gg7Q0lRLkJQLklRX1RPVEFMX1JFVl8xWVJfQU5OX0dST1dUSC5JUV9DUS4zLzMxLzIwMjEuTC4uVVNELkgBAAAA4gQGAAIAAAAHMTEuNDQyOQEIAAAABQAAAAExAQAAAAstMjA5OTE5NzIzNwMAAAADMTYwAgAAAAQ0MTk0BAAAAAEwBwAAAAkzLzMxLzIwMjEIAAAACTMvMzEvMjAyMQkAAAABMDE4x4pEJd4IP+J9i0Ql3gg7Q0lRLkJQLklRX1RPVEFMX1JFVl8xWVJfQU5OX0dST1dUSC5JUV9DUS45LzMwLzIwMTguTC4uVVNELkgBAAAA4gQGAAIAAAAHMzIuNjQ3OAEIAAAABQAAAAExAQAAAAoxOTg5MjM4ODk1AwAAAAMxNjACAAAABDQxOTQEAAAAATAHAAAACTkvMzAvMjAxOAgAAAAJOS8zMC8yMDE4CQAAAAEwa1KKiUQl3ghk+3GLRCXeCDtDSVEuQlAuSVFfVE9UQUxfUkVWXzFZUl9BTk5fR1JPV1RILklRX0NRLjYvMzAvMjAyMi5MLi5VU0QuSAEAAADiBAYAAgAAAAc4NS44OTUxAQgAAAAFAAAAATEBAAAACy0yMDM2MzM0MDYxAwAAAAMxNjACAAAABDQxOTQEAAAAATAHAAAACTYvMzAvMjAyMggAAAAJNi8zMC8yMDIyCQAAAAEw/unGikQl3gilroOLRCXeCDxDSVEuQlAuSVFfVE9UQUxfUkVWXzFZUl9BTk5fR1JPV1RILklRX0NRLjEyLzMxLzIwMTguTC4uVVNELkgBAAAA4gQGAAIAAAAHMTIuMTYyNQEIAAAABQAAAAExAQAAAAoyMDIzMDU3MjQyAwAAAAMxNjACAAAA</t>
  </si>
  <si>
    <t>BDQxOTQEAAAAATAHAAAACjEyLzMxLzIwMTgIAAAACjEyLzMxLzIwMTgJAAAAATD1C32JRCXeCOAzc4tEJd4IO0NJUS5CUC5JUV9UT1RBTF9SRVZfMVlSX0FOTl9HUk9XVEguSVFfQ1EuNi8zMC8yMDE0LkwuLlVTRC5IAQAAAOIEBgACAAAABy0wLjc5NjIBCAAAAAUAAAABMQEAAAAKMTc0NzM2NzczMQMAAAADMTYwAgAAAAQ0MTk0BAAAAAEwBwAAAAk2LzMwLzIwMTQIAAAACTYvMzAvMjAxNAkAAAABMFAEiolEJd4INKtWi0Ql3gg8Q0lRLkJQLklRX1RPVEFMX1JFVl8xWVJfQU5OX0dST1dUSC5JUV9DUS4xMi8zMS8yMDE3LkwuLlVTRC5IAQAAAOIEBgACAAAABzMxLjYzMjQBCAAAAAUAAAABMQEAAAAKMTk1MTc0MDMyMwMAAAADMTYwAgAAAAQ0MTk0BAAAAAEwBwAAAAoxMi8zMS8yMDE3CAAAAAoxMi8zMS8yMDE3CQAAAAEwenmKiUQl3giZjm2LRCXeCDtDSVEuQlAuSVFfVE9UQUxfUkVWXzFZUl9BTk5fR1JPV1RILklRX0NRLjYvMzAvMjAxNi5MLi5VU0QuSAEAAADiBAYAAgAAAAgtMjUuMzYyOQEIAAAABQAAAAExAQAAAAoxODUxMTIzMDA5AwAAAAMxNjACAAAABDQxOTQEAAAAATAHAAAACTYvMzAvMjAxNggAAAAJNi8zMC8yMDE2CQAAAAEwoceKiUQl3git8WOLRCXeCDtDSVEuQlAuSVFfVE9UQUxfUkVWXzFZUl9BTk5fR1JPV1RILklRX0NRLjkvMzAvMjAyMy5MLi5VU0QuSAEAAADiBAYAAgAAAActMi4x</t>
  </si>
  <si>
    <t>MTMzAQgAAAAFAAAAATEBAAAACy0xOTcxOTI3MDgzAwAAAAMxNjACAAAABDQxOTQEAAAAATAHAAAACTkvMzAvMjAyMwgAAAAJOS8zMC8yMDIzCQAAAAEw5UraikQl3gjpU4mLRCXeCDxDSVEuQlAuSVFfVE9UQUxfUkVWXzFZUl9BTk5fR1JPV1RILklRX0NRLjEyLzMxLzIwMjQuTC4uVVNELkgBAAAA4gQGAAIAAAAILTEyLjkxNTYBCAAAAAUAAAABMQEAAAALLTE5NTY3OTA4NjgDAAAAAzE2MAIAAAAENDE5NAQAAAABMAcAAAAKMTIvMzEvMjAyNAgAAAAKMTIvMzEvMjAyNAkAAAABMOoj2opEJd4IynGPi0Ql3gg7Q0lRLkJQLklRX1RPVEFMX1JFVl8xWVJfQU5OX0dST1dUSC5JUV9DUS45LzMwLzIwMTkuTC4uVVNELkgBAAAA4gQGAAIAAAAILTE0LjAwNDYBCAAAAAUAAAABMQEAAAAKMjA2NjMyMzU5MwMAAAADMTYwAgAAAAQ0MTk0BAAAAAEwBwAAAAk5LzMwLzIwMTkIAAAACTkvMzAvMjAxOQkAAAABMEiGx4pEJd4ITbZ2i0Ql3gg8Q0lRLkJQLklRX1RPVEFMX1JFVl8xWVJfQU5OX0dST1dUSC5JUV9DUS4xMi8zMS8yMDE2LkwuLlVTRC5IAQAAAOIEBgACAAAABjMuNzI2NgEIAAAABQAAAAExAQAAAAoxODgwNTU1NjU5AwAAAAMxNjACAAAABDQxOTQEAAAAATAHAAAACjEyLzMxLzIwMTYIAAAACjEyLzMxLzIwMTYJAAAAATCNoIqJRCXeCAhNZ4tEJd4IPENJUS5CUC5JUV9UT1RBTF9SRVZfMVlSX0FOTl9HUk9X</t>
  </si>
  <si>
    <t>VEguSVFfQ1EuMTIvMzEvMjAxNS5MLi5VU0QuSAEAAADiBAYAAgAAAAgtMzMuOTA2NAEIAAAABQAAAAExAQAAAAoxODM1MDk3NDc2AwAAAAMxNjACAAAABDQxOTQEAAAAATAHAAAACjEyLzMxLzIwMTUIAAAACjEyLzMxLzIwMTUJAAAAATCm7oqJRCXeCGK9YItEJd4IO0NJUS5CUC5JUV9UT1RBTF9SRVZfMVlSX0FOTl9HUk9XVEguSVFfQ1EuMy8zMS8yMDIzLkwuLlVTRC5IAQAAAOIEBgACAAAABzE0LjI2NTcBCAAAAAUAAAABMQEAAAALLTE5OTYzNjgwNTEDAAAAAzE2MAIAAAAENDE5NAQAAAABMAcAAAAJMy8zMS8yMDIzCAAAAAkzLzMxLzIwMjMJAAAAATDlStqKRCXeCBAKh4tEJd4IPENJUS5CUC5JUV9UT1RBTF9SRVZfMVlSX0FOTl9HUk9XVEguSVFfQ1EuMTIvMzEvMjAyMS5MLi5VU0QuSAEAAADiBAYAAgAAAAc4My4wMzQ5AQgAAAAFAAAAATEBAAAACy0yMDU3NTE5Njc4AwAAAAMxNjACAAAABDQxOTQEAAAAATAHAAAACjEyLzMxLzIwMjEIAAAACjEyLzMxLzIwMjEJAAAAATAJEceKRCXeCJo9gYtEJd4IO0NJUS5CUC5JUV9UT1RBTF9SRVZfMVlSX0FOTl9HUk9XVEguSVFfQ1EuMy8zMS8yMDE5LkwuLlVTRC5IAQAAAOIEBgACAAAABy0yLjgxMjYBCAAAAAUAAAABMQEAAAAKMjAzMTA3NTQxNAMAAAADMTYwAgAAAAQ0MTk0BAAAAAEwBwAAAAkzLzMxLzIwMTkIAAAACTMvMzEvMjAxOQkAAAABMPULfYlE</t>
  </si>
  <si>
    <t>Jd4IW2x0i0Ql3gg7Q0lRLkJQLklRX1RPVEFMX1JFVl8xWVJfQU5OX0dST1dUSC5JUV9DUS42LzMwLzIwMjAuTC4uVVNELkgBAAAA4gQGAAIAAAAILTcwLjc2NTYBCAAAAAUAAAABMQEAAAALLTIxNDA1MDE2MjkDAAAAAzE2MAIAAAAENDE5NAQAAAABMAcAAAAJNi8zMC8yMDIwCAAAAAk2LzMwLzIwMjAJAAAAATApX8eKRCXeCMI4eotEJd4IO0NJUS5CUC5JUV9UT1RBTF9SRVZfMVlSX0FOTl9HUk9XVEguSVFfQ1EuOS8zMC8yMDE3LkwuLlVTRC5IAQAAAOIEBgACAAAABjI3LjE4OQEIAAAABQAAAAExAQAAAAoxOTE2NTMzNTc3AwAAAAMxNjACAAAABDQxOTQEAAAAATAHAAAACTkvMzAvMjAxNwgAAAAJOS8zMC8yMDE3CQAAAAEwenmKiUQl3ggPCGyLRCXeCDxDSVEuQlAuSVFfVE9UQUxfUkVWXzFZUl9BTk5fR1JPV1RILklRX0NRLjEyLzMxLzIwMTQuTC4uVVNELkgBAAAA4gQGAAIAAAAILTIwLjQxNzkBCAAAAAUAAAABMQEAAAAKMTc3OTE1OTQ0NwMAAAADMTYwAgAAAAQ0MTk0BAAAAAEwBwAAAAoxMi8zMS8yMDE0CAAAAAoxMi8zMS8yMDE0CQAAAAEw5+R8iUQl3gioLVqLRCXeCDxDSVEuQlAuSVFfVE9UQUxfUkVWXzFZUl9BTk5fR1JPV1RILklRX0NRLjEyLzMxLzIwMjMuTC4uVVNELkgBAAAA4gQGAAIAAAAILTI2LjI1OTEBCAAAAAUAAAABMQEAAAALLTE5NTY3OTA4OTMDAAAAAzE2MAIAAAAENDE5NAQA</t>
  </si>
  <si>
    <t>AAABMAcAAAAKMTIvMzEvMjAyMwgAAAAKMTIvMzEvMjAyMwkAAAABMOVK2opEJd4I492Ki0Ql3gg7Q0lRLkJQLklRX1RPVEFMX1JFVl8xWVJfQU5OX0dST1dUSC5JUV9DUS45LzMwLzIwMTYuTC4uVVNELkgBAAAA4gQGAAIAAAAILTE2LjIzNzUBCAAAAAUAAAABMQEAAAAKMTg2MzIwOTI5MQMAAAADMTYwAgAAAAQ0MTk0BAAAAAEwBwAAAAk5LzMwLzIwMTYIAAAACTkvMzAvMjAxNgkAAAABMKHHiolEJd4IW59li0Ql3gg7Q0lRLkJQLklRX1RPVEFMX1JFVl8xWVJfQU5OX0dST1dUSC5JUV9DUS42LzMwLzIwMjQuTC4uVVNELkgBAAAA4gQGAAIAAAAHLTIuMzU4NQEIAAAABQAAAAExAQAAAAstMTkxODYxNzYzMQMAAAADMTYwAgAAAAQ0MTk0BAAAAAEwBwAAAAk2LzMwLzIwMjQIAAAACTYvMzAvMjAyNAkAAAABMOoj2opEJd4IwACNi0Ql3gg8Q0lRLkJQLklRX1RPVEFMX1JFVl8xWVJfQU5OX0dST1dUSC5JUV9DUS4xMi8zMS8yMDEyLkwuLlVTRC5IAQAAAOIEBgACAAAABjEuOTU1MgEIAAAABQAAAAExAQAAAAoxNjYxODM2NzEwAwAAAAMxNjACAAAABDQxOTQEAAAAATAHAAAACjEyLzMxLzIwMTIIAAAACjEyLzMxLzIwMTIJAAAAATCrh5iJRCXeCNxtTotEJd4IO0NJUS5CUC5JUV9UT1RBTF9SRVZfMVlSX0FOTl9HUk9XVEguSVFfQ1EuMy8zMS8yMDI0LkwuLlVTRC5IAQAAAOIEBgACAAAACC0xMy4wNTM4AQgA</t>
  </si>
  <si>
    <t>AAAFAAAAATEBAAAACy0xOTQ3OTA4NzE3AwAAAAMxNjACAAAABDQxOTQEAAAAATAHAAAACTMvMzEvMjAyNAgAAAAJMy8zMS8yMDI0CQAAAAEw5UraikQl3ghZ74uLRCXeCDtDSVEuQlAuSVFfVE9UQUxfUkVWXzFZUl9BTk5fR1JPV1RILklRX0NRLjMvMzEvMjAyMC5MLi5VU0QuSAEAAADiBAYAAgAAAActNTMuMzA2AQgAAAAFAAAAATEBAAAACjIwOTIxMzc5OTYDAAAAAzE2MAIAAAAENDE5NAQAAAABMAcAAAAJMy8zMS8yMDIwCAAAAAkzLzMxLzIwMjAJAAAAATApX8eKRCXeCEcAeYtEJd4IO0NJUS5CUC5JUV9UT1RBTF9SRVZfMVlSX0FOTl9HUk9XVEguSVFfQ1EuMy8zMS8yMDE2LkwuLlVTRC5IAQAAAOIEBgACAAAACC0zMC4yMDI5AQgAAAAFAAAAATEBAAAACjE4Mzk0MDkxMTUDAAAAAzE2MAIAAAAENDE5NAQAAAABMAcAAAAJMy8zMS8yMDE2CAAAAAkzLzMxLzIwMTYJAAAAATChx4qJRCXeCA1rYotEJd4IO0NJUS5CUC5JUV9UT1RBTF9SRVZfMVlSX0FOTl9HUk9XVEguSVFfQ1EuMy8zMS8yMDE0LkwuLlVTRC5IAQAAAOIEBgACAAAABy0yLjU0NzIBCAAAAAUAAAABMQEAAAAKMTczMDYwMzY4OAMAAAADMTYwAgAAAAQ0MTk0BAAAAAEwBwAAAAkzLzMxLzIwMTQIAAAACTMvMzEvMjAxNAkAAAABMFAEiolEJd4Ih/1Ui0Ql3gg7Q0lRLkJQLklRX1RPVEFMX1JFVl8xWVJfQU5OX0dST1dUSC5JUV9DUS4zLzMx</t>
  </si>
  <si>
    <t>LzIwMTAuTC4uVVNELkgBAAAA4gQGAAIAAAAHNTQuNDk3MgEIAAAABQAAAAExAQAAAAoxNDQ4OTkxMjYxAwAAAAMxNjACAAAABDQxOTQEAAAAATAHAAAACTMvMzEvMjAxMAgAAAAJMy8zMS8yMDEwCQAAAAEwBjN9iUQl3ghjI0KLRCXeCDtDSVEuQlAuSVFfVE9UQUxfUkVWXzFZUl9BTk5fR1JPV1RILklRX0NRLjMvMzEvMjAxMy5MLi5VU0QuSAEAAADiBAYAAgAAAActMC44MTI3AQgAAAAFAAAAATEBAAAACjE2NzQyMTg2MjUDAAAAAzE2MAIAAAAENDE5NAQAAAABMAcAAAAJMy8zMS8yMDEzCAAAAAkzLzMxLzIwMTMJAAAAATCYYJiJRCXeCEN/T4tEJd4IO0NJUS5CUC5JUV9UT1RBTF9SRVZfMVlSX0FOTl9HUk9XVEguSVFfQ1EuNi8zMC8yMDEwLkwuLlVTRC5IAQAAAOIEBgACAAAABzM0LjU5MTEBCAAAAAUAAAABMQEAAAAKMTQ2Mzg0NzMwMQMAAAADMTYwAgAAAAQ0MTk0BAAAAAEwBwAAAAk2LzMwLzIwMTAIAAAACTYvMzAvMjAxMAkAAAABMAYzfYlEJd4I2Q1Di0Ql3gg7Q0lRLkJQLklRX1RPVEFMX1JFVl8xWVJfQU5OX0dST1dUSC5JUV9DUS42LzMwLzIwMTcuTC4uVVNELkgBAAAA4gQGAAIAAAAHMjEuNjA5MgEIAAAABQAAAAExAQAAAAoxODk3NzI0MDUxAwAAAAMxNjACAAAABDQxOTQEAAAAATAHAAAACTYvMzAvMjAxNwgAAAAJNi8zMC8yMDE3CQAAAAEwjaCKiUQl3ghRgWqLRCXeCDtDSVEuQlAuSVFf</t>
  </si>
  <si>
    <t>VE9UQUxfUkVWXzFZUl9BTk5fR1JPV1RILklRX0NRLjYvMzAvMjAxNS5MLi5VU0QuSAEAAADiBAYAAgAAAAgtMzQuMTQyMwEIAAAABQAAAAExAQAAAAoxODAwMjg2Nzk3AwAAAAMxNjACAAAABDQxOTQEAAAAATAHAAAACTYvMzAvMjAxNQgAAAAJNi8zMC8yMDE1CQAAAAEwyJZ8iUQl3gj9YV2LRCXeCDtDSVEuQlAuSVFfVE9UQUxfUkVWXzFZUl9BTk5fR1JPV1RILklRX0NRLjYvMzAvMjAyMy5MLi5VU0QuSAEAAADiBAYAAgAAAAgtMjcuNDg1OAEIAAAABQAAAAExAQAAAAstMTk3MDg4MzQwNwMAAAADMTYwAgAAAAQ0MTk0BAAAAAEwBwAAAAk2LzMwLzIwMjMIAAAACTYvMzAvMjAyMwkAAAABMOVK2opEJd4IhUKIi0Ql3gg7Q0lRLkJQLklRX1RPVEFMX1JFVl8xWVJfQU5OX0dST1dUSC5JUV9DUS42LzMwLzIwMjEuTC4uVVNELkgBAAAA4gQGAAIAAAAGNzEuMTIzAQgAAAAFAAAAATEBAAAACy0yMDg3MTgzNDIwAwAAAAMxNjACAAAABDQxOTQEAAAAATAHAAAACTYvMzAvMjAyMQgAAAAJNi8zMC8yMDIxCQAAAAEwCRHHikQl3gis836LRCXeCDtDSVEuQlAuSVFfVE9UQUxfUkVWXzFZUl9BTk5fR1JPV1RILklRX0NRLjYvMzAvMjAxOS5MLi5VU0QuSAEAAADiBAYAAgAAAAYtMy40NzUBCAAAAAUAAAABMQEAAAAKMjA0NzkyMDE2OAMAAAADMTYwAgAAAAQ0MTk0BAAAAAEwBwAAAAk2LzMwLzIwMTkIAAAACTYvMzAv</t>
  </si>
  <si>
    <t>MjAxOQkAAAABMEiGx4pEJd4Iz311i0Ql3gg8Q0lRLkJQLklRX1RPVEFMX1JFVl8xWVJfQU5OX0dST1dUSC5JUV9DUS4xMi8zMS8yMDEzLkwuLlVTRC5IAQAAAOIEBgACAAAABy0xLjYyODEBCAAAAAUAAAABMQEAAAAKMTcyMTkxOTU0OAMAAAADMTYwAgAAAAQ0MTk0BAAAAAEwBwAAAAoxMi8zMS8yMDEzCAAAAAoxMi8zMS8yMDEzCQAAAAEwbiuKiUQl3gjldlOLRCXeCDtDSVEuQlAuSVFfVE9UQUxfUkVWXzFZUl9BTk5fR1JPV1RILklRX0NRLjMvMzEvMjAxMS5MLi5VU0QuSAEAAADiBAYAAgAAAAcxNi43NzU0AQgAAAAFAAAAATEBAAAACjE1NDQ4ODA2OTIDAAAAAzE2MAIAAAAENDE5NAQAAAABMAcAAAAJMy8zMS8yMDExCAAAAAkzLzMxLzIwMTEJAAAAATD1C32JRCXeCA9CRotEJd4IMUNJUS5CUC5JUV9UT1RBTF9SRVZFTlVFLklRX0xUTS45LzMwLzIwMTguTC4uVVNELkgBAAAA4gQGAAIAAAAGMjg5MDM0AQgAAAAFAAAAATEBAAAACjE5ODkyMzg5MjYDAAAAAzE2MAIAAAACMjgEAAAAATAHAAAACTkvMzAvMjAxOAgAAAAJOS8zMC8yMDE4CQAAAAEwa1KKiUQl3gh0InKLRCXeCDtDSVEuQlAuSVFfVE9UQUxfUkVWXzFZUl9BTk5fR1JPV1RILklRX0NRLjYvMzAvMjAxMy5MLi5VU0QuSAEAAADiBAYAAgAAAAYtMC4yNzgBCAAAAAUAAAABMQEAAAAKMTY4ODY3NTY1NgMAAAADMTYwAgAAAAQ0MTk0BAAAAAEw</t>
  </si>
  <si>
    <t>BwAAAAk2LzMwLzIwMTMIAAAACTYvMzAvMjAxMwkAAAABMGtSiolEJd4Iu7dQi0Ql3gg7Q0lRLkJQLklRX1RPVEFMX1JFVl8xWVJfQU5OX0dST1dUSC5JUV9DUS42LzMwLzIwMTEuTC4uVVNELkgBAAAA4gQGAAIAAAAHMzcuNDg5MwEIAAAABQAAAAExAQAAAAoxNTU2OTUzNDA5AwAAAAMxNjACAAAABDQxOTQEAAAAATAHAAAACTYvMzAvMjAxMQgAAAAJNi8zMC8yMDExCQAAAAEw5+R8iUQl3giIU0eLRCXeCDtDSVEuQlAuSVFfVE9UQUxfUkVWXzFZUl9BTk5fR1JPV1RILklRX0NRLjYvMzAvMjAyNS5MLi5VU0QuSAEAAADiBAYAAgAAAAYtMS4zMzgBCAAAAAUAAAABMQEAAAALLTE5MTg2NDY2MzEDAAAAAzE2MAIAAAAENDE5NAQAAAABMAcAAAAJNi8zMC8yMDI1CAAAAAk2LzMwLzIwMjUJAAAAATDqI9qKRCXeCPNXkotEJd4IO0NJUS5CUC5JUV9UT1RBTF9SRVZfMVlSX0FOTl9HUk9XVEguSVFfQ1EuMy8zMS8yMDEyLkwuLlVTRC5IAQAAAOIEBgACAAAABzExLjE5MDgBCAAAAAUAAAABMQEAAAAKMTYxNDk3ODI3NgMAAAADMTYwAgAAAAQ0MTk0BAAAAAEwBwAAAAkzLzMxLzIwMTIIAAAACTMvMzEvMjAxMgkAAAABMNu9fIlEJd4ITPhKi0Ql3gg7Q0lRLkJQLklRX1RPVEFMX1JFVl8xWVJfQU5OX0dST1dUSC5JUV9DUS4zLzMxLzIwMjIuTC4uVVNELkgBAAAA4gQGAAIAAAAHNDIuMTc0MwEIAAAABQAAAAExAQAA</t>
  </si>
  <si>
    <t>AAstMjA0ODE1MTMyMwMAAAADMTYwAgAAAAQ0MTk0BAAAAAEwBwAAAAkzLzMxLzIwMjIIAAAACTMvMzEvMjAyMgkAAAABMAkRx4pEJd4IJXaCi0Ql3gg7Q0lRLkJQLklRX1RPVEFMX1JFVl8xWVJfQU5OX0dST1dUSC5JUV9DUS4zLzMxLzIwMTguTC4uVVNELkgBAAAA4gQGAAIAAAAHMjIuNDAwOQEIAAAABQAAAAExAQAAAAoxOTU3OTI5MTQxAwAAAAMxNjACAAAABDQxOTQEAAAAATAHAAAACTMvMzEvMjAxOAgAAAAJMy8zMS8yMDE4CQAAAAEwenmKiUQl3ghcY2+LRCXeCDFDSVEuQlAuSVFfVE9UQUxfUkVWRU5VRS5JUV9MVE0uOS8zMC8yMDIwLkwuLlVTRC5IAQAAAOIEBgACAAAABjE0OTEyNgEIAAAABQAAAAExAQAAAAstMjEyNDMxNTg1MAMAAAADMTYwAgAAAAIyOAQAAAABMAcAAAAJOS8zMC8yMDIwCAAAAAk5LzMwLzIwMjAJAAAAATApX8eKRCXeCE2Ye4tEJd4IMUNJUS5CUC5JUV9UT1RBTF9SRVZFTlVFLklRX0xUTS42LzMwLzIwMTkuTC4uVVNELkgBAAAA4gQGAAIAAAAGMjkyNzEwAQgAAAAFAAAAATEBAAAACjIwNDc5MjAyMTkDAAAAAzE2MAIAAAACMjgEAAAAATAHAAAACTYvMzAvMjAxOQgAAAAJNi8zMC8yMDE5CQAAAAEwSIbHikQl3gjhpHWLRCXeCDFDSVEuQlAuSVFfVE9UQUxfUkVWRU5VRS5JUV9MVE0uMy8zMS8yMDE1LkwuLlVTRC5IAQAAAOIEBgACAAAABjMxNzYwMAEIAAAABQAAAAExAQAA</t>
  </si>
  <si>
    <t>AAoxODAwMzU5MDk2AwAAAAMxNjACAAAAAjI4BAAAAAEwBwAAAAkzLzMxLzIwMTUIAAAACTMvMzEvMjAxNQkAAAABMNu9fIlEJd4IagJci0Ql3ggxQ0lRLkJQLklRX1RPVEFMX1JFVkVOVUUuSVFfTFRNLjYvMzAvMjAyMy5MLi5VU0QuSAEAAADiBAYAAgAAAAYyMjc1NDABCAAAAAUAAAABMQEAAAALLTE5NzA4ODM0MDYDAAAAAzE2MAIAAAACMjgEAAAAATAHAAAACTYvMzAvMjAyMwgAAAAJNi8zMC8yMDIzCQAAAAEw5UraikQl3giPaYiLRCXeCDJDSVEuQlAuSVFfVE9UQUxfUkVWRU5VRS5JUV9MVE0uMTIvMzEvMjAxNi5MLi5VU0QuSAEAAADiBAYAAgAAAAYxODIzMjUBCAAAAAUAAAABMQEAAAAKMTk1MTc0MDE5OAMAAAADMTYwAgAAAAIyOAQAAAABMAcAAAAKMTIvMzEvMjAxNggAAAAKMTIvMzEvMjAxNgkAAAABMI2giolEJd4IJXRni0Ql3ggyQ0lRLkJQLklRX1RPVEFMX1JFVkVOVUUuSVFfTFRNLjEyLzMxLzIwMjAuTC4uVVNELkgBAAAA4gQGAAIAAAAGMTA1NjcyAQgAAAAFAAAAATEBAAAACy0yMDU3NTE5NjI1AwAAAAMxNjACAAAAAjI4BAAAAAEwBwAAAAoxMi8zMS8yMDIwCAAAAAoxMi8zMS8yMDIwCQAAAAEwMTjHikQl3gjM0HyLRCXeCDFDSVEuQlAuSVFfVE9UQUxfUkVWRU5VRS5JUV9MVE0uMy8zMS8yMDE3LkwuLlVTRC5IAQAAAOIEBgACAAAABjE5OTU0NQEIAAAABQAAAAExAQAAAAoxODg1ODIx</t>
  </si>
  <si>
    <t>NTY3AwAAAAMxNjACAAAAAjI4BAAAAAEwBwAAAAkzLzMxLzIwMTcIAAAACTMvMzEvMjAxNwkAAAABMI2giolEJd4Itfpoi0Ql3ggxQ0lRLkJQLklRX1RPVEFMX1JFVkVOVUUuSVFfTFRNLjYvMzAvMjAxMi5MLi5VU0QuSAEAAADiBAYAAgAAAAYzNzg2NzcBCAAAAAUAAAABMQEAAAAKMTYyODYzNjcyOQMAAAADMTYwAgAAAAIyOAQAAAABMAcAAAAJNi8zMC8yMDEyCAAAAAk2LzMwLzIwMTIJAAAAATCrh5iJRCXeCLpdTItEJd4IMUNJUS5CUC5JUV9UT1RBTF9SRVZFTlVFLklRX0xUTS45LzMwLzIwMjIuTC4uVVNELkgBAAAA4gQGAAIAAAAGMjIwODcwAQgAAAAFAAAAATEBAAAACy0yMDIyMzE3MzUxAwAAAAMxNjACAAAAAjI4BAAAAAEwBwAAAAk5LzMwLzIwMjIIAAAACTkvMzAvMjAyMgkAAAABMP7pxopEJd4IIueEi0Ql3ggxQ0lRLkJQLklRX1RPVEFMX1JFVkVOVUUuSVFfTFRNLjYvMzAvMjAxOC5MLi5VU0QuSAEAAADiBAYAAgAAAAYyNjk1ODYBCAAAAAUAAAABMQEAAAAKMTk3MjgxMjc2NwMAAAADMTYwAgAAAAIyOAQAAAABMAcAAAAJNi8zMC8yMDE4CAAAAAk2LzMwLzIwMTgJAAAAATBrUoqJRCXeCAoRcYtEJd4IMUNJUS5CUC5JUV9UT1RBTF9SRVZFTlVFLklRX0xUTS4zLzMxLzIwMTkuTC4uVVNELkgBAAAA4gQGAAIAAAAGMjk1MzEzAQgAAAAFAAAAATEBAAAACjIwMzEwNzU0NTMDAAAAAzE2MAIAAAAC</t>
  </si>
  <si>
    <t>MjgEAAAAATAHAAAACTMvMzEvMjAxOQgAAAAJMy8zMS8yMDE5CQAAAAEw9Qt9iUQl3ghbbHSLRCXeCDFDSVEuQlAuSVFfVE9UQUxfUkVWRU5VRS5JUV9MVE0uOS8zMC8yMDEwLkwuLlVTRC5IAQAAAOIEBgACAAAABjI4ODkyMAEIAAAABQAAAAExAQAAAAoxNDc4NzMyMjU1AwAAAAMxNjACAAAAAjI4BAAAAAEwBwAAAAk5LzMwLzIwMTAIAAAACTkvMzAvMjAxMAkAAAABMAYzfYlEJd4IMR9Ei0Ql3ggxQ0lRLkJQLklRX1RPVEFMX1JFVkVOVUUuSVFfTFRNLjkvMzAvMjAxMy5MLi5VU0QuSAEAAADiBAYAAgAAAAYzODA2ODcBCAAAAAUAAAABMQEAAAAKMTcwMzQ0OTcxMgMAAAADMTYwAgAAAAIyOAQAAAABMAcAAAAJOS8zMC8yMDEzCAAAAAk5LzMwLzIwMTMJAAAAATBuK4qJRCXeCEwXUotEJd4IMUNJUS5CUC5JUV9UT1RBTF9SRVZFTlVFLklRX0xUTS45LzMwLzIwMjQuTC4uVVNELkgBAAAA4gQGAAIAAAAGMTkzOTI5AQgAAAAFAAAAATEBAAAACy0xOTE4NjQ2NzE0AwAAAAMxNjACAAAAAjI4BAAAAAEwBwAAAAk5LzMwLzIwMjQIAAAACTkvMzAvMjAyNAkAAAABMOoj2opEJd4IQTmOi0Ql3ggxQ0lRLkJQLklRX1RPVEFMX1JFVkVOVUUuSVFfTFRNLjMvMzEvMjAyMy5MLi5VU0QuSAEAAADiBAYAAgAAAAYyNDYwMjIBCAAAAAUAAAABMQEAAAALLTE5OTYzNjc2NTcDAAAAAzE2MAIAAAACMjgEAAAAATAHAAAACTMv</t>
  </si>
  <si>
    <t>MzEvMjAyMwgAAAAJMy8zMS8yMDIzCQAAAAEw5UraikQl3ggOMYeLRCXeCDFDSVEuQlAuSVFfVE9UQUxfUkVWRU5VRS5JUV9MVE0uOS8zMC8yMDE2LkwuLlVTRC5IAQAAAOIEBgACAAAABjE4MDgxMQEIAAAABQAAAAExAQAAAAoxODYzMjA5NTU5AwAAAAMxNjACAAAAAjI4BAAAAAEwBwAAAAk5LzMwLzIwMTYIAAAACTkvMzAvMjAxNgkAAAABMKHHiolEJd4Ib8Zli0Ql3ggxQ0lRLkJQLklRX1RPVEFMX1JFVkVOVUUuSVFfTFRNLjYvMzAvMjAxMC5MLi5VU0QuSAEAAADiBAYAAgAAAAYyODQ1MzABCAAAAAUAAAABMQEAAAAKMTQ2Mzg1ODgzNAMAAAADMTYwAgAAAAIyOAQAAAABMAcAAAAJNi8zMC8yMDEwCAAAAAk2LzMwLzIwMTAJAAAAATAGM32JRCXeCNY0Q4tEJd4IMUNJUS5CUC5JUV9UT1RBTF9SRVZFTlVFLklRX0xUTS45LzMwLzIwMjEuTC4uVVNELkgBAAAA4gQGAAIAAAAGMTMzODc1AQgAAAAFAAAAATEBAAAACy0yMDcyNjMyMDA1AwAAAAMxNjACAAAAAjI4BAAAAAEwBwAAAAk5LzMwLzIwMjEIAAAACTkvMzAvMjAyMQkAAAABMAkRx4pEJd4IP1OAi0Ql3ggxQ0lRLkJQLklRX1RPVEFMX1JFVkVOVUUuSVFfTFRNLjkvMzAvMjAxNy5MLi5VU0QuSAEAAADiBAYAAgAAAAYyMjIyNTkBCAAAAAUAAAABMQEAAAAKMTkxNjUzMzY2MwMAAAADMTYwAgAAAAIyOAQAAAABMAcAAAAJOS8zMC8yMDE3CAAAAAk5LzMw</t>
  </si>
  <si>
    <t>LzIwMTcJAAAAATB6eYqJRCXeCBBWbItEJd4IMUNJUS5CUC5JUV9UT1RBTF9SRVZFTlVFLklRX0xUTS42LzMwLzIwMjIuTC4uVVNELkgBAAAA4gQGAAIAAAAGMjAyMzE4AQgAAAAFAAAAATEBAAAACy0yMDM2MzMzOTg0AwAAAAMxNjACAAAAAjI4BAAAAAEwBwAAAAk2LzMwLzIwMjIIAAAACTYvMzAvMjAyMgkAAAABMP7pxopEJd4Ipa6Di0Ql3ggxQ0lRLkJQLklRX1RPVEFMX1JFVkVOVUUuSVFfTFRNLjMvMzEvMjAxOC5MLi5VU0QuSAEAAADiBAYAAgAAAAYyNTA4NDIBCAAAAAUAAAABMQEAAAAKMTk1NzkyOTIyMAMAAAADMTYwAgAAAAIyOAQAAAABMAcAAAAJMy8zMS8yMDE4CAAAAAkzLzMxLzIwMTgJAAAAATB6eYqJRCXeCIqKb4tEJd4IMUNJUS5CUC5JUV9UT1RBTF9SRVZFTlVFLklRX0xUTS45LzMwLzIwMTUuTC4uVVNELkgBAAAA4gQGAAIAAAAGMjQ3NTMxAQgAAAAFAAAAATEBAAAACjE4MTU1MzcxMTQDAAAAAzE2MAIAAAACMjgEAAAAATAHAAAACTkvMzAvMjAxNQgAAAAJOS8zMC8yMDE1CQAAAAEwyJZ8iUQl3gi7Nl+LRCXeCDFDSVEuQlAuSVFfVE9UQUxfUkVWRU5VRS5JUV9MVE0uNi8zMC8yMDIxLkwuLlVTRC5IAQAAAOIEBgACAAAABjEyNDIyNwEIAAAABQAAAAExAQAAAAstMjA4NzE4MzMzMAMAAAADMTYwAgAAAAIyOAQAAAABMAcAAAAJNi8zMC8yMDIxCAAAAAk2LzMwLzIwMjEJAAAAATAJEceK</t>
  </si>
  <si>
    <t>RCXeCNoaf4tEJd4IMUNJUS5CUC5JUV9UT1RBTF9SRVZFTlVFLklRX0xUTS4zLzMxLzIwMTQuTC4uVVNELkgBAAAA4gQGAAIAAAAGMzc2NzM5AQgAAAAFAAAAATEBAAAACjE3MzA2MDUxMTADAAAAAzE2MAIAAAACMjgEAAAAATAHAAAACTMvMzEvMjAxNAgAAAAJMy8zMS8yMDE0CQAAAAEwUASKiUQl3gilS1WLRCXeCDFDSVEuQlAuSVFfVE9UQUxfUkVWRU5VRS5JUV9MVE0uMy8zMS8yMDIwLkwuLlVTRC5IAQAAAOIEBgACAAAABjI0MjA3MgEIAAAABQAAAAExAQAAAAoyMDkyMTM4MDMyAwAAAAMxNjACAAAAAjI4BAAAAAEwBwAAAAkzLzMxLzIwMjAIAAAACTMvMzEvMjAyMAkAAAABMClfx4pEJd4IUid5i0Ql3ggxQ0lRLkJQLklRX1RPVEFMX1JFVkVOVUUuSVFfTFRNLjMvMzEvMjAxMy5MLi5VU0QuSAEAAADiBAYAAgAAAAYzNzYzNTIBCAAAAAUAAAABMQEAAAAKMTY3NDIzMzk1NQMAAAADMTYwAgAAAAIyOAQAAAABMAcAAAAJMy8zMS8yMDEzCAAAAAkzLzMxLzIwMTMJAAAAATCYYJiJRCXeCE2mT4tEJd4IMUNJUS5CUC5JUV9UT1RBTF9SRVZFTlVFLklRX0xUTS4zLzMxLzIwMjQuTC4uVVNELkgBAAAA4gQGAAIAAAAGMjAxMDc5AQgAAAAFAAAAATEBAAAACy0xOTQ3OTA4MDYxAwAAAAMxNjACAAAAAjI4BAAAAAEwBwAAAAkzLzMxLzIwMjQIAAAACTMvMzEvMjAyNAkAAAABMOVK2opEJd4IWe+Li0Ql3ggxQ0lR</t>
  </si>
  <si>
    <t>LkJQLklRX1RPVEFMX1JFVkVOVUUuSVFfTFRNLjkvMzAvMjAxMS5MLi5VU0QuSAEAAADiBAYAAgAAAAYzNjIxODUBCAAAAAUAAAABMQEAAAAKMTU3Mzg4NzM5NAMAAAADMTYwAgAAAAIyOAQAAAABMAcAAAAJOS8zMC8yMDExCAAAAAk5LzMwLzIwMTEJAAAAATDn5HyJRCXeCDDhSItEJd4IMUNJUS5CUC5JUV9UT1RBTF9SRVZFTlVFLklRX0xUTS45LzMwLzIwMTkuTC4uVVNELkgBAAAA4gQGAAIAAAAGMjgxNjQ0AQgAAAAFAAAAATEBAAAACjIwNjYzMjM5MTMDAAAAAzE2MAIAAAACMjgEAAAAATAHAAAACTkvMzAvMjAxOQgAAAAJOS8zMC8yMDE5CQAAAAEwSIbHikQl3ghj3XaLRCXeCDJDSVEuQlAuSVFfVE9UQUxfUkVWRU5VRS5JUV9MVE0uMTIvMzEvMjAxMi5MLi5VU0QuSAEAAADiBAYAAgAAAAYzNzU3NjUBCAAAAAUAAAABMQEAAAAKMTcyMTkxOTc1NQMAAAADMTYwAgAAAAIyOAQAAAABMAcAAAAKMTIvMzEvMjAxMggAAAAKMTIvMzEvMjAxMgkAAAABMKuHmIlEJd4I4pROi0Ql3ggyQ0lRLkJQLklRX1RPVEFMX1JFVkVOVUUuSVFfTFRNLjEyLzMxLzIwMTguTC4uVVNELkgBAAAA4gQGAAIAAAAGMjk3NTMzAQgAAAAFAAAAATEBAAAACjIwODU1NjkwMTEDAAAAAzE2MAIAAAACMjgEAAAAATAHAAAACjEyLzMxLzIwMTgIAAAACjEyLzMxLzIwMTgJAAAAATD1C32JRCXeCPRac4tEJd4IMkNJUS5CUC5JUV9UT1RB</t>
  </si>
  <si>
    <t>TF9SRVZFTlVFLklRX0xUTS4xMi8zMS8yMDE0LkwuLlVTRC5IAQAAAOIEBgACAAAABjM1MTE5NQEIAAAABQAAAAExAQAAAAoxODM1MDk3NDcyAwAAAAMxNjACAAAAAjI4BAAAAAEwBwAAAAoxMi8zMS8yMDE0CAAAAAoxMi8zMS8yMDE0CQAAAAEw2718iUQl3gi+VFqLRCXeCDFDSVEuQlAuSVFfVE9UQUxfUkVWRU5VRS5JUV9MVE0uNi8zMC8yMDE3LkwuLlVTRC5IAQAAAOIEBgACAAAABjIwOTUyNQEIAAAABQAAAAExAQAAAAoxODk3NzI0MjAwAwAAAAMxNjACAAAAAjI4BAAAAAEwBwAAAAk2LzMwLzIwMTcIAAAACTYvMzAvMjAxNwkAAAABMI2giolEJd4IY6hqi0Ql3ggxQ0lRLkJQLklRX1RPVEFMX1JFVkVOVUUuSVFfTFRNLjMvMzEvMjAxMi5MLi5VU0QuSAEAAADiBAYAAgAAAAYzODUwNjYBCAAAAAUAAAABMQEAAAAKMTYxNDk4ODM0MQMAAAADMTYwAgAAAAIyOAQAAAABMAcAAAAJMy8zMS8yMDEyCAAAAAkzLzMxLzIwMTIJAAAAATDbvXyJRCXeCK8zS4tEJd4IMUNJUS5CUC5JUV9UT1RBTF9SRVZFTlVFLklRX0xUTS4zLzMxLzIwMTEuTC4uVVNELkgBAAAA4gQGAAIAAAAGMzA5NzcxAQgAAAAFAAAAATEBAAAACjE1NDQ4ODUyMjUDAAAAAzE2MAIAAAACMjgEAAAAATAHAAAACTMvMzEvMjAxMQgAAAAJMy8zMS8yMDExCQAAAAEw9Qt9iUQl3ggmaUaLRCXeCDFDSVEuQlAuSVFfVE9UQUxfUkVWRU5VRS5JUV9M</t>
  </si>
  <si>
    <t>VE0uNi8zMC8yMDI0LkwuLlVTRC5IAQAAAOIEBgACAAAABjE5OTkyOQEIAAAABQAAAAExAQAAAAstMTkxODYxNzYzMAMAAAADMTYwAgAAAAIyOAQAAAABMAcAAAAJNi8zMC8yMDI0CAAAAAk2LzMwLzIwMjQJAAAAATDqI9qKRCXeCNgnjYtEJd4IMUNJUS5CUC5JUV9UT1RBTF9SRVZFTlVFLklRX0xUTS4zLzMxLzIwMjEuTC4uVVNELkgBAAAA4gQGAAIAAAAGMTA5MTkzAQgAAAAFAAAAATEBAAAACy0yMDk5MTk2ODM5AwAAAAMxNjACAAAAAjI4BAAAAAEwBwAAAAkzLzMxLzIwMjEIAAAACTMvMzEvMjAyMQkAAAABMDE4x4pEJd4ITAl+i0Ql3ggyQ0lRLkJQLklRX1RPVEFMX1JFVkVOVUUuSVFfTFRNLjEyLzMxLzIwMTAuTC4uVVNELkgBAAAA4gQGAAIAAAAGMjk3MTA3AQgAAAAFAAAAATEBAAAACjE1OTA0NTgwMzYDAAAAAzE2MAIAAAACMjgEAAAAATAHAAAACjEyLzMxLzIwMTAIAAAACjEyLzMxLzIwMTAJAAAAATD1C32JRCXeCKYwRYtEJd4IMUNJUS5CUC5JUV9UT1RBTF9SRVZFTlVFLklRX0xUTS45LzMwLzIwMTQuTC4uVVNELkgBAAAA4gQGAAIAAAAGMzczMjg4AQgAAAAFAAAAATEBAAAACjE3NjE1MDg0NjEDAAAAAzE2MAIAAAACMjgEAAAAATAHAAAACTkvMzAvMjAxNAgAAAAJOS8zMC8yMDE0CQAAAAEwUASKiUQl3ggMp1iLRCXeCDFDSVEuQlAuSVFfVE9UQUxfUkVWRU5VRS5JUV9MVE0uMy8zMS8yMDEw</t>
  </si>
  <si>
    <t>LkwuLlVTRC5IAQAAAOIEBgACAAAABjI2NTU4MgEIAAAABQAAAAExAQAAAAoxNDQ5MDAyODcyAwAAAAMxNjACAAAAAjI4BAAAAAEwBwAAAAkzLzMxLzIwMTAIAAAACTMvMzEvMjAxMAkAAAABMAYzfYlEJd4Ib0pCi0Ql3ggyQ0lRLkJQLklRX1RPVEFMX1JFVkVOVUUuSVFfTFRNLjEyLzMxLzIwMjIuTC4uVVNELkgBAAAA4gQGAAIAAAAGMjM5MDY3AQgAAAAFAAAAATEBAAAACy0xOTU2NzkwOTA3AwAAAAMxNjACAAAAAjI4BAAAAAEwBwAAAAoxMi8zMS8yMDIyCAAAAAoxMi8zMS8yMDIyCQAAAAEw/unGikQl3gidH4aLRCXeCDFDSVEuQlAuSVFfVE9UQUxfUkVWRU5VRS5JUV9MVE0uNi8zMC8yMDIwLkwuLlVTRC5IAQAAAOIEBgACAAAABjE5MDkwNQEIAAAABQAAAAExAQAAAAstMjE0MDUwMTE2MAMAAAADMTYwAgAAAAIyOAQAAAABMAcAAAAJNi8zMC8yMDIwCAAAAAk2LzMwLzIwMjAJAAAAATApX8eKRCXeCNhfeotEJd4IMkNJUS5CUC5JUV9UT1RBTF9SRVZFTlVFLklRX0xUTS4xMi8zMS8yMDEzLkwuLlVTRC5IAQAAAOIEBgACAAAABjM3OTYzMQEIAAAABQAAAAExAQAAAAoxNzc5MTU5NDE3AwAAAAMxNjACAAAAAjI4BAAAAAEwBwAAAAoxMi8zMS8yMDEzCAAAAAoxMi8zMS8yMDEzCQAAAAEwbiuKiUQl3gj2nVOLRCXeCDJDSVEuQlAuSVFfVE9UQUxfUkVWRU5VRS5JUV9MVE0uMTIvMzEvMjAxOS5MLi5VU0Qu</t>
  </si>
  <si>
    <t>SAEAAADiBAYAAgAAAAYxNTgxMDkBCAAAAAUAAAABMQEAAAALLTIxMDc3NTMyMjQDAAAAAzE2MAIAAAACMjgEAAAAATAHAAAACjEyLzMxLzIwMTkIAAAACjEyLzMxLzIwMTkJAAAAATApX8eKRCXeCMvud4tEJd4IMUNJUS5CUC5JUV9UT1RBTF9SRVZFTlVFLklRX0xUTS42LzMwLzIwMTEuTC4uVVNELkgBAAAA4gQGAAIAAAAGMzM3NDEwAQgAAAAFAAAAATEBAAAACjE1NTY5NjIxNDIDAAAAAzE2MAIAAAACMjgEAAAAATAHAAAACTYvMzAvMjAxMQgAAAAJNi8zMC8yMDExCQAAAAEw5+R8iUQl3gi5oUeLRCXeCDFDSVEuQlAuSVFfVE9UQUxfUkVWRU5VRS5JUV9MVE0uMy8zMS8yMDIyLkwuLlVTRC5IAQAAAOIEBgACAAAABjE3MTI0OAEIAAAABQAAAAExAQAAAAstMjA0ODE1MTIyMAMAAAADMTYwAgAAAAIyOAQAAAABMAcAAAAJMy8zMS8yMDIyCAAAAAkzLzMxLzIwMjIJAAAAATAJEceKRCXeCDSdgotEJd4IMUNJUS5CUC5JUV9UT1RBTF9SRVZFTlVFLklRX0xUTS42LzMwLzIwMTYuTC4uVVNELkgBAAAA4gQGAAIAAAAGMTg5ODkwAQgAAAAFAAAAATEBAAAACjE4NTExMjMxNjgDAAAAAzE2MAIAAAACMjgEAAAAATAHAAAACTYvMzAvMjAxNggAAAAJNi8zMC8yMDE2CQAAAAEwoceKiUQl3gjQP2SLRCXeCDFDSVEuQlAuSVFfVE9UQUxfUkVWRU5VRS5JUV9MVE0uMy8zMS8yMDE2LkwuLlVTRC5IAQAAAOIEBgACAAAA</t>
  </si>
  <si>
    <t>BjIwNTU4NAEIAAAABQAAAAExAQAAAAoxODM5NDA5NDM2AwAAAAMxNjACAAAAAjI4BAAAAAEwBwAAAAkzLzMxLzIwMTYIAAAACTMvMzEvMjAxNgkAAAABMKHHiolEJd4IFZJii0Ql3ggxQ0lRLkJQLklRX1RPVEFMX1JFVkVOVUUuSVFfTFRNLjkvMzAvMjAxMi5MLi5VU0QuSAEAAADiBAYAAgAAAAYzNzUyOTYBCAAAAAUAAAABMQEAAAAKMTY0MjY1MTIxNgMAAAADMTYwAgAAAAIyOAQAAAABMAcAAAAJOS8zMC8yMDEyCAAAAAk5LzMwLzIwMTIJAAAAATCrh5iJRCXeCHKDTYtEJd4IMUNJUS5CUC5JUV9UT1RBTF9SRVZFTlVFLklRX0xUTS42LzMwLzIwMTMuTC4uVVNELkgBAAAA4gQGAAIAAAAGMzc2MDg4AQgAAAAFAAAAATEBAAAACjE2ODg3NTY4NDcDAAAAAzE2MAIAAAACMjgEAAAAATAHAAAACTYvMzAvMjAxMwgAAAAJNi8zMC8yMDEzCQAAAAEwa1KKiUQl3gjQ3lCLRCXeCDJDSVEuQlAuSVFfVE9UQUxfUkVWRU5VRS5JUV9MVE0uMTIvMzEvMjAxMS5MLi5VU0QuSAEAAADiBAYAAgAAAAYzNzYxNTcBCAAAAAUAAAABMQEAAAAKMTY2MTgzNjIxMgMAAAADMTYwAgAAAAIyOAQAAAABMAcAAAAKMTIvMzEvMjAxMQgAAAAKMTIvMzEvMjAxMQkAAAABMNu9fIlEJd4ImApKi0Ql3ggyQ0lRLkJQLklRX1RPVEFMX1JFVkVOVUUuSVFfTFRNLjEyLzMxLzIwMDkuTC4uVVNELkgBAAAA4gQGAAIAAAAGMjM5ODA3AQgAAAAF</t>
  </si>
  <si>
    <t>AAAAATEBAAAACjE1MjY4Mjg1NjcDAAAAAzE2MAIAAAACMjgEAAAAATAHAAAACjEyLzMxLzIwMDkIAAAACjEyLzMxLzIwMDkJAAAAATAGM32JRCXeCAo5QYtEJd4IMUNJUS5CUC5JUV9UT1RBTF9SRVZFTlVFLklRX0xUTS45LzMwLzIwMjMuTC4uVVNELkgBAAAA4gQGAAIAAAAGMjI2MzkxAQgAAAAFAAAAATEBAAAACy0xOTcxOTI2MTY3AwAAAAMxNjACAAAAAjI4BAAAAAEwBwAAAAk5LzMwLzIwMjMIAAAACTkvMzAvMjAyMwkAAAABMOVK2opEJd4IA3uJi0Ql3ggxQ0lRLkJQLklRX1RPVEFMX1JFVkVOVUUuSVFfTFRNLjYvMzAvMjAxNC5MLi5VU0QuSAEAAADiBAYAAgAAAAYzNzU5ODUBCAAAAAUAAAABMQEAAAAKMTc0NzM2NzkxNgMAAAADMTYwAgAAAAIyOAQAAAABMAcAAAAJNi8zMC8yMDE0CAAAAAk2LzMwLzIwMTQJAAAAATBQBIqJRCXeCGwgV4tEJd4IMkNJUS5CUC5JUV9UT1RBTF9SRVZFTlVFLklRX0xUTS4xMi8zMS8yMDE3LkwuLlVTRC5IAQAAAOIEBgACAAAABjIzODQzMwEIAAAABQAAAAExAQAAAAoyMDIzMDU3MjIyAwAAAAMxNjACAAAAAjI4BAAAAAEwBwAAAAoxMi8zMS8yMDE3CAAAAAoxMi8zMS8yMDE3CQAAAAEwenmKiUQl3gijtW2LRCXeCDJDSVEuQlAuSVFfVE9UQUxfUkVWRU5VRS5JUV9MVE0uMTIvMzEvMjAxNS5MLi5VU0QuSAEAAADiBAYAAgAAAAYyMjIyNDMBCAAAAAUAAAABMQEAAAAK</t>
  </si>
  <si>
    <t>MTg4MDU1NTcxMgMAAAADMTYwAgAAAAIyOAQAAAABMAcAAAAKMTIvMzEvMjAxNQgAAAAKMTIvMzEvMjAxNQkAAAABMKHHiolEJd4IaeRgi0Ql3ggwQ0lRLkJQLklRX1RPVEFMX1JFVkVOVUUuSVFfQ1EuOS8zMC8yMDI1LkwuLlVTRC5IAQAAAOIEBgACAAAABTQ4Mzg2AQgAAAAFAAAAATEBAAAACy0xOTE4NjQ2NzQzAwAAAAMxNjACAAAAAjI4BAAAAAEwBwAAAAk5LzMwLzIwMjUIAAAACTkvMzAvMjAyNQkAAAABMNr82YpEJd4IdpCTi0Ql3ggyQ0lRLkJQLklRX1RPVEFMX1JFVkVOVUUuSVFfTFRNLjEyLzMxLzIwMjMuTC4uVVNELkgBAAAA4gQGAAIAAAAGMjA4MzUxAQgAAAAFAAAAATEBAAAACy0xOTU2NzkwODkxAwAAAAMxNjACAAAAAjI4BAAAAAEwBwAAAAoxMi8zMS8yMDIzCAAAAAoxMi8zMS8yMDIzCQAAAAEw5UraikQl3giDs4qLRCXeCDJDSVEuQlAuSVFfVE9UQUxfUkVWRU5VRS5JUV9MVE0uMTIvMzEvMjAyMS5MLi5VU0QuSAEAAADiBAYAAgAAAAYxNTY0MzEBCAAAAAUAAAABMQEAAAALLTIwMDY3ODA4NzADAAAAAzE2MAIAAAACMjgEAAAAATAHAAAACjEyLzMxLzIwMjEIAAAACjEyLzMxLzIwMjEJAAAAATAJEceKRCXeCKxkgYtEJd4IMENJUS5CUC5JUV9UT1RBTF9SRVZFTlVFLklRX0NRLjYvMzAvMjAyNS5MLi5VU0QuSAEAAADiBAYAAgAAAAU0Njk3MwEIAAAABQAAAAExAQAAAAstMTkxODY0NjYz</t>
  </si>
  <si>
    <t>MQMAAAADMTYwAgAAAAIyOAQAAAABMAcAAAAJNi8zMC8yMDI1CAAAAAk2LzMwLzIwMjUJAAAAATDqI9qKRCXeCPNXkotEJd4IMUNJUS5CUC5JUV9UT1RBTF9SRVZFTlVFLklRX0xUTS42LzMwLzIwMTUuTC4uVVNELkgBAAAA4gQGAAIAAAAGMjg1NTIxAQgAAAAFAAAAATEBAAAACjE4MDAyODY4NTUDAAAAAzE2MAIAAAACMjgEAAAAATAHAAAACTYvMzAvMjAxNQgAAAAJNi8zMC8yMDE1CQAAAAEwyJZ8iUQl3ggjiV2LRCXeCCdDSVEuQlAuSVFfTkkuSVFfTFRNLjEyLzMxLzIwMDkuTC4uVVNELkgBAAAA4gQGAAIAAAAFMTY1NzgBCAAAAAUAAAABMQEAAAAKMTUyNjgyODU2NwMAAAADMTYwAgAAAAIxNQQAAAABMAcAAAAKMTIvMzEvMjAwOQgAAAAKMTIvMzEvMjAwOQkAAAABMAYzfYlEJd4I0cNAi0Ql3ggnQ0lRLkJQLklRX05JLklRX0xUTS4xMi8zMS8yMDE3LkwuLlVTRC5IAQAAAOIEBgACAAAABDMzODkBCAAAAAUAAAABMQEAAAAKMjAyMzA1NzIyMgMAAAADMTYwAgAAAAIxNQQAAAABMAcAAAAKMTIvMzEvMjAxNwgAAAAKMTIvMzEvMjAxNwkAAAABMHp5iolEJd4IdUBti0Ql3ggnQ0lRLkJQLklRX05JLklRX0xUTS4xMi8zMS8yMDEzLkwuLlVTRC5IAQAAAOIEBgACAAAABTIzNDUxAQgAAAAFAAAAATEBAAAACjE3NzkxNTk0MTcDAAAAAzE2MAIAAAACMTUEAAAAATAHAAAACjEyLzMxLzIwMTMIAAAACjEyLzMx</t>
  </si>
  <si>
    <t>LzIwMTMJAAAAATBuK4qJRCXeCNooU4tEJd4IJ0NJUS5CUC5JUV9OSS5JUV9MVE0uMTIvMzEvMjAxOS5MLi5VU0QuSAEAAADiBAYAAgAAAAQ0MDI2AQgAAAAFAAAAATEBAAAACy0yMTA3NzUzMjI0AwAAAAMxNjACAAAAAjE1BAAAAAEwBwAAAAoxMi8zMS8yMDE5CAAAAAoxMi8zMS8yMDE5CQAAAAEwKV/HikQl3gi3oHeLRCXeCCdDSVEuQlAuSVFfTkkuSVFfTFRNLjEyLzMxLzIwMTEuTC4uVVNELkgBAAAA4gQGAAIAAAAFMjUyMTIBCAAAAAUAAAABMQEAAAAKMTY2MTgzNjIxMgMAAAADMTYwAgAAAAIxNQQAAAABMAcAAAAKMTIvMzEvMjAxMQgAAAAKMTIvMzEvMjAxMQkAAAABMOfkfIlEJd4INZNJi0Ql3ggnQ0lRLkJQLklRX05JLklRX0xUTS4xMi8zMS8yMDIxLkwuLlVTRC5IAQAAAOIEBgACAAAABDc1NjUBCAAAAAUAAAABMQEAAAALLTIwMDY3ODA4NzADAAAAAzE2MAIAAAACMTUEAAAAATAHAAAACjEyLzMxLzIwMjEIAAAACjEyLzMxLzIwMjEJAAAAATAJEceKRCXeCI0WgYtEJd4IJ0NJUS5CUC5JUV9OSS5JUV9MVE0uMTIvMzEvMjAxNS5MLi5VU0QuSAEAAADiBAYAAgAAAAUtNjQ4MgEIAAAABQAAAAExAQAAAAoxODgwNTU1NzEyAwAAAAMxNjACAAAAAjE1BAAAAAEwBwAAAAoxMi8zMS8yMDE1CAAAAAoxMi8zMS8yMDE1CQAAAAEwpu6KiUQl3ghHlmCLRCXeCCdDSVEuQlAuSVFfTkkuSVFfTFRNLjEyLzMx</t>
  </si>
  <si>
    <t>LzIwMjMuTC4uVVNELkgBAAAA4gQGAAIAAAAFMTUyMzkBCAAAAAUAAAABMQEAAAALLTE5NTY3OTA4OTEDAAAAAzE2MAIAAAACMTUEAAAAATAHAAAACjEyLzMxLzIwMjMIAAAACjEyLzMxLzIwMjMJAAAAATDlStqKRCXeCGJliotEJd4IJkNJUS5CUC5JUV9OSS5JUV9MVE0uNi8zMC8yMDE5LkwuLlVTRC5IAQAAAOIEBgACAAAABDg4NzEBCAAAAAUAAAABMQEAAAAKMjA0NzkyMDIxOQMAAAADMTYwAgAAAAIxNQQAAAABMAcAAAAJNi8zMC8yMDE5CAAAAAk2LzMwLzIwMTkJAAAAATDAb3yJRCXeCMRWdYtEJd4IJkNJUS5CUC5JUV9OSS5JUV9MVE0uOS8zMC8yMDExLkwuLlVTRC5IAQAAAOIEBgACAAAABTIzNTgyAQgAAAAFAAAAATEBAAAACjE1NzM4ODczOTQDAAAAAzE2MAIAAAACMTUEAAAAATAHAAAACTkvMzAvMjAxMQgAAAAJOS8zMC8yMDExCQAAAAEw5+R8iUQl3ghKakiLRCXeCCZDSVEuQlAuSVFfTkkuSVFfTFRNLjYvMzAvMjAxOC5MLi5VU0QuSAEAAADiBAYAAgAAAAQ3MDY0AQgAAAAFAAAAATEBAAAACjE5NzI4MTI3NjcDAAAAAzE2MAIAAAACMTUEAAAAATAHAAAACTYvMzAvMjAxOAgAAAAJNi8zMC8yMDE4CQAAAAEwa1KKiUQl3gjtwnCLRCXeCCZDSVEuQlAuSVFfTkkuSVFfTFRNLjYvMzAvMjAyNC5MLi5VU0QuSAEAAADiBAYAAgAAAAQ3MzYzAQgAAAAFAAAAATEBAAAACy0xOTE4NjE3NjMwAwAAAAMx</t>
  </si>
  <si>
    <t>NjACAAAAAjE1BAAAAAEwBwAAAAk2LzMwLzIwMjQIAAAACTYvMzAvMjAyNAkAAAABMOVK2opEJd4ImYuMi0Ql3ggmQ0lRLkJQLklRX05JLklRX0xUTS45LzMwLzIwMTguTC4uVVNELkgBAAAA4gQGAAIAAAAEODY0NAEIAAAABQAAAAExAQAAAAoxOTg5MjM4OTI2AwAAAAMxNjACAAAAAjE1BAAAAAEwBwAAAAk5LzMwLzIwMTgIAAAACTkvMzAvMjAxOAkAAAABMGtSiolEJd4IU9Rxi0Ql3ggmQ0lRLkJQLklRX05JLklRX0xUTS45LzMwLzIwMTcuTC4uVVNELkgBAAAA4gQGAAIAAAAEMzg1OQEIAAAABQAAAAExAQAAAAoxOTE2NTMzNjYzAwAAAAMxNjACAAAAAjE1BAAAAAEwBwAAAAk5LzMwLzIwMTcIAAAACTkvMzAvMjAxNwkAAAABMHp5iolEJd4I6uBri0Ql3ggnQ0lRLkJQLklRX05JLklRX0xUTS4xMi8zMS8yMDE2LkwuLlVTRC5IAQAAAOIEBgACAAAAAzExNQEIAAAABQAAAAExAQAAAAoxOTUxNzQwMTk4AwAAAAMxNjACAAAAAjE1BAAAAAEwBwAAAAoxMi8zMS8yMDE2CAAAAAoxMi8zMS8yMDE2CQAAAAEwjaCKiUQl3gjz/maLRCXeCCZDSVEuQlAuSVFfTkkuSVFfTFRNLjMvMzEvMjAyMS5MLi5VU0QuSAEAAADiBAYAAgAAAAYtMTEyNzMBCAAAAAUAAAABMQEAAAALLTIwOTkxOTY4MzkDAAAAAzE2MAIAAAACMTUEAAAAATAHAAAACTMvMzEvMjAyMQgAAAAJMy8zMS8yMDIxCQAAAAEwMTjHikQl3ggyu32LRCXe</t>
  </si>
  <si>
    <t>CCZDSVEuQlAuSVFfTkkuSVFfTFRNLjMvMzEvMjAxNi5MLi5VU0QuSAEAAADiBAYAAgAAAAUtOTY2NwEIAAAABQAAAAExAQAAAAoxODM5NDA5NDM2AwAAAAMxNjACAAAAAjE1BAAAAAEwBwAAAAkzLzMxLzIwMTYIAAAACTMvMzEvMjAxNgkAAAABMKHHiolEJd4IAkRii0Ql3ggmQ0lRLkJQLklRX05JLklRX0xUTS42LzMwLzIwMTMuTC4uVVNELkgBAAAA4gQGAAIAAAAFMjU2NzQBCAAAAAUAAAABMQEAAAAKMTY4ODc1Njg0NwMAAAADMTYwAgAAAAIxNQQAAAABMAcAAAAJNi8zMC8yMDEzCAAAAAk2LzMwLzIwMTMJAAAAATCYYJiJRCXeCK2QUItEJd4IJ0NJUS5CUC5JUV9OSS5JUV9MVE0uMTIvMzEvMjAxMC5MLi5VU0QuSAEAAADiBAYAAgAAAAUtMzcxOQEIAAAABQAAAAExAQAAAAoxNTkwNDU4MDM2AwAAAAMxNjACAAAAAjE1BAAAAAEwBwAAAAoxMi8zMS8yMDEwCAAAAAoxMi8zMS8yMDEwCQAAAAEw9Qt9iUQl3giE4kSLRCXeCCZDSVEuQlAuSVFfTkkuSVFfTFRNLjkvMzAvMjAxMi5MLi5VU0QuSAEAAADiBAYAAgAAAAUxNzIxNAEIAAAABQAAAAExAQAAAAoxNjQyNjUxMjE2AwAAAAMxNjACAAAAAjE1BAAAAAEwBwAAAAk5LzMwLzIwMTIIAAAACTkvMzAvMjAxMgkAAAABMKuHmIlEJd4IXzVNi0Ql3ggmQ0lRLkJQLklRX05JLklRX0xUTS4zLzMxLzIwMTAuTC4uVVNELkgBAAAA4gQGAAIAAAAFMjAwOTUBCAAA</t>
  </si>
  <si>
    <t>AAUAAAABMQEAAAAKMTQ0OTAwMjg3MgMAAAADMTYwAgAAAAIxNQQAAAABMAcAAAAJMy8zMS8yMDEwCAAAAAkzLzMxLzIwMTAJAAAAATAGM32JRCXeCDCuQYtEJd4IJkNJUS5CUC5JUV9OSS5JUV9MVE0uOS8zMC8yMDI0LkwuLlVTRC5IAQAAAOIEBgACAAAABDI3MTEBCAAAAAUAAAABMQEAAAALLTE5MTg2NDY3MTQDAAAAAzE2MAIAAAACMTUEAAAAATAHAAAACTkvMzAvMjAyNAgAAAAJOS8zMC8yMDI0CQAAAAEw6iPaikQl3ggWxI2LRCXeCCZDSVEuQlAuSVFfTkkuSVFfTFRNLjYvMzAvMjAyNS5MLi5VU0QuSAEAAADiBAYAAgAAAAM1NjMBCAAAAAUAAAABMQEAAAALLTE5MTg2NDY2MzADAAAAAzE2MAIAAAACMTUEAAAAATAHAAAACTYvMzAvMjAyNQgAAAAJNi8zMC8yMDI1CQAAAAEw6iPaikQl3gi1u5GLRCXeCCZDSVEuQlAuSVFfTkkuSVFfTFRNLjkvMzAvMjAyMy5MLi5VU0QuSAEAAADiBAYAAgAAAAUyNTY3MQEIAAAABQAAAAExAQAAAAstMTk3MTkyNjE2NwMAAAADMTYwAgAAAAIxNQQAAAABMAcAAAAJOS8zMC8yMDIzCAAAAAk5LzMwLzIwMjMJAAAAATDlStqKRCXeCN0siYtEJd4IJkNJUS5CUC5JUV9OSS5JUV9MVE0uNi8zMC8yMDE0LkwuLlVTRC5IAQAAAOIEBgACAAAABTExNDQzAQgAAAAFAAAAATEBAAAACjE3NDczNjc5MTYDAAAAAzE2MAIAAAACMTUEAAAAATAHAAAACTYvMzAvMjAxNAgAAAAJNi8z</t>
  </si>
  <si>
    <t>MC8yMDE0CQAAAAEwUASKiUQl3ggXXVaLRCXeCCZDSVEuQlAuSVFfTkkuSVFfTFRNLjMvMzEvMjAxNS5MLi5VU0QuSAEAAADiBAYAAgAAAAQyODU0AQgAAAAFAAAAATEBAAAACjE4MDAzNTkwOTYDAAAAAzE2MAIAAAACMTUEAAAAATAHAAAACTMvMzEvMjAxNQgAAAAJMy8zMS8yMDE1CQAAAAEw2718iUQl3gg6jVuLRCXeCCZDSVEuQlAuSVFfTkkuSVFfTFRNLjYvMzAvMjAyMC5MLi5VU0QuSAEAAADiBAYAAgAAAAYtMjE5NDMBCAAAAAUAAAABMQEAAAALLTIxNDA1MDExNjADAAAAAzE2MAIAAAACMTUEAAAAATAHAAAACTYvMzAvMjAyMAgAAAAJNi8zMC8yMDIwCQAAAAEwKV/HikQl3giuEXqLRCXeCCdDSVEuQlAuSVFfTkkuSVFfTFRNLjEyLzMxLzIwMjIuTC4uVVNELkgBAAAA4gQGAAIAAAAFLTI0ODcBCAAAAAUAAAABMQEAAAALLTE5NTY3OTA5MDcDAAAAAzE2MAIAAAACMTUEAAAAATAHAAAACjEyLzMxLzIwMjIIAAAACjEyLzMxLzIwMjIJAAAAATD+6caKRCXeCIPRhYtEJd4IJkNJUS5CUC5JUV9OSS5JUV9MVE0uMy8zMS8yMDIyLkwuLlVTRC5IAQAAAOIEBgACAAAABi0xNzQ4NgEIAAAABQAAAAExAQAAAAstMjA0ODE1MTIyMAMAAAADMTYwAgAAAAIxNQQAAAABMAcAAAAJMy8zMS8yMDIyCAAAAAkzLzMxLzIwMjIJAAAAATAJEceKRCXeCAIogotEJd4IJkNJUS5CUC5JUV9OSS5JUV9MVE0uNi8zMC8yMDE1</t>
  </si>
  <si>
    <t>LkwuLlVTRC5IAQAAAOIEBgACAAAABS02MzM4AQgAAAAFAAAAATEBAAAACjE4MDAyODY4NTUDAAAAAzE2MAIAAAACMTUEAAAAATAHAAAACTYvMzAvMjAxNQgAAAAJNi8zMC8yMDE1CQAAAAEwyJZ8iUQl3gjYE12LRCXeCCZDSVEuQlAuSVFfTkkuSVFfTFRNLjYvMzAvMjAyMS5MLi5VU0QuSAEAAADiBAYAAgAAAAQ4NjkxAQgAAAAFAAAAATEBAAAACy0yMDg3MTgzMzMwAwAAAAMxNjACAAAAAjE1BAAAAAEwBwAAAAk2LzMwLzIwMjEIAAAACTYvMzAvMjAyMQkAAAABMDE4x4pEJd4Ip8x+i0Ql3ggmQ0lRLkJQLklRX05JLklRX0xUTS45LzMwLzIwMTMuTC4uVVNELkgBAAAA4gQGAAIAAAAFMjM4OTcBCAAAAAUAAAABMQEAAAAKMTcwMzQ0OTcxMgMAAAADMTYwAgAAAAIxNQQAAAABMAcAAAAJOS8zMC8yMDEzCAAAAAk5LzMwLzIwMTMJAAAAATBuK4qJRCXeCDLJUYtEJd4IJ0NJUS5CUC5JUV9OSS5JUV9MVE0uMTIvMzEvMjAxNC5MLi5VU0QuSAEAAADiBAYAAgAAAAQzNzgwAQgAAAAFAAAAATEBAAAACjE4MzUwOTc0NzIDAAAAAzE2MAIAAAACMTUEAAAAATAHAAAACjEyLzMxLzIwMTQIAAAACjEyLzMxLzIwMTQJAAAAATD1C32JRCXeCI/fWYtEJd4IJkNJUS5CUC5JUV9OSS5JUV9MVE0uOS8zMC8yMDE5LkwuLlVTRC5IAQAAAOIEBgACAAAABDQ3NzMBCAAAAAUAAAABMQEAAAAKMjA2NjMyMzkxMwMAAAADMTYwAgAA</t>
  </si>
  <si>
    <t>AAIxNQQAAAABMAcAAAAJOS8zMC8yMDE5CAAAAAk5LzMwLzIwMTkJAAAAATBIhseKRCXeCEOPdotEJd4IJkNJUS5CUC5JUV9OSS5JUV9MVE0uOS8zMC8yMDIyLkwuLlVTRC5IAQAAAOIEBgACAAAABi0xMDk2NAEIAAAABQAAAAExAQAAAAstMjAyMjMxNzM1MQMAAAADMTYwAgAAAAIxNQQAAAABMAcAAAAJOS8zMC8yMDIyCAAAAAk5LzMwLzIwMjIJAAAAATD+6caKRCXeCAKZhItEJd4IJkNJUS5CUC5JUV9OSS5JUV9MVE0uOS8zMC8yMDE2LkwuLlVTRC5IAQAAAOIEBgACAAAABS0zNjg5AQgAAAAFAAAAATEBAAAACjE4NjMyMDk1NTkDAAAAAzE2MAIAAAACMTUEAAAAATAHAAAACTkvMzAvMjAxNggAAAAJOS8zMC8yMDE2CQAAAAEwoceKiUQl3gg7UWWLRCXeCCZDSVEuQlAuSVFfTkkuSVFfTFRNLjYvMzAvMjAxMC5MLi5VU0QuSAEAAADiBAYAAgAAAAUtMTQ0MAEIAAAABQAAAAExAQAAAAoxNDYzODU4ODM0AwAAAAMxNjACAAAAAjE1BAAAAAEwBwAAAAk2LzMwLzIwMTAIAAAACTYvMzAvMjAxMAkAAAABMAYzfYlEJd4Isb9Ci0Ql3ggmQ0lRLkJQLklRX05JLklRX0xUTS45LzMwLzIwMTAuTC4uVVNELkgBAAAA4gQGAAIAAAAFLTQ5OTEBCAAAAAUAAAABMQEAAAAKMTQ3ODczMjI1NQMAAAADMTYwAgAAAAIxNQQAAAABMAcAAAAJOS8zMC8yMDEwCAAAAAk5LzMwLzIwMTAJAAAAATAGM32JRCXeCBTRQ4tEJd4IJkNJ</t>
  </si>
  <si>
    <t>US5CUC5JUV9OSS5JUV9MVE0uMy8zMS8yMDEyLkwuLlVTRC5IAQAAAOIEBgACAAAABTI0MjEzAQgAAAAFAAAAATEBAAAACjE2MTQ5ODgzNDEDAAAAAzE2MAIAAAACMTUEAAAAATAHAAAACTMvMzEvMjAxMggAAAAJMy8zMS8yMDEyCQAAAAEw2718iUQl3gjbvEqLRCXeCCZDSVEuQlAuSVFfTkkuSVFfTFRNLjkvMzAvMjAyMS5MLi5VU0QuSAEAAADiBAYAAgAAAAQ2NTk3AQgAAAAFAAAAATEBAAAACy0yMDcyNjMyMDA1AwAAAAMxNjACAAAAAjE1BAAAAAEwBwAAAAk5LzMwLzIwMjEIAAAACTkvMzAvMjAyMQkAAAABMAkRx4pEJd4IEN5/i0Ql3ggmQ0lRLkJQLklRX05JLklRX0xUTS4zLzMxLzIwMjMuTC4uVVNELkgBAAAA4gQGAAIAAAAFMjYxMTUBCAAAAAUAAAABMQEAAAALLTE5OTYzNjc2NTcDAAAAAzE2MAIAAAACMTUEAAAAATAHAAAACTMvMzEvMjAyMwgAAAAJMy8zMS8yMDIzCQAAAAEw5UraikQl3gjw4oaLRCXeCCdDSVEuQlAuSVFfTkkuSVFfTFRNLjEyLzMxLzIwMTIuTC4uVVNELkgBAAAA4gQGAAIAAAAFMTEwMTcBCAAAAAUAAAABMQEAAAAKMTcyMTkxOTc1NQMAAAADMTYwAgAAAAIxNQQAAAABMAcAAAAKMTIvMzEvMjAxMggAAAAKMTIvMzEvMjAxMgkAAAABMKuHmIlEJd4IwEZOi0Ql3ggmQ0lRLkJQLklRX05JLklRX0xUTS4zLzMxLzIwMTQuTC4uVVNELkgBAAAA4gQGAAIAAAAFMTAxMTYBCAAAAAUA</t>
  </si>
  <si>
    <t>AAABMQEAAAAKMTczMDYwNTExMAMAAAADMTYwAgAAAAIxNQQAAAABMAcAAAAJMy8zMS8yMDE0CAAAAAkzLzMxLzIwMTQJAAAAATBuK4qJRCXeCIbWVItEJd4IJ0NJUS5CUC5JUV9OSS5JUV9MVE0uMTIvMzEvMjAyNC5MLi5VU0QuSAEAAADiBAYAAgAAAAMzODEBCAAAAAUAAAABMQEAAAALLTE5NTY3OTA4NjYDAAAAAzE2MAIAAAACMTUEAAAAATAHAAAACjEyLzMxLzIwMjQIAAAACjEyLzMxLzIwMjQJAAAAATDqI9qKRCXeCJH8jotEJd4IJkNJUS5CUC5JUV9OSS5JUV9MVE0uOS8zMC8yMDE1LkwuLlVTRC5IAQAAAOIEBgACAAAABS03NTgyAQgAAAAFAAAAATEBAAAACjE4MTU1MzcxMTQDAAAAAzE2MAIAAAACMTUEAAAAATAHAAAACTkvMzAvMjAxNQgAAAAJOS8zMC8yMDE1CQAAAAEwyJZ8iUQl3giIwV6LRCXeCCZDSVEuQlAuSVFfTkkuSVFfTFRNLjYvMzAvMjAxMS5MLi5VU0QuSAEAAADiBAYAAgAAAAUyMDMyNAEIAAAABQAAAAExAQAAAAoxNTU2OTYyMTQyAwAAAAMxNjACAAAAAjE1BAAAAAEwBwAAAAk2LzMwLzIwMTEIAAAACTYvMzAvMjAxMQkAAAABMOfkfIlEJd4IdSxHi0Ql3ggmQ0lRLkJQLklRX05JLklRX0xUTS42LzMwLzIwMjMuTC4uVVNELkgBAAAA4gQGAAIAAAAFMTg2NTABCAAAAAUAAAABMQEAAAALLTE5NzA4ODM0MDYDAAAAAzE2MAIAAAACMTUEAAAAATAHAAAACTYvMzAvMjAyMwgAAAAJNi8z</t>
  </si>
  <si>
    <t>MC8yMDIzCQAAAAEw5UraikQl3ghtG4iLRCXeCCdDSVEuQlAuSVFfTkkuSVFfTFRNLjEyLzMxLzIwMTguTC4uVVNELkgBAAAA4gQGAAIAAAAEOTM4MwEIAAAABQAAAAExAQAAAAoyMDg1NTY5MDExAwAAAAMxNjACAAAAAjE1BAAAAAEwBwAAAAoxMi8zMS8yMDE4CAAAAAoxMi8zMS8yMDE4CQAAAAEwa1KKiUQl3gjQDHOLRCXeCCZDSVEuQlAuSVFfTkkuSVFfTFRNLjMvMzEvMjAxMy5MLi5VU0QuSAEAAADiBAYAAgAAAAUyMjExMwEIAAAABQAAAAExAQAAAAoxNjc0MjMzOTU1AwAAAAMxNjACAAAAAjE1BAAAAAEwBwAAAAkzLzMxLzIwMTMIAAAACTMvMzEvMjAxMwkAAAABMJhgmIlEJd4ILFhPi0Ql3ggmQ0lRLkJQLklRX05JLklRX0xUTS45LzMwLzIwMjAuTC4uVVNELkgBAAAA4gQGAAIAAAAGLTIxNjQ0AQgAAAAFAAAAATEBAAAACy0yMTI0MzE1ODUwAwAAAAMxNjACAAAAAjE1BAAAAAEwBwAAAAk5LzMwLzIwMjAIAAAACTkvMzAvMjAyMAkAAAABMClfx4pEJd4IQXF7i0Ql3ggnQ0lRLkJQLklRX05JLklRX0xUTS4xMi8zMS8yMDIwLkwuLlVTRC5IAQAAAOIEBgACAAAABi0yMDMwNQEIAAAABQAAAAExAQAAAAstMjA1NzUxOTYyNQMAAAADMTYwAgAAAAIxNQQAAAABMAcAAAAKMTIvMzEvMjAyMAgAAAAKMTIvMzEvMjAyMAkAAAABMDE4x4pEJd4IvYJ8i0Ql3ggmQ0lRLkJQLklRX05JLklRX0xUTS42LzMwLzIw</t>
  </si>
  <si>
    <t>MjIuTC4uVVNELkgBAAAA4gQGAAIAAAAGLTExMzQ1AQgAAAAFAAAAATEBAAAACy0yMDM2MzMzOTg0AwAAAAMxNjACAAAAAjE1BAAAAAEwBwAAAAk2LzMwLzIwMjIIAAAACTYvMzAvMjAyMgkAAAABMAkRx4pEJd4IgWCDi0Ql3ggmQ0lRLkJQLklRX05JLklRX0xUTS42LzMwLzIwMTYuTC4uVVNELkgBAAAA4gQGAAIAAAAFLTUyNjMBCAAAAAUAAAABMQEAAAAKMTg1MTEyMzE2OAMAAAADMTYwAgAAAAIxNQQAAAABMAcAAAAJNi8zMC8yMDE2CAAAAAk2LzMwLzIwMTYJAAAAATChx4qJRCXeCIejY4tEJd4IJkNJUS5CUC5JUV9OSS5JUV9MVE0uMy8zMS8yMDI0LkwuLlVTRC5IAQAAAOIEBgACAAAABDkyODQBCAAAAAUAAAABMQEAAAALLTE5NDc5MDgwNjEDAAAAAzE2MAIAAAACMTUEAAAAATAHAAAACTMvMzEvMjAyNAgAAAAJMy8zMS8yMDI0CQAAAAEw5UraikQl3ggjeouLRCXeCCZDSVEuQlAuSVFfTkkuSVFfTFRNLjMvMzEvMjAxOS5MLi5VU0QuSAEAAADiBAYAAgAAAAQ5ODQ4AQgAAAAFAAAAATEBAAAACjIwMzEwNzU0NTMDAAAAAzE2MAIAAAACMTUEAAAAATAHAAAACTMvMzEvMjAxOQgAAAAJMy8zMS8yMDE5CQAAAAEw9Qt9iUQl3ghZRXSLRCXeCCZDSVEuQlAuSVFfTkkuSVFfTFRNLjkvMzAvMjAyNS5MLi5VU0QuSAEAAADiBAYAAgAAAAQxNTE4AQgAAAAFAAAAATEBAAAACy0xOTE4NjQ2NzEzAwAAAAMxNjAC</t>
  </si>
  <si>
    <t>AAAAAjE1BAAAAAEwBwAAAAk5LzMwLzIwMjUIAAAACTkvMzAvMjAyNQkAAAABMNr82YpEJd4IW0KTi0Ql3ggmQ0lRLkJQLklRX05JLklRX0xUTS4zLzMxLzIwMTguTC4uVVNELkgBAAAA4gQGAAIAAAAENDQwOQEIAAAABQAAAAExAQAAAAoxOTU3OTI5MjIwAwAAAAMxNjACAAAAAjE1BAAAAAEwBwAAAAkzLzMxLzIwMTgIAAAACTMvMzEvMjAxOAkAAAABMHp5iolEJd4IQhVvi0Ql3ggmQ0lRLkJQLklRX05JLklRX0xUTS42LzMwLzIwMTcuTC4uVVNELkgBAAAA4gQGAAIAAAAEMzcxMAEIAAAABQAAAAExAQAAAAoxODk3NzI0MjAwAwAAAAMxNjACAAAAAjE1BAAAAAEwBwAAAAk2LzMwLzIwMTcIAAAACTYvMzAvMjAxNwkAAAABMI2giolEJd4IMzNqi0Ql3ggmQ0lRLkJQLklRX05JLklRX0xUTS4zLzMxLzIwMTEuTC4uVVNELkgBAAAA4gQGAAIAAAAFLTI1NDQBCAAAAAUAAAABMQEAAAAKMTU0NDg4NTIyNQMAAAADMTYwAgAAAAIxNQQAAAABMAcAAAAJMy8zMS8yMDExCAAAAAkzLzMxLzIwMTEJAAAAATD1C32JRCXeCAEbRotEJd4IJkNJUS5CUC5JUV9OSS5JUV9MVE0uMy8zMS8yMDI1LkwuLlVTRC5IAQAAAOIEBgACAAAABS0xMTk1AQgAAAAFAAAAATEBAAAACy0xOTQ3OTA4MDU2AwAAAAMxNjACAAAAAjE1BAAAAAEwBwAAAAkzLzMxLzIwMjUIAAAACTMvMzEvMjAyNQkAAAABMOoj2opEJd4IMoOQi0Ql3ggmQ0lR</t>
  </si>
  <si>
    <t>LkJQLklRX05JLklRX0xUTS45LzMwLzIwMTQuTC4uVVNELkgBAAAA4gQGAAIAAAAEOTIyOQEIAAAABQAAAAExAQAAAAoxNzYxNTA4NDYxAwAAAAMxNjACAAAAAjE1BAAAAAEwBwAAAAk5LzMwLzIwMTQIAAAACTkvMzAvMjAxNAkAAAABMFAEiolEJd4I7FhYi0Ql3ggmQ0lRLkJQLklRX05JLklRX0xUTS4zLzMxLzIwMjAuTC4uVVNELkgBAAAA4gQGAAIAAAAFLTMyNzMBCAAAAAUAAAABMQEAAAAKMjA5MjEzODAzMgMAAAADMTYwAgAAAAIxNQQAAAABMAcAAAAJMy8zMS8yMDIwCAAAAAkzLzMxLzIwMjAJAAAAATApX8eKRCXeCCvZeItEJd4IJkNJUS5CUC5JUV9OSS5JUV9MVE0uNi8zMC8yMDEyLkwuLlVTRC5IAQAAAOIEBgACAAAABTE2OTc2AQgAAAAFAAAAATEBAAAACjE2Mjg2MzY3MjkDAAAAAzE2MAIAAAACMTUEAAAAATAHAAAACTYvMzAvMjAxMggAAAAJNi8zMC8yMDEyCQAAAAEwq4eYiUQl3gh15UuLRCXeCCZDSVEuQlAuSVFfTkkuSVFfTFRNLjMvMzEvMjAxNy5MLi5VU0QuSAEAAADiBAYAAgAAAAQyMTQ3AQgAAAAFAAAAATEBAAAACjE4ODU4MjE1NjcDAAAAAzE2MAIAAAACMTUEAAAAATAHAAAACTMvMzEvMjAxNwgAAAAJMy8zMS8yMDE3CQAAAAEwjaCKiUQl3giHhWiLRCXeCDFDSVEuQlAuSVFfVE9UQUxfUkVWRU5VRS5JUV9DUS4xMi8zMS8yMDE4LkwuLlVTRC5IAQAAAOIEBgACAAAABTc1NDkxAQgA</t>
  </si>
  <si>
    <t>AAAFAAAAATEBAAAACjIwMjMwNTcyNDIDAAAAAzE2MAIAAAACMjgEAAAAATAHAAAACjEyLzMxLzIwMTgIAAAACjEyLzMxLzIwMTgJAAAAATD1C32JRCXeCAOCc4tEJd4IMENJUS5CUC5JUV9UT1RBTF9SRVZFTlVFLklRX0NRLjMvMzEvMjAxMC5MLi5VU0QuSAEAAADiBAYAAgAAAAU3MzA3MQEIAAAABQAAAAExAQAAAAoxNDQ4OTkxMjYxAwAAAAMxNjACAAAAAjI4BAAAAAEwBwAAAAkzLzMxLzIwMTAIAAAACTMvMzEvMjAxMAkAAAABMAYzfYlEJd4Ib0pCi0Ql3ggwQ0lRLkJQLklRX1RPVEFMX1JFVkVOVUUuSVFfQ1EuOS8zMC8yMDE0LkwuLlVTRC5IAQAAAOIEBgACAAAABTkzOTA0AQgAAAAFAAAAATEBAAAACjE3NjE1MDc1ODADAAAAAzE2MAIAAAACMjgEAAAAATAHAAAACTkvMzAvMjAxNAgAAAAJOS8zMC8yMDE0CQAAAAEwUASKiUQl3ggazliLRCXeCDBDSVEuQlAuSVFfVE9UQUxfUkVWRU5VRS5JUV9DUS45LzMwLzIwMTAuTC4uVVNELkgBAAAA4gQGAAIAAAAFNzA2MDgBCAAAAAUAAAABMQEAAAAKMTQ3ODcwOTM5MgMAAAADMTYwAgAAAAIyOAQAAAABMAcAAAAJOS8zMC8yMDEwCAAAAAk5LzMwLzIwMTAJAAAAATAGM32JRCXeCEdGRItEJd4IMENJUS5CUC5JUV9UT1RBTF9SRVZFTlVFLklRX0NRLjkvMzAvMjAxOC5MLi5VU0QuSAEAAADiBAYAAgAAAAU3OTAxNwEIAAAABQAAAAExAQAAAAoxOTg5MjM4ODk1</t>
  </si>
  <si>
    <t>AwAAAAMxNjACAAAAAjI4BAAAAAEwBwAAAAk5LzMwLzIwMTgIAAAACTkvMzAvMjAxOAkAAAABMGtSiolEJd4IgUlyi0Ql3ggxQ0lRLkJQLklRX1RPVEFMX1JFVkVOVUUuSVFfQ1EuMTIvMzEvMjAwOS5MLi5VU0QuSAEAAADiBAYAAgAAAAU3MTUxNgEIAAAABQAAAAExAQAAAAoxNDM0MTkxODk0AwAAAAMxNjACAAAAAjI4BAAAAAEwBwAAAAoxMi8zMS8yMDA5CAAAAAoxMi8zMS8yMDA5CQAAAAEwBjN9iUQl3ggKOUGLRCXeCDBDSVEuQlAuSVFfVE9UQUxfUkVWRU5VRS5JUV9DUS45LzMwLzIwMjIuTC4uVVNELkgBAAAA4gQGAAIAAAAFNTQzNzIBCAAAAAUAAAABMQEAAAALLTIwMjIzMTc4NTcDAAAAAzE2MAIAAAACMjgEAAAAATAHAAAACTkvMzAvMjAyMggAAAAJOS8zMC8yMDIyCQAAAAEw/unGikQl3ggi54SLRCXeCDBDSVEuQlAuSVFfVE9UQUxfUkVWRU5VRS5JUV9DUS45LzMwLzIwMTMuTC4uVVNELkgBAAAA4gQGAAIAAAAFOTY2MDEBCAAAAAUAAAABMQEAAAAKMTcwMzQ0MDExMAMAAAADMTYwAgAAAAIyOAQAAAABMAcAAAAJOS8zMC8yMDEzCAAAAAk5LzMwLzIwMTMJAAAAATBuK4qJRCXeCGw+UotEJd4IMENJUS5CUC5JUV9UT1RBTF9SRVZFTlVFLklRX0NRLjkvMzAvMjAyMy5MLi5VU0QuSAEAAADiBAYAAgAAAAU1MzIyMwEIAAAABQAAAAExAQAAAAstMTk3MTkyNzA4MwMAAAADMTYwAgAAAAIyOAQAAAAB</t>
  </si>
  <si>
    <t>MAcAAAAJOS8zMC8yMDIzCAAAAAk5LzMwLzIwMjMJAAAAATDlStqKRCXeCBKiiYtEJd4IMUNJUS5CUC5JUV9UT1RBTF9SRVZFTlVFLklRX0NRLjEyLzMxLzIwMTMuTC4uVVNELkgBAAAA4gQGAAIAAAAFOTM3MTcBCAAAAAUAAAABMQEAAAAKMTcyMTkxOTU0OAMAAAADMTYwAgAAAAIyOAQAAAABMAcAAAAKMTIvMzEvMjAxMwgAAAAKMTIvMzEvMjAxMwkAAAABMG4riolEJd4IA8VTi0Ql3ggxQ0lRLkJQLklRX1RPVEFMX1JFVkVOVUUuSVFfQ1EuMTIvMzEvMjAxNy5MLi5VU0QuSAEAAADiBAYAAgAAAAU2NzMwNQEIAAAABQAAAAExAQAAAAoxOTUxNzQwMzIzAwAAAAMxNjACAAAAAjI4BAAAAAEwBwAAAAoxMi8zMS8yMDE3CAAAAAoxMi8zMS8yMDE3CQAAAAEwenmKiUQl3gjQA26LRCXeCDFDSVEuQlAuSVFfVE9UQUxfUkVWRU5VRS5JUV9DUS4xMi8zMS8yMDEwLkwuLlVTRC5IAQAAAOIEBgACAAAABTgwMTA5AQgAAAAFAAAAATEBAAAACjE1MjY4MjkyMzgDAAAAAzE2MAIAAAACMjgEAAAAATAHAAAACjEyLzMxLzIwMTAIAAAACjEyLzMxLzIwMTAJAAAAATD1C32JRCXeCLZXRYtEJd4IMUNJUS5CUC5JUV9UT1RBTF9SRVZFTlVFLklRX0NRLjEyLzMxLzIwMjEuTC4uVVNELkgBAAAA4gQGAAIAAAAFNTA1MDMBCAAAAAUAAAABMQEAAAALLTIwNTc1MTk2NzgDAAAAAzE2MAIAAAACMjgEAAAAATAHAAAACjEyLzMxLzIw</t>
  </si>
  <si>
    <t>MjEIAAAACjEyLzMxLzIwMjEJAAAAATAJEceKRCXeCMKLgYtEJd4IMUNJUS5CUC5JUV9UT1RBTF9SRVZFTlVFLklRX0NRLjEyLzMxLzIwMTQuTC4uVVNELkgBAAAA4gQGAAIAAAAFNzQ1ODIBCAAAAAUAAAABMQEAAAAKMTc3OTE1OTQ0NwMAAAADMTYwAgAAAAIyOAQAAAABMAcAAAAKMTIvMzEvMjAxNAgAAAAKMTIvMzEvMjAxNAkAAAABMNu9fIlEJd4Iyntai0Ql3ggxQ0lRLkJQLklRX1RPVEFMX1JFVkVOVUUuSVFfQ1EuMTIvMzEvMjAyNC5MLi5VU0QuSAEAAADiBAYAAgAAAAU0NDExNwEIAAAABQAAAAExAQAAAAstMTk1Njc5MDg2OAMAAAADMTYwAgAAAAIyOAQAAAABMAcAAAAKMTIvMzEvMjAyNAgAAAAKMTIvMzEvMjAyNAkAAAABMOoj2opEJd4I4r+Pi0Ql3ggxQ0lRLkJQLklRX1RPVEFMX1JFVkVOVUUuSVFfQ1EuMTIvMzEvMjAyMy5MLi5VU0QuSAEAAADiBAYAAgAAAAU1MDY2MAEIAAAABQAAAAExAQAAAAstMTk1Njc5MDg5MwMAAAADMTYwAgAAAAIyOAQAAAABMAcAAAAKMTIvMzEvMjAyMwgAAAAKMTIvMzEvMjAyMwkAAAABMOVK2opEJd4I492Ki0Ql3ggxQ0lRLkJQLklRX1RPVEFMX1JFVkVOVUUuSVFfQ1EuMTIvMzEvMjAyMi5MLi5VU0QuSAEAAADiBAYAAgAAAAU2ODcwMAEIAAAABQAAAAExAQAAAAstMjAwNjc4MDg2NgMAAAADMTYwAgAAAAIyOAQAAAABMAcAAAAKMTIvMzEvMjAyMggAAAAKMTIv</t>
  </si>
  <si>
    <t>MzEvMjAyMgkAAAABMP7pxopEJd4Iq0aGi0Ql3ggwQ0lRLkJQLklRX1RPVEFMX1JFVkVOVUUuSVFfQ1EuMy8zMS8yMDE0LkwuLlVTRC5IAQAAAOIEBgACAAAABTkxNzEwAQgAAAAFAAAAATEBAAAACjE3MzA2MDM2ODgDAAAAAzE2MAIAAAACMjgEAAAAATAHAAAACTMvMzEvMjAxNAgAAAAJMy8zMS8yMDE0CQAAAAEwUASKiUQl3gi5clWLRCXeCDBDSVEuQlAuSVFfVE9UQUxfUkVWRU5VRS5JUV9DUS4zLzMxLzIwMjIuTC4uVVNELkgBAAAA4gQGAAIAAAAFNDg3NTMBCAAAAAUAAAABMQEAAAALLTIwNDgxNTEzMjMDAAAAAzE2MAIAAAACMjgEAAAAATAHAAAACTMvMzEvMjAyMggAAAAJMy8zMS8yMDIyCQAAAAEwCRHHikQl3ghBxIKLRCXeCDBDSVEuQlAuSVFfVE9UQUxfUkVWRU5VRS5JUV9DUS4zLzMxLzIwMTguTC4uVVNELkgBAAAA4gQGAAIAAAAFNjc4MDQBCAAAAAUAAAABMQEAAAAKMTk1NzkyOTE0MQMAAAADMTYwAgAAAAIyOAQAAAABMAcAAAAJMy8zMS8yMDE4CAAAAAkzLzMxLzIwMTgJAAAAATBrUoqJRCXeCHexb4tEJd4IMUNJUS5CUC5JUV9UT1RBTF9SRVZFTlVFLklRX0NRLjEyLzMxLzIwMTUuTC4uVVNELkgBAAAA4gQGAAIAAAAFNDkyOTQBCAAAAAUAAAABMQEAAAAKMTgzNTA5NzQ3NgMAAAADMTYwAgAAAAIyOAQAAAABMAcAAAAKMTIvMzEvMjAxNQgAAAAKMTIvMzEvMjAxNQkAAAABMKHHiolEJd4I</t>
  </si>
  <si>
    <t>ijJhi0Ql3ggwQ0lRLkJQLklRX1RPVEFMX1JFVkVOVUUuSVFfQ1EuNi8zMC8yMDI0LkwuLlVTRC5IAQAAAOIEBgACAAAABTQ3NjEwAQgAAAAFAAAAATEBAAAACy0xOTE4NjE3NjMxAwAAAAMxNjACAAAAAjI4BAAAAAEwBwAAAAk2LzMwLzIwMjQIAAAACTYvMzAvMjAyNAkAAAABMOoj2opEJd4I4U6Ni0Ql3ggwQ0lRLkJQLklRX1RPVEFMX1JFVkVOVUUuSVFfQ1EuMy8zMS8yMDIzLkwuLlVTRC5IAQAAAOIEBgACAAAABTU1NzA4AQgAAAAFAAAAATEBAAAACy0xOTk2MzY4MDUxAwAAAAMxNjACAAAAAjI4BAAAAAEwBwAAAAkzLzMxLzIwMjMIAAAACTMvMzEvMjAyMwkAAAABMOVK2opEJd4IIViHi0Ql3ggwQ0lRLkJQLklRX1RPVEFMX1JFVkVOVUUuSVFfQ1EuOS8zMC8yMDEyLkwuLlVTRC5IAQAAAOIEBgACAAAABTkyMDAyAQgAAAAFAAAAATEBAAAACjE2NDI2MzkzNjYDAAAAAzE2MAIAAAACMjgEAAAAATAHAAAACTkvMzAvMjAxMggAAAAJOS8zMC8yMDEyCQAAAAEwq4eYiUQl3ghyg02LRCXeCDBDSVEuQlAuSVFfVE9UQUxfUkVWRU5VRS5JUV9DUS42LzMwLzIwMTEuTC4uVVNELkgBAAAA4gQGAAIAAAAGMTAxMzY0AQgAAAAFAAAAATEBAAAACjE1NTY5NTM0MDkDAAAAAzE2MAIAAAACMjgEAAAAATAHAAAACTYvMzAvMjAxMQgAAAAJNi8zMC8yMDExCQAAAAEw5+R8iUQl3ggTvkeLRCXeCDBDSVEuQlAuSVFfVE9U</t>
  </si>
  <si>
    <t>QUxfUkVWRU5VRS5JUV9DUS42LzMwLzIwMTAuTC4uVVNELkgBAAAA4gQGAAIAAAAFNzM3MjUBCAAAAAUAAAABMQEAAAAKMTQ2Mzg0NzMwMQMAAAADMTYwAgAAAAIyOAQAAAABMAcAAAAJNi8zMC8yMDEwCAAAAAk2LzMwLzIwMTAJAAAAATAGM32JRCXeCORbQ4tEJd4IMENJUS5CUC5JUV9UT1RBTF9SRVZFTlVFLklRX0NRLjYvMzAvMjAyMC5MLi5VU0QuSAEAAADiBAYAAgAAAAUyMTEzOAEIAAAABQAAAAExAQAAAAstMjE0MDUwMTYyOQMAAAADMTYwAgAAAAIyOAQAAAABMAcAAAAJNi8zMC8yMDIwCAAAAAk2LzMwLzIwMjAJAAAAATApX8eKRCXeCOeGeotEJd4IMENJUS5CUC5JUV9UT1RBTF9SRVZFTlVFLklRX0NRLjMvMzEvMjAxNy5MLi5VU0QuSAEAAADiBAYAAgAAAAU1NTM5NQEIAAAABQAAAAExAQAAAAoxODg1ODIwODEzAwAAAAMxNjACAAAAAjI4BAAAAAEwBwAAAAkzLzMxLzIwMTcIAAAACTMvMzEvMjAxNwkAAAABMI2giolEJd4I1khpi0Ql3ggwQ0lRLkJQLklRX1RPVEFMX1JFVkVOVUUuSVFfQ1EuOS8zMC8yMDI0LkwuLlVTRC5IAQAAAOIEBgACAAAABTQ3MjIzAQgAAAAFAAAAATEBAAAACy0xOTE4NjQ2NzQ2AwAAAAMxNjACAAAAAjI4BAAAAAEwBwAAAAk5LzMwLzIwMjQIAAAACTkvMzAvMjAyNAkAAAABMOoj2opEJd4IV2COi0Ql3ggwQ0lRLkJQLklRX1RPVEFMX1JFVkVOVUUuSVFfQ1EuOS8zMC8y</t>
  </si>
  <si>
    <t>MDE3LkwuLlVTRC5IAQAAAOIEBgACAAAABTU5NTY5AQgAAAAFAAAAATEBAAAACjE5MTY1MzM1NzcDAAAAAzE2MAIAAAACMjgEAAAAATAHAAAACTkvMzAvMjAxNwgAAAAJOS8zMC8yMDE3CQAAAAEwenmKiUQl3ggnfWyLRCXeCDBDSVEuQlAuSVFfVE9UQUxfUkVWRU5VRS5JUV9DUS42LzMwLzIwMTcuTC4uVVNELkgBAAAA4gQGAAIAAAAFNTYxNjQBCAAAAAUAAAABMQEAAAAKMTg5NzcyNDA1MQMAAAADMTYwAgAAAAIyOAQAAAABMAcAAAAJNi8zMC8yMDE3CAAAAAk2LzMwLzIwMTcJAAAAATB6eYqJRCXeCHLPaotEJd4IMENJUS5CUC5JUV9UT1RBTF9SRVZFTlVFLklRX0NRLjkvMzAvMjAxMS5MLi5VU0QuSAEAAADiBAYAAgAAAAU5NTM4MwEIAAAABQAAAAExAQAAAAoxNTczODY1ODA3AwAAAAMxNjACAAAAAjI4BAAAAAEwBwAAAAk5LzMwLzIwMTEIAAAACTkvMzAvMjAxMQkAAAABMOfkfIlEJd4IMOFIi0Ql3ggwQ0lRLkJQLklRX1RPVEFMX1JFVkVOVUUuSVFfQ1EuNi8zMC8yMDE0LkwuLlVTRC5IAQAAAOIEBgACAAAABTkzOTU3AQgAAAAFAAAAATEBAAAACjE3NDczNjc3MzEDAAAAAzE2MAIAAAACMjgEAAAAATAHAAAACTYvMzAvMjAxNAgAAAAJNi8zMC8yMDE0CQAAAAEwUASKiUQl3ghyR1eLRCXeCDBDSVEuQlAuSVFfVE9UQUxfUkVWRU5VRS5JUV9DUS45LzMwLzIwMjEuTC4uVVNELkgBAAAA4gQGAAIAAAAF</t>
  </si>
  <si>
    <t>MzU4MjABCAAAAAUAAAABMQEAAAALLTIwNzI2MzIwNjUDAAAAAzE2MAIAAAACMjgEAAAAATAHAAAACTkvMzAvMjAyMQgAAAAJOS8zMC8yMDIxCQAAAAEwCRHHikQl3gg/U4CLRCXeCDBDSVEuQlAuSVFfVE9UQUxfUkVWRU5VRS5JUV9DUS45LzMwLzIwMTUuTC4uVVNELkgBAAAA4gQGAAIAAAAFNTU5MTQBCAAAAAUAAAABMQEAAAAKMTgxNTUzNjk2OQMAAAADMTYwAgAAAAIyOAQAAAABMAcAAAAJOS8zMC8yMDE1CAAAAAk5LzMwLzIwMTUJAAAAATDIlnyJRCXeCNOEX4tEJd4IMENJUS5CUC5JUV9UT1RBTF9SRVZFTlVFLklRX0NRLjYvMzAvMjAxNi5MLi5VU0QuSAEAAADiBAYAAgAAAAU0NjE4NAEIAAAABQAAAAExAQAAAAoxODUxMTIzMDA5AwAAAAMxNjACAAAAAjI4BAAAAAEwBwAAAAk2LzMwLzIwMTYIAAAACTYvMzAvMjAxNgkAAAABMKHHiolEJd4I1mZki0Ql3ggXQ0lRLkRWTi5JUV9DT01QQU5ZX05BTUUBAAAADhEEAAMAAAAYRGV2b24gRW5lcmd5IENvcnBvcmF0aW9uAIVg2YpEJd4IIT6Vi0Ql3ggnQ0lRLkRWTi5JUV9OSS5JUV9MVE0uOS8zMC8yMDE3LkwuLlVTRC5IAQAAAA4RBAACAAAABDMyOTIBCAAAAAUAAAABMQEAAAAKMTkyMDI4MzM3NwMAAAADMTYwAgAAAAIxNQQAAAABMAcAAAAJOS8zMC8yMDE3CAAAAAk5LzMwLzIwMTcJAAAAATB6eYqJRCXeCOrga4tEJd4IKENJUS5EVk4uSVFfTkkuSVFf</t>
  </si>
  <si>
    <t>TFRNLjEyLzMxLzIwMjIuTC4uVVNELkgBAAAADhEEAAIAAAAENjAxNQEIAAAABQAAAAExAQAAAAstMTk1OTAyODg2MAMAAAADMTYwAgAAAAIxNQQAAAABMAcAAAAKMTIvMzEvMjAyMggAAAAKMTIvMzEvMjAyMgkAAAABMP7pxopEJd4Ig9GFi0Ql3ggnQ0lRLkRWTi5JUV9OSS5JUV9MVE0uNi8zMC8yMDIxLkwuLlVTRC5IAQAAAA4RBAACAAAAAzI3NQEIAAAABQAAAAExAQAAAAstMjA3MjM2MjE4NQMAAAADMTYwAgAAAAIxNQQAAAABMAcAAAAJNi8zMC8yMDIxCAAAAAk2LzMwLzIwMjEJAAAAATAxOMeKRCXeCKfMfotEJd4IJ0NJUS5EVk4uSVFfTkkuSVFfTFRNLjkvMzAvMjAxMy5MLi5VU0QuSAEAAAAOEQQAAgAAAAQtNTg0AQgAAAAFAAAAATEBAAAACjE3MDQ5NjgxOTYDAAAAAzE2MAIAAAACMTUEAAAAATAHAAAACTkvMzAvMjAxMwgAAAAJOS8zMC8yMDEzCQAAAAEwbiuKiUQl3ggyyVGLRCXeCChDSVEuRFZOLklRX05JLklRX0xUTS4xMi8zMS8yMDIwLkwuLlVTRC5IAQAAAA4RBAACAAAABS0yNjgwAQgAAAAFAAAAATEBAAAACy0yMDYwOTQxMzk2AwAAAAMxNjACAAAAAjE1BAAAAAEwBwAAAAoxMi8zMS8yMDIwCAAAAAoxMi8zMS8yMDIwCQAAAAEwMTjHikQl3gi9gnyLRCXeCCdDSVEuRFZOLklRX05JLklRX0xUTS45LzMwLzIwMTkuTC4uVVNELkgBAAAADhEEAAIAAAAEMTQzNgEIAAAABQAAAAExAQAAAAoy</t>
  </si>
  <si>
    <t>MDY3MzQyMjc5AwAAAAMxNjACAAAAAjE1BAAAAAEwBwAAAAk5LzMwLzIwMTkIAAAACTkvMzAvMjAxOQkAAAABMEiGx4pEJd4IQ492i0Ql3ggnQ0lRLkRWTi5JUV9OSS5JUV9MVE0uNi8zMC8yMDEzLkwuLlVTRC5IAQAAAA4RBAACAAAABS0xNzMyAQgAAAAFAAAAATEBAAAACjE3MDQ5Njk2MDQDAAAAAzE2MAIAAAACMTUEAAAAATAHAAAACTYvMzAvMjAxMwgAAAAJNi8zMC8yMDEzCQAAAAEwmGCYiUQl3gitkFCLRCXeCChDSVEuRFZOLklRX05JLklRX0xUTS4xMi8zMS8yMDEyLkwuLlVTRC5IAQAAAA4RBAACAAAABC0yMDYBCAAAAAUAAAABMQEAAAAKMTcyMDA3NTgyOAMAAAADMTYwAgAAAAIxNQQAAAABMAcAAAAKMTIvMzEvMjAxMggAAAAKMTIvMzEvMjAxMgkAAAABMKuHmIlEJd4IwEZOi0Ql3ggnQ0lRLkRWTi5JUV9OSS5JUV9MVE0uMy8zMS8yMDI0LkwuLlVTRC5IAQAAAA4RBAACAAAABDMzNDgBCAAAAAUAAAABMQEAAAALLTE5MzI4ODI1ODkDAAAAAzE2MAIAAAACMTUEAAAAATAHAAAACTMvMzEvMjAyNAgAAAAJMy8zMS8yMDI0CQAAAAEw5UraikQl3ggjeouLRCXeCChDSVEuRFZOLklRX05JLklRX0xUTS4xMi8zMS8yMDE4LkwuLlVTRC5IAQAAAA4RBAACAAAABDMwNjQBCAAAAAUAAAABMQEAAAAKMjA4MDk5ODgzNQMAAAADMTYwAgAAAAIxNQQAAAABMAcAAAAKMTIvMzEvMjAxOAgAAAAKMTIvMzEvMjAx</t>
  </si>
  <si>
    <t>OAkAAAABMGtSiolEJd4I0Axzi0Ql3ggnQ0lRLkRWTi5JUV9OSS5JUV9MVE0uNi8zMC8yMDE4LkwuLlVTRC5IAQAAAA4RBAACAAAABC0yNDYBCAAAAAUAAAABMQEAAAAKMTk3NDY5ODEyOQMAAAADMTYwAgAAAAIxNQQAAAABMAcAAAAJNi8zMC8yMDE4CAAAAAk2LzMwLzIwMTgJAAAAATBrUoqJRCXeCO3CcItEJd4IJ0NJUS5EVk4uSVFfTkkuSVFfTFRNLjMvMzEvMjAxMS5MLi5VU0QuSAEAAAAOEQQAAgAAAAQzNzc0AQgAAAAFAAAAATEBAAAACjE1NDQ5Njg5MTEDAAAAAzE2MAIAAAACMTUEAAAAATAHAAAACTMvMzEvMjAxMQgAAAAJMy8zMS8yMDExCQAAAAEw9Qt9iUQl3ggBG0aLRCXeCCdDSVEuRFZOLklRX05JLklRX0xUTS45LzMwLzIwMTUuTC4uVVNELkgBAAAADhEEAAIAAAAGLTEwMzMwAQgAAAAFAAAAATEBAAAACjE4MTU5NzA2MDgDAAAAAzE2MAIAAAACMTUEAAAAATAHAAAACTkvMzAvMjAxNQgAAAAJOS8zMC8yMDE1CQAAAAEwyJZ8iUQl3giIwV6LRCXeCChDSVEuRFZOLklRX05JLklRX0xUTS4xMi8zMS8yMDE0LkwuLlVTRC5IAQAAAA4RBAACAAAABDE2MDcBCAAAAAUAAAABMQEAAAAKMTgyNzg3MDUwMwMAAAADMTYwAgAAAAIxNQQAAAABMAcAAAAKMTIvMzEvMjAxNAgAAAAKMTIvMzEvMjAxNAkAAAABMPULfYlEJd4Ij99Zi0Ql3ggnQ0lRLkRWTi5JUV9OSS5JUV9MVE0uMy8zMS8yMDEzLkwuLlVT</t>
  </si>
  <si>
    <t>RC5IAQAAAA4RBAACAAAABS0xOTM4AQgAAAAFAAAAATEBAAAACjE2ODk4NDI0NDADAAAAAzE2MAIAAAACMTUEAAAAATAHAAAACTMvMzEvMjAxMwgAAAAJMy8zMS8yMDEzCQAAAAEwmGCYiUQl3ggsWE+LRCXeCCdDSVEuRFZOLklRX05JLklRX0xUTS42LzMwLzIwMTAuTC4uVVNELkgBAAAADhEEAAIAAAAEMzA2NAEIAAAABQAAAAExAQAAAAoxNDY1NzIxMDU3AwAAAAMxNjACAAAAAjE1BAAAAAEwBwAAAAk2LzMwLzIwMTAIAAAACTYvMzAvMjAxMAkAAAABMAYzfYlEJd4IxeZCi0Ql3ggnQ0lRLkRWTi5JUV9OSS5JUV9MVE0uMy8zMS8yMDE4LkwuLlVTRC5IAQAAAA4RBAACAAAAAzM5OAEIAAAABQAAAAExAQAAAAoxOTc0Njk4Mzc5AwAAAAMxNjACAAAAAjE1BAAAAAEwBwAAAAkzLzMxLzIwMTgIAAAACTMvMzEvMjAxOAkAAAABMHp5iolEJd4IQhVvi0Ql3ggnQ0lRLkRWTi5JUV9OSS5JUV9MVE0uMy8zMS8yMDEyLkwuLlVTRC5IAQAAAA4RBAACAAAABDQ2ODEBCAAAAAUAAAABMQEAAAAKMTYxNTE5MzQzNAMAAAADMTYwAgAAAAIxNQQAAAABMAcAAAAJMy8zMS8yMDEyCAAAAAkzLzMxLzIwMTIJAAAAATDbvXyJRCXeCNu8SotEJd4IJ0NJUS5EVk4uSVFfTkkuSVFfTFRNLjkvMzAvMjAyNS5MLi5VU0QuSAEAAAAOEQQAAgAAAAQyNzE5AQgAAAAFAAAAATEBAAAACy0xOTE4MDI3NDM1AwAAAAMxNjACAAAAAjE1BAAA</t>
  </si>
  <si>
    <t>AAEwBwAAAAk5LzMwLzIwMjUIAAAACTkvMzAvMjAyNQkAAAABMNr82YpEJd4IW0KTi0Ql3ggoQ0lRLkRWTi5JUV9OSS5JUV9MVE0uMTIvMzEvMjAyNC5MLi5VU0QuSAEAAAAOEQQAAgAAAAQyODkxAQgAAAAFAAAAATEBAAAACy0xOTU5MDI4ODU5AwAAAAMxNjACAAAAAjE1BAAAAAEwBwAAAAoxMi8zMS8yMDI0CAAAAAoxMi8zMS8yMDI0CQAAAAEw6iPaikQl3giR/I6LRCXeCCdDSVEuRFZOLklRX05JLklRX0xUTS4zLzMxLzIwMjAuTC4uVVNELkgBAAAADhEEAAIAAAAFLTE4NTQBCAAAAAUAAAABMQEAAAALLTIxNDAwMjQwNTUDAAAAAzE2MAIAAAACMTUEAAAAATAHAAAACTMvMzEvMjAyMAgAAAAJMy8zMS8yMDIwCQAAAAEwKV/HikQl3ggr2XiLRCXeCCdDSVEuRFZOLklRX05JLklRX0xUTS4zLzMxLzIwMjMuTC4uVVNELkgBAAAADhEEAAIAAAAENjAyMQEIAAAABQAAAAExAQAAAAstMTk4NDIyMTc3NQMAAAADMTYwAgAAAAIxNQQAAAABMAcAAAAJMy8zMS8yMDIzCAAAAAkzLzMxLzIwMjMJAAAAATDlStqKRCXeCPDihotEJd4IJ0NJUS5EVk4uSVFfTkkuSVFfTFRNLjYvMzAvMjAyMy5MLi5VU0QuSAEAAAAOEQQAAgAAAAQ0Nzc5AQgAAAAFAAAAATEBAAAACy0xOTcwMzk4MDgyAwAAAAMxNjACAAAAAjE1BAAAAAEwBwAAAAk2LzMwLzIwMjMIAAAACTYvMzAvMjAyMwkAAAABMOVK2opEJd4IbRuIi0Ql3ggnQ0lR</t>
  </si>
  <si>
    <t>LkRWTi5JUV9OSS5JUV9MVE0uNi8zMC8yMDE3LkwuLlVTRC5IAQAAAA4RBAACAAAABDQwOTIBCAAAAAUAAAABMQEAAAAKMTg5ODExMDQ1MwMAAAADMTYwAgAAAAIxNQQAAAABMAcAAAAJNi8zMC8yMDE3CAAAAAk2LzMwLzIwMTcJAAAAATCNoIqJRCXeCDMzaotEJd4IJ0NJUS5EVk4uSVFfTkkuSVFfTFRNLjMvMzEvMjAyNS5MLi5VU0QuSAEAAAAOEQQAAgAAAAQyNzg5AQgAAAAFAAAAATEBAAAACy0xOTQ1Mzk2NzkwAwAAAAMxNjACAAAAAjE1BAAAAAEwBwAAAAkzLzMxLzIwMjUIAAAACTMvMzEvMjAyNQkAAAABMOoj2opEJd4IMoOQi0Ql3ggnQ0lRLkRWTi5JUV9OSS5JUV9MVE0uMy8zMS8yMDE5LkwuLlVTRC5IAQAAAA4RBAACAAAABDI5NDQBCAAAAAUAAAABMQEAAAAKMjA0OTAwNDgwNwMAAAADMTYwAgAAAAIxNQQAAAABMAcAAAAJMy8zMS8yMDE5CAAAAAkzLzMxLzIwMTkJAAAAATD1C32JRCXeCFlFdItEJd4IJ0NJUS5EVk4uSVFfTkkuSVFfTFRNLjkvMzAvMjAyMS5MLi5VU0QuSAEAAAAOEQQAAgAAAAQxMjA1AQgAAAAFAAAAATEBAAAACy0yMDcyMzYyMjY4AwAAAAMxNjACAAAAAjE1BAAAAAEwBwAAAAk5LzMwLzIwMjEIAAAACTkvMzAvMjAyMQkAAAABMAkRx4pEJd4IEN5/i0Ql3ggnQ0lRLkRWTi5JUV9OSS5JUV9MVE0uMy8zMS8yMDE3LkwuLlVTRC5IAQAAAA4RBAACAAAABDIzMDMBCAAAAAUAAAAB</t>
  </si>
  <si>
    <t>MQEAAAAKMTg5ODExMDYzOAMAAAADMTYwAgAAAAIxNQQAAAABMAcAAAAJMy8zMS8yMDE3CAAAAAkzLzMxLzIwMTcJAAAAATCNoIqJRCXeCIeFaItEJd4IJ0NJUS5EVk4uSVFfTkkuSVFfTFRNLjMvMzEvMjAxNC5MLi5VU0QuSAEAAAAOEQQAAgAAAAQxNjQzAQgAAAAFAAAAATEBAAAACjE3MzMwMDU5OTQDAAAAAzE2MAIAAAACMTUEAAAAATAHAAAACTMvMzEvMjAxNAgAAAAJMy8zMS8yMDE0CQAAAAEwbiuKiUQl3giG1lSLRCXeCCdDSVEuRFZOLklRX05JLklRX0xUTS42LzMwLzIwMTEuTC4uVVNELkgBAAAADhEEAAIAAAAENTgxMQEIAAAABQAAAAExAQAAAAoxNTU3MjE2NjQxAwAAAAMxNjACAAAAAjE1BAAAAAEwBwAAAAk2LzMwLzIwMTEIAAAACTYvMzAvMjAxMQkAAAABMOfkfIlEJd4IdSxHi0Ql3ggnQ0lRLkRWTi5JUV9OSS5JUV9MVE0uNi8zMC8yMDEyLkwuLlVTRC5IAQAAAA4RBAACAAAABDI0MTUBCAAAAAUAAAABMQEAAAAKMTY0MzkwNTMwNQMAAAADMTYwAgAAAAIxNQQAAAABMAcAAAAJNi8zMC8yMDEyCAAAAAk2LzMwLzIwMTIJAAAAATCrh5iJRCXeCHXlS4tEJd4IJ0NJUS5EVk4uSVFfTkkuSVFfTFRNLjYvMzAvMjAyMi5MLi5VU0QuSAEAAAAOEQQAAgAAAAQ1MjY1AQgAAAAFAAAAATEBAAAACy0yMDIwNDU3NzU0AwAAAAMxNjACAAAAAjE1BAAAAAEwBwAAAAk2LzMwLzIwMjIIAAAACTYvMzAvMjAy</t>
  </si>
  <si>
    <t>MgkAAAABMAkRx4pEJd4IgWCDi0Ql3ggnQ0lRLkRWTi5JUV9OSS5JUV9MVE0uNi8zMC8yMDE2LkwuLlVTRC5IAQAAAA4RBAACAAAABi0xMjY2NQEIAAAABQAAAAExAQAAAAoxODYzNjgzODY0AwAAAAMxNjACAAAAAjE1BAAAAAEwBwAAAAk2LzMwLzIwMTYIAAAACTYvMzAvMjAxNgkAAAABMKHHiolEJd4Il8pji0Ql3ggyQ0lRLkRWTi5JUV9UT1RBTF9SRVZFTlVFLklRX0NRLjEyLzMxLzIwMjIuTC4uVVNELkgBAAAADhEEAAIAAAAENDE0MgEIAAAABQAAAAExAQAAAAstMjAwODIyMjE5NgMAAAADMTYwAgAAAAIyOAQAAAABMAcAAAAKMTIvMzEvMjAyMggAAAAKMTIvMzEvMjAyMgkAAAABMP7pxopEJd4Iq0aGi0Ql3ggxQ0lRLkRWTi5JUV9UT1RBTF9SRVZFTlVFLklRX0NRLjMvMzEvMjAyNC5MLi5VU0QuSAEAAAAOEQQAAgAAAAQzMzc4AQgAAAAFAAAAATEBAAAACy0xOTMyODgyNTkwAwAAAAMxNjACAAAAAjI4BAAAAAEwBwAAAAkzLzMxLzIwMjQIAAAACTMvMzEvMjAyNAkAAAABMOVK2opEJd4IWe+Li0Ql3ggxQ0lRLkRWTi5JUV9UT1RBTF9SRVZFTlVFLklRX0NRLjkvMzAvMjAxOS5MLi5VU0QuSAEAAAAOEQQAAgAAAAQxNTYxAQgAAAAFAAAAATEBAAAACjIwNjczNDEzODADAAAAAzE2MAIAAAACMjgEAAAAATAHAAAACTkvMzAvMjAxOQgAAAAJOS8zMC8yMDE5CQAAAAEwSIbHikQl3ghj3XaLRCXeCDJDSVEu</t>
  </si>
  <si>
    <t>RFZOLklRX1RPVEFMX1JFVkVOVUUuSVFfQ1EuMTIvMzEvMjAxMC5MLi5VU0QuSAEAAAAOEQQAAgAAAAQyMTQ0AQgAAAAFAAAAATEBAAAACjE1MjM3MjEzOTMDAAAAAzE2MAIAAAACMjgEAAAAATAHAAAACjEyLzMxLzIwMTAIAAAACjEyLzMxLzIwMTAJAAAAATD1C32JRCXeCLZXRYtEJd4IMUNJUS5EVk4uSVFfVE9UQUxfUkVWRU5VRS5JUV9DUS45LzMwLzIwMTMuTC4uVVNELkgBAAAADhEEAAIAAAAEMjg1NQEIAAAABQAAAAExAQAAAAoxNzA0OTU5NDEwAwAAAAMxNjACAAAAAjI4BAAAAAEwBwAAAAk5LzMwLzIwMTMIAAAACTkvMzAvMjAxMwkAAAABMG4riolEJd4IdmVSi0Ql3ggxQ0lRLkRWTi5JUV9UT1RBTF9SRVZFTlVFLklRX0NRLjkvMzAvMjAyMy5MLi5VU0QuSAEAAAAOEQQAAgAAAAQ0MDMwAQgAAAAFAAAAATEBAAAACy0xOTcwNDAwMjc2AwAAAAMxNjACAAAAAjI4BAAAAAEwBwAAAAk5LzMwLzIwMjMIAAAACTkvMzAvMjAyMwkAAAABMOVK2opEJd4IEqKJi0Ql3ggyQ0lRLkRWTi5JUV9UT1RBTF9SRVZFTlVFLklRX0NRLjEyLzMxLzIwMjAuTC4uVVNELkgBAAAADhEEAAIAAAAEMTM1MAEIAAAABQAAAAExAQAAAAstMjExMjEwMDQzNQMAAAADMTYwAgAAAAIyOAQAAAABMAcAAAAKMTIvMzEvMjAyMAgAAAAKMTIvMzEvMjAyMAkAAAABMDE4x4pEJd4I4Pd8i0Ql3ggxQ0lRLkRWTi5JUV9UT1RBTF9SRVZF</t>
  </si>
  <si>
    <t>TlVFLklRX0NRLjkvMzAvMjAxNi5MLi5VU0QuSAEAAAAOEQQAAgAAAAQyNzY0AQgAAAAFAAAAATEBAAAACjE4NjM2Nzk1NDIDAAAAAzE2MAIAAAACMjgEAAAAATAHAAAACTkvMzAvMjAxNggAAAAJOS8zMC8yMDE2CQAAAAEwjaCKiUQl3giLFGaLRCXeCDFDSVEuRFZOLklRX1RPVEFMX1JFVkVOVUUuSVFfQ1EuMy8zMS8yMDEyLkwuLlVTRC5IAQAAAA4RBAACAAAABDIyOTkBCAAAAAUAAAABMQEAAAAKMTYxNTE4MDA1OAMAAAADMTYwAgAAAAIyOAQAAAABMAcAAAAJMy8zMS8yMDEyCAAAAAkzLzMxLzIwMTIJAAAAATDbvXyJRCXeCK8zS4tEJd4IMUNJUS5EVk4uSVFfVE9UQUxfUkVWRU5VRS5JUV9DUS4zLzMxLzIwMTUuTC4uVVNELkgBAAAADhEEAAIAAAAEMjkxOAEIAAAABQAAAAExAQAAAAoxODAxNjI3NzY0AwAAAAMxNjACAAAAAjI4BAAAAAEwBwAAAAkzLzMxLzIwMTUIAAAACTMvMzEvMjAxNQkAAAABMNu9fIlEJd4Ieylci0Ql3ggxQ0lRLkRWTi5JUV9UT1RBTF9SRVZFTlVFLklRX0NRLjYvMzAvMjAyMy5MLi5VU0QuSAEAAAAOEQQAAgAAAAQzMzM5AQgAAAAFAAAAATEBAAAACy0xOTcwMzk4MDgzAwAAAAMxNjACAAAAAjI4BAAAAAEwBwAAAAk2LzMwLzIwMjMIAAAACTYvMzAvMjAyMwkAAAABMOVK2opEJd4Io5CIi0Ql3ggxQ0lRLkRWTi5JUV9UT1RBTF9SRVZFTlVFLklRX0NRLjMvMzEvMjAxOS5MLi5V</t>
  </si>
  <si>
    <t>U0QuSAEAAAAOEQQAAgAAAAQxNjI0AQgAAAAFAAAAATEBAAAACjIwNDkwMDQ4MDQDAAAAAzE2MAIAAAACMjgEAAAAATAHAAAACTMvMzEvMjAxOQgAAAAJMy8zMS8yMDE5CQAAAAEw5+R8iUQl3ghqk3SLRCXeCDFDSVEuRFZOLklRX1RPVEFMX1JFVkVOVUUuSVFfQ1EuOS8zMC8yMDEwLkwuLlVTRC5IAQAAAA4RBAACAAAABDIwOTMBCAAAAAUAAAABMQEAAAAKMTQ3OTk3ODQ3MQMAAAADMTYwAgAAAAIyOAQAAAABMAcAAAAJOS8zMC8yMDEwCAAAAAk5LzMwLzIwMTAJAAAAATAGM32JRCXeCEdGRItEJd4IMUNJUS5EVk4uSVFfVE9UQUxfUkVWRU5VRS5JUV9DUS42LzMwLzIwMTQuTC4uVVNELkgBAAAADhEEAAIAAAAENDkwOQEIAAAABQAAAAExAQAAAAoxNzQ4ODU1MzIyAwAAAAMxNjACAAAAAjI4BAAAAAEwBwAAAAk2LzMwLzIwMTQIAAAACTYvMzAvMjAxNAkAAAABMFAEiolEJd4Ig25Xi0Ql3ggxQ0lRLkRWTi5JUV9UT1RBTF9SRVZFTlVFLklRX0NRLjMvMzEvMjAxMS5MLi5VU0QuSAEAAAAOEQQAAgAAAAQyMjU5AQgAAAAFAAAAATEBAAAACjE1NDQ5NTIzODgDAAAAAzE2MAIAAAACMjgEAAAAATAHAAAACTMvMzEvMjAxMQgAAAAJMy8zMS8yMDExCQAAAAEw9Qt9iUQl3ggwkEaLRCXeCDJDSVEuRFZOLklRX1RPVEFMX1JFVkVOVUUuSVFfQ1EuMTIvMzEvMjAxMi5MLi5VU0QuSAEAAAAOEQQAAgAAAAQyNTY2AQgA</t>
  </si>
  <si>
    <t>AAAFAAAAATEBAAAACjE2NjA4OTc5OTYDAAAAAzE2MAIAAAACMjgEAAAAATAHAAAACjEyLzMxLzIwMTIIAAAACjEyLzMxLzIwMTIJAAAAATCrh5iJRCXeCOu7TotEJd4IMUNJUS5EVk4uSVFfVE9UQUxfUkVWRU5VRS5JUV9DUS45LzMwLzIwMTUuTC4uVVNELkgBAAAADhEEAAIAAAAEMzEzOQEIAAAABQAAAAExAQAAAAoxODE1OTY5NDc2AwAAAAMxNjACAAAAAjI4BAAAAAEwBwAAAAk5LzMwLzIwMTUIAAAACTkvMzAvMjAxNQkAAAABMMiWfIlEJd4I04Rfi0Ql3ggxQ0lRLkRWTi5JUV9UT1RBTF9SRVZFTlVFLklRX0NRLjYvMzAvMjAxOC5MLi5VU0QuSAEAAAAOEQQAAgAAAAQxODU4AQgAAAAFAAAAATEBAAAACjE5NzQ2ODYxNzMDAAAAAzE2MAIAAAACMjgEAAAAATAHAAAACTYvMzAvMjAxOAgAAAAJNi8zMC8yMDE4CQAAAAEwa1KKiUQl3ggQOHGLRCXeCDJDSVEuRFZOLklRX1RPVEFMX1JFVkVOVUUuSVFfQ1EuMTIvMzEvMjAxNi5MLi5VU0QuSAEAAAAOEQQAAgAAAAQyNzQxAQgAAAAFAAAAATEBAAAACjE4NzU1MTI5MzkDAAAAAzE2MAIAAAACMjgEAAAAATAHAAAACjEyLzMxLzIwMTYIAAAACjEyLzMxLzIwMTYJAAAAATCNoIqJRCXeCCebZ4tEJd4IMkNJUS5EVk4uSVFfVE9UQUxfUkVWRU5VRS5JUV9DUS4xMi8zMS8yMDE5LkwuLlVTRC5IAQAAAA4RBAACAAAABDE2MzYBCAAAAAUAAAABMQEAAAAKMjA4MDk5</t>
  </si>
  <si>
    <t>ODk4NAMAAAADMTYwAgAAAAIyOAQAAAABMAcAAAAKMTIvMzEvMjAxOQgAAAAKMTIvMzEvMjAxOQkAAAABMClfx4pEJd4I5BV4i0Ql3ggxQ0lRLkRWTi5JUV9UT1RBTF9SRVZFTlVFLklRX0NRLjYvMzAvMjAyMi5MLi5VU0QuSAEAAAAOEQQAAgAAAAQ1NTQ0AQgAAAAFAAAAATEBAAAACy0yMDIwNDU3NzU1AwAAAAMxNjACAAAAAjI4BAAAAAEwBwAAAAk2LzMwLzIwMjIIAAAACTYvMzAvMjAyMgkAAAABMP7pxopEJd4IrdWDi0Ql3ggxQ0lRLkRWTi5JUV9UT1RBTF9SRVZFTlVFLklRX0NRLjYvMzAvMjAxNS5MLi5VU0QuSAEAAAAOEQQAAgAAAAQzNjE2AQgAAAAFAAAAATEBAAAACjE4MDE2Mjc1MzkDAAAAAzE2MAIAAAACMjgEAAAAATAHAAAACTYvMzAvMjAxNQgAAAAJNi8zMC8yMDE1CQAAAAEwyJZ8iUQl3ggesF2LRCXeCDFDSVEuRFZOLklRX1RPVEFMX1JFVkVOVUUuSVFfQ1EuNi8zMC8yMDE2LkwuLlVTRC5IAQAAAA4RBAACAAAABDI1OTIBCAAAAAUAAAABMQEAAAAKMTg2MzY4Mzg2MwMAAAADMTYwAgAAAAIyOAQAAAABMAcAAAAJNi8zMC8yMDE2CAAAAAk2LzMwLzIwMTYJAAAAATChx4qJRCXeCNZmZItEJd4IMUNJUS5EVk4uSVFfVE9UQUxfUkVWRU5VRS5JUV9DUS42LzMwLzIwMTIuTC4uVVNELkgBAAAADhEEAAIAAAAEMTg0MwEIAAAABQAAAAExAQAAAAoxNjQzOTA1MzA0AwAAAAMxNjACAAAAAjI4BAAA</t>
  </si>
  <si>
    <t>AAEwBwAAAAk2LzMwLzIwMTIIAAAACTYvMzAvMjAxMgkAAAABMKuHmIlEJd4Iul1Mi0Ql3ggxQ0lRLkRWTi5JUV9UT1RBTF9SRVZFTlVFLklRX0NRLjkvMzAvMjAxNC5MLi5VU0QuSAEAAAAOEQQAAgAAAAQ0NTg4AQgAAAAFAAAAATEBAAAACjE3NjI3OTUzNzgDAAAAAzE2MAIAAAACMjgEAAAAATAHAAAACTkvMzAvMjAxNAgAAAAJOS8zMC8yMDE0CQAAAAEwUASKiUQl3ghE9ViLRCXeCDFDSVEuRFZOLklRX1RPVEFMX1JFVkVOVUUuSVFfQ1EuOS8zMC8yMDE3LkwuLlVTRC5IAQAAAA4RBAACAAAABDE4ODcBCAAAAAUAAAABMQEAAAAKMTkyMDIxNTY1NAMAAAADMTYwAgAAAAIyOAQAAAABMAcAAAAJOS8zMC8yMDE3CAAAAAk5LzMwLzIwMTcJAAAAATB6eYqJRCXeCCd9bItEJd4IMkNJUS5EVk4uSVFfVE9UQUxfUkVWRU5VRS5JUV9DUS4xMi8zMS8yMDE4LkwuLlVTRC5IAQAAAA4RBAACAAAABDI4OTIBCAAAAAUAAAABMQEAAAAKMjAxNTk0ODYwMAMAAAADMTYwAgAAAAIyOAQAAAABMAcAAAAKMTIvMzEvMjAxOAgAAAAKMTIvMzEvMjAxOAkAAAABMPULfYlEJd4IA4Jzi0Ql3ggxQ0lRLkRWTi5JUV9UT1RBTF9SRVZFTlVFLklRX0NRLjMvMzEvMjAxNi5MLi5VU0QuSAEAAAAOEQQAAgAAAAQyMDYwAQgAAAAFAAAAATEBAAAACjE4NDAxNzc1NjgDAAAAAzE2MAIAAAACMjgEAAAAATAHAAAACTMvMzEvMjAxNggAAAAJ</t>
  </si>
  <si>
    <t>My8zMS8yMDE2CQAAAAEwoceKiUQl3ggjuWKLRCXeCDFDSVEuRFZOLklRX1RPVEFMX1JFVkVOVUUuSVFfQ1EuOS8zMC8yMDI0LkwuLlVTRC5IAQAAAA4RBAACAAAABDM3OTcBCAAAAAUAAAABMQEAAAALLTE5MTgwMjkwNTEDAAAAAzE2MAIAAAACMjgEAAAAATAHAAAACTkvMzAvMjAyNAgAAAAJOS8zMC8yMDI0CQAAAAEw6iPaikQl3ghXYI6LRCXeCDJDSVEuRFZOLklRX1RPVEFMX1JFVkVOVUUuSVFfQ1EuMTIvMzEvMjAxMS5MLi5VU0QuSAEAAAAOEQQAAgAAAAQyNjI5AQgAAAAFAAAAATEBAAAACjE1ODg4MDMxODQDAAAAAzE2MAIAAAACMjgEAAAAATAHAAAACjEyLzMxLzIwMTEIAAAACjEyLzMxLzIwMTEJAAAAATDbvXyJRCXeCJgKSotEJd4IMUNJUS5EVk4uSVFfVE9UQUxfUkVWRU5VRS5JUV9DUS4zLzMxLzIwMjAuTC4uVVNELkgBAAAADhEEAAIAAAAEMTI4NgEIAAAABQAAAAExAQAAAAstMjE0MDAyNDA1NwMAAAADMTYwAgAAAAIyOAQAAAABMAcAAAAJMy8zMS8yMDIwCAAAAAkzLzMxLzIwMjAJAAAAATApX8eKRCXeCGBOeYtEJd4IMUNJUS5EVk4uSVFfVE9UQUxfUkVWRU5VRS5JUV9DUS4zLzMxLzIwMjMuTC4uVVNELkgBAAAADhEEAAIAAAAEMzQxOQEIAAAABQAAAAExAQAAAAstMTk4NDIyMTc4MgMAAAADMTYwAgAAAAIyOAQAAAABMAcAAAAJMy8zMS8yMDIzCAAAAAkzLzMxLzIwMjMJAAAAATDlStqK</t>
  </si>
  <si>
    <t>RCXeCCFYh4tEJd4IMkNJUS5EVk4uSVFfVE9UQUxfUkVWRU5VRS5JUV9DUS4xMi8zMS8yMDE1LkwuLlVTRC5IAQAAAA4RBAACAAAABDI3NzEBCAAAAAUAAAABMQEAAAAKMTgyNzg3MDU0NgMAAAADMTYwAgAAAAIyOAQAAAABMAcAAAAKMTIvMzEvMjAxNQgAAAAKMTIvMzEvMjAxNQkAAAABMKHHiolEJd4IijJhi0Ql3ggxQ0lRLkRWTi5JUV9UT1RBTF9SRVZFTlVFLklRX0NRLjkvMzAvMjAyMC5MLi5VU0QuSAEAAAAOEQQAAgAAAAQxMTU0AQgAAAAFAAAAATEBAAAACy0yMTIzODU3NDQzAwAAAAMxNjACAAAAAjI4BAAAAAEwBwAAAAk5LzMwLzIwMjAIAAAACTkvMzAvMjAyMAkAAAABMDE4x4pEJd4IeOZ7i0Ql3ggxQ0lRLkRWTi5JUV9UT1RBTF9SRVZFTlVFLklRX0NRLjYvMzAvMjAyNC5MLi5VU0QuSAEAAAAOEQQAAgAAAAQzNzE1AQgAAAAFAAAAATEBAAAACy0xOTE4MDI3MzE0AwAAAAMxNjACAAAAAjI4BAAAAAEwBwAAAAk2LzMwLzIwMjQIAAAACTYvMzAvMjAyNAkAAAABMOoj2opEJd4IwACNi0Ql3ggxQ0lRLkRWTi5JUV9UT1RBTF9SRVZFTlVFLklRX0NRLjYvMzAvMjAxOS5MLi5VU0QuSAEAAAAOEQQAAgAAAAQxNjAyAQgAAAAFAAAAATEBAAAACjIwNDkwMDI5NjUDAAAAAzE2MAIAAAACMjgEAAAAATAHAAAACTYvMzAvMjAxOQgAAAAJNi8zMC8yMDE5CQAAAAEwSIbHikQl3gjpy3WLRCXeCDFDSVEuRFZO</t>
  </si>
  <si>
    <t>LklRX1RPVEFMX1JFVkVOVUUuSVFfQ1EuOS8zMC8yMDE4LkwuLlVTRC5IAQAAAA4RBAACAAAABDIwNzYBCAAAAAUAAAABMQEAAAAKMTk5MDgxNTQyNAMAAAADMTYwAgAAAAIyOAQAAAABMAcAAAAJOS8zMC8yMDE4CAAAAAk5LzMwLzIwMTgJAAAAATBrUoqJRCXeCIFJcotEJd4IMUNJUS5EVk4uSVFfVE9UQUxfUkVWRU5VRS5JUV9DUS45LzMwLzIwMjEuTC4uVVNELkgBAAAADhEEAAIAAAAEMzgwMQEIAAAABQAAAAExAQAAAAstMjA3MjM2NTU5NgMAAAADMTYwAgAAAAIyOAQAAAABMAcAAAAJOS8zMC8yMDIxCAAAAAk5LzMwLzIwMjEJAAAAATAJEceKRCXeCD9TgItEJd4IMUNJUS5EVk4uSVFfVE9UQUxfUkVWRU5VRS5JUV9DUS45LzMwLzIwMTEuTC4uVVNELkgBAAAADhEEAAIAAAAEMjcwMQEIAAAABQAAAAExAQAAAAoxNTc1MDQ3NzA4AwAAAAMxNjACAAAAAjI4BAAAAAEwBwAAAAk5LzMwLzIwMTEIAAAACTkvMzAvMjAxMQkAAAABMOfkfIlEJd4IMOFIi0Ql3ggyQ0lRLkRWTi5JUV9UT1RBTF9SRVZFTlVFLklRX0NRLjEyLzMxLzIwMjQuTC4uVVNELkgBAAAADhEEAAIAAAAENDI4MQEIAAAABQAAAAExAQAAAAstMTk1OTAyODg5MAMAAAADMTYwAgAAAAIyOAQAAAABMAcAAAAKMTIvMzEvMjAyNAgAAAAKMTIvMzEvMjAyNAkAAAABMOoj2opEJd4I2JiPi0Ql3ggyQ0lRLkRWTi5JUV9UT1RBTF9SRVZFTlVFLklR</t>
  </si>
  <si>
    <t>X0NRLjEyLzMxLzIwMjMuTC4uVVNELkgBAAAADhEEAAIAAAAEMzYzOQEIAAAABQAAAAExAQAAAAstMTk1OTAyODg5OQMAAAADMTYwAgAAAAIyOAQAAAABMAcAAAAKMTIvMzEvMjAyMwgAAAAKMTIvMzEvMjAyMwkAAAABMOVK2opEJd4I492Ki0Ql3ggxQ0lRLkRWTi5JUV9UT1RBTF9SRVZFTlVFLklRX0NRLjkvMzAvMjAyMi5MLi5VU0QuSAEAAAAOEQQAAgAAAAQ1MTg0AQgAAAAFAAAAATEBAAAACy0yMDIwNDYwNDkxAwAAAAMxNjACAAAAAjI4BAAAAAEwBwAAAAk5LzMwLzIwMjIIAAAACTkvMzAvMjAyMgkAAAABMP7pxopEJd4IIueEi0Ql3ggyQ0lRLkRWTi5JUV9UT1RBTF9SRVZFTlVFLklRX0NRLjEyLzMxLzIwMTQuTC4uVVNELkgBAAAADhEEAAIAAAAENDAzNQEIAAAABQAAAAExAQAAAAoxNzc2NzM5ODk0AwAAAAMxNjACAAAAAjI4BAAAAAEwBwAAAAoxMi8zMS8yMDE0CAAAAAoxMi8zMS8yMDE0CQAAAAEw2718iUQl3gjKe1qLRCXeCDFDSVEuRFZOLklRX1RPVEFMX1JFVkVOVUUuSVFfQ1EuNi8zMC8yMDEwLkwuLlVTRC5IAQAAAA4RBAACAAAABDIxNDEBCAAAAAUAAAABMQEAAAAKMTQ2NTcxNDM5NgMAAAADMTYwAgAAAAIyOAQAAAABMAcAAAAJNi8zMC8yMDEwCAAAAAk2LzMwLzIwMTAJAAAAATAGM32JRCXeCORbQ4tEJd4IMUNJUS5EVk4uSVFfVE9UQUxfUkVWRU5VRS5JUV9DUS42LzMwLzIwMjAuTC4u</t>
  </si>
  <si>
    <t>VVNELkgBAAAADhEEAAIAAAADNzEzAQgAAAAFAAAAATEBAAAACy0yMTIzODU3MjcxAwAAAAMxNjACAAAAAjI4BAAAAAEwBwAAAAk2LzMwLzIwMjAIAAAACTYvMzAvMjAyMAkAAAABMClfx4pEJd4I54Z6i0Ql3ggxQ0lRLkRWTi5JUV9UT1RBTF9SRVZFTlVFLklRX0NRLjkvMzAvMjAxMi5MLi5VU0QuSAEAAAAOEQQAAgAAAAQyMTAwAQgAAAAFAAAAATEBAAAACjE2NDM4Nzg4MTMDAAAAAzE2MAIAAAACMjgEAAAAATAHAAAACTkvMzAvMjAxMggAAAAJOS8zMC8yMDEyCQAAAAEwq4eYiUQl3giPqk2LRCXeCDFDSVEuRFZOLklRX1RPVEFMX1JFVkVOVUUuSVFfQ1EuNi8zMC8yMDExLkwuLlVTRC5IAQAAAA4RBAACAAAABDI3MzYBCAAAAAUAAAABMQEAAAAKMTU1NzIwNjcwNAMAAAADMTYwAgAAAAIyOAQAAAABMAcAAAAJNi8zMC8yMDExCAAAAAk2LzMwLzIwMTEJAAAAATDn5HyJRCXeCBO+R4tEJd4IMUNJUS5EVk4uSVFfVE9UQUxfUkVWRU5VRS5JUV9DUS42LzMwLzIwMTMuTC4uVVNELkgBAAAADhEEAAIAAAAEMjcyMgEIAAAABQAAAAExAQAAAAoxNzA0OTY5NjAzAwAAAAMxNjACAAAAAjI4BAAAAAEwBwAAAAk2LzMwLzIwMTMIAAAACTYvMzAvMjAxMwkAAAABMG4riolEJd4I6QVRi0Ql3ggxQ0lRLkRWTi5JUV9UT1RBTF9SRVZFTlVFLklRX0NRLjYvMzAvMjAyMS5MLi5VU0QuSAEAAAAOEQQAAgAAAAQyOTQ0AQgA</t>
  </si>
  <si>
    <t>AAAFAAAAATEBAAAACy0yMDcyMzYyMTg2AwAAAAMxNjACAAAAAjI4BAAAAAEwBwAAAAk2LzMwLzIwMjEIAAAACTYvMzAvMjAyMQkAAAABMAkRx4pEJd4Iy0F/i0Ql3ggxQ0lRLkRWTi5JUV9UT1RBTF9SRVZFTlVFLklRX0NRLjYvMzAvMjAxNy5MLi5VU0QuSAEAAAAOEQQAAgAAAAQyMTI0AQgAAAAFAAAAATEBAAAACjE4OTgxMDkwNjYDAAAAAzE2MAIAAAACMjgEAAAAATAHAAAACTYvMzAvMjAxNwgAAAAJNi8zMC8yMDE3CQAAAAEwenmKiUQl3ghyz2qLRCXeCDFDSVEuRFZOLklRX1RPVEFMX1JFVkVOVUUuSVFfQ1EuMy8zMS8yMDIyLkwuLlVTRC5IAQAAAA4RBAACAAAABDQwMDMBCAAAAAUAAAABMQEAAAALLTIwMzU4NzEzNjIDAAAAAzE2MAIAAAACMjgEAAAAATAHAAAACTMvMzEvMjAyMggAAAAJMy8zMS8yMDIyCQAAAAEwCRHHikQl3ghBxIKLRCXeCDFDSVEuRFZOLklRX1RPVEFMX1JFVkVOVUUuSVFfQ1EuMy8zMS8yMDE4LkwuLlVTRC5IAQAAAA4RBAACAAAABDE4MjIBCAAAAAUAAAABMQEAAAAKMTk3NDY5ODM3NwMAAAADMTYwAgAAAAIyOAQAAAABMAcAAAAJMy8zMS8yMDE4CAAAAAkzLzMxLzIwMTgJAAAAATBrUoqJRCXeCHexb4tEJd4IMUNJUS5EVk4uSVFfVE9UQUxfUkVWRU5VRS5JUV9DUS4zLzMxLzIwMTQuTC4uVVNELkgBAAAADhEEAAIAAAAENDA0NQEIAAAABQAAAAExAQAAAAoxNzMyOTkzNjc3</t>
  </si>
  <si>
    <t>AwAAAAMxNjACAAAAAjI4BAAAAAEwBwAAAAkzLzMxLzIwMTQIAAAACTMvMzEvMjAxNAkAAAABMFAEiolEJd4IuXJVi0Ql3ggxQ0lRLkRWTi5JUV9UT1RBTF9SRVZFTlVFLklRX0NRLjMvMzEvMjAxNy5MLi5VU0QuSAEAAAAOEQQAAgAAAAQyMzQ1AQgAAAAFAAAAATEBAAAACjE4OTgxMTA2MzMDAAAAAzE2MAIAAAACMjgEAAAAATAHAAAACTMvMzEvMjAxNwgAAAAJMy8zMS8yMDE3CQAAAAEwjaCKiUQl3gjWSGmLRCXeCDFDSVEuRFZOLklRX1RPVEFMX1JFVkVOVUUuSVFfQ1EuMy8zMS8yMDEwLkwuLlVTRC5IAQAAAA4RBAACAAAABDI1NDEBCAAAAAUAAAABMQEAAAAKMTQ1MTI2MjY1NwMAAAADMTYwAgAAAAIyOAQAAAABMAcAAAAJMy8zMS8yMDEwCAAAAAkzLzMxLzIwMTAJAAAAATAGM32JRCXeCGMjQotEJd4IMUNJUS5EVk4uSVFfVE9UQUxfUkVWRU5VRS5JUV9DUS4zLzMxLzIwMjUuTC4uVVNELkgBAAAADhEEAAIAAAAENDMzOAEIAAAABQAAAAExAQAAAAstMTk0NTQwMjIwNwMAAAADMTYwAgAAAAIyOAQAAAABMAcAAAAJMy8zMS8yMDI1CAAAAAkzLzMxLzIwMjUJAAAAATDqI9qKRCXeCFLRkItEJd4IMUNJUS5EVk4uSVFfVE9UQUxfUkVWRU5VRS5JUV9DUS4zLzMxLzIwMTMuTC4uVVNELkgBAAAADhEEAAIAAAAEMjI5MQEIAAAABQAAAAExAQAAAAoxNjg5ODQyNDE1AwAAAAMxNjACAAAAAjI4BAAAAAEwBwAA</t>
  </si>
  <si>
    <t>AAkzLzMxLzIwMTMIAAAACTMvMzEvMjAxMwkAAAABMJhgmIlEJd4IZc1Pi0Ql3ggxQ0lRLkRWTi5JUV9UT1RBTF9SRVZFTlVFLklRX0NRLjMvMzEvMjAyMS5MLi5VU0QuSAEAAAAOEQQAAgAAAAQyMzE4AQgAAAAFAAAAATEBAAAACy0yMDg2ODk4ODI1AwAAAAMxNjACAAAAAjI4BAAAAAEwBwAAAAkzLzMxLzIwMjEIAAAACTMvMzEvMjAyMQkAAAABMDE4x4pEJd4IYTB+i0Ql3ggyQ0lRLkRWTi5JUV9UT1RBTF9SRVZFTlVFLklRX0NRLjEyLzMxLzIwMjEuTC4uVVNELkgBAAAADhEEAAIAAAAENDA1NAEIAAAABQAAAAExAQAAAAstMjA2MDk0MTQxOAMAAAADMTYwAgAAAAIyOAQAAAABMAcAAAAKMTIvMzEvMjAyMQgAAAAKMTIvMzEvMjAyMQkAAAABMAkRx4pEJd4IwouBi0Ql3ggyQ0lRLkRWTi5JUV9UT1RBTF9SRVZFTlVFLklRX0NRLjEyLzMxLzIwMDkuTC4uVVNELkgBAAAADhEEAAIAAAAEMjExOQEIAAAABQAAAAExAQAAAAoxNDMzMzE3Njc5AwAAAAMxNjACAAAAAjI4BAAAAAEwBwAAAAoxMi8zMS8yMDA5CAAAAAoxMi8zMS8yMDA5CQAAAAEwBjN9iUQl3ggKOUGLRCXeCDJDSVEuRFZOLklRX1RPVEFMX1JFVkVOVUUuSVFfQ1EuMTIvMzEvMjAxNy5MLi5VU0QuSAEAAAAOEQQAAgAAAAQyMzI4AQgAAAAFAAAAATEBAAAACjE5NDYyODQ1NTkDAAAAAzE2MAIAAAACMjgEAAAAATAHAAAACjEyLzMxLzIwMTcIAAAA</t>
  </si>
  <si>
    <t>CjEyLzMxLzIwMTcJAAAAATB6eYqJRCXeCNADbotEJd4IMkNJUS5EVk4uSVFfVE9UQUxfUkVWRU5VRS5JUV9DUS4xMi8zMS8yMDEzLkwuLlVTRC5IAQAAAA4RBAACAAAABDI3MjABCAAAAAUAAAABMQEAAAAKMTcyMDA3NjI1MgMAAAADMTYwAgAAAAIyOAQAAAABMAcAAAAKMTIvMzEvMjAxMwgAAAAKMTIvMzEvMjAxMwkAAAABMG4riolEJd4IA8VTi0Ql3ggqQ0lRLkRWTi5JUV9FQklUREEuSVFfQ1EuMy8zMS8yMDI1LkwuLlVTRC5IAQAAAA4RBAACAAAABDE5MzcBCAAAAAUAAAABMQEAAAALLTE5NDU0MDIyMDcDAAAAAzE2MAIAAAAENDA1MQQAAAABMAcAAAAJMy8zMS8yMDI1CAAAAAkzLzMxLzIwMjUJAAAAATDqI9qKRCXeCAMOkItEJd4IKkNJUS5EVk4uSVFfRUJJVERBLklRX0NRLjMvMzEvMjAxOS5MLi5VU0QuSAEAAAAOEQQAAgAAAAMtNTkBCAAAAAUAAAABMQEAAAAKMjA0OTAwNDgwNAMAAAADMTYwAgAAAAQ0MDUxBAAAAAEwBwAAAAkzLzMxLzIwMTkIAAAACTMvMzEvMjAxOQkAAAABMClfx4pEJd4IDWR4i0Ql3ggqQ0lRLkRWTi5JUV9FQklUREEuSVFfQ1EuNi8zMC8yMDIxLkwuLlVTRC5IAQAAAA4RBAACAAAAAzg2NAEIAAAABQAAAAExAQAAAAstMjA3MjM2MjE4NgMAAAADMTYwAgAAAAQ0MDUxBAAAAAEwBwAAAAk2LzMwLzIwMjEIAAAACTYvMzAvMjAyMQkAAAABMAkRx4pEJd4IYhKDi0Ql3ggqQ0lR</t>
  </si>
  <si>
    <t>LkRWTi5JUV9FQklUREEuSVFfQ1EuNi8zMC8yMDIzLkwuLlVTRC5IAQAAAA4RBAACAAAABDE1OTYBCAAAAAUAAAABMQEAAAALLTE5NzAzOTgwODMDAAAAAzE2MAIAAAAENDA1MQQAAAABMAcAAAAJNi8zMC8yMDIzCAAAAAk2LzMwLzIwMjMJAAAAATDlStqKRCXeCIFkjItEJd4IKkNJUS5EVk4uSVFfRUJJVERBLklRX0NRLjYvMzAvMjAyNS5MLi5VU0QuSAEAAAAOEQQAAgAAAAQxODg0AQgAAAAFAAAAATEBAAAACy0xOTMyODg0NTQyAwAAAAMxNjACAAAABDQwNTEEAAAAATAHAAAACTYvMzAvMjAyNQgAAAAJNi8zMC8yMDI1CQAAAAEw6iPaikQl3gikbZGLRCXeCCpDSVEuRFZOLklRX0VCSVREQS5JUV9DUS42LzMwLzIwMTUuTC4uVVNELkgBAAAADhEEAAIAAAADNjE5AQgAAAAFAAAAATEBAAAACjE4MDE2Mjc1MzkDAAAAAzE2MAIAAAAENDA1MQQAAAABMAcAAAAJNi8zMC8yMDE1CAAAAAk2LzMwLzIwMTUJAAAAATChx4qJRCXeCFsuY4tEJd4IK0NJUS5EVk4uSVFfRUJJVERBLklRX0NRLjEyLzMxLzIwMTcuTC4uVVNELkgBAAAADhEEAAIAAAADNzAzAQgAAAAFAAAAATEBAAAACjE5NDYyODQ1NTkDAAAAAzE2MAIAAAAENDA1MQQAAAABMAcAAAAKMTIvMzEvMjAxNwgAAAAKMTIvMzEvMjAxNwkAAAABMGtSiolEJd4Iq75yi0Ql3ggrQ0lRLkRWTi5JUV9FQklUREEuSVFfQ1EuMTIvMzEvMjAxNS5MLi5VU0QuSAEA</t>
  </si>
  <si>
    <t>AAAOEQQAAgAAAAM2NTQBCAAAAAUAAAABMQEAAAAKMTgyNzg3MDU0NgMAAAADMTYwAgAAAAQ0MDUxBAAAAAEwBwAAAAoxMi8zMS8yMDE1CAAAAAoxMi8zMS8yMDE1CQAAAAEwjaCKiUQl3gjKiWaLRCXeCCpDSVEuRFZOLklRX0VCSVREQS5JUV9DUS4zLzMxLzIwMjEuTC4uVVNELkgBAAAADhEEAAIAAAADNjc3AQgAAAAFAAAAATEBAAAACy0yMDg2ODk4ODI1AwAAAAMxNjACAAAABDQwNTEEAAAAATAHAAAACTMvMzEvMjAyMQgAAAAJMy8zMS8yMDIxCQAAAAEwCRHHikQl3gjb2YGLRCXeCCtDSVEuRFZOLklRX0VCSVREQS5JUV9DUS4xMi8zMS8yMDIzLkwuLlVTRC5IAQAAAA4RBAACAAAABDIxNzIBCAAAAAUAAAABMQEAAAALLTE5NTkwMjg4OTkDAAAAAzE2MAIAAAAENDA1MQQAAAABMAcAAAAKMTIvMzEvMjAyMwgAAAAKMTIvMzEvMjAyMwkAAAABMOoj2opEJd4Iea6Oi0Ql3ggqQ0lRLkRWTi5JUV9FQklUREEuSVFfQ1EuMy8zMS8yMDExLkwuLlVTRC5IAQAAAA4RBAACAAAABDExNzUBCAAAAAUAAAABMQEAAAAKMTU0NDk1MjM4OAMAAAADMTYwAgAAAAQ0MDUxBAAAAAEwBwAAAAkzLzMxLzIwMTEIAAAACTMvMzEvMjAxMQkAAAABMNu9fIlEJd4IaIFKi0Ql3ggqQ0lRLkRWTi5JUV9FQklUREEuSVFfQ1EuOS8zMC8yMDIwLkwuLlVTRC5IAQAAAA4RBAACAAAAAzI0MAEIAAAABQAAAAExAQAAAAstMjEyMzg1NzQ0</t>
  </si>
  <si>
    <t>MwMAAAADMTYwAgAAAAQ0MDUxBAAAAAEwBwAAAAk5LzMwLzIwMjAIAAAACTkvMzAvMjAyMAkAAAABMAkRx4pEJd4I/I9/i0Ql3ggqQ0lRLkRWTi5JUV9FQklUREEuSVFfQ1EuOS8zMC8yMDE4LkwuLlVTRC5IAQAAAA4RBAACAAAAAzQxMQEIAAAABQAAAAExAQAAAAoxOTkwODE1NDI0AwAAAAMxNjACAAAABDQwNTEEAAAAATAHAAAACTkvMzAvMjAxOAgAAAAJOS8zMC8yMDE4CQAAAAEwSIbHikQl3ggSGnaLRCXeCCpDSVEuRFZOLklRX0VCSVREQS5JUV9DUS45LzMwLzIwMTYuTC4uVVNELkgBAAAADhEEAAIAAAADODQxAQgAAAAFAAAAATEBAAAACjE4NjM2Nzk1NDIDAAAAAzE2MAIAAAAENDA1MQQAAAABMAcAAAAJOS8zMC8yMDE2CAAAAAk5LzMwLzIwMTYJAAAAATB6eYqJRCXeCKlEa4tEJd4IKkNJUS5EVk4uSVFfRUJJVERBLklRX0NRLjkvMzAvMjAxMi5MLi5VU0QuSAEAAAAOEQQAAgAAAAM4MTABCAAAAAUAAAABMQEAAAAKMTY0Mzg3ODgxMwMAAAADMTYwAgAAAAQ0MDUxBAAAAAEwBwAAAAk5LzMwLzIwMTIIAAAACTkvMzAvMjAxMgkAAAABMG4riolEJd4IA1RRi0Ql3ggrQ0lRLkRWTi5JUV9FQklUREEuSVFfQ1EuMTIvMzEvMjAxOS5MLi5VU0QuSAEAAAAOEQQAAgAAAAM0NDQBCAAAAAUAAAABMQEAAAAKMjA4MDk5ODk4NAMAAAADMTYwAgAAAAQ0MDUxBAAAAAEwBwAAAAoxMi8zMS8yMDE5CAAAAAoxMi8z</t>
  </si>
  <si>
    <t>MS8yMDE5CQAAAAEwMTjHikQl3giBDXyLRCXeCCtDSVEuRFZOLklRX0VCSVREQS5JUV9DUS4xMi8zMS8yMDExLkwuLlVTRC5IAQAAAA4RBAACAAAABDE0MjIBCAAAAAUAAAABMQEAAAAKMTU4ODgwMzE4NAMAAAADMTYwAgAAAAQ0MDUxBAAAAAEwBwAAAAoxMi8zMS8yMDExCAAAAAoxMi8zMS8yMDExCQAAAAEwq4eYiUQl3giN0U2LRCXeCCpDSVEuRFZOLklRX0VCSVREQS5JUV9DUS45LzMwLzIwMjQuTC4uVVNELkgBAAAADhEEAAIAAAAEMTk0NgEIAAAABQAAAAExAQAAAAstMTkxODAyOTA1MQMAAAADMTYwAgAAAAQ0MDUxBAAAAAEwBwAAAAk5LzMwLzIwMjQIAAAACTkvMzAvMjAyNAkAAAABMOoj2opEJd4IEqaSi0Ql3ggqQ0lRLkRWTi5JUV9FQklUREEuSVFfQ1EuOS8zMC8yMDIyLkwuLlVTRC5IAQAAAA4RBAACAAAABDMxMjABCAAAAAUAAAABMQEAAAALLTIwMjA0NjA0OTEDAAAAAzE2MAIAAAAENDA1MQQAAAABMAcAAAAJOS8zMC8yMDIyCAAAAAk5LzMwLzIwMjIJAAAAATDlStqKRCXeCMHeiItEJd4IKkNJUS5EVk4uSVFfRUJJVERBLklRX0NRLjkvMzAvMjAxNC5MLi5VU0QuSAEAAAAOEQQAAgAAAAQyNjM4AQgAAAAFAAAAATEBAAAACjE3NjI3OTUzNzgDAAAAAzE2MAIAAAAENDA1MQQAAAABMAcAAAAJOS8zMC8yMDE0CAAAAAk5LzMwLzIwMTQJAAAAATDIlnyJRCXeCEclXotEJd4IKkNJUS5EVk4uSVFf</t>
  </si>
  <si>
    <t>RUJJVERBLklRX0NRLjkvMzAvMjAxMC5MLi5VU0QuSAEAAAAOEQQAAgAAAAQxMzc2AQgAAAAFAAAAATEBAAAACjE0Nzk5Nzg0NzEDAAAAAzE2MAIAAAAENDA1MQQAAAABMAcAAAAJOS8zMC8yMDEwCAAAAAk5LzMwLzIwMTAJAAAAATDn5HyJRCXeCAIvSItEJd4IK0NJUS5EVk4uSVFfRUJJVERBLklRX0NRLjEyLzMxLzIwMDkuTC4uVVNELkgBAAAADhEEAAIAAAAEMTU0MQEIAAAABQAAAAExAQAAAAoxNDMzMzE3Njc5AwAAAAMxNjACAAAABDQwNTEEAAAAATAHAAAACjEyLzMxLzIwMDkIAAAACjEyLzMxLzIwMDkJAAAAATD1C32JRCXeCGiURItEJd4IK0NJUS5EVk4uSVFfRUJJVERBLklRX0NRLjEyLzMxLzIwMjEuTC4uVVNELkgBAAAADhEEAAIAAAAEMjMxMgEIAAAABQAAAAExAQAAAAstMjA2MDk0MTQxOAMAAAADMTYwAgAAAAQ0MDUxBAAAAAEwBwAAAAoxMi8zMS8yMDIxCAAAAAoxMi8zMS8yMDIxCQAAAAEw/unGikQl3ghNXIWLRCXeCCpDSVEuRFZOLklRX0VCSVREQS5JUV9DUS4zLzMxLzIwMTcuTC4uVVNELkgBAAAADhEEAAIAAAADODE0AQgAAAAFAAAAATEBAAAACjE4OTgxMTA2MzMDAAAAAzE2MAIAAAAENDA1MQQAAAABMAcAAAAJMy8zMS8yMDE3CAAAAAkzLzMxLzIwMTcJAAAAATB6eYqJRCXeCPV4botEJd4IKkNJUS5EVk4uSVFfRUJJVERBLklRX0NRLjYvMzAvMjAyNC5MLi5VU0QuSAEAAAAOEQQA</t>
  </si>
  <si>
    <t>AgAAAAQxOTI3AQgAAAAFAAAAATEBAAAACy0xOTE4MDI3MzE0AwAAAAMxNjACAAAABDQwNTEEAAAAATAHAAAACTYvMzAvMjAyNAgAAAAJNi8zMC8yMDI0CQAAAAEw6iPaikQl3gikbZGLRCXeCCpDSVEuRFZOLklRX0VCSVREQS5JUV9DUS42LzMwLzIwMjIuTC4uVVNELkgBAAAADhEEAAIAAAAEMzEwNgEIAAAABQAAAAExAQAAAAstMjAyMDQ1Nzc1NQMAAAADMTYwAgAAAAQ0MDUxBAAAAAEwBwAAAAk2LzMwLzIwMjIIAAAACTYvMzAvMjAyMgkAAAABMOVK2opEJd4IS6aHi0Ql3ggqQ0lRLkRWTi5JUV9FQklUREEuSVFfQ1EuNi8zMC8yMDIwLkwuLlVTRC5IAQAAAA4RBAACAAAABC0zMDQBCAAAAAUAAAABMQEAAAALLTIxMjM4NTcyNzEDAAAAAzE2MAIAAAAENDA1MQQAAAABMAcAAAAJNi8zMC8yMDIwCAAAAAk2LzMwLzIwMjAJAAAAATAxOMeKRCXeCG1XfotEJd4IKkNJUS5EVk4uSVFfRUJJVERBLklRX0NRLjYvMzAvMjAxOC5MLi5VU0QuSAEAAAAOEQQAAgAAAAMyMzgBCAAAAAUAAAABMQEAAAAKMTk3NDY4NjE3MwMAAAADMTYwAgAAAAQ0MDUxBAAAAAEwBwAAAAk2LzMwLzIwMTgIAAAACTYvMzAvMjAxOAkAAAABMMBvfIlEJd4IoQh1i0Ql3ggqQ0lRLkRWTi5JUV9FQklUREEuSVFfQ1EuNi8zMC8yMDE2LkwuLlVTRC5IAQAAAA4RBAACAAAAAzUyOAEIAAAABQAAAAExAQAAAAoxODYzNjgzODYzAwAAAAMxNjAC</t>
  </si>
  <si>
    <t>AAAABDQwNTEEAAAAATAHAAAACTYvMzAvMjAxNggAAAAJNi8zMC8yMDE2CQAAAAEwjaCKiUQl3ggIvmmLRCXeCCpDSVEuRFZOLklRX0VCSVREQS5JUV9DUS42LzMwLzIwMTQuTC4uVVNELkgBAAAADhEEAAIAAAAEMTU3MQEIAAAABQAAAAExAQAAAAoxNzQ4ODU1MzIyAwAAAAMxNjACAAAABDQwNTEEAAAAATAHAAAACTYvMzAvMjAxNAgAAAAJNi8zMC8yMDE0CQAAAAEw2718iUQl3giqnlyLRCXeCCpDSVEuRFZOLklRX0VCSVREQS5JUV9DUS42LzMwLzIwMTIuTC4uVVNELkgBAAAADhEEAAIAAAAEMTU0MQEIAAAABQAAAAExAQAAAAoxNjQzOTA1MzA0AwAAAAMxNjACAAAABDQwNTEEAAAAATAHAAAACTYvMzAvMjAxMggAAAAJNi8zMC8yMDEyCQAAAAEwmGCYiUQl3giNQlCLRCXeCCpDSVEuRFZOLklRX0VCSVREQS5JUV9DUS42LzMwLzIwMTAuTC4uVVNELkgBAAAADhEEAAIAAAAEMTI4OAEIAAAABQAAAAExAQAAAAoxNDY1NzE0Mzk2AwAAAAMxNjACAAAABDQwNTEEAAAAATAHAAAACTYvMzAvMjAxMAgAAAAJNi8zMC8yMDEwCQAAAAEw5+R8iUQl3ghT3kaLRCXeCCpDSVEuRFZOLklRX0VCSVREQS5JUV9DUS45LzMwLzIwMTcuTC4uVVNELkgBAAAADhEEAAIAAAADNDI3AQgAAAAFAAAAATEBAAAACjE5MjAyMTU2NTQDAAAAAzE2MAIAAAAENDA1MQQAAAABMAcAAAAJOS8zMC8yMDE3CAAAAAk5LzMwLzIwMTcJAAAA</t>
  </si>
  <si>
    <t>ATBrUoqJRCXeCC+GcYtEJd4IKkNJUS5EVk4uSVFfRUJJVERBLklRX0NRLjMvMzEvMjAxNS5MLi5VU0QuSAEAAAAOEQQAAgAAAAM5MzMBCAAAAAUAAAABMQEAAAAKMTgwMTYyNzc2NAMAAAADMTYwAgAAAAQ0MDUxBAAAAAEwBwAAAAkzLzMxLzIwMTUIAAAACTMvMzEvMjAxNQkAAAABMKHHiolEJd4Itqdhi0Ql3ggqQ0lRLkRWTi5JUV9FQklUREEuSVFfQ1EuOS8zMC8yMDIxLkwuLlVTRC5IAQAAAA4RBAACAAAABDE2NTQBCAAAAAUAAAABMQEAAAALLTIwNzIzNjU1OTYDAAAAAzE2MAIAAAAENDA1MQQAAAABMAcAAAAJOS8zMC8yMDIxCAAAAAk5LzMwLzIwMjEJAAAAATD+6caKRCXeCNIjhItEJd4IKkNJUS5EVk4uSVFfRUJJVERBLklRX0NRLjkvMzAvMjAxNS5MLi5VU0QuSAEAAAAOEQQAAgAAAAQxMTUxAQgAAAAFAAAAATEBAAAACjE4MTU5Njk0NzYDAAAAAzE2MAIAAAAENDA1MQQAAAABMAcAAAAJOS8zMC8yMDE1CAAAAAk5LzMwLzIwMTUJAAAAATChx4qJRCXeCAzcZItEJd4IKkNJUS5EVk4uSVFfRUJJVERBLklRX0NRLjkvMzAvMjAxMy5MLi5VU0QuSAEAAAAOEQQAAgAAAAQxNDc1AQgAAAAFAAAAATEBAAAACjE3MDQ5NTk0MTADAAAAAzE2MAIAAAAENDA1MQQAAAABMAcAAAAJOS8zMC8yMDEzCAAAAAk5LzMwLzIwMTMJAAAAATBQBIqJRCXeCKS8V4tEJd4IKkNJUS5EVk4uSVFfRUJJVERBLklRX0NRLjkv</t>
  </si>
  <si>
    <t>MzAvMjAxMS5MLi5VU0QuSAEAAAAOEQQAAgAAAAQyMjUxAQgAAAAFAAAAATEBAAAACjE1NzUwNDc3MDgDAAAAAzE2MAIAAAAENDA1MQQAAAABMAcAAAAJOS8zMC8yMDExCAAAAAk5LzMwLzIwMTEJAAAAATCrh5iJRCXeCCXATItEJd4IKkNJUS5EVk4uSVFfRUJJVERBLklRX0NRLjkvMzAvMjAyMy5MLi5VU0QuSAEAAAAOEQQAAgAAAAQxODA1AQgAAAAFAAAAATEBAAAACy0xOTcwNDAwMjc2AwAAAAMxNjACAAAABDQwNTEEAAAAATAHAAAACTkvMzAvMjAyMwgAAAAJOS8zMC8yMDIzCQAAAAEw6iPaikQl3ggCnY2LRCXeCCpDSVEuRFZOLklRX0VCSVREQS5JUV9DUS45LzMwLzIwMTkuTC4uVVNELkgBAAAADhEEAAIAAAADNjUzAQgAAAAFAAAAATEBAAAACjIwNjczNDEzODADAAAAAzE2MAIAAAAENDA1MQQAAAABMAcAAAAJOS8zMC8yMDE5CAAAAAk5LzMwLzIwMTkJAAAAATApX8eKRCXeCCP8eotEJd4IKkNJUS5EVk4uSVFfRUJJVERBLklRX0NRLjMvMzEvMjAxMy5MLi5VU0QuSAEAAAAOEQQAAgAAAAM4MjUBCAAAAAUAAAABMQEAAAAKMTY4OTg0MjQxNQMAAAADMTYwAgAAAAQ0MDUxBAAAAAEwBwAAAAkzLzMxLzIwMTMIAAAACTMvMzEvMjAxMwkAAAABMG4riolEJd4INDpUi0Ql3ggrQ0lRLkRWTi5JUV9FQklUREEuSVFfTFRNLjkvMzAvMjAyNS5MLi5VU0QuSAEAAAAOEQQAAgAAAAQ3NjcwAQgAAAAFAAAAATEB</t>
  </si>
  <si>
    <t>AAAACy0xOTE4MDI3NDM1AwAAAAMxNjACAAAABDQwNTEEAAAAATAHAAAACTkvMzAvMjAyNQgAAAAJOS8zMC8yMDI1CQAAAAEw6iPaikQl3ggozZKLRCXeCCxDSVEuRFZOLklRX0VCSVREQS5JUV9MVE0uMTIvMzEvMjAxMi5MLi5VU0QuSAEAAAAOEQQAAgAAAAQ1MDc5AQgAAAAFAAAAATEBAAAACjE3MjAwNzU4MjgDAAAAAzE2MAIAAAAENDA1MQQAAAABMAcAAAAKMTIvMzEvMjAxMggAAAAKMTIvMzEvMjAxMgkAAAABMG4riolEJd4Ih4xSi0Ql3ggsQ0lRLkRWTi5JUV9FQklUREEuSVFfTFRNLjEyLzMxLzIwMTAuTC4uVVNELkgBAAAADhEEAAIAAAAENTk5MAEIAAAABQAAAAExAQAAAAoxNTg4ODAzMzMyAwAAAAMxNjACAAAABDQwNTEEAAAAATAHAAAACjEyLzMxLzIwMTAIAAAACjEyLzMxLzIwMTAJAAAAATDn5HyJRCXeCKEcSYtEJd4IK0NJUS5EVk4uSVFfRUJJVERBLklRX0xUTS4zLzMxLzIwMTIuTC4uVVNELkgBAAAADhEEAAIAAAAENzA5OQEIAAAABQAAAAExAQAAAAoxNjE1MTkzNDM0AwAAAAMxNjACAAAABDQwNTEEAAAAATAHAAAACTMvMzEvMjAxMggAAAAJMy8zMS8yMDEyCQAAAAEwq4eYiUQl3gj64k6LRCXeCCtDSVEuRFZOLklRX0VCSVREQS5JUV9MVE0uMy8zMS8yMDEwLkwuLlVTRC5IAQAAAA4RBAACAAAABDU1NDcBCAAAAAUAAAABMQEAAAAKMTQ1MTI3Njk1MQMAAAADMTYwAgAAAAQ0MDUxBAAA</t>
  </si>
  <si>
    <t>AAEwBwAAAAkzLzMxLzIwMTAIAAAACTMvMzEvMjAxMAkAAAABMPULfYlEJd4I2KVFi0Ql3ggrQ0lRLkRWTi5JUV9FQklUREEuSVFfTFRNLjkvMzAvMjAxMC5MLi5VU0QuSAEAAAAOEQQAAgAAAAQ2Mzc1AQgAAAAFAAAAATEBAAAACjE0Nzk5OTMzMTQDAAAAAzE2MAIAAAAENDA1MQQAAAABMAcAAAAJOS8zMC8yMDEwCAAAAAk5LzMwLzIwMTAJAAAAATDn5HyJRCXeCMfvR4tEJd4ILENJUS5EVk4uSVFfRUJJVERBLklRX0xUTS4xMi8zMS8yMDA5LkwuLlVTRC5IAQAAAA4RBAACAAAABDQ0NTgBCAAAAAUAAAABMQEAAAAKMTUyMzcyMTE0OAMAAAADMTYwAgAAAAQ0MDUxBAAAAAEwBwAAAAoxMi8zMS8yMDA5CAAAAAoxMi8zMS8yMDA5CQAAAAEw9Qt9iUQl3ghWbUSLRCXeCCtDSVEuRFZOLklRX0VCSVREQS5JUV9MVE0uNi8zMC8yMDIwLkwuLlVTRC5IAQAAAA4RBAACAAAABDE5NDMBCAAAAAUAAAABMQEAAAALLTIxMjM4NTcyNzADAAAAAzE2MAIAAAAENDA1MQQAAAABMAcAAAAJNi8zMC8yMDIwCAAAAAk2LzMwLzIwMjAJAAAAATAxOMeKRCXeCG1XfotEJd4ILENJUS5EVk4uSVFfRUJJVERBLklRX0xUTS4xMi8zMS8yMDE4LkwuLlVTRC5IAQAAAA4RBAACAAAABDI4NDgBCAAAAAUAAAABMQEAAAAKMjA4MDk5ODgzNQMAAAADMTYwAgAAAAQ0MDUxBAAAAAEwBwAAAAoxMi8zMS8yMDE4CAAAAAoxMi8zMS8yMDE4CQAA</t>
  </si>
  <si>
    <t>AAEwKV/HikQl3giDK3eLRCXeCCxDSVEuRFZOLklRX0VCSVREQS5JUV9MVE0uMTIvMzEvMjAxNi5MLi5VU0QuSAEAAAAOEQQAAgAAAAQxMjY5AQgAAAAFAAAAATEBAAAACjE5NDYyODQ1NTYDAAAAAzE2MAIAAAAENDA1MQQAAAABMAcAAAAKMTIvMzEvMjAxNggAAAAKMTIvMzEvMjAxNgkAAAABMHp5iolEJd4ILqRsi0Ql3ggsQ0lRLkRWTi5JUV9FQklUREEuSVFfTFRNLjEyLzMxLzIwMTQuTC4uVVNELkgBAAAADhEEAAIAAAAEOTA1NQEIAAAABQAAAAExAQAAAAoxODI3ODcwNTAzAwAAAAMxNjACAAAABDQwNTEEAAAAATAHAAAACjEyLzMxLzIwMTQIAAAACjEyLzMxLzIwMTQJAAAAATDIlnyJRCXeCP7SX4tEJd4IK0NJUS5EVk4uSVFfRUJJVERBLklRX0xUTS45LzMwLzIwMTYuTC4uVVNELkgBAAAADhEEAAIAAAAEMjM2NgEIAAAABQAAAAExAQAAAAoxODYzNjgzMzkyAwAAAAMxNjACAAAABDQwNTEEAAAAATAHAAAACTkvMzAvMjAxNggAAAAJOS8zMC8yMDE2CQAAAAEwenmKiUQl3giTHWuLRCXeCCtDSVEuRFZOLklRX0VCSVREQS5JUV9MVE0uNi8zMC8yMDEwLkwuLlVTRC5IAQAAAA4RBAACAAAABDU5NTEBCAAAAAUAAAABMQEAAAAKMTQ2NTcyMTA1NwMAAAADMTYwAgAAAAQ0MDUxBAAAAAEwBwAAAAk2LzMwLzIwMTAIAAAACTYvMzAvMjAxMAkAAAABMOfkfIlEJd4IRrdGi0Ql3ggsQ0lRLkRWTi5JUV9FQklU</t>
  </si>
  <si>
    <t>REEuSVFfTFRNLjEyLzMxLzIwMjQuTC4uVVNELkgBAAAADhEEAAIAAAAENzM4OQEIAAAABQAAAAExAQAAAAstMTk1OTAyODg1OQMAAAADMTYwAgAAAAQ0MDUxBAAAAAEwBwAAAAoxMi8zMS8yMDI0CAAAAAoxMi8zMS8yMDI0CQAAAAEw6iPaikQl3giB1Y6LRCXeCCxDSVEuRFZOLklRX0VCSVREQS5JUV9MVE0uMTIvMzEvMjAyMi5MLi5VU0QuSAEAAAAOEQQAAgAAAAUxMDI4OAEIAAAABQAAAAExAQAAAAstMTk1OTAyODg2MAMAAAADMTYwAgAAAAQ0MDUxBAAAAAEwBwAAAAoxMi8zMS8yMDIyCAAAAAoxMi8zMS8yMDIyCQAAAAEw5UraikQl3ggnyYmLRCXeCCxDSVEuRFZOLklRX0VCSVREQS5JUV9MVE0uMTIvMzEvMjAyMC5MLi5VU0QuSAEAAAAOEQQAAgAAAAQxMzkzAQgAAAAFAAAAATEBAAAACy0yMDYwOTQxMzk2AwAAAAMxNjACAAAABDQwNTEEAAAAATAHAAAACjEyLzMxLzIwMjAIAAAACjEyLzMxLzIwMjAJAAAAATAJEceKRCXeCGOhgItEJd4ILENJUS5EVk4uSVFfRUJJVERBLklRX0xUTS4xMi8zMS8yMDE3LkwuLlVTRC5IAQAAAA4RBAACAAAABDEzOTQBCAAAAAUAAAABMQEAAAAKMjAxNTk0ODU2OAMAAAADMTYwAgAAAAQ0MDUxBAAAAAEwBwAAAAoxMi8zMS8yMDE3CAAAAAoxMi8zMS8yMDE3CQAAAAEwa1KKiUQl3gigl3KLRCXeCCtDSVEuRFZOLklRX0VCSVREQS5JUV9MVE0uNi8zMC8yMDE2LkwuLlVT</t>
  </si>
  <si>
    <t>RC5IAQAAAA4RBAACAAAABDI2OTQBCAAAAAUAAAABMQEAAAAKMTg2MzY4Mzg2NAMAAAADMTYwAgAAAAQ0MDUxBAAAAAEwBwAAAAk2LzMwLzIwMTYIAAAACTYvMzAvMjAxNgkAAAABMI2giolEJd4I6m9pi0Ql3ggrQ0lRLkRWTi5JUV9FQklUREEuSVFfTFRNLjMvMzEvMjAyMS5MLi5VU0QuSAEAAAAOEQQAAgAAAAM5MjUBCAAAAAUAAAABMQEAAAALLTIwODY4OTg4MjADAAAAAzE2MAIAAAAENDA1MQQAAAABMAcAAAAJMy8zMS8yMDIxCAAAAAkzLzMxLzIwMjEJAAAAATAJEceKRCXeCM2ygYtEJd4IK0NJUS5EVk4uSVFfRUJJVERBLklRX0xUTS4zLzMxLzIwMTQuTC4uVVNELkgBAAAADhEEAAIAAAAENjE3OAEIAAAABQAAAAExAQAAAAoxNzMzMDA1OTk0AwAAAAMxNjACAAAABDQwNTEEAAAAATAHAAAACTMvMzEvMjAxNAgAAAAJMy8zMS8yMDE0CQAAAAEw2718iUQl3gjiyVqLRCXeCCtDSVEuRFZOLklRX0VCSVREQS5JUV9MVE0uOS8zMC8yMDIwLkwuLlVTRC5IAQAAAA4RBAACAAAABDE1MjUBCAAAAAUAAAABMQEAAAALLTIxMjM4NTcyODIDAAAAAzE2MAIAAAAENDA1MQQAAAABMAcAAAAJOS8zMC8yMDIwCAAAAAk5LzMwLzIwMjAJAAAAATAJEceKRCXeCOJof4tEJd4IK0NJUS5EVk4uSVFfRUJJVERBLklRX0xUTS4zLzMxLzIwMjQuTC4uVVNELkgBAAAADhEEAAIAAAAENzE0MAEIAAAABQAAAAExAQAAAAstMTkz</t>
  </si>
  <si>
    <t>Mjg4MjU4OQMAAAADMTYwAgAAAAQ0MDUxBAAAAAEwBwAAAAkzLzMxLzIwMjQIAAAACTMvMzEvMjAyNAkAAAABMOoj2opEJd4I/eaPi0Ql3ggrQ0lRLkRWTi5JUV9FQklUREEuSVFfTFRNLjMvMzEvMjAyMi5MLi5VU0QuSAEAAAAOEQQAAgAAAAQ2NjczAQgAAAAFAAAAATEBAAAACy0yMDM1ODcxMzU4AwAAAAMxNjACAAAABDQwNTEEAAAAATAHAAAACTMvMzEvMjAyMggAAAAJMy8zMS8yMDIyCQAAAAEw83HaikQl3gi/bYaLRCXeCCtDSVEuRFZOLklRX0VCSVREQS5JUV9MVE0uMy8zMS8yMDIwLkwuLlVTRC5IAQAAAA4RBAACAAAABDI5MTcBCAAAAAUAAAABMQEAAAALLTIxNDAwMjQwNTUDAAAAAzE2MAIAAAAENDA1MQQAAAABMAcAAAAJMy8zMS8yMDIwCAAAAAkzLzMxLzIwMjAJAAAAATAxOMeKRCXeCOwefYtEJd4IK0NJUS5EVk4uSVFfRUJJVERBLklRX0xUTS4zLzMxLzIwMTguTC4uVVNELkgBAAAADhEEAAIAAAAEMjIxNAEIAAAABQAAAAExAQAAAAoxOTc0Njk4Mzc5AwAAAAMxNjACAAAABDQwNTEEAAAAATAHAAAACTMvMzEvMjAxOAgAAAAJMy8zMS8yMDE4CQAAAAEw9Qt9iUQl3ggc0HOLRCXeCCtDSVEuRFZOLklRX0VCSVREQS5JUV9MVE0uMy8zMS8yMDE2LkwuLlVTRC5IAQAAAA4RBAACAAAABDI3ODUBCAAAAAUAAAABMQEAAAAKMTg0MDE3OTEwNwMAAAADMTYwAgAAAAQ0MDUxBAAAAAEwBwAAAAkzLzMx</t>
  </si>
  <si>
    <t>LzIwMTYIAAAACTMvMzEvMjAxNgkAAAABMI2giolEJd4IRulni0Ql3ggrQ0lRLkRWTi5JUV9FQklUREEuSVFfTFRNLjYvMzAvMjAxNy5MLi5VU0QuSAEAAAAOEQQAAgAAAAQyNTE3AQgAAAAFAAAAATEBAAAACjE4OTgxMTA0NTMDAAAAAzE2MAIAAAAENDA1MQQAAAABMAcAAAAJNi8zMC8yMDE3CAAAAAk2LzMwLzIwMTcJAAAAATBrUoqJRCXeCLD/b4tEJd4IK0NJUS5EVk4uSVFfRUJJVERBLklRX0xUTS42LzMwLzIwMTEuTC4uVVNELkgBAAAADhEEAAIAAAAENTcxNQEIAAAABQAAAAExAQAAAAoxNTU3MjE2NjQxAwAAAAMxNjACAAAABDQwNTEEAAAAATAHAAAACTYvMzAvMjAxMQgAAAAJNi8zMC8yMDExCQAAAAEwqa6YiUQl3ggCb0uLRCXeCCxDSVEuRFZOLklRX0VCSVREQS5JUV9MVE0uMTIvMzEvMjAxOS5MLi5VU0QuSAEAAAAOEQQAAgAAAAQxNzEzAQgAAAAFAAAAATEBAAAACy0yMTEyMTAwNDM2AwAAAAMxNjACAAAABDQwNTEEAAAAATAHAAAACjEyLzMxLzIwMTkIAAAACjEyLzMxLzIwMTkJAAAAATAxOMeKRCXeCIENfItEJd4IK0NJUS5EVk4uSVFfRUJJVERBLklRX0xUTS45LzMwLzIwMTguTC4uVVNELkgBAAAADhEEAAIAAAAEMTgzMgEIAAAABQAAAAExAQAAAAoxOTkwODE4NDY5AwAAAAMxNjACAAAABDQwNTEEAAAAATAHAAAACTkvMzAvMjAxOAgAAAAJOS8zMC8yMDE4CQAAAAEwSIbHikQl3ggC83WL</t>
  </si>
  <si>
    <t>RCXeCCxDSVEuRFZOLklRX0VCSVREQS5JUV9MVE0uMTIvMzEvMjAxMS5MLi5VU0QuSAEAAAAOEQQAAgAAAAQ2ODgyAQgAAAAFAAAAATEBAAAACjE2NjA4OTgxOTIDAAAAAzE2MAIAAAAENDA1MQQAAAABMAcAAAAKMTIvMzEvMjAxMQgAAAAKMTIvMzEvMjAxMQkAAAABMKuHmIlEJd4Ij6pNi0Ql3ggrQ0lRLkRWTi5JUV9FQklUREEuSVFfTFRNLjMvMzEvMjAyMy5MLi5VU0QuSAEAAAAOEQQAAgAAAAUxMDMzNgEIAAAABQAAAAExAQAAAAstMTk4NDIyMTc3NQMAAAADMTYwAgAAAAQ0MDUxBAAAAAEwBwAAAAkzLzMxLzIwMjMIAAAACTMvMzEvMjAyMwkAAAABMOVK2opEJd4IECyLi0Ql3ggrQ0lRLkRWTi5JUV9FQklUREEuSVFfTFRNLjYvMzAvMjAxNC5MLi5VU0QuSAEAAAAOEQQAAgAAAAQ1ODk3AQgAAAAFAAAAATEBAAAACjE3NDg4NjU0NjcDAAAAAzE2MAIAAAAENDA1MQQAAAABMAcAAAAJNi8zMC8yMDE0CAAAAAk2LzMwLzIwMTQJAAAAATDbvXyJRCXeCJ13XItEJd4IK0NJUS5EVk4uSVFfRUJJVERBLklRX0xUTS42LzMwLzIwMjUuTC4uVVNELkgBAAAADhEEAAIAAAAENzc0NAEIAAAABQAAAAExAQAAAAstMTkzMjg4MjgyMgMAAAADMTYwAgAAAAQ0MDUxBAAAAAEwBwAAAAk2LzMwLzIwMjUIAAAACTYvMzAvMjAyNQkAAAABMOoj2opEJd4Ig0aRi0Ql3ggrQ0lRLkRWTi5JUV9FQklUREEuSVFfTFRNLjYvMzAv</t>
  </si>
  <si>
    <t>MjAyMy5MLi5VU0QuSAEAAAAOEQQAAgAAAAQ4ODI2AQgAAAAFAAAAATEBAAAACy0xOTcwMzk4MDgyAwAAAAMxNjACAAAABDQwNTEEAAAAATAHAAAACTYvMzAvMjAyMwgAAAAJNi8zMC8yMDIzCQAAAAEw5UraikQl3gh4PYyLRCXeCCtDSVEuRFZOLklRX0VCSVREQS5JUV9MVE0uNi8zMC8yMDIxLkwuLlVTRC5IAQAAAA4RBAACAAAABDIwOTMBCAAAAAUAAAABMQEAAAALLTIwNzIzNjIxODUDAAAAAzE2MAIAAAAENDA1MQQAAAABMAcAAAAJNi8zMC8yMDIxCAAAAAk2LzMwLzIwMjEJAAAAATAJEceKRCXeCEzrgotEJd4IK0NJUS5EVk4uSVFfRUJJVERBLklRX0xUTS42LzMwLzIwMTkuTC4uVVNELkgBAAAADhEEAAIAAAAEMjc0MgEIAAAABQAAAAExAQAAAAoyMDQ5MDA0NTA1AwAAAAMxNjACAAAABDQwNTEEAAAAATAHAAAACTYvMzAvMjAxOQgAAAAJNi8zMC8yMDE5CQAAAAEwKV/HikQl3gh1dXmLRCXeCCtDSVEuRFZOLklRX0VCSVREQS5JUV9MVE0uNi8zMC8yMDE1LkwuLlVTRC5IAQAAAA4RBAACAAAABDc1MzQBCAAAAAUAAAABMQEAAAAKMTgwMTYyNzc0MAMAAAADMTYwAgAAAAQ0MDUxBAAAAAEwBwAAAAk2LzMwLzIwMTUIAAAACTYvMzAvMjAxNQkAAAABMKHHiolEJd4IRQdji0Ql3ggrQ0lRLkRWTi5JUV9FQklUREEuSVFfTFRNLjYvMzAvMjAxMy5MLi5VU0QuSAEAAAAOEQQAAgAAAAQ0ODIyAQgAAAAFAAAA</t>
  </si>
  <si>
    <t>ATEBAAAACjE3MDQ5Njk2MDQDAAAAAzE2MAIAAAAENDA1MQQAAAABMAcAAAAJNi8zMC8yMDEzCAAAAAk2LzMwLzIwMTMJAAAAATBQBIqJRCXeCNXAVYtEJd4IK0NJUS5EVk4uSVFfRUJJVERBLklRX0xUTS45LzMwLzIwMTQuTC4uVVNELkgBAAAADhEEAAIAAAAENzA2MAEIAAAABQAAAAExAQAAAAoxNzYyODA2MDYxAwAAAAMxNjACAAAABDQwNTEEAAAAATAHAAAACTkvMzAvMjAxNAgAAAAJOS8zMC8yMDE0CQAAAAEwyJZ8iUQl3gg7/l2LRCXeCCxDSVEuRFZOLklRX0VCSVREQS5JUV9MVE0uMTIvMzEvMjAyMS5MLi5VU0QuSAEAAAAOEQQAAgAAAAQ1NTAzAQgAAAAFAAAAATEBAAAACy0yMDA4MjIyMTk3AwAAAAMxNjACAAAABDQwNTEEAAAAATAHAAAACjEyLzMxLzIwMjEIAAAACjEyLzMxLzIwMjEJAAAAATD+6caKRCXeCEE1hYtEJd4ILENJUS5EVk4uSVFfRUJJVERBLklRX0xUTS4xMi8zMS8yMDE1LkwuLlVTRC5IAQAAAA4RBAACAAAABDI3NzUBCAAAAAUAAAABMQEAAAAKMTg3NTUxMjkzOAMAAAADMTYwAgAAAAQ0MDUxBAAAAAEwBwAAAAoxMi8zMS8yMDE1CAAAAAoxMi8zMS8yMDE1CQAAAAEwjaCKiUQl3giZO2aLRCXeCCtDSVEuRFZOLklRX0VCSVREQS5JUV9MVE0uMy8zMS8yMDI1LkwuLlVTRC5IAQAAAA4RBAACAAAABDc3NTkBCAAAAAUAAAABMQEAAAALLTE5NDUzOTY3OTADAAAAAzE2MAIAAAAENDA1</t>
  </si>
  <si>
    <t>MQQAAAABMAcAAAAJMy8zMS8yMDI1CAAAAAkzLzMxLzIwMjUJAAAAATDqI9qKRCXeCBc1kItEJd4IK0NJUS5EVk4uSVFfRUJJVERBLklRX0xUTS4zLzMxLzIwMTcuTC4uVVNELkgBAAAADhEEAAIAAAAEMjQ0MgEIAAAABQAAAAExAQAAAAoxODk4MTEwNjM4AwAAAAMxNjACAAAABDQwNTEEAAAAATAHAAAACTMvMzEvMjAxNwgAAAAJMy8zMS8yMDE3CQAAAAEwenmKiUQl3gjoUW6LRCXeCCtDSVEuRFZOLklRX0VCSVREQS5JUV9MVE0uNi8zMC8yMDIyLkwuLlVTRC5IAQAAAA4RBAACAAAABDg5MTUBCAAAAAUAAAABMQEAAAALLTIwMjA0NTc3NTQDAAAAAzE2MAIAAAAENDA1MQQAAAABMAcAAAAJNi8zMC8yMDIyCAAAAAk2LzMwLzIwMjIJAAAAATDlStqKRCXeCCt/h4tEJd4ILENJUS5EVk4uSVFfRUJJVERBLklRX0xUTS4xMi8zMS8yMDEzLkwuLlVTRC5IAQAAAA4RBAACAAAABDU0OTcBCAAAAAUAAAABMQEAAAAKMTc3NjczOTczNQMAAAADMTYwAgAAAAQ0MDUxBAAAAAEwBwAAAAoxMi8zMS8yMDEzCAAAAAoxMi8zMS8yMDEzCQAAAAEwUASKiUQl3gg9HFmLRCXeCCtDSVEuRFZOLklRX0VCSVREQS5JUV9MVE0uNi8zMC8yMDEyLkwuLlVTRC5IAQAAAA4RBAACAAAABDY1NjEBCAAAAAUAAAABMQEAAAAKMTY0MzkwNTMwNQMAAAADMTYwAgAAAAQ0MDUxBAAAAAEwBwAAAAk2LzMwLzIwMTIIAAAACTYvMzAvMjAxMgkA</t>
  </si>
  <si>
    <t>AAABMJhgmIlEJd4IgxtQi0Ql3ggsQ0lRLkRWTi5JUV9FQklUREEuSVFfTFRNLjEyLzMxLzIwMjMuTC4uVVNELkgBAAAADhEEAAIAAAAENzQ4NAEIAAAABQAAAAExAQAAAAstMTk1OTAyODg2NAMAAAADMTYwAgAAAAQ0MDUxBAAAAAEwBwAAAAoxMi8zMS8yMDIzCAAAAAoxMi8zMS8yMDIzCQAAAAEw6iPaikQl3ghih46LRCXeCCtDSVEuRFZOLklRX0VCSVREQS5JUV9MVE0uMy8zMS8yMDE1LkwuLlVTRC5IAQAAAA4RBAACAAAABDg0ODYBCAAAAAUAAAABMQEAAAAKMTgwMTYyNzc2NgMAAAADMTYwAgAAAAQ0MDUxBAAAAAEwBwAAAAkzLzMxLzIwMTUIAAAACTMvMzEvMjAxNQkAAAABMKHHiolEJd4IsoBhi0Ql3ggrQ0lRLkRWTi5JUV9FQklUREEuSVFfTFRNLjMvMzEvMjAxMS5MLi5VU0QuSAEAAAAOEQQAAgAAAAQ0OTI0AQgAAAAFAAAAATEBAAAACjE1NDQ5Njg5MTEDAAAAAzE2MAIAAAAENDA1MQQAAAABMAcAAAAJMy8zMS8yMDExCAAAAAkzLzMxLzIwMTEJAAAAATDbvXyJRCXeCPVFSotEJd4IK0NJUS5EVk4uSVFfRUJJVERBLklRX0xUTS45LzMwLzIwMjQuTC4uVVNELkgBAAAADhEEAAIAAAAENzYxMgEIAAAABQAAAAExAQAAAAstMTkxODAyNzQ1NQMAAAADMTYwAgAAAAQ0MDUxBAAAAAEwBwAAAAk5LzMwLzIwMjQIAAAACTkvMzAvMjAyNAkAAAABMOoj2opEJd4IEqaSi0Ql3ggrQ0lRLkRWTi5JUV9FQklU</t>
  </si>
  <si>
    <t>REEuSVFfTFRNLjkvMzAvMjAyMi5MLi5VU0QuSAEAAAAOEQQAAgAAAAUxMDM4MQEIAAAABQAAAAExAQAAAAstMjAyMDQ1ODEyNAMAAAADMTYwAgAAAAQ0MDUxBAAAAAEwBwAAAAk5LzMwLzIwMjIIAAAACTkvMzAvMjAyMgkAAAABMOVK2opEJd4IuLeIi0Ql3ggrQ0lRLkRWTi5JUV9FQklUREEuSVFfTFRNLjkvMzAvMjAxMi5MLi5VU0QuSAEAAAAOEQQAAgAAAAQ1MTY3AQgAAAAFAAAAATEBAAAACjE2NDM5MDMwNjUDAAAAAzE2MAIAAAAENDA1MQQAAAABMAcAAAAJOS8zMC8yMDEyCAAAAAk5LzMwLzIwMTIJAAAAATBuK4qJRCXeCANUUYtEJd4IK0NJUS5EVk4uSVFfRUJJVERBLklRX0xUTS4zLzMxLzIwMTkuTC4uVVNELkgBAAAADhEEAAIAAAAEMjMxMAEIAAAABQAAAAExAQAAAAoyMDQ5MDA0ODA3AwAAAAMxNjACAAAABDQwNTEEAAAAATAHAAAACTMvMzEvMjAxOQgAAAAJMy8zMS8yMDE5CQAAAAEwKV/HikQl3gjnPHiLRCXeCCtDSVEuRFZOLklRX0VCSVREQS5JUV9MVE0uMy8zMS8yMDEzLkwuLlVTRC5IAQAAAA4RBAACAAAABDQ1MTEBCAAAAAUAAAABMQEAAAAKMTY4OTg0MjQ0MAMAAAADMTYwAgAAAAQ0MDUxBAAAAAEwBwAAAAkzLzMxLzIwMTMIAAAACTMvMzEvMjAxMwkAAAABMG4riolEJd4IPxNUi0Ql3ggrQ0lRLkRWTi5JUV9FQklUREEuSVFfTFRNLjYvMzAvMjAxOC5MLi5VU0QuSAEAAAAOEQQAAgAA</t>
  </si>
  <si>
    <t>AAQxODQ5AQgAAAAFAAAAATEBAAAACjE5NzQ2OTgxMjkDAAAAAzE2MAIAAAAENDA1MQQAAAABMAcAAAAJNi8zMC8yMDE4CAAAAAk2LzMwLzIwMTgJAAAAATDn5HyJRCXeCIzhdItEJd4IK0NJUS5EVk4uSVFfRUJJVERBLklRX0xUTS42LzMwLzIwMjQuTC4uVVNELkgBAAAADhEEAAIAAAAENzQ3MQEIAAAABQAAAAExAQAAAAstMTkxODAyNzMxMwMAAAADMTYwAgAAAAQ0MDUxBAAAAAEwBwAAAAk2LzMwLzIwMjQIAAAACTYvMzAvMjAyNAkAAAABMOoj2opEJd4Ig0aRi0Ql3ggrQ0lRLkRWTi5JUV9FQklUREEuSVFfTFRNLjkvMzAvMjAyMy5MLi5VU0QuSAEAAAAOEQQAAgAAAAQ3NTExAQgAAAAFAAAAATEBAAAACy0xOTcwMzk4NzE5AwAAAAMxNjACAAAABDQwNTEEAAAAATAHAAAACTkvMzAvMjAyMwgAAAAJOS8zMC8yMDIzCQAAAAEw6iPaikQl3gj4dY2LRCXeCCtDSVEuRFZOLklRX0VCSVREQS5JUV9MVE0uOS8zMC8yMDIxLkwuLlVTRC5IAQAAAA4RBAACAAAABDM1MDcBCAAAAAUAAAABMQEAAAALLTIwNzIzNjIyNjgDAAAAAzE2MAIAAAAENDA1MQQAAAABMAcAAAAJOS8zMC8yMDIxCAAAAAk5LzMwLzIwMjEJAAAAATD+6caKRCXeCMT8g4tEJd4IK0NJUS5EVk4uSVFfRUJJVERBLklRX0xUTS45LzMwLzIwMTkuTC4uVVNELkgBAAAADhEEAAIAAAAEMjk4OAEIAAAABQAAAAExAQAAAAoyMDY3MzQyMjc5AwAAAAMx</t>
  </si>
  <si>
    <t>NjACAAAABDQwNTEEAAAAATAHAAAACTkvMzAvMjAxOQgAAAAJOS8zMC8yMDE5CQAAAAEwKV/HikQl3gj/1HqLRCXeCCtDSVEuRFZOLklRX0VCSVREQS5JUV9MVE0uOS8zMC8yMDE3LkwuLlVTRC5IAQAAAA4RBAACAAAABDIxMDUBCAAAAAUAAAABMQEAAAAKMTkyMDI4MzM3NwMAAAADMTYwAgAAAAQ0MDUxBAAAAAEwBwAAAAk5LzMwLzIwMTcIAAAACTkvMzAvMjAxNwkAAAABMGtSiolEJd4IJV9xi0Ql3ggrQ0lRLkRWTi5JUV9FQklUREEuSVFfTFRNLjkvMzAvMjAxNS5MLi5VU0QuSAEAAAAOEQQAAgAAAAQ2MDY1AQgAAAAFAAAAATEBAAAACjE4MTU5NzA2MDgDAAAAAzE2MAIAAAAENDA1MQQAAAABMAcAAAAJOS8zMC8yMDE1CAAAAAk5LzMwLzIwMTUJAAAAATChx4qJRCXeCPq0ZItEJd4IK0NJUS5EVk4uSVFfRUJJVERBLklRX0xUTS45LzMwLzIwMTEuTC4uVVNELkgBAAAADhEEAAIAAAAENjU0MwEIAAAABQAAAAExAQAAAAoxNTc1MDYzNjY0AwAAAAMxNjACAAAABDQwNTEEAAAAATAHAAAACTkvMzAvMjAxMQgAAAAJOS8zMC8yMDExCQAAAAEwq4eYiUQl3gjumEyLRCXeCCtDSVEuRFZOLklRX0VCSVREQS5JUV9MVE0uOS8zMC8yMDEzLkwuLlVTRC5IAQAAAA4RBAACAAAABDU0ODcBCAAAAAUAAAABMQEAAAAKMTcwNDk2ODE5NgMAAAADMTYwAgAAAAQ0MDUxBAAAAAEwBwAAAAk5LzMwLzIwMTMIAAAACTkvMzAv</t>
  </si>
  <si>
    <t>MjAxMwkAAAABMFAEiolEJd4IjJVXi0Ql3ggyQ0lRLkRWTi5JUV9UT1RBTF9SRVZFTlVFLklRX0xUTS45LzMwLzIwMTMuTC4uVVNELkgBAAAADhEEAAIAAAAFMTA0MzQBCAAAAAUAAAABMQEAAAAKMTcwNDk2ODE5NgMAAAADMTYwAgAAAAIyOAQAAAABMAcAAAAJOS8zMC8yMDEzCAAAAAk5LzMwLzIwMTMJAAAAATBuK4qJRCXeCEwXUotEJd4IMkNJUS5EVk4uSVFfVE9UQUxfUkVWRU5VRS5JUV9MVE0uMy8zMS8yMDIyLkwuLlVTRC5IAQAAAA4RBAACAAAABTE0ODAyAQgAAAAFAAAAATEBAAAACy0yMDM1ODcxMzU4AwAAAAMxNjACAAAAAjI4BAAAAAEwBwAAAAkzLzMxLzIwMjIIAAAACTMvMzEvMjAyMgkAAAABMAkRx4pEJd4INJ2Ci0Ql3ggyQ0lRLkRWTi5JUV9UT1RBTF9SRVZFTlVFLklRX0xUTS45LzMwLzIwMTkuTC4uVVNELkgBAAAADhEEAAIAAAAENzY3OQEIAAAABQAAAAExAQAAAAoyMDY3MzQyMjc5AwAAAAMxNjACAAAAAjI4BAAAAAEwBwAAAAk5LzMwLzIwMTkIAAAACTkvMzAvMjAxOQkAAAABMEiGx4pEJd4IY912i0Ql3ggzQ0lRLkRWTi5JUV9UT1RBTF9SRVZFTlVFLklRX0xUTS4xMi8zMS8yMDIyLkwuLlVTRC5IAQAAAA4RBAACAAAABTE5ODI3AQgAAAAFAAAAATEBAAAACy0xOTU5MDI4ODYwAwAAAAMxNjACAAAAAjI4BAAAAAEwBwAAAAoxMi8zMS8yMDIyCAAAAAoxMi8zMS8yMDIyCQAAAAEw/unG</t>
  </si>
  <si>
    <t>ikQl3gidH4aLRCXeCDJDSVEuRFZOLklRX1RPVEFMX1JFVkVOVUUuSVFfTFRNLjkvMzAvMjAyMy5MLi5VU0QuSAEAAAAOEQQAAgAAAAUxNDkzMAEIAAAABQAAAAExAQAAAAstMTk3MDM5ODcxOQMAAAADMTYwAgAAAAIyOAQAAAABMAcAAAAJOS8zMC8yMDIzCAAAAAk5LzMwLzIwMjMJAAAAATDlStqKRCXeCAN7iYtEJd4IMkNJUS5EVk4uSVFfVE9UQUxfUkVWRU5VRS5JUV9MVE0uNi8zMC8yMDIwLkwuLlVTRC5IAQAAAA4RBAACAAAABDUxOTYBCAAAAAUAAAABMQEAAAALLTIxMjM4NTcyNzADAAAAAzE2MAIAAAACMjgEAAAAATAHAAAACTYvMzAvMjAyMAgAAAAJNi8zMC8yMDIwCQAAAAEwKV/HikQl3gjYX3qLRCXeCDJDSVEuRFZOLklRX1RPVEFMX1JFVkVOVUUuSVFfTFRNLjYvMzAvMjAxNC5MLi5VU0QuSAEAAAAOEQQAAgAAAAUxNDUyOQEIAAAABQAAAAExAQAAAAoxNzQ4ODY1NDY3AwAAAAMxNjACAAAAAjI4BAAAAAEwBwAAAAk2LzMwLzIwMTQIAAAACTYvMzAvMjAxNAkAAAABMFAEiolEJd4IbCBXi0Ql3ggyQ0lRLkRWTi5JUV9UT1RBTF9SRVZFTlVFLklRX0xUTS42LzMwLzIwMTUuTC4uVVNELkgBAAAADhEEAAIAAAAFMTUxNTcBCAAAAAUAAAABMQEAAAAKMTgwMTYyNzc0MAMAAAADMTYwAgAAAAIyOAQAAAABMAcAAAAJNi8zMC8yMDE1CAAAAAk2LzMwLzIwMTUJAAAAATDIlnyJRCXeCCOJXYtEJd4IMkNJ</t>
  </si>
  <si>
    <t>US5EVk4uSVFfVE9UQUxfUkVWRU5VRS5JUV9MVE0uMy8zMS8yMDIxLkwuLlVTRC5IAQAAAA4RBAACAAAABDU1MzUBCAAAAAUAAAABMQEAAAALLTIwODY4OTg4MjADAAAAAzE2MAIAAAACMjgEAAAAATAHAAAACTMvMzEvMjAyMQgAAAAJMy8zMS8yMDIxCQAAAAEwMTjHikQl3ghMCX6LRCXeCDNDSVEuRFZOLklRX1RPVEFMX1JFVkVOVUUuSVFfTFRNLjEyLzMxLzIwMTAuTC4uVVNELkgBAAAADhEEAAIAAAAEODkxOQEIAAAABQAAAAExAQAAAAoxNTg4ODAzMzMyAwAAAAMxNjACAAAAAjI4BAAAAAEwBwAAAAoxMi8zMS8yMDEwCAAAAAoxMi8zMS8yMDEwCQAAAAEw9Qt9iUQl3gimMEWLRCXeCDJDSVEuRFZOLklRX1RPVEFMX1JFVkVOVUUuSVFfTFRNLjkvMzAvMjAxNC5MLi5VU0QuSAEAAAAOEQQAAgAAAAUxNjI2MgEIAAAABQAAAAExAQAAAAoxNzYyODA2MDYxAwAAAAMxNjACAAAAAjI4BAAAAAEwBwAAAAk5LzMwLzIwMTQIAAAACTkvMzAvMjAxNAkAAAABMFAEiolEJd4IDKdYi0Ql3ggyQ0lRLkRWTi5JUV9UT1RBTF9SRVZFTlVFLklRX0xUTS45LzMwLzIwMTguTC4uVVNELkgBAAAADhEEAAIAAAAEODA4NAEIAAAABQAAAAExAQAAAAoxOTkwODE4NDY5AwAAAAMxNjACAAAAAjI4BAAAAAEwBwAAAAk5LzMwLzIwMTgIAAAACTkvMzAvMjAxOAkAAAABMGtSiolEJd4IdCJyi0Ql3ggyQ0lRLkRWTi5JUV9UT1RBTF9S</t>
  </si>
  <si>
    <t>RVZFTlVFLklRX0xUTS45LzMwLzIwMjIuTC4uVVNELkgBAAAADhEEAAIAAAAFMTg3ODUBCAAAAAUAAAABMQEAAAALLTIwMjA0NTgxMjQDAAAAAzE2MAIAAAACMjgEAAAAATAHAAAACTkvMzAvMjAyMggAAAAJOS8zMC8yMDIyCQAAAAEw/unGikQl3ggi54SLRCXeCDNDSVEuRFZOLklRX1RPVEFMX1JFVkVOVUUuSVFfTFRNLjEyLzMxLzIwMTcuTC4uVVNELkgBAAAADhEEAAIAAAAENjM0MAEIAAAABQAAAAExAQAAAAoyMDE1OTQ4NTY4AwAAAAMxNjACAAAAAjI4BAAAAAEwBwAAAAoxMi8zMS8yMDE3CAAAAAoxMi8zMS8yMDE3CQAAAAEwenmKiUQl3gi63G2LRCXeCDNDSVEuRFZOLklRX1RPVEFMX1JFVkVOVUUuSVFfTFRNLjEyLzMxLzIwMTkuTC4uVVNELkgBAAAADhEEAAIAAAAENjY3NAEIAAAABQAAAAExAQAAAAstMjExMjEwMDQzNgMAAAADMTYwAgAAAAIyOAQAAAABMAcAAAAKMTIvMzEvMjAxOQgAAAAKMTIvMzEvMjAxOQkAAAABMClfx4pEJd4Iy+53i0Ql3ggzQ0lRLkRWTi5JUV9UT1RBTF9SRVZFTlVFLklRX0xUTS4xMi8zMS8yMDEzLkwuLlVTRC5IAQAAAA4RBAACAAAABTEwNTg4AQgAAAAFAAAAATEBAAAACjE3NzY3Mzk3MzUDAAAAAzE2MAIAAAACMjgEAAAAATAHAAAACjEyLzMxLzIwMTMIAAAACjEyLzMxLzIwMTMJAAAAATBuK4qJRCXeCPadU4tEJd4IM0NJUS5EVk4uSVFfVE9UQUxfUkVWRU5VRS5J</t>
  </si>
  <si>
    <t>UV9MVE0uMTIvMzEvMjAxNS5MLi5VU0QuSAEAAAAOEQQAAgAAAAUxMjkzOAEIAAAABQAAAAExAQAAAAoxODc1NTEyOTM4AwAAAAMxNjACAAAAAjI4BAAAAAEwBwAAAAoxMi8zMS8yMDE1CAAAAAoxMi8zMS8yMDE1CQAAAAEwpu6KiUQl3giCC2GLRCXeCDJDSVEuRFZOLklRX1RPVEFMX1JFVkVOVUUuSVFfTFRNLjkvMzAvMjAyNC5MLi5VU0QuSAEAAAAOEQQAAgAAAAUxNDUyOQEIAAAABQAAAAExAQAAAAstMTkxODAyNzQ1NQMAAAADMTYwAgAAAAIyOAQAAAABMAcAAAAJOS8zMC8yMDI0CAAAAAk5LzMwLzIwMjQJAAAAATDqI9qKRCXeCEE5jotEJd4IM0NJUS5EVk4uSVFfVE9UQUxfUkVWRU5VRS5JUV9MVE0uMTIvMzEvMjAxMS5MLi5VU0QuSAEAAAAOEQQAAgAAAAUxMDU2NAEIAAAABQAAAAExAQAAAAoxNjYwODk4MTkyAwAAAAMxNjACAAAAAjI4BAAAAAEwBwAAAAoxMi8zMS8yMDExCAAAAAoxMi8zMS8yMDExCQAAAAEw2718iUQl3giYCkqLRCXeCDJDSVEuRFZOLklRX1RPVEFMX1JFVkVOVUUuSVFfTFRNLjkvMzAvMjAxMi5MLi5VU0QuSAEAAAAOEQQAAgAAAAQ4ODcxAQgAAAAFAAAAATEBAAAACjE2NDM5MDMwNjUDAAAAAzE2MAIAAAACMjgEAAAAATAHAAAACTkvMzAvMjAxMggAAAAJOS8zMC8yMDEyCQAAAAEwq4eYiUQl3ghyg02LRCXeCDJDSVEuRFZOLklRX1RPVEFMX1JFVkVOVUUuSVFfTFRNLjkvMzAv</t>
  </si>
  <si>
    <t>MjAyMC5MLi5VU0QuSAEAAAAOEQQAAgAAAAQ0Nzg5AQgAAAAFAAAAATEBAAAACy0yMTIzODU3MjgyAwAAAAMxNjACAAAAAjI4BAAAAAEwBwAAAAk5LzMwLzIwMjAIAAAACTkvMzAvMjAyMAkAAAABMClfx4pEJd4ITZh7i0Ql3ggzQ0lRLkRWTi5JUV9UT1RBTF9SRVZFTlVFLklRX0xUTS4xMi8zMS8yMDA5LkwuLlVTRC5IAQAAAA4RBAACAAAABDc0OTkBCAAAAAUAAAABMQEAAAAKMTUyMzcyMTE0OAMAAAADMTYwAgAAAAIyOAQAAAABMAcAAAAKMTIvMzEvMjAwOQgAAAAKMTIvMzEvMjAwOQkAAAABMAYzfYlEJd4ICjlBi0Ql3ggyQ0lRLkRWTi5JUV9UT1RBTF9SRVZFTlVFLklRX0xUTS45LzMwLzIwMTAuTC4uVVNELkgBAAAADhEEAAIAAAAEODg5NAEIAAAABQAAAAExAQAAAAoxNDc5OTkzMzE0AwAAAAMxNjACAAAAAjI4BAAAAAEwBwAAAAk5LzMwLzIwMTAIAAAACTkvMzAvMjAxMAkAAAABMAYzfYlEJd4IMR9Ei0Ql3ggzQ0lRLkRWTi5JUV9UT1RBTF9SRVZFTlVFLklRX0xUTS4xMi8zMS8yMDIxLkwuLlVTRC5IAQAAAA4RBAACAAAABTEzNzUwAQgAAAAFAAAAATEBAAAACy0yMDA4MjIyMTk3AwAAAAMxNjACAAAAAjI4BAAAAAEwBwAAAAoxMi8zMS8yMDIxCAAAAAoxMi8zMS8yMDIxCQAAAAEwCRHHikQl3gisZIGLRCXeCDJDSVEuRFZOLklRX1RPVEFMX1JFVkVOVUUuSVFfTFRNLjkvMzAvMjAxNi5MLi5VU0Qu</t>
  </si>
  <si>
    <t>SAEAAAAOEQQAAgAAAAUxMDE4NwEIAAAABQAAAAExAQAAAAoxODYzNjgzMzkyAwAAAAMxNjACAAAAAjI4BAAAAAEwBwAAAAk5LzMwLzIwMTYIAAAACTkvMzAvMjAxNgkAAAABMKHHiolEJd4Ib8Zli0Ql3ggzQ0lRLkRWTi5JUV9UT1RBTF9SRVZFTlVFLklRX0xUTS4xMi8zMS8yMDIzLkwuLlVTRC5IAQAAAA4RBAACAAAABTE0NDI3AQgAAAAFAAAAATEBAAAACy0xOTU5MDI4ODY0AwAAAAMxNjACAAAAAjI4BAAAAAEwBwAAAAoxMi8zMS8yMDIzCAAAAAoxMi8zMS8yMDIzCQAAAAEw5UraikQl3giDs4qLRCXeCDJDSVEuRFZOLklRX1RPVEFMX1JFVkVOVUUuSVFfTFRNLjYvMzAvMjAyNS5MLi5VU0QuSAEAAAAOEQQAAgAAAAUxNjEwNQEIAAAABQAAAAExAQAAAAstMTkzMjg4MjgyMgMAAAADMTYwAgAAAAIyOAQAAAABMAcAAAAJNi8zMC8yMDI1CAAAAAk2LzMwLzIwMjUJAAAAATDqI9qKRCXeCOQwkotEJd4IMkNJUS5EVk4uSVFfVE9UQUxfUkVWRU5VRS5JUV9MVE0uOS8zMC8yMDI1LkwuLlVTRC5IAQAAAA4RBAACAAAABTE2NTU0AQgAAAAFAAAAATEBAAAACy0xOTE4MDI3NDM1AwAAAAMxNjACAAAAAjI4BAAAAAEwBwAAAAk5LzMwLzIwMjUIAAAACTkvMzAvMjAyNQkAAAABMNr82YpEJd4IdpCTi0Ql3ggyQ0lRLkRWTi5JUV9UT1RBTF9SRVZFTlVFLklRX0xUTS4zLzMxLzIwMjUuTC4uVVNELkgBAAAADhEEAAIA</t>
  </si>
  <si>
    <t>AAAFMTU5NDMBCAAAAAUAAAABMQEAAAALLTE5NDUzOTY3OTADAAAAAzE2MAIAAAACMjgEAAAAATAHAAAACTMvMzEvMjAyNQgAAAAJMy8zMS8yMDI1CQAAAAEw6iPaikQl3ghS0ZCLRCXeCDNDSVEuRFZOLklRX1RPVEFMX1JFVkVOVUUuSVFfTFRNLjEyLzMxLzIwMjQuTC4uVVNELkgBAAAADhEEAAIAAAAFMTUxNzEBCAAAAAUAAAABMQEAAAALLTE5NTkwMjg4NTkDAAAAAzE2MAIAAAACMjgEAAAAATAHAAAACjEyLzMxLzIwMjQIAAAACjEyLzMxLzIwMjQJAAAAATDqI9qKRCXeCNiYj4tEJd4IMUNJUS5EVk4uSVFfVE9UQUxfUkVWRU5VRS5JUV9DUS45LzMwLzIwMjUuTC4uVVNELkgBAAAADhEEAAIAAAAENDA2NwEIAAAABQAAAAExAQAAAAstMTkxODAyOTA1OQMAAAADMTYwAgAAAAIyOAQAAAABMAcAAAAJOS8zMC8yMDI1CAAAAAk5LzMwLzIwMjUJAAAAATDa/NmKRCXeCJC3k4tEJd4IMUNJUS5EVk4uSVFfVE9UQUxfUkVWRU5VRS5JUV9DUS42LzMwLzIwMjUuTC4uVVNELkgBAAAADhEEAAIAAAAEMzg2OAEIAAAABQAAAAExAQAAAAstMTkzMjg4NDU0MgMAAAADMTYwAgAAAAIyOAQAAAABMAcAAAAJNi8zMC8yMDI1CAAAAAk2LzMwLzIwMjUJAAAAATDqI9qKRCXeCPNXkotEJd4INUNJUS5EVk4uSVFfTklfMVlSX0FOTl9HUk9XVEguSVFfQ1EuMy8zMS8yMDEyLkwuLlVTRC5IAQAAAA4RBAACAAAABy01LjUyODkB</t>
  </si>
  <si>
    <t>CAAAAAUAAAABMQEAAAAKMTYxNTE4MDA1OAMAAAADMTYwAgAAAAQ0MTk5BAAAAAEwBwAAAAkzLzMxLzIwMTIIAAAACTMvMzEvMjAxMgkAAAABMNu9fIlEJd4I27xKi0Ql3gg1Q0lRLkRWTi5JUV9OSV8xWVJfQU5OX0dST1dUSC5JUV9DUS4zLzMxLzIwMTguTC4uVVNELkgBAAAADhEEAAMAAAACTk0BCAAAAAUAAAABMQEAAAAKMTk3NDY5ODM3NwMAAAADMTYwAgAAAAQ0MTk5BAAAAAEwBwAAAAkzLzMxLzIwMTgIAAAACTMvMzEvMjAxOAkAAAABMHp5iolEJd4IIe5ui0Ql3gg1Q0lRLkRWTi5JUV9OSV8xWVJfQU5OX0dST1dUSC5JUV9DUS4zLzMxLzIwMjAuTC4uVVNELkgBAAAADhEEAAMAAAACTk0BCAAAAAUAAAABMQEAAAALLTIxNDAwMjQwNTcDAAAAAzE2MAIAAAAENDE5OQQAAAABMAcAAAAJMy8zMS8yMDIwCAAAAAkzLzMxLzIwMjAJAAAAATApX8eKRCXeCB6yeItEJd4INkNJUS5EVk4uSVFfTklfMVlSX0FOTl9HUk9XVEguSVFfQ1EuMTIvMzEvMjAxNi5MLi5VU0QuSAEAAAAOEQQAAwAAAAJOTQEIAAAABQAAAAExAQAAAAoxODc1NTEyOTM5AwAAAAMxNjACAAAABDQxOTkEAAAAATAHAAAACjEyLzMxLzIwMTYIAAAACjEyLzMxLzIwMTYJAAAAATCNoIqJRCXeCNvXZotEJd4INkNJUS5EVk4uSVFfTklfMVlSX0FOTl9HUk9XVEguSVFfQ1EuMTIvMzEvMjAxMC5MLi5VU0QuSAEAAAAOEQQAAgAAAAgtMTUuNzQy</t>
  </si>
  <si>
    <t>MgEIAAAABQAAAAExAQAAAAoxNTIzNzIxMzkzAwAAAAMxNjACAAAABDQxOTkEAAAAATAHAAAACjEyLzMxLzIwMTAIAAAACjEyLzMxLzIwMTAJAAAAATD1C32JRCXeCHe7RItEJd4INkNJUS5EVk4uSVFfTklfMVlSX0FOTl9HUk9XVEguSVFfQ1EuMTIvMzEvMjAxMi5MLi5VU0QuSAEAAAAOEQQAAwAAAAJOTQEIAAAABQAAAAExAQAAAAoxNjYwODk3OTk2AwAAAAMxNjACAAAABDQxOTkEAAAAATAHAAAACjEyLzMxLzIwMTIIAAAACjEyLzMxLzIwMTIJAAAAATCrh5iJRCXeCLUfTotEJd4INUNJUS5EVk4uSVFfTklfMVlSX0FOTl9HUk9XVEguSVFfQ1EuMy8zMS8yMDE0LkwuLlVTRC5IAQAAAA4RBAADAAAAAk5NAQgAAAAFAAAAATEBAAAACjE3MzI5OTM2NzcDAAAAAzE2MAIAAAAENDE5OQQAAAABMAcAAAAJMy8zMS8yMDE0CAAAAAkzLzMxLzIwMTQJAAAAATBuK4qJRCXeCGuvVItEJd4INUNJUS5EVk4uSVFfTklfMVlSX0FOTl9HUk9XVEguSVFfQ1EuMy8zMS8yMDE2LkwuLlVTRC5IAQAAAA4RBAADAAAAAk5NAQgAAAAFAAAAATEBAAAACjE4NDAxNzc1NjgDAAAAAzE2MAIAAAAENDE5OQQAAAABMAcAAAAJMy8zMS8yMDE2CAAAAAkzLzMxLzIwMTYJAAAAATChx4qJRCXeCOccYotEJd4INkNJUS5EVk4uSVFfTklfMVlSX0FOTl9HUk9XVEguSVFfQ1EuMTIvMzEvMjAyMC5MLi5VU0QuSAEAAAAOEQQAAwAAAAJOTQEI</t>
  </si>
  <si>
    <t>AAAABQAAAAExAQAAAAstMjExMjEwMDQzNQMAAAADMTYwAgAAAAQ0MTk5BAAAAAEwBwAAAAoxMi8zMS8yMDIwCAAAAAoxMi8zMS8yMDIwCQAAAAEwMTjHikQl3gijW3yLRCXeCDVDSVEuRFZOLklRX05JXzFZUl9BTk5fR1JPV1RILklRX0NRLjMvMzEvMjAyNC5MLi5VU0QuSAEAAAAOEQQAAgAAAAgtNDAuMTAwNgEIAAAABQAAAAExAQAAAAstMTkzMjg4MjU5MAMAAAADMTYwAgAAAAQ0MTk5BAAAAAEwBwAAAAkzLzMxLzIwMjQIAAAACTMvMzEvMjAyNAkAAAABMOVK2opEJd4IGFOLi0Ql3gg1Q0lRLkRWTi5JUV9OSV8xWVJfQU5OX0dST1dUSC5JUV9DUS4zLzMxLzIwMTAuTC4uVVNELkgBAAAADhEEAAMAAAACTk0BCAAAAAUAAAABMQEAAAAKMTQ1MTI2MjY1NwMAAAADMTYwAgAAAAQ0MTk5BAAAAAEwBwAAAAkzLzMxLzIwMTAIAAAACTMvMzEvMjAxMAkAAAABMAYzfYlEJd4IMK5Bi0Ql3gg1Q0lRLkRWTi5JUV9OSV8xWVJfQU5OX0dST1dUSC5JUV9DUS4zLzMxLzIwMjIuTC4uVVNELkgBAAAADhEEAAIAAAAIMzY0LjMxOTIBCAAAAAUAAAABMQEAAAALLTIwMzU4NzEzNjIDAAAAAzE2MAIAAAAENDE5OQQAAAABMAcAAAAJMy8zMS8yMDIyCAAAAAkzLzMxLzIwMjIJAAAAATAJEceKRCXeCAIogotEJd4INkNJUS5EVk4uSVFfTklfMVlSX0FOTl9HUk9XVEguSVFfQ1EuMTIvMzEvMjAyMi5MLi5VU0QuSAEAAAAOEQQA</t>
  </si>
  <si>
    <t>AgAAAAgtMjAuMjUyNAEIAAAABQAAAAExAQAAAAstMjAwODIyMjE5NgMAAAADMTYwAgAAAAQ0MTk5BAAAAAEwBwAAAAoxMi8zMS8yMDIyCAAAAAoxMi8zMS8yMDIyCQAAAAEw/unGikQl3ghrqoWLRCXeCDZDSVEuRFZOLklRX05JXzFZUl9BTk5fR1JPV1RILklRX0NRLjEyLzMxLzIwMTQuTC4uVVNELkgBAAAADhEEAAMAAAACTk0BCAAAAAUAAAABMQEAAAAKMTc3NjczOTg5NAMAAAADMTYwAgAAAAQ0MTk5BAAAAAEwBwAAAAoxMi8zMS8yMDE0CAAAAAoxMi8zMS8yMDE0CQAAAAEwGVp9iUQl3ghikVmLRCXeCDZDSVEuRFZOLklRX05JXzFZUl9BTk5fR1JPV1RILklRX0NRLjEyLzMxLzIwMTguTC4uVVNELkgBAAAADhEEAAIAAAAINTI3Ljg2ODgBCAAAAAUAAAABMQEAAAAKMjAxNTk0ODYwMAMAAAADMTYwAgAAAAQ0MTk5BAAAAAEwBwAAAAoxMi8zMS8yMDE4CAAAAAoxMi8zMS8yMDE4CQAAAAEwa1KKiUQl3gjE5XKLRCXeCDZDSVEuRFZOLklRX05JXzFZUl9BTk5fR1JPV1RILklRX0NRLjEyLzMxLzIwMjQuTC4uVVNELkgBAAAADhEEAAIAAAAILTQ0LjUzMTMBCAAAAAUAAAABMQEAAAALLTE5NTkwMjg4OTADAAAAAzE2MAIAAAAENDE5OQQAAAABMAcAAAAKMTIvMzEvMjAyNAgAAAAKMTIvMzEvMjAyNAkAAAABMOoj2opEJd4IkfyOi0Ql3gg2Q0lRLkRWTi5JUV9OSV8xWVJfQU5OX0dST1dUSC5JUV9DUS4xMi8z</t>
  </si>
  <si>
    <t>MS8yMDA5LkwuLlVTRC5IAQAAAA4RBAADAAAAAk5NAQgAAAAFAAAAATEBAAAACjE0MzMzMTc2NzkDAAAAAzE2MAIAAAAENDE5OQQAAAABMAcAAAAKMTIvMzEvMjAwOQgAAAAKMTIvMzEvMjAwOQkAAAABMAYzfYlEJd4I0cNAi0Ql3gg1Q0lRLkRWTi5JUV9OSV8xWVJfQU5OX0dST1dUSC5JUV9DUS45LzMwLzIwMTIuTC4uVVNELkgBAAAADhEEAAMAAAACTk0BCAAAAAUAAAABMQEAAAAKMTY0Mzg3ODgxMwMAAAADMTYwAgAAAAQ0MTk5BAAAAAEwBwAAAAk5LzMwLzIwMTIIAAAACTkvMzAvMjAxMgkAAAABMKuHmIlEJd4IPw5Ni0Ql3gg1Q0lRLkRWTi5JUV9OSV8xWVJfQU5OX0dST1dUSC5JUV9DUS42LzMwLzIwMTYuTC4uVVNELkgBAAAADhEEAAMAAAACTk0BCAAAAAUAAAABMQEAAAAKMTg2MzY4Mzg2MwMAAAADMTYwAgAAAAQ0MTk5BAAAAAEwBwAAAAk2LzMwLzIwMTYIAAAACTYvMzAvMjAxNgkAAAABMKHHiolEJd4Ih6Nji0Ql3gg1Q0lRLkRWTi5JUV9OSV8xWVJfQU5OX0dST1dUSC5JUV9DUS42LzMwLzIwMjMuTC4uVVNELkgBAAAADhEEAAIAAAAILTY0LjI4NTgBCAAAAAUAAAABMQEAAAALLTE5NzAzOTgwODMDAAAAAzE2MAIAAAAENDE5OQQAAAABMAcAAAAJNi8zMC8yMDIzCAAAAAk2LzMwLzIwMjMJAAAAATDlStqKRCXeCFz0h4tEJd4INUNJUS5EVk4uSVFfTklfMVlSX0FOTl9HUk9XVEguSVFfQ1EuNi8z</t>
  </si>
  <si>
    <t>MC8yMDI0LkwuLlVTRC5IAQAAAA4RBAACAAAABzIyLjMxODgBCAAAAAUAAAABMQEAAAALLTE5MTgwMjczMTQDAAAAAzE2MAIAAAAENDE5OQQAAAABMAcAAAAJNi8zMC8yMDI0CAAAAAk2LzMwLzIwMjQJAAAAATDlStqKRCXeCIFkjItEJd4INUNJUS5EVk4uSVFfTklfMVlSX0FOTl9HUk9XVEguSVFfQ1EuNi8zMC8yMDE1LkwuLlVTRC5IAQAAAA4RBAADAAAAAk5NAQgAAAAFAAAAATEBAAAACjE4MDE2Mjc1MzkDAAAAAzE2MAIAAAAENDE5OQQAAAABMAcAAAAJNi8zMC8yMDE1CAAAAAk2LzMwLzIwMTUJAAAAATDbvXyJRCXeCNgTXYtEJd4INkNJUS5EVk4uSVFfTklfMVlSX0FOTl9HUk9XVEguSVFfQ1EuMTIvMzEvMjAxOS5MLi5VU0QuSAEAAAAOEQQAAwAAAAJOTQEIAAAABQAAAAExAQAAAAoyMDgwOTk4OTg0AwAAAAMxNjACAAAABDQxOTkEAAAAATAHAAAACjEyLzMxLzIwMTkIAAAACjEyLzMxLzIwMTkJAAAAATApX8eKRCXeCK95d4tEJd4INUNJUS5EVk4uSVFfTklfMVlSX0FOTl9HUk9XVEguSVFfQ1EuOS8zMC8yMDIyLkwuLlVTRC5IAQAAAA4RBAACAAAACDEyNS44OTQ5AQgAAAAFAAAAATEBAAAACy0yMDIwNDYwNDkxAwAAAAMxNjACAAAABDQxOTkEAAAAATAHAAAACTkvMzAvMjAyMggAAAAJOS8zMC8yMDIyCQAAAAEw/unGikQl3gj8cYSLRCXeCDVDSVEuRFZOLklRX05JXzFZUl9BTk5fR1JPV1RILklR</t>
  </si>
  <si>
    <t>X0NRLjkvMzAvMjAyMy5MLi5VU0QuSAEAAAAOEQQAAgAAAAgtNTEuOTI4MgEIAAAABQAAAAExAQAAAAstMTk3MDQwMDI3NgMAAAADMTYwAgAAAAQ0MTk5BAAAAAEwBwAAAAk5LzMwLzIwMjMIAAAACTkvMzAvMjAyMwkAAAABMOVK2opEJd4IzwWJi0Ql3gg1Q0lRLkRWTi5JUV9OSV8xWVJfQU5OX0dST1dUSC5JUV9DUS45LzMwLzIwMTUuTC4uVVNELkgBAAAADhEEAAMAAAACTk0BCAAAAAUAAAABMQEAAAAKMTgxNTk2OTQ3NgMAAAADMTYwAgAAAAQ0MTk5BAAAAAEwBwAAAAk5LzMwLzIwMTUIAAAACTkvMzAvMjAxNQkAAAABMMiWfIlEJd4Id5pei0Ql3gg1Q0lRLkRWTi5JUV9OSV8xWVJfQU5OX0dST1dUSC5JUV9DUS4zLzMxLzIwMTkuTC4uVVNELkgBAAAADhEEAAMAAAACTk0BCAAAAAUAAAABMQEAAAAKMjA0OTAwNDgwNAMAAAADMTYwAgAAAAQ0MTk5BAAAAAEwBwAAAAkzLzMxLzIwMTkIAAAACTMvMzEvMjAxOQkAAAABMPULfYlEJd4IPB50i0Ql3gg2Q0lRLkRWTi5JUV9OSV8xWVJfQU5OX0dST1dUSC5JUV9DUS4xMi8zMS8yMDExLkwuLlVTRC5IAQAAAA4RBAACAAAABy05Ljc4NjUBCAAAAAUAAAABMQEAAAAKMTU4ODgwMzE4NAMAAAADMTYwAgAAAAQ0MTk5BAAAAAEwBwAAAAoxMi8zMS8yMDExCAAAAAoxMi8zMS8yMDExCQAAAAEw5+R8iUQl3gg1k0mLRCXeCDVDSVEuRFZOLklRX05JXzFZUl9BTk5fR1JP</t>
  </si>
  <si>
    <t>V1RILklRX0NRLjkvMzAvMjAxNC5MLi5VU0QuSAEAAAAOEQQAAgAAAAgxMzYuODI5OAEIAAAABQAAAAExAQAAAAoxNzYyNzk1Mzc4AwAAAAMxNjACAAAABDQxOTkEAAAAATAHAAAACTkvMzAvMjAxNAgAAAAJOS8zMC8yMDE0CQAAAAEwUASKiUQl3gjDCliLRCXeCDVDSVEuRFZOLklRX05JXzFZUl9BTk5fR1JPV1RILklRX0NRLjMvMzEvMjAxMS5MLi5VU0QuSAEAAAAOEQQAAgAAAAgtNjUuMTAwNwEIAAAABQAAAAExAQAAAAoxNTQ0OTUyMzg4AwAAAAMxNjACAAAABDQxOTkEAAAAATAHAAAACTMvMzEvMjAxMQgAAAAJMy8zMS8yMDExCQAAAAEw9Qt9iUQl3gj580WLRCXeCDZDSVEuRFZOLklRX05JXzFZUl9BTk5fR1JPV1RILklRX0NRLjEyLzMxLzIwMTMuTC4uVVNELkgBAAAADhEEAAMAAAACTk0BCAAAAAUAAAABMQEAAAAKMTcyMDA3NjI1MgMAAAADMTYwAgAAAAQ0MTk5BAAAAAEwBwAAAAoxMi8zMS8yMDEzCAAAAAoxMi8zMS8yMDEzCQAAAAEwbiuKiUQl3gim2lKLRCXeCDVDSVEuRFZOLklRX05JXzFZUl9BTk5fR1JPV1RILklRX0NRLjkvMzAvMjAxNy5MLi5VU0QuSAEAAAAOEQQAAgAAAActODAuNTY0AQgAAAAFAAAAATEBAAAACjE5MjAyMTU2NTQDAAAAAzE2MAIAAAAENDE5OQQAAAABMAcAAAAJOS8zMC8yMDE3CAAAAAk5LzMwLzIwMTcJAAAAATB6eYqJRCXeCNy5a4tEJd4INUNJUS5EVk4uSVFfTklf</t>
  </si>
  <si>
    <t>MVlSX0FOTl9HUk9XVEguSVFfQ1EuOS8zMC8yMDI0LkwuLlVTRC5IAQAAAA4RBAACAAAACC0xMC43NjkzAQgAAAAFAAAAATEBAAAACy0xOTE4MDI5MDUxAwAAAAMxNjACAAAABDQxOTkEAAAAATAHAAAACTkvMzAvMjAyNAgAAAAJOS8zMC8yMDI0CQAAAAEw6iPaikQl3ggCnY2LRCXeCDVDSVEuRFZOLklRX05JXzFZUl9BTk5fR1JPV1RILklRX0NRLjkvMzAvMjAyNS5MLi5VU0QuSAEAAAAOEQQAAgAAAAgtMTUuMzk0MQEIAAAABQAAAAExAQAAAAstMTkxODAyOTA1OQMAAAADMTYwAgAAAAQ0MTk5BAAAAAEwBwAAAAk5LzMwLzIwMjUIAAAACTkvMzAvMjAyNQkAAAABMNr82YpEJd4IQhuTi0Ql3gg1Q0lRLkRWTi5JUV9OSV8xWVJfQU5OX0dST1dUSC5JUV9DUS45LzMwLzIwMTYuTC4uVVNELkgBAAAADhEEAAMAAAACTk0BCAAAAAUAAAABMQEAAAAKMTg2MzY3OTU0MgMAAAADMTYwAgAAAAQ0MTk5BAAAAAEwBwAAAAk5LzMwLzIwMTYIAAAACTkvMzAvMjAxNgkAAAABMKHHiolEJd4IJipli0Ql3gg1Q0lRLkRWTi5JUV9OSV8xWVJfQU5OX0dST1dUSC5JUV9DUS4zLzMxLzIwMjEuTC4uVVNELkgBAAAADhEEAAMAAAACTk0BCAAAAAUAAAABMQEAAAALLTIwODY4OTg4MjUDAAAAAzE2MAIAAAAENDE5OQQAAAABMAcAAAAJMy8zMS8yMDIxCAAAAAkzLzMxLzIwMjEJAAAAATAxOMeKRCXeCCOUfYtEJd4INUNJUS5EVk4u</t>
  </si>
  <si>
    <t>SVFfTklfMVlSX0FOTl9HUk9XVEguSVFfQ1EuNi8zMC8yMDEwLkwuLlVTRC5IAQAAAA4RBAACAAAACDEyNC44NDA3AQgAAAAFAAAAATEBAAAACjE0NjU3MTQzOTYDAAAAAzE2MAIAAAAENDE5OQQAAAABMAcAAAAJNi8zMC8yMDEwCAAAAAk2LzMwLzIwMTAJAAAAATAGM32JRCXeCJSYQotEJd4INUNJUS5EVk4uSVFfTklfMVlSX0FOTl9HUk9XVEguSVFfQ1EuMy8zMS8yMDEzLkwuLlVTRC5IAQAAAA4RBAADAAAAAk5NAQgAAAAFAAAAATEBAAAACjE2ODk4NDI0MTUDAAAAAzE2MAIAAAAENDE5OQQAAAABMAcAAAAJMy8zMS8yMDEzCAAAAAkzLzMxLzIwMTMJAAAAATCYYJiJRCXeCCExT4tEJd4INUNJUS5EVk4uSVFfTklfMVlSX0FOTl9HUk9XVEguSVFfQ1EuNi8zMC8yMDEzLkwuLlVTRC5IAQAAAA4RBAACAAAABzQzLjE4NjUBCAAAAAUAAAABMQEAAAAKMTcwNDk2OTYwMwMAAAADMTYwAgAAAAQ0MTk5BAAAAAEwBwAAAAk2LzMwLzIwMTMIAAAACTYvMzAvMjAxMwkAAAABMJhgmIlEJd4Io2lQi0Ql3gg1Q0lRLkRWTi5JUV9OSV8xWVJfQU5OX0dST1dUSC5JUV9DUS45LzMwLzIwMTMuTC4uVVNELkgBAAAADhEEAAMAAAACTk0BCAAAAAUAAAABMQEAAAAKMTcwNDk1OTQxMAMAAAADMTYwAgAAAAQ0MTk5BAAAAAEwBwAAAAk5LzMwLzIwMTMIAAAACTkvMzAvMjAxMwkAAAABMG4riolEJd4IMKJRi0Ql3gg1Q0lRLkRW</t>
  </si>
  <si>
    <t>Ti5JUV9OSV8xWVJfQU5OX0dST1dUSC5JUV9DUS42LzMwLzIwMTguTC4uVVNELkgBAAAADhEEAAMAAAACTk0BCAAAAAUAAAABMQEAAAAKMTk3NDY4NjE3MwMAAAADMTYwAgAAAAQ0MTk5BAAAAAEwBwAAAAk2LzMwLzIwMTgIAAAACTYvMzAvMjAxOAkAAAABMGtSiolEJd4I4Jtwi0Ql3gg1Q0lRLkRWTi5JUV9OSV8xWVJfQU5OX0dST1dUSC5JUV9DUS42LzMwLzIwMjEuTC4uVVNELkgBAAAADhEEAAMAAAACTk0BCAAAAAUAAAABMQEAAAALLTIwNzIzNjIxODYDAAAAAzE2MAIAAAAENDE5OQQAAAABMAcAAAAJNi8zMC8yMDIxCAAAAAk2LzMwLzIwMjEJAAAAATAxOMeKRCXeCJKlfotEJd4INUNJUS5EVk4uSVFfTklfMVlSX0FOTl9HUk9XVEguSVFfQ1EuNi8zMC8yMDEyLkwuLlVTRC5IAQAAAA4RBAACAAAACC04Mi42MTAzAQgAAAAFAAAAATEBAAAACjE2NDM5MDUzMDQDAAAAAzE2MAIAAAAENDE5OQQAAAABMAcAAAAJNi8zMC8yMDEyCAAAAAk2LzMwLzIwMTIJAAAAATCrh5iJRCXeCHXlS4tEJd4INUNJUS5EVk4uSVFfTklfMVlSX0FOTl9HUk9XVEguSVFfQ1EuMy8zMS8yMDIzLkwuLlVTRC5IAQAAAA4RBAACAAAABjAuNjA2NgEIAAAABQAAAAExAQAAAAstMTk4NDIyMTc4MgMAAAADMTYwAgAAAAQ0MTk5BAAAAAEwBwAAAAkzLzMxLzIwMjMIAAAACTMvMzEvMjAyMwkAAAABMOVK2opEJd4I3buGi0Ql3gg1Q0lR</t>
  </si>
  <si>
    <t>LkRWTi5JUV9OSV8xWVJfQU5OX0dST1dUSC5JUV9DUS42LzMwLzIwMjIuTC4uVVNELkgBAAAADhEEAAIAAAAINjU0LjY4NzUBCAAAAAUAAAABMQEAAAALLTIwMjA0NTc3NTUDAAAAAzE2MAIAAAAENDE5OQQAAAABMAcAAAAJNi8zMC8yMDIyCAAAAAk2LzMwLzIwMjIJAAAAATAJEceKRCXeCHM5g4tEJd4INUNJUS5EVk4uSVFfTklfMVlSX0FOTl9HUk9XVEguSVFfQ1EuOS8zMC8yMDIwLkwuLlVTRC5IAQAAAA4RBAADAAAAAk5NAQgAAAAFAAAAATEBAAAACy0yMTIzODU3NDQzAwAAAAMxNjACAAAABDQxOTkEAAAAATAHAAAACTkvMzAvMjAyMAgAAAAJOS8zMC8yMDIwCQAAAAEwKV/HikQl3ggxSnuLRCXeCDVDSVEuRFZOLklRX05JXzFZUl9BTk5fR1JPV1RILklRX0NRLjkvMzAvMjAxOC5MLi5VU0QuSAEAAAAOEQQAAgAAAAkxMjE0LjUwNzcBCAAAAAUAAAABMQEAAAAKMTk5MDgxNTQyNAMAAAADMTYwAgAAAAQ0MTk5BAAAAAEwBwAAAAk5LzMwLzIwMTgIAAAACTkvMzAvMjAxOAkAAAABMGtSiolEJd4IU9Rxi0Ql3gg1Q0lRLkRWTi5JUV9OSV8xWVJfQU5OX0dST1dUSC5JUV9DUS45LzMwLzIwMjEuTC4uVVNELkgBAAAADhEEAAMAAAACTk0BCAAAAAUAAAABMQEAAAALLTIwNzIzNjU1OTYDAAAAAzE2MAIAAAAENDE5OQQAAAABMAcAAAAJOS8zMC8yMDIxCAAAAAk5LzMwLzIwMjEJAAAAATAJEceKRCXeCP+2f4tE</t>
  </si>
  <si>
    <t>Jd4INUNJUS5EVk4uSVFfTklfMVlSX0FOTl9HUk9XVEguSVFfQ1EuNi8zMC8yMDIwLkwuLlVTRC5IAQAAAA4RBAADAAAAAk5NAQgAAAAFAAAAATEBAAAACy0yMTIzODU3MjcxAwAAAAMxNjACAAAABDQxOTkEAAAAATAHAAAACTYvMzAvMjAyMAgAAAAJNi8zMC8yMDIwCQAAAAEwKV/HikQl3gin6nmLRCXeCDVDSVEuRFZOLklRX05JXzFZUl9BTk5fR1JPV1RILklRX0NRLjkvMzAvMjAxMC5MLi5VU0QuSAEAAAAOEQQAAgAAAAgzMTguODM3NgEIAAAABQAAAAExAQAAAAoxNDc5OTc4NDcxAwAAAAMxNjACAAAABDQxOTkEAAAAATAHAAAACTkvMzAvMjAxMAgAAAAJOS8zMC8yMDEwCQAAAAEwBjN9iUQl3ggGqkOLRCXeCDZDSVEuRFZOLklRX05JXzFZUl9BTk5fR1JPV1RILklRX0NRLjEyLzMxLzIwMTUuTC4uVVNELkgBAAAADhEEAAMAAAACTk0BCAAAAAUAAAABMQEAAAAKMTgyNzg3MDU0NgMAAAADMTYwAgAAAAQ0MTk5BAAAAAEwBwAAAAoxMi8zMS8yMDE1CAAAAAoxMi8zMS8yMDE1CQAAAAEwpu6KiUQl3gg5b2CLRCXeCDVDSVEuRFZOLklRX05JXzFZUl9BTk5fR1JPV1RILklRX0NRLjMvMzEvMjAxNS5MLi5VU0QuSAEAAAAOEQQAAwAAAAJOTQEIAAAABQAAAAExAQAAAAoxODAxNjI3NzY0AwAAAAMxNjACAAAABDQxOTkEAAAAATAHAAAACTMvMzEvMjAxNQgAAAAJMy8zMS8yMDE1CQAAAAEw2718iUQl3gglZluL</t>
  </si>
  <si>
    <t>RCXeCDVDSVEuRFZOLklRX05JXzFZUl9BTk5fR1JPV1RILklRX0NRLjMvMzEvMjAxNy5MLi5VU0QuSAEAAAAOEQQAAwAAAAJOTQEIAAAABQAAAAExAQAAAAoxODk4MTEwNjMzAwAAAAMxNjACAAAABDQxOTkEAAAAATAHAAAACTMvMzEvMjAxNwgAAAAJMy8zMS8yMDE3CQAAAAEwjaCKiUQl3ghyXmiLRCXeCDVDSVEuRFZOLklRX05JXzFZUl9BTk5fR1JPV1RILklRX0NRLjYvMzAvMjAxNy5MLi5VU0QuSAEAAAAOEQQAAwAAAAJOTQEIAAAABQAAAAExAQAAAAoxODk4MTA5MDY2AwAAAAMxNjACAAAABDQxOTkEAAAAATAHAAAACTYvMzAvMjAxNwgAAAAJNi8zMC8yMDE3CQAAAAEwjaCKiUQl3ggpDGqLRCXeCDZDSVEuRFZOLklRX05JXzFZUl9BTk5fR1JPV1RILklRX0NRLjEyLzMxLzIwMjEuTC4uVVNELkgBAAAADhEEAAMAAAACTk0BCAAAAAUAAAABMQEAAAALLTIwNjA5NDE0MTgDAAAAAzE2MAIAAAAENDE5OQQAAAABMAcAAAAKMTIvMzEvMjAyMQgAAAAKMTIvMzEvMjAyMQkAAAABMAkRx4pEJd4Igu+Ai0Ql3gg1Q0lRLkRWTi5JUV9OSV8xWVJfQU5OX0dST1dUSC5JUV9DUS4zLzMxLzIwMjUuTC4uVVNELkgBAAAADhEEAAIAAAAILTE3LjExNDEBCAAAAAUAAAABMQEAAAALLTE5NDU0MDIyMDcDAAAAAzE2MAIAAAAENDE5OQQAAAABMAcAAAAJMy8zMS8yMDI1CAAAAAkzLzMxLzIwMjUJAAAAATDqI9qKRCXeCDJc</t>
  </si>
  <si>
    <t>kItEJd4INkNJUS5EVk4uSVFfTklfMVlSX0FOTl9HUk9XVEguSVFfQ1EuMTIvMzEvMjAyMy5MLi5VU0QuSAEAAAAOEQQAAgAAAAUtNC4wOAEIAAAABQAAAAExAQAAAAstMTk1OTAyODg5OQMAAAADMTYwAgAAAAQ0MTk5BAAAAAEwBwAAAAoxMi8zMS8yMDIzCAAAAAoxMi8zMS8yMDIzCQAAAAEw5UraikQl3ghVPoqLRCXeCDVDSVEuRFZOLklRX05JXzFZUl9BTk5fR1JPV1RILklRX0NRLjYvMzAvMjAxNC5MLi5VU0QuSAEAAAAOEQQAAgAAAActMS4xNzE0AQgAAAAFAAAAATEBAAAACjE3NDg4NTUzMjIDAAAAAzE2MAIAAAAENDE5OQQAAAABMAcAAAAJNi8zMC8yMDE0CAAAAAk2LzMwLzIwMTQJAAAAATBQBIqJRCXeCA82VotEJd4INUNJUS5EVk4uSVFfTklfMVlSX0FOTl9HUk9XVEguSVFfQ1EuOS8zMC8yMDExLkwuLlVTRC5IAQAAAA4RBAACAAAABy01MC4zMzUBCAAAAAUAAAABMQEAAAAKMTU3NTA0NzcwOAMAAAADMTYwAgAAAAQ0MTk5BAAAAAEwBwAAAAk5LzMwLzIwMTEIAAAACTkvMzAvMjAxMQkAAAABMOfkfIlEJd4ISmpIi0Ql3gg1Q0lRLkRWTi5JUV9OSV8xWVJfQU5OX0dST1dUSC5JUV9DUS42LzMwLzIwMjUuTC4uVVNELkgBAAAADhEEAAIAAAAGNi41MTY1AQgAAAAFAAAAATEBAAAACy0xOTMyODg0NTQyAwAAAAMxNjACAAAABDQxOTkEAAAAATAHAAAACTYvMzAvMjAyNQgAAAAJNi8zMC8yMDI1CQAA</t>
  </si>
  <si>
    <t>AAEw6iPaikQl3gillJGLRCXeCDVDSVEuRFZOLklRX05JXzFZUl9BTk5fR1JPV1RILklRX0NRLjYvMzAvMjAxMS5MLi5VU0QuSAEAAAAOEQQAAgAAAAgyODguNTI2OQEIAAAABQAAAAExAQAAAAoxNTU3MjA2NzA0AwAAAAMxNjACAAAABDQxOTkEAAAAATAHAAAACTYvMzAvMjAxMQgAAAAJNi8zMC8yMDExCQAAAAEw5+R8iUQl3gh1LEeLRCXeCDVDSVEuRFZOLklRX05JXzFZUl9BTk5fR1JPV1RILklRX0NRLjYvMzAvMjAxOS5MLi5VU0QuSAEAAAAOEQQAAwAAAAJOTQEIAAAABQAAAAExAQAAAAoyMDQ5MDAyOTY1AwAAAAMxNjACAAAABDQxOTkEAAAAATAHAAAACTYvMzAvMjAxOQgAAAAJNi8zMC8yMDE5CQAAAAEwwG98iUQl3girL3WLRCXeCDZDSVEuRFZOLklRX05JXzFZUl9BTk5fR1JPV1RILklRX0NRLjEyLzMxLzIwMTcuTC4uVVNELkgBAAAADhEEAAIAAAAILTkyLjg5ODgBCAAAAAUAAAABMQEAAAAKMTk0NjI4NDU1OQMAAAADMTYwAgAAAAQ0MTk5BAAAAAEwBwAAAAoxMi8zMS8yMDE3CAAAAAoxMi8zMS8yMDE3CQAAAAEwenmKiUQl3gh1QG2LRCXeCDVDSVEuRFZOLklRX05JXzFZUl9BTk5fR1JPV1RILklRX0NRLjkvMzAvMjAxOS5MLi5VU0QuSAEAAAAOEQQAAgAAAAgtOTUuNzAzNgEIAAAABQAAAAExAQAAAAoyMDY3MzQxMzgwAwAAAAMxNjACAAAABDQxOTkEAAAAATAHAAAACTkvMzAvMjAxOQgAAAAJ</t>
  </si>
  <si>
    <t>OS8zMC8yMDE5CQAAAAEwSIbHikQl3ggxaHaLRCXeCDZDSVEuRFZOLklRX05JXzFZUl9BTk5fR1JPV1RILklRX0xUTS45LzMwLzIwMTIuTC4uVVNELkgBAAAADhEEAAIAAAAILTg2LjE3MzYBCAAAAAUAAAABMQEAAAAKMTY0MzkwMzA2NQMAAAADMTYwAgAAAAQ0MTk5BAAAAAEwBwAAAAk5LzMwLzIwMTIIAAAACTkvMzAvMjAxMgkAAAABMKuHmIlEJd4IMOdMi0Ql3gg3Q0lRLkRWTi5JUV9OSV8xWVJfQU5OX0dST1dUSC5JUV9MVE0uMTIvMzEvMjAyMS5MLi5VU0QuSAEAAAAOEQQAAwAAAAJOTQEIAAAABQAAAAExAQAAAAstMjAwODIyMjE5NwMAAAADMTYwAgAAAAQ0MTk5BAAAAAEwBwAAAAoxMi8zMS8yMDIxCAAAAAoxMi8zMS8yMDIxCQAAAAEwCRHHikQl3giC74CLRCXeCDZDSVEuRFZOLklRX05JXzFZUl9BTk5fR1JPV1RILklRX0xUTS45LzMwLzIwMjAuTC4uVVNELkgBAAAADhEEAAMAAAACTk0BCAAAAAUAAAABMQEAAAALLTIxMjM4NTcyODIDAAAAAzE2MAIAAAAENDE5OQQAAAABMAcAAAAJOS8zMC8yMDIwCAAAAAk5LzMwLzIwMjAJAAAAATApX8eKRCXeCCQje4tEJd4IN0NJUS5EVk4uSVFfTklfMVlSX0FOTl9HUk9XVEguSVFfTFRNLjEyLzMxLzIwMDkuTC4uVVNELkgBAAAADhEEAAMAAAACTk0BCAAAAAUAAAABMQEAAAAKMTUyMzcyMTE0OAMAAAADMTYwAgAAAAQ0MTk5BAAAAAEwBwAAAAoxMi8zMS8y</t>
  </si>
  <si>
    <t>MDA5CAAAAAoxMi8zMS8yMDA5CQAAAAEwGVp9iUQl3gjMnECLRCXeCDZDSVEuRFZOLklRX05JXzFZUl9BTk5fR1JPV1RILklRX0xUTS45LzMwLzIwMTYuTC4uVVNELkgBAAAADhEEAAMAAAACTk0BCAAAAAUAAAABMQEAAAAKMTg2MzY4MzM5MgMAAAADMTYwAgAAAAQ0MTk5BAAAAAEwBwAAAAk5LzMwLzIwMTYIAAAACTkvMzAvMjAxNgkAAAABMKHHiolEJd4IGQNli0Ql3gg3Q0lRLkRWTi5JUV9OSV8xWVJfQU5OX0dST1dUSC5JUV9MVE0uMTIvMzEvMjAxMy5MLi5VU0QuSAEAAAAOEQQAAwAAAAJOTQEIAAAABQAAAAExAQAAAAoxNzc2NzM5NzM1AwAAAAMxNjACAAAABDQxOTkEAAAAATAHAAAACjEyLzMxLzIwMTMIAAAACjEyLzMxLzIwMTMJAAAAATBuK4qJRCXeCJyzUotEJd4IN0NJUS5EVk4uSVFfTklfMVlSX0FOTl9HUk9XVEguSVFfTFRNLjEyLzMxLzIwMTUuTC4uVVNELkgBAAAADhEEAAMAAAACTk0BCAAAAAUAAAABMQEAAAAKMTg3NTUxMjkzOAMAAAADMTYwAgAAAAQ0MTk5BAAAAAEwBwAAAAoxMi8zMS8yMDE1CAAAAAoxMi8zMS8yMDE1CQAAAAEwyJZ8iUQl3ggcIWCLRCXeCDZDSVEuRFZOLklRX05JXzFZUl9BTk5fR1JPV1RILklRX0xUTS45LzMwLzIwMjQuTC4uVVNELkgBAAAADhEEAAIAAAAILTEwLjMyNjcBCAAAAAUAAAABMQEAAAALLTE5MTgwMjc0NTUDAAAAAzE2MAIAAAAENDE5OQQAAAABMAcA</t>
  </si>
  <si>
    <t>AAAJOS8zMC8yMDI0CAAAAAk5LzMwLzIwMjQJAAAAATDqI9qKRCXeCBbEjYtEJd4IN0NJUS5EVk4uSVFfTklfMVlSX0FOTl9HUk9XVEguSVFfTFRNLjEyLzMxLzIwMTkuTC4uVVNELkgBAAAADhEEAAMAAAACTk0BCAAAAAUAAAABMQEAAAALLTIxMTIxMDA0MzYDAAAAAzE2MAIAAAAENDE5OQQAAAABMAcAAAAKMTIvMzEvMjAxOQgAAAAKMTIvMzEvMjAxOQkAAAABMClfx4pEJd4Ir3l3i0Ql3gg3Q0lRLkRWTi5JUV9OSV8xWVJfQU5OX0dST1dUSC5JUV9MVE0uMTIvMzEvMjAxMS5MLi5VU0QuSAEAAAAOEQQAAgAAAAYzLjM4NDYBCAAAAAUAAAABMQEAAAAKMTY2MDg5ODE5MgMAAAADMTYwAgAAAAQ0MTk5BAAAAAEwBwAAAAoxMi8zMS8yMDExCAAAAAoxMi8zMS8yMDExCQAAAAEw5+R8iUQl3gjvV0mLRCXeCDdDSVEuRFZOLklRX05JXzFZUl9BTk5fR1JPV1RILklRX0xUTS4xMi8zMS8yMDIzLkwuLlVTRC5IAQAAAA4RBAACAAAACC0zNy43MDU4AQgAAAAFAAAAATEBAAAACy0xOTU5MDI4ODY0AwAAAAMxNjACAAAABDQxOTkEAAAAATAHAAAACjEyLzMxLzIwMjMIAAAACjEyLzMxLzIwMjMJAAAAATDlStqKRCXeCEEXiotEJd4IN0NJUS5EVk4uSVFfTklfMVlSX0FOTl9HUk9XVEguSVFfTFRNLjEyLzMxLzIwMTcuTC4uVVNELkgBAAAADhEEAAMAAAACTk0BCAAAAAUAAAABMQEAAAAKMjAxNTk0ODU2OAMAAAADMTYw</t>
  </si>
  <si>
    <t>AgAAAAQ0MTk5BAAAAAEwBwAAAAoxMi8zMS8yMDE3CAAAAAoxMi8zMS8yMDE3CQAAAAEwenmKiUQl3ghW8myLRCXeCDZDSVEuRFZOLklRX05JXzFZUl9BTk5fR1JPV1RILklRX0xUTS45LzMwLzIwMTAuTC4uVVNELkgBAAAADhEEAAMAAAACTk0BCAAAAAUAAAABMQEAAAAKMTQ3OTk5MzMxNAMAAAADMTYwAgAAAAQ0MTk5BAAAAAEwBwAAAAk5LzMwLzIwMTAIAAAACTkvMzAvMjAxMAkAAAABMAYzfYlEJd4I8YJDi0Ql3gg2Q0lRLkRWTi5JUV9OSV8xWVJfQU5OX0dST1dUSC5JUV9MVE0uOS8zMC8yMDE4LkwuLlVTRC5IAQAAAA4RBAACAAAACC0zNi4yNjk4AQgAAAAFAAAAATEBAAAACjE5OTA4MTg0NjkDAAAAAzE2MAIAAAAENDE5OQQAAAABMAcAAAAJOS8zMC8yMDE4CAAAAAk5LzMwLzIwMTgJAAAAATBrUoqJRCXeCEStcYtEJd4INkNJUS5EVk4uSVFfTklfMVlSX0FOTl9HUk9XVEguSVFfTFRNLjkvMzAvMjAxNC5MLi5VU0QuSAEAAAAOEQQAAwAAAAJOTQEIAAAABQAAAAExAQAAAAoxNzYyODA2MDYxAwAAAAMxNjACAAAABDQxOTkEAAAAATAHAAAACTkvMzAvMjAxNAgAAAAJOS8zMC8yMDE0CQAAAAEwUASKiUQl3gi241eLRCXeCDZDSVEuRFZOLklRX05JXzFZUl9BTk5fR1JPV1RILklRX0xUTS45LzMwLzIwMjIuTC4uVVNELkgBAAAADhEEAAIAAAAINDI0LjQ4MTMBCAAAAAUAAAABMQEAAAALLTIwMjA0NTgx</t>
  </si>
  <si>
    <t>MjQDAAAAAzE2MAIAAAAENDE5OQQAAAABMAcAAAAJOS8zMC8yMDIyCAAAAAk5LzMwLzIwMjIJAAAAATD+6caKRCXeCOJKhItEJd4INkNJUS5EVk4uSVFfTklfMVlSX0FOTl9HUk9XVEguSVFfTFRNLjMvMzEvMjAxMC5MLi5VU0QuSAEAAAAOEQQAAwAAAAJOTQEIAAAABQAAAAExAQAAAAoxNDUxMjc2OTUxAwAAAAMxNjACAAAABDQxOTkEAAAAATAHAAAACTMvMzEvMjAxMAgAAAAJMy8zMS8yMDEwCQAAAAEwBjN9iUQl3ggwrkGLRCXeCDZDSVEuRFZOLklRX05JXzFZUl9BTk5fR1JPV1RILklRX0xUTS4zLzMxLzIwMTIuTC4uVVNELkgBAAAADhEEAAIAAAAHMjQuMDMyOAEIAAAABQAAAAExAQAAAAoxNjE1MTkzNDM0AwAAAAMxNjACAAAABDQxOTkEAAAAATAHAAAACTMvMzEvMjAxMggAAAAJMy8zMS8yMDEyCQAAAAEw2718iUQl3ghogUqLRCXeCDZDSVEuRFZOLklRX05JXzFZUl9BTk5fR1JPV1RILklRX0xUTS4zLzMxLzIwMTYuTC4uVVNELkgBAAAADhEEAAMAAAACTk0BCAAAAAUAAAABMQEAAAAKMTg0MDE3OTEwNwMAAAADMTYwAgAAAAQ0MTk5BAAAAAEwBwAAAAkzLzMxLzIwMTYIAAAACTMvMzEvMjAxNgkAAAABMKHHiolEJd4Iys5hi0Ql3gg2Q0lRLkRWTi5JUV9OSV8xWVJfQU5OX0dST1dUSC5JUV9MVE0uMy8zMS8yMDIwLkwuLlVTRC5IAQAAAA4RBAADAAAAAk5NAQgAAAAFAAAAATEBAAAACy0yMTQwMDI0</t>
  </si>
  <si>
    <t>MDU1AwAAAAMxNjACAAAABDQxOTkEAAAAATAHAAAACTMvMzEvMjAyMAgAAAAJMy8zMS8yMDIwCQAAAAEwKV/HikQl3ggRi3iLRCXeCDZDSVEuRFZOLklRX05JXzFZUl9BTk5fR1JPV1RILklRX0xUTS4zLzMxLzIwMTQuTC4uVVNELkgBAAAADhEEAAMAAAACTk0BCAAAAAUAAAABMQEAAAAKMTczMzAwNTk5NAMAAAADMTYwAgAAAAQ0MTk5BAAAAAEwBwAAAAkzLzMxLzIwMTQIAAAACTMvMzEvMjAxNAkAAAABMG4riolEJd4IUmFUi0Ql3gg2Q0lRLkRWTi5JUV9OSV8xWVJfQU5OX0dST1dUSC5JUV9MVE0uMy8zMS8yMDI0LkwuLlVTRC5IAQAAAA4RBAACAAAACC00NC4zOTQ3AQgAAAAFAAAAATEBAAAACy0xOTMyODgyNTg5AwAAAAMxNjACAAAABDQxOTkEAAAAATAHAAAACTMvMzEvMjAyNAgAAAAJMy8zMS8yMDI0CQAAAAEw5UraikQl3ggYU4uLRCXeCDZDSVEuRFZOLklRX05JXzFZUl9BTk5fR1JPV1RILklRX0xUTS4zLzMxLzIwMTguTC4uVVNELkgBAAAADhEEAAIAAAAILTgyLjcxODIBCAAAAAUAAAABMQEAAAAKMTk3NDY5ODM3OQMAAAADMTYwAgAAAAQ0MTk5BAAAAAEwBwAAAAkzLzMxLzIwMTgIAAAACTMvMzEvMjAxOAkAAAABMHp5iolEJd4INMdui0Ql3gg2Q0lRLkRWTi5JUV9OSV8xWVJfQU5OX0dST1dUSC5JUV9MVE0uMy8zMS8yMDIyLkwuLlVTRC5IAQAAAA4RBAADAAAAAk5NAQgAAAAFAAAAATEBAAAA</t>
  </si>
  <si>
    <t>Cy0yMDM1ODcxMzU4AwAAAAMxNjACAAAABDQxOTkEAAAAATAHAAAACTMvMzEvMjAyMggAAAAJMy8zMS8yMDIyCQAAAAEwCRHHikQl3gjqAIKLRCXeCDZDSVEuRFZOLklRX05JXzFZUl9BTk5fR1JPV1RILklRX0xUTS42LzMwLzIwMTcuTC4uVVNELkgBAAAADhEEAAMAAAACTk0BCAAAAAUAAAABMQEAAAAKMTg5ODExMDQ1MwMAAAADMTYwAgAAAAQ0MTk5BAAAAAEwBwAAAAk2LzMwLzIwMTcIAAAACTYvMzAvMjAxNwkAAAABMI2giolEJd4IFuVpi0Ql3gg2Q0lRLkRWTi5JUV9OSV8xWVJfQU5OX0dST1dUSC5JUV9MVE0uNi8zMC8yMDE2LkwuLlVTRC5IAQAAAA4RBAADAAAAAk5NAQgAAAAFAAAAATEBAAAACjE4NjM2ODM4NjQDAAAAAzE2MAIAAAAENDE5OQQAAAABMAcAAAAJNi8zMC8yMDE2CAAAAAk2LzMwLzIwMTYJAAAAATChx4qJRCXeCGNVY4tEJd4INkNJUS5EVk4uSVFfTklfMVlSX0FOTl9HUk9XVEguSVFfTFRNLjYvMzAvMjAyMy5MLi5VU0QuSAEAAAAOEQQAAgAAAActOS4yMzA4AQgAAAAFAAAAATEBAAAACy0xOTcwMzk4MDgyAwAAAAMxNjACAAAABDQxOTkEAAAAATAHAAAACTYvMzAvMjAyMwgAAAAJNi8zMC8yMDIzCQAAAAEw5UraikQl3ghTzYeLRCXeCDZDSVEuRFZOLklRX05JXzFZUl9BTk5fR1JPV1RILklRX0xUTS42LzMwLzIwMTkuTC4uVVNELkgBAAAADhEEAAMAAAACTk0BCAAAAAUAAAABMQEA</t>
  </si>
  <si>
    <t>AAAKMjA0OTAwNDUwNQMAAAADMTYwAgAAAAQ0MTk5BAAAAAEwBwAAAAk2LzMwLzIwMTkIAAAACTYvMzAvMjAxOQkAAAABMMBvfIlEJd4IoQh1i0Ql3gg2Q0lRLkRWTi5JUV9OSV8xWVJfQU5OX0dST1dUSC5JUV9MVE0uMy8zMS8yMDExLkwuLlVTRC5IAQAAAA4RBAACAAAABzQxLjI0MjUBCAAAAAUAAAABMQEAAAAKMTU0NDk2ODkxMQMAAAADMTYwAgAAAAQ0MTk5BAAAAAEwBwAAAAkzLzMxLzIwMTEIAAAACTMvMzEvMjAxMQkAAAABMPULfYlEJd4I58xFi0Ql3gg2Q0lRLkRWTi5JUV9OSV8xWVJfQU5OX0dST1dUSC5JUV9MVE0uNi8zMC8yMDE4LkwuLlVTRC5IAQAAAA4RBAADAAAAAk5NAQgAAAAFAAAAATEBAAAACjE5NzQ2OTgxMjkDAAAAAzE2MAIAAAAENDE5OQQAAAABMAcAAAAJNi8zMC8yMDE4CAAAAAk2LzMwLzIwMTgJAAAAATBrUoqJRCXeCN50cItEJd4INkNJUS5EVk4uSVFfTklfMVlSX0FOTl9HUk9XVEguSVFfTFRNLjkvMzAvMjAxOS5MLi5VU0QuSAEAAAAOEQQAAgAAAAgtMzEuNTUzOQEIAAAABQAAAAExAQAAAAoyMDY3MzQyMjc5AwAAAAMxNjACAAAABDQxOTkEAAAAATAHAAAACTkvMzAvMjAxOQgAAAAJOS8zMC8yMDE5CQAAAAEwSIbHikQl3ggeQXaLRCXeCDZDSVEuRFZOLklRX05JXzFZUl9BTk5fR1JPV1RILklRX0xUTS45LzMwLzIwMjUuTC4uVVNELkgBAAAADhEEAAIAAAAILTIwLjEyMzQB</t>
  </si>
  <si>
    <t>CAAAAAUAAAABMQEAAAALLTE5MTgwMjc0MzUDAAAAAzE2MAIAAAAENDE5OQQAAAABMAcAAAAJOS8zMC8yMDI1CAAAAAk5LzMwLzIwMjUJAAAAATDqI9qKRCXeCDT0kotEJd4INkNJUS5EVk4uSVFfTklfMVlSX0FOTl9HUk9XVEguSVFfTFRNLjYvMzAvMjAxMS5MLi5VU0QuSAEAAAAOEQQAAgAAAAY4OS42NTQBCAAAAAUAAAABMQEAAAAKMTU1NzIxNjY0MQMAAAADMTYwAgAAAAQ0MTk5BAAAAAEwBwAAAAk2LzMwLzIwMTEIAAAACTYvMzAvMjAxMQkAAAABMOfkfIlEJd4IXwVHi0Ql3gg2Q0lRLkRWTi5JUV9OSV8xWVJfQU5OX0dST1dUSC5JUV9MVE0uMy8zMS8yMDEzLkwuLlVTRC5IAQAAAA4RBAADAAAAAk5NAQgAAAAFAAAAATEBAAAACjE2ODk4NDI0NDADAAAAAzE2MAIAAAAENDE5OQQAAAABMAcAAAAJMy8zMS8yMDEzCAAAAAkzLzMxLzIwMTMJAAAAATCYYJiJRCXeCCExT4tEJd4INkNJUS5EVk4uSVFfTklfMVlSX0FOTl9HUk9XVEguSVFfTFRNLjkvMzAvMjAyMS5MLi5VU0QuSAEAAAAOEQQAAwAAAAJOTQEIAAAABQAAAAExAQAAAAstMjA3MjM2MjI2OAMAAAADMTYwAgAAAAQ0MTk5BAAAAAEwBwAAAAk5LzMwLzIwMjEIAAAACTkvMzAvMjAyMQkAAAABMAkRx4pEJd4I/7Z/i0Ql3gg2Q0lRLkRWTi5JUV9OSV8xWVJfQU5OX0dST1dUSC5JUV9MVE0uNi8zMC8yMDIxLkwuLlVTRC5IAQAAAA4RBAADAAAAAk5N</t>
  </si>
  <si>
    <t>AQgAAAAFAAAAATEBAAAACy0yMDcyMzYyMTg1AwAAAAMxNjACAAAABDQxOTkEAAAAATAHAAAACTYvMzAvMjAyMQgAAAAJNi8zMC8yMDIxCQAAAAEwMTjHikQl3giSpX6LRCXeCDZDSVEuRFZOLklRX05JXzFZUl9BTk5fR1JPV1RILklRX0xUTS42LzMwLzIwMjQuTC4uVVNELkgBAAAADhEEAAIAAAAILTI2LjcyMTEBCAAAAAUAAAABMQEAAAALLTE5MTgwMjczMTMDAAAAAzE2MAIAAAAENDE5OQQAAAABMAcAAAAJNi8zMC8yMDI0CAAAAAk2LzMwLzIwMjQJAAAAATDlStqKRCXeCIFkjItEJd4INkNJUS5EVk4uSVFfTklfMVlSX0FOTl9HUk9XVEguSVFfTFRNLjYvMzAvMjAyMi5MLi5VU0QuSAEAAAAOEQQAAgAAAAkxODE0LjU0NTQBCAAAAAUAAAABMQEAAAALLTIwMjA0NTc3NTQDAAAAAzE2MAIAAAAENDE5OQQAAAABMAcAAAAJNi8zMC8yMDIyCAAAAAk2LzMwLzIwMjIJAAAAATAJEceKRCXeCGISg4tEJd4INkNJUS5EVk4uSVFfTklfMVlSX0FOTl9HUk9XVEguSVFfTFRNLjYvMzAvMjAyMC5MLi5VU0QuSAEAAAAOEQQAAwAAAAJOTQEIAAAABQAAAAExAQAAAAstMjEyMzg1NzI3MAMAAAADMTYwAgAAAAQ0MTk5BAAAAAEwBwAAAAk2LzMwLzIwMjAIAAAACTYvMzAvMjAyMAkAAAABMClfx4pEJd4IlcN5i0Ql3gg2Q0lRLkRWTi5JUV9OSV8xWVJfQU5OX0dST1dUSC5JUV9MVE0uNi8zMC8yMDE1LkwuLlVTRC5IAQAA</t>
  </si>
  <si>
    <t>AA4RBAADAAAAAk5NAQgAAAAFAAAAATEBAAAACjE4MDE2Mjc3NDADAAAAAzE2MAIAAAAENDE5OQQAAAABMAcAAAAJNi8zMC8yMDE1CAAAAAk2LzMwLzIwMTUJAAAAATDbvXyJRCXeCLXFXItEJd4INkNJUS5EVk4uSVFfTklfMVlSX0FOTl9HUk9XVEguSVFfTFRNLjYvMzAvMjAxMy5MLi5VU0QuSAEAAAAOEQQAAwAAAAJOTQEIAAAABQAAAAExAQAAAAoxNzA0OTY5NjA0AwAAAAMxNjACAAAABDQxOTkEAAAAATAHAAAACTYvMzAvMjAxMwgAAAAJNi8zMC8yMDEzCQAAAAEwmGCYiUQl3giNQlCLRCXeCDZDSVEuRFZOLklRX05JXzFZUl9BTk5fR1JPV1RILklRX0xUTS42LzMwLzIwMTQuTC4uVVNELkgBAAAADhEEAAMAAAACTk0BCAAAAAUAAAABMQEAAAAKMTc0ODg2NTQ2NwMAAAADMTYwAgAAAAQ0MTk5BAAAAAEwBwAAAAk2LzMwLzIwMTQIAAAACTYvMzAvMjAxNAkAAAABMFAEiolEJd4I9Q5Wi0Ql3gg2Q0lRLkRWTi5JUV9OSV8xWVJfQU5OX0dST1dUSC5JUV9MVE0uNi8zMC8yMDEyLkwuLlVTRC5IAQAAAA4RBAACAAAACC01OC40NDA5AQgAAAAFAAAAATEBAAAACjE2NDM5MDUzMDUDAAAAAzE2MAIAAAAENDE5OQQAAAABMAcAAAAJNi8zMC8yMDEyCAAAAAk2LzMwLzIwMTIJAAAAATCrh5iJRCXeCEeqS4tEJd4INkNJUS5EVk4uSVFfTklfMVlSX0FOTl9HUk9XVEguSVFfTFRNLjkvMzAvMjAyMy5MLi5VU0QuSAEA</t>
  </si>
  <si>
    <t>AAAOEQQAAgAAAAgtMzkuOTM2OAEIAAAABQAAAAExAQAAAAstMTk3MDM5ODcxOQMAAAADMTYwAgAAAAQ0MTk5BAAAAAEwBwAAAAk5LzMwLzIwMjMIAAAACTkvMzAvMjAyMwkAAAABMOVK2opEJd4IzwWJi0Ql3gg2Q0lRLkRWTi5JUV9OSV8xWVJfQU5OX0dST1dUSC5JUV9MVE0uOS8zMC8yMDE1LkwuLlVTRC5IAQAAAA4RBAADAAAAAk5NAQgAAAAFAAAAATEBAAAACjE4MTU5NzA2MDgDAAAAAzE2MAIAAAAENDE5OQQAAAABMAcAAAAJOS8zMC8yMDE1CAAAAAk5LzMwLzIwMTUJAAAAATDIlnyJRCXeCFhMXotEJd4INkNJUS5EVk4uSVFfTklfMVlSX0FOTl9HUk9XVEguSVFfTFRNLjkvMzAvMjAxNy5MLi5VU0QuSAEAAAAOEQQAAwAAAAJOTQEIAAAABQAAAAExAQAAAAoxOTIwMjgzMzc3AwAAAAMxNjACAAAABDQxOTkEAAAAATAHAAAACTkvMzAvMjAxNwgAAAAJOS8zMC8yMDE3CQAAAAEwenmKiUQl3gi1a2uLRCXeCDZDSVEuRFZOLklRX05JXzFZUl9BTk5fR1JPV1RILklRX0xUTS42LzMwLzIwMTAuTC4uVVNELkgBAAAADhEEAAMAAAACTk0BCAAAAAUAAAABMQEAAAAKMTQ2NTcyMTA1NwMAAAADMTYwAgAAAAQ0MTk5BAAAAAEwBwAAAAk2LzMwLzIwMTAIAAAACTYvMzAvMjAxMAkAAAABMAYzfYlEJd4IlJhCi0Ql3gg2Q0lRLkRWTi5JUV9OSV8xWVJfQU5OX0dST1dUSC5JUV9MVE0uOS8zMC8yMDEzLkwuLlVTRC5I</t>
  </si>
  <si>
    <t>AQAAAA4RBAADAAAAAk5NAQgAAAAFAAAAATEBAAAACjE3MDQ5NjgxOTYDAAAAAzE2MAIAAAAENDE5OQQAAAABMAcAAAAJOS8zMC8yMDEzCAAAAAk5LzMwLzIwMTMJAAAAATBuK4qJRCXeCA57UYtEJd4IN0NJUS5EVk4uSVFfTklfMVlSX0FOTl9HUk9XVEguSVFfTFRNLjEyLzMxLzIwMjIuTC4uVVNELkgBAAAADhEEAAIAAAAIMTEzLjgyODYBCAAAAAUAAAABMQEAAAALLTE5NTkwMjg4NjADAAAAAzE2MAIAAAAENDE5OQQAAAABMAcAAAAKMTIvMzEvMjAyMggAAAAKMTIvMzEvMjAyMgkAAAABMP7pxopEJd4IYYOFi0Ql3gg2Q0lRLkRWTi5JUV9OSV8xWVJfQU5OX0dST1dUSC5JUV9MVE0uOS8zMC8yMDExLkwuLlVTRC5IAQAAAA4RBAACAAAABjIuMjM0MQEIAAAABQAAAAExAQAAAAoxNTc1MDYzNjY0AwAAAAMxNjACAAAABDQxOTkEAAAAATAHAAAACTkvMzAvMjAxMQgAAAAJOS8zMC8yMDExCQAAAAEw5+R8iUQl3ggCL0iLRCXeCDdDSVEuRFZOLklRX05JXzFZUl9BTk5fR1JPV1RILklRX0xUTS4xMi8zMS8yMDE4LkwuLlVTRC5IAQAAAA4RBAACAAAACDI0MS4yMDI2AQgAAAAFAAAAATEBAAAACjIwODA5OTg4MzUDAAAAAzE2MAIAAAAENDE5OQQAAAABMAcAAAAKMTIvMzEvMjAxOAgAAAAKMTIvMzEvMjAxOAkAAAABMGtSiolEJd4Iq75yi0Ql3gg3Q0lRLkRWTi5JUV9OSV8xWVJfQU5OX0dST1dUSC5JUV9MVE0u</t>
  </si>
  <si>
    <t>MTIvMzEvMjAyMC5MLi5VU0QuSAEAAAAOEQQAAwAAAAJOTQEIAAAABQAAAAExAQAAAAstMjA2MDk0MTM5NgMAAAADMTYwAgAAAAQ0MTk5BAAAAAEwBwAAAAoxMi8zMS8yMDIwCAAAAAoxMi8zMS8yMDIwCQAAAAEwMTjHikQl3gijW3yLRCXeCDdDSVEuRFZOLklRX05JXzFZUl9BTk5fR1JPV1RILklRX0xUTS4xMi8zMS8yMDE2LkwuLlVTRC5IAQAAAA4RBAADAAAAAk5NAQgAAAAFAAAAATEBAAAACjE5NDYyODQ1NTYDAAAAAzE2MAIAAAAENDE5OQQAAAABMAcAAAAKMTIvMzEvMjAxNggAAAAKMTIvMzEvMjAxNgkAAAABMI2giolEJd4IzbBmi0Ql3gg3Q0lRLkRWTi5JUV9OSV8xWVJfQU5OX0dST1dUSC5JUV9MVE0uMTIvMzEvMjAxMi5MLi5VU0QuSAEAAAAOEQQAAwAAAAJOTQEIAAAABQAAAAExAQAAAAoxNzIwMDc1ODI4AwAAAAMxNjACAAAABDQxOTkEAAAAATAHAAAACjEyLzMxLzIwMTIIAAAACjEyLzMxLzIwMTIJAAAAATCrh5iJRCXeCJ/4TYtEJd4IN0NJUS5EVk4uSVFfTklfMVlSX0FOTl9HUk9XVEguSVFfTFRNLjEyLzMxLzIwMjQuTC4uVVNELkgBAAAADhEEAAIAAAAHLTIyLjg0NQEIAAAABQAAAAExAQAAAAstMTk1OTAyODg1OQMAAAADMTYwAgAAAAQ0MTk5BAAAAAEwBwAAAAoxMi8zMS8yMDI0CAAAAAoxMi8zMS8yMDI0CQAAAAEw6iPaikQl3giB1Y6LRCXeCDdDSVEuRFZOLklRX05JXzFZUl9BTk5f</t>
  </si>
  <si>
    <t>R1JPV1RILklRX0xUTS4xMi8zMS8yMDE0LkwuLlVTRC5IAQAAAA4RBAADAAAAAk5NAQgAAAAFAAAAATEBAAAACjE4Mjc4NzA1MDMDAAAAAzE2MAIAAAAENDE5OQQAAAABMAcAAAAKMTIvMzEvMjAxNAgAAAAKMTIvMzEvMjAxNAkAAAABMDzdiYlEJd4IVWpZi0Ql3gg2Q0lRLkRWTi5JUV9OSV8xWVJfQU5OX0dST1dUSC5JUV9MVE0uMy8zMS8yMDE1LkwuLlVTRC5IAQAAAA4RBAADAAAAAk5NAQgAAAAFAAAAATEBAAAACjE4MDE2Mjc3NjYDAAAAAzE2MAIAAAAENDE5OQQAAAABMAcAAAAJMy8zMS8yMDE1CAAAAAkzLzMxLzIwMTUJAAAAATDbvXyJRCXeCAQYW4tEJd4INkNJUS5EVk4uSVFfTklfMVlSX0FOTl9HUk9XVEguSVFfTFRNLjMvMzEvMjAyNS5MLi5VU0QuSAEAAAAOEQQAAgAAAAgtMTYuNjk2NgEIAAAABQAAAAExAQAAAAstMTk0NTM5Njc5MAMAAAADMTYwAgAAAAQ0MTk5BAAAAAEwBwAAAAkzLzMxLzIwMjUIAAAACTMvMzEvMjAyNQkAAAABMOoj2opEJd4IFzWQi0Ql3gg3Q0lRLkRWTi5JUV9OSV8xWVJfQU5OX0dST1dUSC5JUV9MVE0uMTIvMzEvMjAxMC5MLi5VU0QuSAEAAAAOEQQAAwAAAAJOTQEIAAAABQAAAAExAQAAAAoxNTg4ODAzMzMyAwAAAAMxNjACAAAABDQxOTkEAAAAATAHAAAACjEyLzMxLzIwMTAIAAAACjEyLzMxLzIwMTAJAAAAATD1C32JRCXeCGiURItEJd4INkNJUS5EVk4uSVFfTklf</t>
  </si>
  <si>
    <t>MVlSX0FOTl9HUk9XVEguSVFfTFRNLjYvMzAvMjAyNS5MLi5VU0QuSAEAAAAOEQQAAgAAAAgtMTguNzg5MwEIAAAABQAAAAExAQAAAAstMTkzMjg4MjgyMgMAAAADMTYwAgAAAAQ0MTk5BAAAAAEwBwAAAAk2LzMwLzIwMjUIAAAACTYvMzAvMjAyNQkAAAABMOoj2opEJd4IpZSRi0Ql3gg2Q0lRLkRWTi5JUV9OSV8xWVJfQU5OX0dST1dUSC5JUV9MVE0uMy8zMS8yMDIxLkwuLlVTRC5IAQAAAA4RBAADAAAAAk5NAQgAAAAFAAAAATEBAAAACy0yMDg2ODk4ODIwAwAAAAMxNjACAAAABDQxOTkEAAAAATAHAAAACTMvMzEvMjAyMQgAAAAJMy8zMS8yMDIxCQAAAAEwMTjHikQl3ggMbX2LRCXeCDZDSVEuRFZOLklRX05JXzFZUl9BTk5fR1JPV1RILklRX0xUTS4zLzMxLzIwMjMuTC4uVVNELkgBAAAADhEEAAIAAAAHNjcuNzYyNgEIAAAABQAAAAExAQAAAAstMTk4NDIyMTc3NQMAAAADMTYwAgAAAAQ0MTk5BAAAAAEwBwAAAAkzLzMxLzIwMjMIAAAACTMvMzEvMjAyMwkAAAABMOVK2opEJd4Iy5SGi0Ql3gg2Q0lRLkRWTi5JUV9OSV8xWVJfQU5OX0dST1dUSC5JUV9MVE0uMy8zMS8yMDE5LkwuLlVTRC5IAQAAAA4RBAACAAAACDYzOS42OTg0AQgAAAAFAAAAATEBAAAACjIwNDkwMDQ4MDcDAAAAAzE2MAIAAAAENDE5OQQAAAABMAcAAAAJMy8zMS8yMDE5CAAAAAkzLzMxLzIwMTkJAAAAATD1C32JRCXeCCj3c4tEJd4I</t>
  </si>
  <si>
    <t>NkNJUS5EVk4uSVFfTklfMVlSX0FOTl9HUk9XVEguSVFfTFRNLjMvMzEvMjAxNy5MLi5VU0QuSAEAAAAOEQQAAwAAAAJOTQEIAAAABQAAAAExAQAAAAoxODk4MTEwNjM4AwAAAAMxNjACAAAABDQxOTkEAAAAATAHAAAACTMvMzEvMjAxNwgAAAAJMy8zMS8yMDE3CQAAAAEwjaCKiUQl3ghkN2iLRCXeCCpDSVEuRFZOLklRX0VCSVREQS5JUV9DUS45LzMwLzIwMjUuTC4uVVNELkgBAAAADhEEAAIAAAAEMTg2MwEIAAAABQAAAAExAQAAAAstMTkxODAyOTA1OQMAAAADMTYwAgAAAAQ0MDUxBAAAAAEwBwAAAAk5LzMwLzIwMjUIAAAACTkvMzAvMjAyNQkAAAABMOoj2opEJd4IKM2Si0Ql3ggrQ0lRLkRWTi5JUV9FQklUREEuSVFfQ1EuMTIvMzEvMjAxNi5MLi5VU0QuSAEAAAAOEQQAAgAAAAMyNTkBCAAAAAUAAAABMQEAAAAKMTg3NTUxMjkzOQMAAAADMTYwAgAAAAQ0MDUxBAAAAAEwBwAAAAoxMi8zMS8yMDE2CAAAAAoxMi8zMS8yMDE2CQAAAAEwenmKiUQl3ghFy2yLRCXeCCtDSVEuRFZOLklRX0VCSVREQS5JUV9DUS4xMi8zMS8yMDIwLkwuLlVTRC5IAQAAAA4RBAACAAAABDMxMjUBCAAAAAUAAAABMQEAAAALLTIxMTIxMDA0MzUDAAAAAzE2MAIAAAAENDA1MQQAAAABMAcAAAAKMTIvMzEvMjAyMAgAAAAKMTIvMzEvMjAyMAkAAAABMAkRx4pEJd4IY6GAi0Ql3ggrQ0lRLkRWTi5JUV9FQklUREEuSVFfQ1EuMTIv</t>
  </si>
  <si>
    <t>MzEvMjAyNC5MLi5VU0QuSAEAAAAOEQQAAgAAAAQxOTM5AQgAAAAFAAAAATEBAAAACy0xOTU5MDI4ODkwAwAAAAMxNjACAAAABDQwNTEEAAAAATAHAAAACjEyLzMxLzIwMjQIAAAACjEyLzMxLzIwMjQJAAAAATDqI9qKRCXeCIHVjotEJd4IK0NJUS5EVk4uSVFfRUJJVERBLklRX0NRLjEyLzMxLzIwMjIuTC4uVVNELkgBAAAADhEEAAIAAAAEMjE5OQEIAAAABQAAAAExAQAAAAstMjAwODIyMjE5NgMAAAADMTYwAgAAAAQ0MDUxBAAAAAEwBwAAAAoxMi8zMS8yMDIyCAAAAAoxMi8zMS8yMDIyCQAAAAEw5UraikQl3ggz8ImLRCXeCCtDSVEuRFZOLklRX0VCSVREQS5JUV9DUS4xMi8zMS8yMDE4LkwuLlVTRC5IAQAAAA4RBAACAAAABDE3MTkBCAAAAAUAAAABMQEAAAAKMjAxNTk0ODYwMAMAAAADMTYwAgAAAAQ0MDUxBAAAAAEwBwAAAAoxMi8zMS8yMDE4CAAAAAoxMi8zMS8yMDE4CQAAAAEwKV/HikQl3giDK3eLRCXeCCtDSVEuRFZOLklRX0VCSVREQS5JUV9DUS4xMi8zMS8yMDE0LkwuLlVTRC5IAQAAAA4RBAACAAAABDMzNDQBCAAAAAUAAAABMQEAAAAKMTc3NjczOTg5NAMAAAADMTYwAgAAAAQ0MDUxBAAAAAEwBwAAAAoxMi8zMS8yMDE0CAAAAAoxMi8zMS8yMDE0CQAAAAEwyJZ8iUQl3ggV+l+LRCXeCCtDSVEuRFZOLklRX0VCSVREQS5JUV9DUS4xMi8zMS8yMDEyLkwuLlVTRC5IAQAAAA4RBAACAAAABDEz</t>
  </si>
  <si>
    <t>MzUBCAAAAAUAAAABMQEAAAAKMTY2MDg5Nzk5NgMAAAADMTYwAgAAAAQ0MDUxBAAAAAEwBwAAAAoxMi8zMS8yMDEyCAAAAAoxMi8zMS8yMDEyCQAAAAEwbiuKiUQl3giHjFKLRCXeCCtDSVEuRFZOLklRX0VCSVREQS5JUV9DUS4xMi8zMS8yMDEwLkwuLlVTRC5IAQAAAA4RBAACAAAABDEwODUBCAAAAAUAAAABMQEAAAAKMTUyMzcyMTM5MwMAAAADMTYwAgAAAAQ0MDUxBAAAAAEwBwAAAAoxMi8zMS8yMDEwCAAAAAoxMi8zMS8yMDEwCQAAAAEw5+R8iUQl3gjvV0mLRCXeCCpDSVEuRFZOLklRX0VCSVREQS5JUV9DUS4zLzMxLzIwMTIuTC4uVVNELkgBAAAADhEEAAIAAAAEMTM5NAEIAAAABQAAAAExAQAAAAoxNjE1MTgwMDU4AwAAAAMxNjACAAAABDQwNTEEAAAAATAHAAAACTMvMzEvMjAxMggAAAAJMy8zMS8yMDEyCQAAAAEwmGCYiUQl3ggOCk+LRCXeCCpDSVEuRFZOLklRX0VCSVREQS5JUV9DUS4zLzMxLzIwMTAuTC4uVVNELkgBAAAADhEEAAIAAAAEMjE3MAEIAAAABQAAAAExAQAAAAoxNDUxMjYyNjU3AwAAAAMxNjACAAAABDQwNTEEAAAAATAHAAAACTMvMzEvMjAxMAgAAAAJMy8zMS8yMDEwCQAAAAEw9Qt9iUQl3gjnzEWLRCXeCCpDSVEuRFZOLklRX0VCSVREQS5JUV9DUS4zLzMxLzIwMjMuTC4uVVNELkgBAAAADhEEAAIAAAAEMTkxMQEIAAAABQAAAAExAQAAAAstMTk4NDIyMTc4MgMAAAADMTYwAgAA</t>
  </si>
  <si>
    <t>AAQ0MDUxBAAAAAEwBwAAAAkzLzMxLzIwMjMIAAAACTMvMzEvMjAyMwkAAAABMOVK2opEJd4IECyLi0Ql3ggqQ0lRLkRWTi5JUV9FQklUREEuSVFfQ1EuMy8zMS8yMDI0LkwuLlVTRC5IAQAAAA4RBAACAAAABDE1NjcBCAAAAAUAAAABMQEAAAALLTE5MzI4ODI1OTADAAAAAzE2MAIAAAAENDA1MQQAAAABMAcAAAAJMy8zMS8yMDI0CAAAAAkzLzMxLzIwMjQJAAAAATDqI9qKRCXeCAMOkItEJd4IKkNJUS5EVk4uSVFfRUJJVERBLklRX0NRLjMvMzEvMjAyMi5MLi5VU0QuSAEAAAAOEQQAAgAAAAQxODQzAQgAAAAFAAAAATEBAAAACy0yMDM1ODcxMzYyAwAAAAMxNjACAAAABDQwNTEEAAAAATAHAAAACTMvMzEvMjAyMggAAAAJMy8zMS8yMDIyCQAAAAEw5UraikQl3gjLlIaLRCXeCCpDSVEuRFZOLklRX0VCSVREQS5JUV9DUS4zLzMxLzIwMjAuTC4uVVNELkgBAAAADhEEAAIAAAAEMTE0NQEIAAAABQAAAAExAQAAAAstMjE0MDAyNDA1NwMAAAADMTYwAgAAAAQ0MDUxBAAAAAEwBwAAAAkzLzMxLzIwMjAIAAAACTMvMzEvMjAyMAkAAAABMDE4x4pEJd4I/kV9i0Ql3ggqQ0lRLkRWTi5JUV9FQklUREEuSVFfQ1EuMy8zMS8yMDE4LkwuLlVTRC5IAQAAAA4RBAACAAAAAzQ3OQEIAAAABQAAAAExAQAAAAoxOTc0Njk4Mzc3AwAAAAMxNjACAAAABDQwNTEEAAAAATAHAAAACTMvMzEvMjAxOAgAAAAJMy8zMS8yMDE4CQAA</t>
  </si>
  <si>
    <t>AAEw9Qt9iUQl3ggc0HOLRCXeCCpDSVEuRFZOLklRX0VCSVREQS5JUV9DUS4zLzMxLzIwMTYuTC4uVVNELkgBAAAADhEEAAIAAAADMzQzAQgAAAAFAAAAATEBAAAACjE4NDAxNzc1NjgDAAAAAzE2MAIAAAAENDA1MQQAAAABMAcAAAAJMy8zMS8yMDE2CAAAAAkzLzMxLzIwMTYJAAAAATCNoIqJRCXeCFUQaItEJd4IKkNJUS5EVk4uSVFfRUJJVERBLklRX0NRLjMvMzEvMjAxNC5MLi5VU0QuSAEAAAAOEQQAAgAAAAQxNTAyAQgAAAAFAAAAATEBAAAACjE3MzI5OTM2NzcDAAAAAzE2MAIAAAAENDA1MQQAAAABMAcAAAAJMy8zMS8yMDE0CAAAAAkzLzMxLzIwMTQJAAAAATDbvXyJRCXeCPbwWotEJd4IKkNJUS5EVk4uSVFfRUJJVERBLklRX0NRLjYvMzAvMjAxOS5MLi5VU0QuSAEAAAAOEQQAAgAAAAM2NzABCAAAAAUAAAABMQEAAAAKMjA0OTAwMjk2NQMAAAADMTYwAgAAAAQ0MDUxBAAAAAEwBwAAAAk2LzMwLzIwMTkIAAAACTYvMzAvMjAxOQkAAAABMClfx4pEJd4IhJx5i0Ql3ggqQ0lRLkRWTi5JUV9FQklUREEuSVFfQ1EuNi8zMC8yMDE3LkwuLlVTRC5IAQAAAA4RBAACAAAAAzYwMwEIAAAABQAAAAExAQAAAAoxODk4MTA5MDY2AwAAAAMxNjACAAAABDQwNTEEAAAAATAHAAAACTYvMzAvMjAxNwgAAAAJNi8zMC8yMDE3CQAAAAEwa1KKiUQl3giiJnCLRCXeCCpDSVEuRFZOLklRX0VCSVREQS5JUV9DUS42LzMw</t>
  </si>
  <si>
    <t>LzIwMTMuTC4uVVNELkgBAAAADhEEAAIAAAAEMTg1MgEIAAAABQAAAAExAQAAAAoxNzA0OTY5NjAzAwAAAAMxNjACAAAABDQwNTEEAAAAATAHAAAACTYvMzAvMjAxMwgAAAAJNi8zMC8yMDEzCQAAAAEwUASKiUQl3gjo51WLRCXeCCpDSVEuRFZOLklRX0VCSVREQS5JUV9DUS42LzMwLzIwMTEuTC4uVVNELkgBAAAADhEEAAIAAAAEMjA3OQEIAAAABQAAAAExAQAAAAoxNTU3MjA2NzA0AwAAAAMxNjACAAAABDQwNTEEAAAAATAHAAAACTYvMzAvMjAxMQgAAAAJNi8zMC8yMDExCQAAAAEwq4eYiUQl3ghHqkuLRCXeCCtDSVEuRFZOLklRX0VCSVREQS5JUV9DUS4xMi8zMS8yMDEzLkwuLlVTRC5IAQAAAA4RBAACAAAABDEzNDkBCAAAAAUAAAABMQEAAAAKMTcyMDA3NjI1MgMAAAADMTYwAgAAAAQ0MDUxBAAAAAEwBwAAAAoxMi8zMS8yMDEzCAAAAAoxMi8zMS8yMDEzCQAAAAEwUASKiUQl3ghGQ1mLRCXeCCZDSVEuRFZOLklRX05JLklRX0NRLjMvMzEvMjAxNy5MLi5VU0QuSAEAAAAOEQQAAgAAAAMzMDMBCAAAAAUAAAABMQEAAAAKMTg5ODExMDYzMwMAAAADMTYwAgAAAAIxNQQAAAABMAcAAAAJMy8zMS8yMDE3CAAAAAkzLzMxLzIwMTcJAAAAATCNoIqJRCXeCMDTaItEJd4IJkNJUS5EVk4uSVFfTkkuSVFfQ1EuMy8zMS8yMDE5LkwuLlVTRC5IAQAAAA4RBAACAAAABC0zMTcBCAAAAAUAAAABMQEAAAAKMjA0OTAw</t>
  </si>
  <si>
    <t>NDgwNAMAAAADMTYwAgAAAAIxNQQAAAABMAcAAAAJMy8zMS8yMDE5CAAAAAkzLzMxLzIwMTkJAAAAATD1C32JRCXeCFlFdItEJd4IJkNJUS5EVk4uSVFfTkkuSVFfQ1EuNi8zMC8yMDEyLkwuLlVTRC5IAQAAAA4RBAACAAAAAzQ3NwEIAAAABQAAAAExAQAAAAoxNjQzOTA1MzA0AwAAAAMxNjACAAAAAjE1BAAAAAEwBwAAAAk2LzMwLzIwMTIIAAAACTYvMzAvMjAxMgkAAAABMKuHmIlEJd4IzCBMi0Ql3ggmQ0lRLkRWTi5JUV9OSS5JUV9DUS42LzMwLzIwMTguTC4uVVNELkgBAAAADhEEAAIAAAAELTQyNQEIAAAABQAAAAExAQAAAAoxOTc0Njg2MTczAwAAAAMxNjACAAAAAjE1BAAAAAEwBwAAAAk2LzMwLzIwMTgIAAAACTYvMzAvMjAxOAkAAAABMGtSiolEJd4I+elwi0Ql3ggmQ0lRLkRWTi5JUV9OSS5JUV9DUS42LzMwLzIwMjAuTC4uVVNELkgBAAAADhEEAAIAAAAELTY3MAEIAAAABQAAAAExAQAAAAstMjEyMzg1NzI3MQMAAAADMTYwAgAAAAIxNQQAAAABMAcAAAAJNi8zMC8yMDIwCAAAAAk2LzMwLzIwMjAJAAAAATApX8eKRCXeCMI4eotEJd4IJ0NJUS5EVk4uSVFfTkkuSVFfQ1EuMTIvMzEvMjAyMi5MLi5VU0QuSAEAAAAOEQQAAgAAAAQxMjAxAQgAAAAFAAAAATEBAAAACy0yMDA4MjIyMTk2AwAAAAMxNjACAAAAAjE1BAAAAAEwBwAAAAoxMi8zMS8yMDIyCAAAAAoxMi8zMS8yMDIyCQAAAAEw/unGikQl</t>
  </si>
  <si>
    <t>3giM+IWLRCXeCCdDSVEuRFZOLklRX05JLklRX0NRLjEyLzMxLzIwMTIuTC4uVVNELkgBAAAADhEEAAIAAAAELTM1NwEIAAAABQAAAAExAQAAAAoxNjYwODk3OTk2AwAAAAMxNjACAAAAAjE1BAAAAAEwBwAAAAoxMi8zMS8yMDEyCAAAAAoxMi8zMS8yMDEyCQAAAAEwq4eYiUQl3gjARk6LRCXeCCZDSVEuRFZOLklRX05JLklRX0NRLjkvMzAvMjAxNy5MLi5VU0QuSAEAAAAOEQQAAgAAAAMxOTMBCAAAAAUAAAABMQEAAAAKMTkyMDIxNTY1NAMAAAADMTYwAgAAAAIxNQQAAAABMAcAAAAJOS8zMC8yMDE3CAAAAAk5LzMwLzIwMTcJAAAAATB6eYqJRCXeCA8IbItEJd4IJkNJUS5EVk4uSVFfTkkuSVFfQ1EuMy8zMS8yMDE1LkwuLlVTRC5IAQAAAA4RBAACAAAABS0zNTk5AQgAAAAFAAAAATEBAAAACjE4MDE2Mjc3NjQDAAAAAzE2MAIAAAACMTUEAAAAATAHAAAACTMvMzEvMjAxNQgAAAAJMy8zMS8yMDE1CQAAAAEw2718iUQl3ghCtFuLRCXeCCZDSVEuRFZOLklRX05JLklRX0NRLjYvMzAvMjAxMC5MLi5VU0QuSAEAAAAOEQQAAgAAAAM3MDYBCAAAAAUAAAABMQEAAAAKMTQ2NTcxNDM5NgMAAAADMTYwAgAAAAIxNQQAAAABMAcAAAAJNi8zMC8yMDEwCAAAAAk2LzMwLzIwMTAJAAAAATAGM32JRCXeCLG/QotEJd4IJ0NJUS5EVk4uSVFfTkkuSVFfQ1EuMTIvMzEvMjAyNC5MLi5VU0QuSAEAAAAOEQQAAgAAAAM2MzkB</t>
  </si>
  <si>
    <t>CAAAAAUAAAABMQEAAAALLTE5NTkwMjg4OTADAAAAAzE2MAIAAAACMTUEAAAAATAHAAAACjEyLzMxLzIwMjQIAAAACjEyLzMxLzIwMjQJAAAAATDqI9qKRCXeCKkjj4tEJd4IJ0NJUS5EVk4uSVFfTkkuSVFfQ1EuMTIvMzEvMjAxNC5MLi5VU0QuSAEAAAAOEQQAAgAAAAQtNDA4AQgAAAAFAAAAATEBAAAACjE3NzY3Mzk4OTQDAAAAAzE2MAIAAAACMTUEAAAAATAHAAAACjEyLzMxLzIwMTQIAAAACjEyLzMxLzIwMTQJAAAAATD1C32JRCXeCJ0GWotEJd4IJkNJUS5EVk4uSVFfTkkuSVFfQ1EuOS8zMC8yMDI1LkwuLlVTRC5IAQAAAA4RBAACAAAAAzY4NwEIAAAABQAAAAExAQAAAAstMTkxODAyOTA1OQMAAAADMTYwAgAAAAIxNQQAAAABMAcAAAAJOS8zMC8yMDI1CAAAAAk5LzMwLzIwMjUJAAAAATDa/NmKRCXeCGNpk4tEJd4IJkNJUS5EVk4uSVFfTkkuSVFfQ1EuMy8zMS8yMDI1LkwuLlVTRC5IAQAAAA4RBAACAAAAAzQ5NAEIAAAABQAAAAExAQAAAAstMTk0NTQwMjIwNwMAAAADMTYwAgAAAAIxNQQAAAABMAcAAAAJMy8zMS8yMDI1CAAAAAkzLzMxLzIwMjUJAAAAATDqI9qKRCXeCEGqkItEJd4IJkNJUS5EVk4uSVFfTkkuSVFfQ1EuOS8zMC8yMDIxLkwuLlVTRC5IAQAAAA4RBAACAAAAAzgzOAEIAAAABQAAAAExAQAAAAstMjA3MjM2NTU5NgMAAAADMTYwAgAAAAIxNQQAAAABMAcAAAAJOS8zMC8yMDIxCAAA</t>
  </si>
  <si>
    <t>AAk5LzMwLzIwMjEJAAAAATAJEceKRCXeCDAFgItEJd4IJ0NJUS5EVk4uSVFfTkkuSVFfQ1EuMTIvMzEvMjAxOC5MLi5VU0QuSAEAAAAOEQQAAgAAAAQxMTQ5AQgAAAAFAAAAATEBAAAACjIwMTU5NDg2MDADAAAAAzE2MAIAAAACMTUEAAAAATAHAAAACjEyLzMxLzIwMTgIAAAACjEyLzMxLzIwMTgJAAAAATBuK4qJRCXeCOAzc4tEJd4IJkNJUS5EVk4uSVFfTkkuSVFfQ1EuNi8zMC8yMDIyLkwuLlVTRC5IAQAAAA4RBAACAAAABDE5MzIBCAAAAAUAAAABMQEAAAALLTIwMjA0NTc3NTUDAAAAAzE2MAIAAAACMTUEAAAAATAHAAAACTYvMzAvMjAyMggAAAAJNi8zMC8yMDIyCQAAAAEw/unGikQl3giQh4OLRCXeCCZDSVEuRFZOLklRX05JLklRX0NRLjMvMzEvMjAyMS5MLi5VU0QuSAEAAAAOEQQAAgAAAAMyMTMBCAAAAAUAAAABMQEAAAALLTIwODY4OTg4MjUDAAAAAzE2MAIAAAACMTUEAAAAATAHAAAACTMvMzEvMjAyMQgAAAAJMy8zMS8yMDIxCQAAAAEwMTjHikQl3gg/4n2LRCXeCCZDSVEuRFZOLklRX05JLklRX0NRLjkvMzAvMjAxOS5MLi5VU0QuSAEAAAAOEQQAAgAAAAMxMDkBCAAAAAUAAAABMQEAAAAKMjA2NzM0MTM4MAMAAAADMTYwAgAAAAIxNQQAAAABMAcAAAAJOS8zMC8yMDE5CAAAAAk5LzMwLzIwMTkJAAAAATBIhseKRCXeCEOPdotEJd4IJ0NJUS5EVk4uSVFfTkkuSVFfQ1EuMTIvMzEvMjAxNi5M</t>
  </si>
  <si>
    <t>Li5VU0QuSAEAAAAOEQQAAgAAAAQyNTc3AQgAAAAFAAAAATEBAAAACjE4NzU1MTI5MzkDAAAAAzE2MAIAAAACMTUEAAAAATAHAAAACjEyLzMxLzIwMTYIAAAACjEyLzMxLzIwMTYJAAAAATCNoIqJRCXeCAhNZ4tEJd4IJkNJUS5EVk4uSVFfTkkuSVFfQ1EuOS8zMC8yMDExLkwuLlVTRC5IAQAAAA4RBAACAAAABDEwMzgBCAAAAAUAAAABMQEAAAAKMTU3NTA0NzcwOAMAAAADMTYwAgAAAAIxNQQAAAABMAcAAAAJOS8zMC8yMDExCAAAAAk5LzMwLzIwMTEJAAAAATDn5HyJRCXeCOClSItEJd4IJkNJUS5EVk4uSVFfTkkuSVFfQ1EuNi8zMC8yMDE2LkwuLlVTRC5IAQAAAA4RBAACAAAABS0xNTcwAQgAAAAFAAAAATEBAAAACjE4NjM2ODM4NjMDAAAAAzE2MAIAAAACMTUEAAAAATAHAAAACTYvMzAvMjAxNggAAAAJNi8zMC8yMDE2CQAAAAEwoceKiUQl3git8WOLRCXeCCZDSVEuRFZOLklRX05JLklRX0NRLjMvMzEvMjAxMi5MLi5VU0QuSAEAAAAOEQQAAgAAAAMzOTMBCAAAAAUAAAABMQEAAAAKMTYxNTE4MDA1OAMAAAADMTYwAgAAAAIxNQQAAAABMAcAAAAJMy8zMS8yMDEyCAAAAAkzLzMxLzIwMTIJAAAAATDbvXyJRCXeCEz4SotEJd4IJkNJUS5EVk4uSVFfTkkuSVFfQ1EuMy8zMS8yMDIyLkwuLlVTRC5IAQAAAA4RBAACAAAAAzk4OQEIAAAABQAAAAExAQAAAAstMjAzNTg3MTM2MgMAAAADMTYwAgAAAAIxNQQA</t>
  </si>
  <si>
    <t>AAABMAcAAAAJMy8zMS8yMDIyCAAAAAkzLzMxLzIwMjIJAAAAATAJEceKRCXeCBNPgotEJd4IJkNJUS5EVk4uSVFfTkkuSVFfQ1EuMy8zMS8yMDI0LkwuLlVTRC5IAQAAAA4RBAACAAAAAzU5NgEIAAAABQAAAAExAQAAAAstMTkzMjg4MjU5MAMAAAADMTYwAgAAAAIxNQQAAAABMAcAAAAJMy8zMS8yMDI0CAAAAAkzLzMxLzIwMjQJAAAAATDlStqKRCXeCDKhi4tEJd4IJkNJUS5EVk4uSVFfTkkuSVFfQ1EuMy8zMS8yMDE4LkwuLlVTRC5IAQAAAA4RBAACAAAABC0xOTcBCAAAAAUAAAABMQEAAAAKMTk3NDY5ODM3NwMAAAADMTYwAgAAAAIxNQQAAAABMAcAAAAJMy8zMS8yMDE4CAAAAAkzLzMxLzIwMTgJAAAAATB6eYqJRCXeCFxjb4tEJd4IJkNJUS5EVk4uSVFfTkkuSVFfQ1EuMy8zMS8yMDIwLkwuLlVTRC5IAQAAAA4RBAACAAAABS0xODE2AQgAAAAFAAAAATEBAAAACy0yMTQwMDI0MDU3AwAAAAMxNjACAAAAAjE1BAAAAAEwBwAAAAkzLzMxLzIwMjAIAAAACTMvMzEvMjAyMAkAAAABMClfx4pEJd4IRwB5i0Ql3ggmQ0lRLkRWTi5JUV9OSS5JUV9DUS4zLzMxLzIwMTQuTC4uVVNELkgBAAAADhEEAAIAAAADMzI0AQgAAAAFAAAAATEBAAAACjE3MzI5OTM2NzcDAAAAAzE2MAIAAAACMTUEAAAAATAHAAAACTMvMzEvMjAxNAgAAAAJMy8zMS8yMDE0CQAAAAEwUASKiUQl3giH/VSLRCXeCCZDSVEuRFZOLklRX05J</t>
  </si>
  <si>
    <t>LklRX0NRLjMvMzEvMjAxNi5MLi5VU0QuSAEAAAAOEQQAAgAAAAUtMzA1NgEIAAAABQAAAAExAQAAAAoxODQwMTc3NTY4AwAAAAMxNjACAAAAAjE1BAAAAAEwBwAAAAkzLzMxLzIwMTYIAAAACTMvMzEvMjAxNgkAAAABMKHHiolEJd4IDWtii0Ql3ggmQ0lRLkRWTi5JUV9OSS5JUV9DUS4zLzMxLzIwMTAuTC4uVVNELkgBAAAADhEEAAIAAAAEMTE5MgEIAAAABQAAAAExAQAAAAoxNDUxMjYyNjU3AwAAAAMxNjACAAAAAjE1BAAAAAEwBwAAAAkzLzMxLzIwMTAIAAAACTMvMzEvMjAxMAkAAAABMAYzfYlEJd4IVtVBi0Ql3ggmQ0lRLkRWTi5JUV9OSS5JUV9DUS45LzMwLzIwMjIuTC4uVVNELkgBAAAADhEEAAIAAAAEMTg5MwEIAAAABQAAAAExAQAAAAstMjAyMDQ2MDQ5MQMAAAADMTYwAgAAAAIxNQQAAAABMAcAAAAJOS8zMC8yMDIyCAAAAAk5LzMwLzIwMjIJAAAAATD+6caKRCXeCAzAhItEJd4IJkNJUS5EVk4uSVFfTkkuSVFfQ1EuOS8zMC8yMDE2LkwuLlVTRC5IAQAAAA4RBAACAAAAAzk5MwEIAAAABQAAAAExAQAAAAoxODYzNjc5NTQyAwAAAAMxNjACAAAAAjE1BAAAAAEwBwAAAAk5LzMwLzIwMTYIAAAACTkvMzAvMjAxNgkAAAABMKHHiolEJd4IW59li0Ql3ggmQ0lRLkRWTi5JUV9OSS5JUV9DUS42LzMwLzIwMTEuTC4uVVNELkgBAAAADhEEAAIAAAAEMjc0MwEIAAAABQAAAAExAQAAAAoxNTU3MjA2NzA0</t>
  </si>
  <si>
    <t>AwAAAAMxNjACAAAAAjE1BAAAAAEwBwAAAAk2LzMwLzIwMTEIAAAACTYvMzAvMjAxMQkAAAABMOfkfIlEJd4IiFNHi0Ql3ggmQ0lRLkRWTi5JUV9OSS5JUV9DUS45LzMwLzIwMTguTC4uVVNELkgBAAAADhEEAAIAAAAEMjUzNwEIAAAABQAAAAExAQAAAAoxOTkwODE1NDI0AwAAAAMxNjACAAAAAjE1BAAAAAEwBwAAAAk5LzMwLzIwMTgIAAAACTkvMzAvMjAxOAkAAAABMGtSiolEJd4IZPtxi0Ql3ggmQ0lRLkRWTi5JUV9OSS5JUV9DUS42LzMwLzIwMTMuTC4uVVNELkgBAAAADhEEAAIAAAADNjgzAQgAAAAFAAAAATEBAAAACjE3MDQ5Njk2MDMDAAAAAzE2MAIAAAACMTUEAAAAATAHAAAACTYvMzAvMjAxMwgAAAAJNi8zMC8yMDEzCQAAAAEwmGCYiUQl3gi7t1CLRCXeCCZDSVEuRFZOLklRX05JLklRX0NRLjYvMzAvMjAxNS5MLi5VU0QuSAEAAAAOEQQAAgAAAAUtMjgxNgEIAAAABQAAAAExAQAAAAoxODAxNjI3NTM5AwAAAAMxNjACAAAAAjE1BAAAAAEwBwAAAAk2LzMwLzIwMTUIAAAACTYvMzAvMjAxNQkAAAABMMiWfIlEJd4I/WFdi0Ql3ggmQ0lRLkRWTi5JUV9OSS5JUV9DUS45LzMwLzIwMjAuTC4uVVNELkgBAAAADhEEAAIAAAADLTkyAQgAAAAFAAAAATEBAAAACy0yMTIzODU3NDQzAwAAAAMxNjACAAAAAjE1BAAAAAEwBwAAAAk5LzMwLzIwMjAIAAAACTkvMzAvMjAyMAkAAAABMClfx4pEJd4IQXF7i0Ql</t>
  </si>
  <si>
    <t>3ggmQ0lRLkRWTi5JUV9OSS5JUV9DUS45LzMwLzIwMjQuTC4uVVNELkgBAAAADhEEAAIAAAADODEyAQgAAAAFAAAAATEBAAAACy0xOTE4MDI5MDUxAwAAAAMxNjACAAAAAjE1BAAAAAEwBwAAAAk5LzMwLzIwMjQIAAAACTkvMzAvMjAyNAkAAAABMOoj2opEJd4IIeuNi0Ql3ggnQ0lRLkRWTi5JUV9OSS5JUV9DUS4xMi8zMS8yMDIzLkwuLlVTRC5IAQAAAA4RBAACAAAABDExNTIBCAAAAAUAAAABMQEAAAALLTE5NTkwMjg4OTkDAAAAAzE2MAIAAAACMTUEAAAAATAHAAAACjEyLzMxLzIwMjMIAAAACjEyLzMxLzIwMjMJAAAAATDlStqKRCXeCHKMiotEJd4IJkNJUS5EVk4uSVFfTkkuSVFfQ1EuOS8zMC8yMDEyLkwuLlVTRC5IAQAAAA4RBAACAAAABC03MTkBCAAAAAUAAAABMQEAAAAKMTY0Mzg3ODgxMwMAAAADMTYwAgAAAAIxNQQAAAABMAcAAAAJOS8zMC8yMDEyCAAAAAk5LzMwLzIwMTIJAAAAATCrh5iJRCXeCGJcTYtEJd4IJkNJUS5EVk4uSVFfTkkuSVFfQ1EuOS8zMC8yMDE0LkwuLlVTRC5IAQAAAA4RBAACAAAABDEwMTYBCAAAAAUAAAABMQEAAAAKMTc2Mjc5NTM3OAMAAAADMTYwAgAAAAIxNQQAAAABMAcAAAAJOS8zMC8yMDE0CAAAAAk5LzMwLzIwMTQJAAAAATBQBIqJRCXeCPJ/WItEJd4IJ0NJUS5EVk4uSVFfTkkuSVFfQ1EuMTIvMzEvMjAxOS5MLi5VU0QuSAEAAAAOEQQAAgAAAAQtNjQyAQgAAAAF</t>
  </si>
  <si>
    <t>AAAAATEBAAAACjIwODA5OTg5ODQDAAAAAzE2MAIAAAACMTUEAAAAATAHAAAACjEyLzMxLzIwMTkIAAAACjEyLzMxLzIwMTkJAAAAATApX8eKRCXeCLzHd4tEJd4IJ0NJUS5EVk4uSVFfTkkuSVFfQ1EuMTIvMzEvMjAyMS5MLi5VU0QuSAEAAAAOEQQAAgAAAAQxNTA2AQgAAAAFAAAAATEBAAAACy0yMDYwOTQxNDE4AwAAAAMxNjACAAAAAjE1BAAAAAEwBwAAAAoxMi8zMS8yMDIxCAAAAAoxMi8zMS8yMDIxCQAAAAEwCRHHikQl3giaPYGLRCXeCCdDSVEuRFZOLklRX05JLklRX0NRLjEyLzMxLzIwMTUuTC4uVVNELkgBAAAADhEEAAIAAAAFLTQ1MzIBCAAAAAUAAAABMQEAAAAKMTgyNzg3MDU0NgMAAAADMTYwAgAAAAIxNQQAAAABMAcAAAAKMTIvMzEvMjAxNQgAAAAKMTIvMzEvMjAxNQkAAAABMKbuiolEJd4IYr1gi0Ql3ggnQ0lRLkRWTi5JUV9OSS5JUV9DUS4xMi8zMS8yMDE3LkwuLlVTRC5IAQAAAA4RBAACAAAAAzE4MwEIAAAABQAAAAExAQAAAAoxOTQ2Mjg0NTU5AwAAAAMxNjACAAAAAjE1BAAAAAEwBwAAAAoxMi8zMS8yMDE3CAAAAAoxMi8zMS8yMDE3CQAAAAEwenmKiUQl3giZjm2LRCXeCCdDSVEuRFZOLklRX05JLklRX0NRLjEyLzMxLzIwMDkuTC4uVVNELkgBAAAADhEEAAIAAAADNjY3AQgAAAAFAAAAATEBAAAACjE0MzMzMTc2NzkDAAAAAzE2MAIAAAACMTUEAAAAATAHAAAACjEyLzMxLzIwMDkI</t>
  </si>
  <si>
    <t>AAAACjEyLzMxLzIwMDkJAAAAATAGM32JRCXeCO/qQItEJd4IJ0NJUS5EVk4uSVFfTkkuSVFfQ1EuMTIvMzEvMjAxMS5MLi5VU0QuSAEAAAAOEQQAAgAAAAM1MDcBCAAAAAUAAAABMQEAAAAKMTU4ODgwMzE4NAMAAAADMTYwAgAAAAIxNQQAAAABMAcAAAAKMTIvMzEvMjAxMQgAAAAKMTIvMzEvMjAxMQkAAAABMOfkfIlEJd4Imc5Ji0Ql3ggnQ0lRLkRWTi5JUV9OSS5JUV9DUS4xMi8zMS8yMDEzLkwuLlVTRC5IAQAAAA4RBAACAAAAAzIwNwEIAAAABQAAAAExAQAAAAoxNzIwMDc2MjUyAwAAAAMxNjACAAAAAjE1BAAAAAEwBwAAAAoxMi8zMS8yMDEzCAAAAAoxMi8zMS8yMDEzCQAAAAEwbiuKiUQl3gjfT1OLRCXeCCZDSVEuRFZOLklRX05JLklRX0NRLjkvMzAvMjAxMC5MLi5VU0QuSAEAAAAOEQQAAgAAAAQyMDkwAQgAAAAFAAAAATEBAAAACjE0Nzk5Nzg0NzEDAAAAAzE2MAIAAAACMTUEAAAAATAHAAAACTkvMzAvMjAxMAgAAAAJOS8zMC8yMDEwCQAAAAEwBjN9iUQl3ggj+EOLRCXeCCZDSVEuRFZOLklRX05JLklRX0NRLjYvMzAvMjAxNy5MLi5VU0QuSAEAAAAOEQQAAgAAAAMyMTkBCAAAAAUAAAABMQEAAAAKMTg5ODEwOTA2NgMAAAADMTYwAgAAAAIxNQQAAAABMAcAAAAJNi8zMC8yMDE3CAAAAAk2LzMwLzIwMTcJAAAAATCNoIqJRCXeCERaaotEJd4IJkNJUS5EVk4uSVFfTkkuSVFfQ1EuNi8zMC8yMDE5</t>
  </si>
  <si>
    <t>LkwuLlVTRC5IAQAAAA4RBAACAAAAAzQ5NQEIAAAABQAAAAExAQAAAAoyMDQ5MDAyOTY1AwAAAAMxNjACAAAAAjE1BAAAAAEwBwAAAAk2LzMwLzIwMTkIAAAACTYvMzAvMjAxOQkAAAABMMBvfIlEJd4Iz311i0Ql3ggmQ0lRLkRWTi5JUV9OSS5JUV9DUS42LzMwLzIwMjEuTC4uVVNELkgBAAAADhEEAAIAAAADMjU2AQgAAAAFAAAAATEBAAAACy0yMDcyMzYyMTg2AwAAAAMxNjACAAAAAjE1BAAAAAEwBwAAAAk2LzMwLzIwMjEIAAAACTYvMzAvMjAyMQkAAAABMDE4x4pEJd4IrPN+i0Ql3ggmQ0lRLkRWTi5JUV9OSS5JUV9DUS42LzMwLzIwMjMuTC4uVVNELkgBAAAADhEEAAIAAAADNjkwAQgAAAAFAAAAATEBAAAACy0xOTcwMzk4MDgzAwAAAAMxNjACAAAAAjE1BAAAAAEwBwAAAAk2LzMwLzIwMjMIAAAACTYvMzAvMjAyMwkAAAABMOVK2opEJd4IhUKIi0Ql3ggmQ0lRLkRWTi5JUV9OSS5JUV9DUS42LzMwLzIwMjUuTC4uVVNELkgBAAAADhEEAAIAAAADODk5AQgAAAAFAAAAATEBAAAACy0xOTMyODg0NTQyAwAAAAMxNjACAAAAAjE1BAAAAAEwBwAAAAk2LzMwLzIwMjUIAAAACTYvMzAvMjAyNQkAAAABMOoj2opEJd4I2QmSi0Ql3gg8Q0lRLkRWTi5JUV9UT1RBTF9SRVZfMVlSX0FOTl9HUk9XVEguSVFfQ1EuNi8zMC8yMDI0LkwuLlVTRC5IAQAAAA4RBAACAAAABzExLjI2MDgBCAAAAAUAAAABMQEAAAALLTE5</t>
  </si>
  <si>
    <t>MTgwMjczMTQDAAAAAzE2MAIAAAAENDE5NAQAAAABMAcAAAAJNi8zMC8yMDI0CAAAAAk2LzMwLzIwMjQJAAAAATDqI9qKRCXeCMAAjYtEJd4IPENJUS5EVk4uSVFfVE9UQUxfUkVWXzFZUl9BTk5fR1JPV1RILklRX0NRLjkvMzAvMjAxNS5MLi5VU0QuSAEAAAAOEQQAAgAAAAgtMzEuNTgyNAEIAAAABQAAAAExAQAAAAoxODE1OTY5NDc2AwAAAAMxNjACAAAABDQxOTQEAAAAATAHAAAACTkvMzAvMjAxNQgAAAAJOS8zMC8yMDE1CQAAAAEwyJZ8iUQl3gilD1+LRCXeCDxDSVEuRFZOLklRX1RPVEFMX1JFVl8xWVJfQU5OX0dST1dUSC5JUV9DUS42LzMwLzIwMjUuTC4uVVNELkgBAAAADhEEAAIAAAAHLTAuNjY3NwEIAAAABQAAAAExAQAAAAstMTkzMjg4NDU0MgMAAAADMTYwAgAAAAQ0MTk0BAAAAAEwBwAAAAk2LzMwLzIwMjUIAAAACTYvMzAvMjAyNQkAAAABMOoj2opEJd4I2QmSi0Ql3gg8Q0lRLkRWTi5JUV9UT1RBTF9SRVZfMVlSX0FOTl9HUk9XVEguSVFfQ1EuNi8zMC8yMDE0LkwuLlVTRC5IAQAAAA4RBAACAAAABzgwLjM0NTMBCAAAAAUAAAABMQEAAAAKMTc0ODg1NTMyMgMAAAADMTYwAgAAAAQ0MTk0BAAAAAEwBwAAAAk2LzMwLzIwMTQIAAAACTYvMzAvMjAxNAkAAAABMFAEiolEJd4INKtWi0Ql3gg8Q0lRLkRWTi5JUV9UT1RBTF9SRVZfMVlSX0FOTl9HUk9XVEguSVFfQ1EuOS8zMC8yMDEyLkwuLlVT</t>
  </si>
  <si>
    <t>RC5IAQAAAA4RBAACAAAACC0yMi4yNTExAQgAAAAFAAAAATEBAAAACjE2NDM4Nzg4MTMDAAAAAzE2MAIAAAAENDE5NAQAAAABMAcAAAAJOS8zMC8yMDEyCAAAAAk5LzMwLzIwMTIJAAAAATCrh5iJRCXeCGJcTYtEJd4IPUNJUS5EVk4uSVFfVE9UQUxfUkVWXzFZUl9BTk5fR1JPV1RILklRX0NRLjEyLzMxLzIwMTkuTC4uVVNELkgBAAAADhEEAAIAAAAILTQzLjQzMDIBCAAAAAUAAAABMQEAAAAKMjA4MDk5ODk4NAMAAAADMTYwAgAAAAQ0MTk0BAAAAAEwBwAAAAoxMi8zMS8yMDE5CAAAAAoxMi8zMS8yMDE5CQAAAAEwKV/HikQl3gi8x3eLRCXeCDxDSVEuRFZOLklRX1RPVEFMX1JFVl8xWVJfQU5OX0dST1dUSC5JUV9DUS45LzMwLzIwMTMuTC4uVVNELkgBAAAADhEEAAIAAAAHMzUuOTUyMwEIAAAABQAAAAExAQAAAAoxNzA0OTU5NDEwAwAAAAMxNjACAAAABDQxOTQEAAAAATAHAAAACTkvMzAvMjAxMwgAAAAJOS8zMC8yMDEzCQAAAAEwbiuKiUQl3ghB8FGLRCXeCDxDSVEuRFZOLklRX1RPVEFMX1JFVl8xWVJfQU5OX0dST1dUSC5JUV9DUS42LzMwLzIwMTkuTC4uVVNELkgBAAAADhEEAAIAAAAILTEzLjc3ODMBCAAAAAUAAAABMQEAAAAKMjA0OTAwMjk2NQMAAAADMTYwAgAAAAQ0MTk0BAAAAAEwBwAAAAk2LzMwLzIwMTkIAAAACTYvMzAvMjAxOQkAAAABMEiGx4pEJd4Iz311i0Ql3gg8Q0lRLkRWTi5JUV9U</t>
  </si>
  <si>
    <t>T1RBTF9SRVZfMVlSX0FOTl9HUk9XVEguSVFfQ1EuMy8zMS8yMDI1LkwuLlVTRC5IAQAAAA4RBAACAAAABzIxLjY0ODkBCAAAAAUAAAABMQEAAAALLTE5NDU0MDIyMDcDAAAAAzE2MAIAAAAENDE5NAQAAAABMAcAAAAJMy8zMS8yMDI1CAAAAAkzLzMxLzIwMjUJAAAAATDqI9qKRCXeCFLRkItEJd4IPENJUS5EVk4uSVFfVE9UQUxfUkVWXzFZUl9BTk5fR1JPV1RILklRX0NRLjkvMzAvMjAxMC5MLi5VU0QuSAEAAAAOEQQAAgAAAAcxNC42ODQ5AQgAAAAFAAAAATEBAAAACjE0Nzk5Nzg0NzEDAAAAAzE2MAIAAAAENDE5NAQAAAABMAcAAAAJOS8zMC8yMDEwCAAAAAk5LzMwLzIwMTAJAAAAATAGM32JRCXeCCP4Q4tEJd4IPENJUS5EVk4uSVFfVE9UQUxfUkVWXzFZUl9BTk5fR1JPV1RILklRX0NRLjYvMzAvMjAxMy5MLi5VU0QuSAEAAAAOEQQAAgAAAAc0Ny42OTM5AQgAAAAFAAAAATEBAAAACjE3MDQ5Njk2MDMDAAAAAzE2MAIAAAAENDE5NAQAAAABMAcAAAAJNi8zMC8yMDEzCAAAAAk2LzMwLzIwMTMJAAAAATBrUoqJRCXeCLu3UItEJd4IPENJUS5EVk4uSVFfVE9UQUxfUkVWXzFZUl9BTk5fR1JPV1RILklRX0NRLjkvMzAvMjAyMy5MLi5VU0QuSAEAAAAOEQQAAgAAAAgtMjIuMjYwOQEIAAAABQAAAAExAQAAAAstMTk3MDQwMDI3NgMAAAADMTYwAgAAAAQ0MTk0BAAAAAEwBwAAAAk5LzMwLzIwMjMIAAAACTkv</t>
  </si>
  <si>
    <t>MzAvMjAyMwkAAAABMOVK2opEJd4I6VOJi0Ql3gg9Q0lRLkRWTi5JUV9UT1RBTF9SRVZfMVlSX0FOTl9HUk9XVEguSVFfQ1EuMTIvMzEvMjAxMS5MLi5VU0QuSAEAAAAOEQQAAgAAAAcyMi42MjEyAQgAAAAFAAAAATEBAAAACjE1ODg4MDMxODQDAAAAAzE2MAIAAAAENDE5NAQAAAABMAcAAAAKMTIvMzEvMjAxMQgAAAAKMTIvMzEvMjAxMQkAAAABMOfkfIlEJd4Imc5Ji0Ql3gg8Q0lRLkRWTi5JUV9UT1RBTF9SRVZfMVlSX0FOTl9HUk9XVEguSVFfQ1EuMy8zMS8yMDIxLkwuLlVTRC5IAQAAAA4RBAACAAAABzgwLjI0ODgBCAAAAAUAAAABMQEAAAALLTIwODY4OTg4MjUDAAAAAzE2MAIAAAAENDE5NAQAAAABMAcAAAAJMy8zMS8yMDIxCAAAAAkzLzMxLzIwMjEJAAAAATAxOMeKRCXeCD/ifYtEJd4IPENJUS5EVk4uSVFfVE9UQUxfUkVWXzFZUl9BTk5fR1JPV1RILklRX0NRLjYvMzAvMjAxNi5MLi5VU0QuSAEAAAAOEQQAAgAAAAgtMjguMzE4NgEIAAAABQAAAAExAQAAAAoxODYzNjgzODYzAwAAAAMxNjACAAAABDQxOTQEAAAAATAHAAAACTYvMzAvMjAxNggAAAAJNi8zMC8yMDE2CQAAAAEwoceKiUQl3git8WOLRCXeCDxDSVEuRFZOLklRX1RPVEFMX1JFVl8xWVJfQU5OX0dST1dUSC5JUV9DUS42LzMwLzIwMTguTC4uVVNELkgBAAAADhEEAAIAAAAILTEyLjUyMzYBCAAAAAUAAAABMQEAAAAKMTk3NDY4NjE3</t>
  </si>
  <si>
    <t>MwMAAAADMTYwAgAAAAQ0MTk0BAAAAAEwBwAAAAk2LzMwLzIwMTgIAAAACTYvMzAvMjAxOAkAAAABMGtSiolEJd4I+elwi0Ql3gg9Q0lRLkRWTi5JUV9UT1RBTF9SRVZfMVlSX0FOTl9HUk9XVEguSVFfQ1EuMTIvMzEvMjAyMy5MLi5VU0QuSAEAAAAOEQQAAgAAAAgtMTIuMTQzOQEIAAAABQAAAAExAQAAAAstMTk1OTAyODg5OQMAAAADMTYwAgAAAAQ0MTk0BAAAAAEwBwAAAAoxMi8zMS8yMDIzCAAAAAoxMi8zMS8yMDIzCQAAAAEw5UraikQl3ghyjIqLRCXeCDxDSVEuRFZOLklRX1RPVEFMX1JFVl8xWVJfQU5OX0dST1dUSC5JUV9DUS45LzMwLzIwMjQuTC4uVVNELkgBAAAADhEEAAIAAAAHLTUuNzgxNwEIAAAABQAAAAExAQAAAAstMTkxODAyOTA1MQMAAAADMTYwAgAAAAQ0MTk0BAAAAAEwBwAAAAk5LzMwLzIwMjQIAAAACTkvMzAvMjAyNAkAAAABMOoj2opEJd4IMxKOi0Ql3gg8Q0lRLkRWTi5JUV9UT1RBTF9SRVZfMVlSX0FOTl9HUk9XVEguSVFfQ1EuOS8zMC8yMDE2LkwuLlVTRC5IAQAAAA4RBAACAAAACC0xMS45NDY1AQgAAAAFAAAAATEBAAAACjE4NjM2Nzk1NDIDAAAAAzE2MAIAAAAENDE5NAQAAAABMAcAAAAJOS8zMC8yMDE2CAAAAAk5LzMwLzIwMTYJAAAAATChx4qJRCXeCFufZYtEJd4IPENJUS5EVk4uSVFfVE9UQUxfUkVWXzFZUl9BTk5fR1JPV1RILklRX0NRLjYvMzAvMjAxNS5MLi5VU0Qu</t>
  </si>
  <si>
    <t>SAEAAAAOEQQAAgAAAAgtMjYuMzM5NAEIAAAABQAAAAExAQAAAAoxODAxNjI3NTM5AwAAAAMxNjACAAAABDQxOTQEAAAAATAHAAAACTYvMzAvMjAxNQgAAAAJNi8zMC8yMDE1CQAAAAEwyJZ8iUQl3gj9YV2LRCXeCDxDSVEuRFZOLklRX1RPVEFMX1JFVl8xWVJfQU5OX0dST1dUSC5JUV9DUS42LzMwLzIwMjMuTC4uVVNELkgBAAAADhEEAAIAAAAILTM5Ljc3MjgBCAAAAAUAAAABMQEAAAALLTE5NzAzOTgwODMDAAAAAzE2MAIAAAAENDE5NAQAAAABMAcAAAAJNi8zMC8yMDIzCAAAAAk2LzMwLzIwMjMJAAAAATDlStqKRCXeCIVCiItEJd4IPENJUS5EVk4uSVFfVE9UQUxfUkVWXzFZUl9BTk5fR1JPV1RILklRX0NRLjkvMzAvMjAxNC5MLi5VU0QuSAEAAAAOEQQAAgAAAAc2MC43MDA1AQgAAAAFAAAAATEBAAAACjE3NjI3OTUzNzgDAAAAAzE2MAIAAAAENDE5NAQAAAABMAcAAAAJOS8zMC8yMDE0CAAAAAk5LzMwLzIwMTQJAAAAATBQBIqJRCXeCPJ/WItEJd4IPENJUS5EVk4uSVFfVE9UQUxfUkVWXzFZUl9BTk5fR1JPV1RILklRX0NRLjkvMzAvMjAxNy5MLi5VU0QuSAEAAAAOEQQAAgAAAAgtMzEuNzI5NAEIAAAABQAAAAExAQAAAAoxOTIwMjE1NjU0AwAAAAMxNjACAAAABDQxOTQEAAAAATAHAAAACTkvMzAvMjAxNwgAAAAJOS8zMC8yMDE3CQAAAAEwenmKiUQl3ggOL2yLRCXeCDxDSVEuRFZOLklRX1RPVEFM</t>
  </si>
  <si>
    <t>X1JFVl8xWVJfQU5OX0dST1dUSC5JUV9DUS4zLzMxLzIwMTkuTC4uVVNELkgBAAAADhEEAAIAAAAILTEwLjg2NzIBCAAAAAUAAAABMQEAAAAKMjA0OTAwNDgwNAMAAAADMTYwAgAAAAQ0MTk0BAAAAAEwBwAAAAkzLzMxLzIwMTkIAAAACTMvMzEvMjAxOQkAAAABMPULfYlEJd4IW2x0i0Ql3gg9Q0lRLkRWTi5JUV9UT1RBTF9SRVZfMVlSX0FOTl9HUk9XVEguSVFfQ1EuMTIvMzEvMjAyMS5MLi5VU0QuSAEAAAAOEQQAAgAAAAgyMDAuMjk2MgEIAAAABQAAAAExAQAAAAstMjA2MDk0MTQxOAMAAAADMTYwAgAAAAQ0MTk0BAAAAAEwBwAAAAoxMi8zMS8yMDIxCAAAAAoxMi8zMS8yMDIxCQAAAAEwCRHHikQl3giaPYGLRCXeCD1DSVEuRFZOLklRX1RPVEFMX1JFVl8xWVJfQU5OX0dST1dUSC5JUV9DUS4xMi8zMS8yMDEzLkwuLlVTRC5IAQAAAA4RBAACAAAABjYuMDAxNQEIAAAABQAAAAExAQAAAAoxNzIwMDc2MjUyAwAAAAMxNjACAAAABDQxOTQEAAAAATAHAAAACjEyLzMxLzIwMTMIAAAACjEyLzMxLzIwMTMJAAAAATBuK4qJRCXeCOV2U4tEJd4IPENJUS5EVk4uSVFfVE9UQUxfUkVWXzFZUl9BTk5fR1JPV1RILklRX0NRLjYvMzAvMjAyMC5MLi5VU0QuSAEAAAAOEQQAAgAAAAgtNTUuNDkzMgEIAAAABQAAAAExAQAAAAstMjEyMzg1NzI3MQMAAAADMTYwAgAAAAQ0MTk0BAAAAAEwBwAAAAk2LzMwLzIwMjAIAAAA</t>
  </si>
  <si>
    <t>CTYvMzAvMjAyMAkAAAABMClfx4pEJd4Iwjh6i0Ql3gg8Q0lRLkRWTi5JUV9UT1RBTF9SRVZfMVlSX0FOTl9HUk9XVEguSVFfQ1EuMy8zMS8yMDE3LkwuLlVTRC5IAQAAAA4RBAACAAAABzEzLjgzNDkBCAAAAAUAAAABMQEAAAAKMTg5ODExMDYzMwMAAAADMTYwAgAAAAQ0MTk0BAAAAAEwBwAAAAkzLzMxLzIwMTcIAAAACTMvMzEvMjAxNwkAAAABMI2giolEJd4IwNNoi0Ql3gg8Q0lRLkRWTi5JUV9UT1RBTF9SRVZfMVlSX0FOTl9HUk9XVEguSVFfQ1EuNi8zMC8yMDE3LkwuLlVTRC5IAQAAAA4RBAACAAAACC0xOC4wNTU2AQgAAAAFAAAAATEBAAAACjE4OTgxMDkwNjYDAAAAAzE2MAIAAAAENDE5NAQAAAABMAcAAAAJNi8zMC8yMDE3CAAAAAk2LzMwLzIwMTcJAAAAATCNoIqJRCXeCFGBaotEJd4IPENJUS5EVk4uSVFfVE9UQUxfUkVWXzFZUl9BTk5fR1JPV1RILklRX0NRLjkvMzAvMjAyMi5MLi5VU0QuSAEAAAAOEQQAAgAAAAczNi4zODUxAQgAAAAFAAAAATEBAAAACy0yMDIwNDYwNDkxAwAAAAMxNjACAAAABDQxOTQEAAAAATAHAAAACTkvMzAvMjAyMggAAAAJOS8zMC8yMDIyCQAAAAEw/unGikQl3ggMwISLRCXeCDxDSVEuRFZOLklRX1RPVEFMX1JFVl8xWVJfQU5OX0dST1dUSC5JUV9DUS45LzMwLzIwMjUuTC4uVVNELkgBAAAADhEEAAIAAAAGNy4xMTA4AQgAAAAFAAAAATEBAAAACy0xOTE4MDI5MDU5</t>
  </si>
  <si>
    <t>AwAAAAMxNjACAAAABDQxOTQEAAAAATAHAAAACTkvMzAvMjAyNQgAAAAJOS8zMC8yMDI1CQAAAAEw2vzZikQl3ghjaZOLRCXeCDxDSVEuRFZOLklRX1RPVEFMX1JFVl8xWVJfQU5OX0dST1dUSC5JUV9DUS45LzMwLzIwMTEuTC4uVVNELkgBAAAADhEEAAIAAAAHMjkuMDQ5MgEIAAAABQAAAAExAQAAAAoxNTc1MDQ3NzA4AwAAAAMxNjACAAAABDQxOTQEAAAAATAHAAAACTkvMzAvMjAxMQgAAAAJOS8zMC8yMDExCQAAAAEw5+R8iUQl3gjgpUiLRCXeCDxDSVEuRFZOLklRX1RPVEFMX1JFVl8xWVJfQU5OX0dST1dUSC5JUV9DUS45LzMwLzIwMjAuTC4uVVNELkgBAAAADhEEAAIAAAAILTI2LjA3MzEBCAAAAAUAAAABMQEAAAALLTIxMjM4NTc0NDMDAAAAAzE2MAIAAAAENDE5NAQAAAABMAcAAAAJOS8zMC8yMDIwCAAAAAk5LzMwLzIwMjAJAAAAATApX8eKRCXeCE2Ye4tEJd4IPENJUS5EVk4uSVFfVE9UQUxfUkVWXzFZUl9BTk5fR1JPV1RILklRX0NRLjkvMzAvMjAyMS5MLi5VU0QuSAEAAAAOEQQAAgAAAAcyMjkuMzc2AQgAAAAFAAAAATEBAAAACy0yMDcyMzY1NTk2AwAAAAMxNjACAAAABDQxOTQEAAAAATAHAAAACTkvMzAvMjAyMQgAAAAJOS8zMC8yMDIxCQAAAAEwCRHHikQl3ghELICLRCXeCDxDSVEuRFZOLklRX1RPVEFMX1JFVl8xWVJfQU5OX0dST1dUSC5JUV9DUS42LzMwLzIwMTIuTC4uVVNELkgBAAAA</t>
  </si>
  <si>
    <t>DhEEAAIAAAAILTMyLjYzODkBCAAAAAUAAAABMQEAAAAKMTY0MzkwNTMwNAMAAAADMTYwAgAAAAQ0MTk0BAAAAAEwBwAAAAk2LzMwLzIwMTIIAAAACTYvMzAvMjAxMgkAAAABMKuHmIlEJd4IzCBMi0Ql3gg9Q0lRLkRWTi5JUV9UT1RBTF9SRVZfMVlSX0FOTl9HUk9XVEguSVFfQ1EuMTIvMzEvMjAwOS5MLi5VU0QuSAEAAAAOEQQAAgAAAAc2OC43MTAxAQgAAAAFAAAAATEBAAAACjE0MzMzMTc2NzkDAAAAAzE2MAIAAAAENDE5NAQAAAABMAcAAAAKMTIvMzEvMjAwOQgAAAAKMTIvMzEvMjAwOQkAAAABMAYzfYlEJd4I8RFBi0Ql3gg8Q0lRLkRWTi5JUV9UT1RBTF9SRVZfMVlSX0FOTl9HUk9XVEguSVFfQ1EuNi8zMC8yMDExLkwuLlVTRC5IAQAAAA4RBAACAAAABzI3Ljc5MDcBCAAAAAUAAAABMQEAAAAKMTU1NzIwNjcwNAMAAAADMTYwAgAAAAQ0MTk0BAAAAAEwBwAAAAk2LzMwLzIwMTEIAAAACTYvMzAvMjAxMQkAAAABMOfkfIlEJd4IiFNHi0Ql3gg8Q0lRLkRWTi5JUV9UT1RBTF9SRVZfMVlSX0FOTl9HUk9XVEguSVFfQ1EuMy8zMS8yMDE1LkwuLlVTRC5IAQAAAA4RBAACAAAACC0yNy44NjE2AQgAAAAFAAAAATEBAAAACjE4MDE2Mjc3NjQDAAAAAzE2MAIAAAAENDE5NAQAAAABMAcAAAAJMy8zMS8yMDE1CAAAAAkzLzMxLzIwMTUJAAAAATDbvXyJRCXeCEK0W4tEJd4IPENJUS5EVk4uSVFfVE9UQUxfUkVW</t>
  </si>
  <si>
    <t>XzFZUl9BTk5fR1JPV1RILklRX0NRLjYvMzAvMjAyMi5MLi5VU0QuSAEAAAAOEQQAAgAAAAc4OC4zMTUyAQgAAAAFAAAAATEBAAAACy0yMDIwNDU3NzU1AwAAAAMxNjACAAAABDQxOTQEAAAAATAHAAAACTYvMzAvMjAyMggAAAAJNi8zMC8yMDIyCQAAAAEw/unGikQl3gilroOLRCXeCD1DSVEuRFZOLklRX1RPVEFMX1JFVl8xWVJfQU5OX0dST1dUSC5JUV9DUS4xMi8zMS8yMDE3LkwuLlVTRC5IAQAAAA4RBAACAAAACC0xNS4wNjc1AQgAAAAFAAAAATEBAAAACjE5NDYyODQ1NTkDAAAAAzE2MAIAAAAENDE5NAQAAAABMAcAAAAKMTIvMzEvMjAxNwgAAAAKMTIvMzEvMjAxNwkAAAABMHp5iolEJd4ImY5ti0Ql3gg8Q0lRLkRWTi5JUV9UT1RBTF9SRVZfMVlSX0FOTl9HUk9XVEguSVFfQ1EuNi8zMC8yMDEwLkwuLlVTRC5IAQAAAA4RBAACAAAABzE2LjI5NTQBCAAAAAUAAAABMQEAAAAKMTQ2NTcxNDM5NgMAAAADMTYwAgAAAAQ0MTk0BAAAAAEwBwAAAAk2LzMwLzIwMTAIAAAACTYvMzAvMjAxMAkAAAABMAYzfYlEJd4I2Q1Di0Ql3gg8Q0lRLkRWTi5JUV9UT1RBTF9SRVZfMVlSX0FOTl9HUk9XVEguSVFfQ1EuNi8zMC8yMDIxLkwuLlVTRC5IAQAAAA4RBAACAAAACDMxMi45MDMyAQgAAAAFAAAAATEBAAAACy0yMDcyMzYyMTg2AwAAAAMxNjACAAAABDQxOTQEAAAAATAHAAAACTYvMzAvMjAyMQgAAAAJNi8zMC8y</t>
  </si>
  <si>
    <t>MDIxCQAAAAEwCRHHikQl3gis836LRCXeCDxDSVEuRFZOLklRX1RPVEFMX1JFVl8xWVJfQU5OX0dST1dUSC5JUV9DUS45LzMwLzIwMTguTC4uVVNELkgBAAAADhEEAAIAAAAHMTAuMDE1OAEIAAAABQAAAAExAQAAAAoxOTkwODE1NDI0AwAAAAMxNjACAAAABDQxOTQEAAAAATAHAAAACTkvMzAvMjAxOAgAAAAJOS8zMC8yMDE4CQAAAAEwa1KKiUQl3gh0InKLRCXeCDxDSVEuRFZOLklRX1RPVEFMX1JFVl8xWVJfQU5OX0dST1dUSC5JUV9DUS4zLzMxLzIwMjMuTC4uVVNELkgBAAAADhEEAAIAAAAILTE0LjU4OTEBCAAAAAUAAAABMQEAAAALLTE5ODQyMjE3ODIDAAAAAzE2MAIAAAAENDE5NAQAAAABMAcAAAAJMy8zMS8yMDIzCAAAAAkzLzMxLzIwMjMJAAAAATDlStqKRCXeCBAKh4tEJd4IPENJUS5EVk4uSVFfVE9UQUxfUkVWXzFZUl9BTk5fR1JPV1RILklRX0NRLjMvMzEvMjAxMy5MLi5VU0QuSAEAAAAOEQQAAgAAAAYtMC4zNDgBCAAAAAUAAAABMQEAAAAKMTY4OTg0MjQxNQMAAAADMTYwAgAAAAQ0MTk0BAAAAAEwBwAAAAkzLzMxLzIwMTMIAAAACTMvMzEvMjAxMwkAAAABMJhgmIlEJd4IQ39Pi0Ql3gg9Q0lRLkRWTi5JUV9UT1RBTF9SRVZfMVlSX0FOTl9HUk9XVEguSVFfQ1EuMTIvMzEvMjAxNS5MLi5VU0QuSAEAAAAOEQQAAgAAAAgtMzEuMzI1OQEIAAAABQAAAAExAQAAAAoxODI3ODcwNTQ2AwAAAAMx</t>
  </si>
  <si>
    <t>NjACAAAABDQxOTQEAAAAATAHAAAACjEyLzMxLzIwMTUIAAAACjEyLzMxLzIwMTUJAAAAATCm7oqJRCXeCGK9YItEJd4IPENJUS5EVk4uSVFfVE9UQUxfUkVWXzFZUl9BTk5fR1JPV1RILklRX0NRLjkvMzAvMjAxOS5MLi5VU0QuSAEAAAAOEQQAAgAAAAgtMjQuODA3NAEIAAAABQAAAAExAQAAAAoyMDY3MzQxMzgwAwAAAAMxNjACAAAABDQxOTQEAAAAATAHAAAACTkvMzAvMjAxOQgAAAAJOS8zMC8yMDE5CQAAAAEwSIbHikQl3ghNtnaLRCXeCD1DSVEuRFZOLklRX1RPVEFMX1JFVl8xWVJfQU5OX0dST1dUSC5JUV9DUS4xMi8zMS8yMDE0LkwuLlVTRC5IAQAAAA4RBAACAAAABzQ4LjM0NTUBCAAAAAUAAAABMQEAAAAKMTc3NjczOTg5NAMAAAADMTYwAgAAAAQ0MTk0BAAAAAEwBwAAAAoxMi8zMS8yMDE0CAAAAAoxMi8zMS8yMDE0CQAAAAEw5+R8iUQl3gioLVqLRCXeCD1DSVEuRFZOLklRX1RPVEFMX1JFVl8xWVJfQU5OX0dST1dUSC5JUV9DUS4xMi8zMS8yMDIyLkwuLlVTRC5IAQAAAA4RBAACAAAABjIuMTcwNgEIAAAABQAAAAExAQAAAAstMjAwODIyMjE5NgMAAAADMTYwAgAAAAQ0MTk0BAAAAAEwBwAAAAoxMi8zMS8yMDIyCAAAAAoxMi8zMS8yMDIyCQAAAAEw/unGikQl3giM+IWLRCXeCDxDSVEuRFZOLklRX1RPVEFMX1JFVl8xWVJfQU5OX0dST1dUSC5JUV9DUS4zLzMxLzIwMTEuTC4uVVNELkgBAAAA</t>
  </si>
  <si>
    <t>DhEEAAIAAAAHLTExLjA5OAEIAAAABQAAAAExAQAAAAoxNTQ0OTUyMzg4AwAAAAMxNjACAAAABDQxOTQEAAAAATAHAAAACTMvMzEvMjAxMQgAAAAJMy8zMS8yMDExCQAAAAEw9Qt9iUQl3ggPQkaLRCXeCD1DSVEuRFZOLklRX1RPVEFMX1JFVl8xWVJfQU5OX0dST1dUSC5JUV9DUS4xMi8zMS8yMDEyLkwuLlVTRC5IAQAAAA4RBAACAAAABy0yLjM5NjQBCAAAAAUAAAABMQEAAAAKMTY2MDg5Nzk5NgMAAAADMTYwAgAAAAQ0MTk0BAAAAAEwBwAAAAoxMi8zMS8yMDEyCAAAAAoxMi8zMS8yMDEyCQAAAAEwq4eYiUQl3gjcbU6LRCXeCDxDSVEuRFZOLklRX1RPVEFMX1JFVl8xWVJfQU5OX0dST1dUSC5JUV9DUS4zLzMxLzIwMTYuTC4uVVNELkgBAAAADhEEAAIAAAAILTI5LjQwMzgBCAAAAAUAAAABMQEAAAAKMTg0MDE3NzU2OAMAAAADMTYwAgAAAAQ0MTk0BAAAAAEwBwAAAAkzLzMxLzIwMTYIAAAACTMvMzEvMjAxNgkAAAABMKHHiolEJd4IDWtii0Ql3gg9Q0lRLkRWTi5JUV9UT1RBTF9SRVZfMVlSX0FOTl9HUk9XVEguSVFfQ1EuMTIvMzEvMjAxOC5MLi5VU0QuSAEAAAAOEQQAAgAAAAcyNC4yMjY4AQgAAAAFAAAAATEBAAAACjIwMTU5NDg2MDADAAAAAzE2MAIAAAAENDE5NAQAAAABMAcAAAAKMTIvMzEvMjAxOAgAAAAKMTIvMzEvMjAxOAkAAAABMPULfYlEJd4I4DNzi0Ql3gg9Q0lRLkRWTi5JUV9UT1RBTF9S</t>
  </si>
  <si>
    <t>RVZfMVlSX0FOTl9HUk9XVEguSVFfQ1EuMTIvMzEvMjAyMC5MLi5VU0QuSAEAAAAOEQQAAgAAAAgtMTcuNDgxNwEIAAAABQAAAAExAQAAAAstMjExMjEwMDQzNQMAAAADMTYwAgAAAAQ0MTk0BAAAAAEwBwAAAAoxMi8zMS8yMDIwCAAAAAoxMi8zMS8yMDIwCQAAAAEwMTjHikQl3gi6qXyLRCXeCD1DSVEuRFZOLklRX1RPVEFMX1JFVl8xWVJfQU5OX0dST1dUSC5JUV9DUS4xMi8zMS8yMDEwLkwuLlVTRC5IAQAAAA4RBAACAAAABjEuMTc5OAEIAAAABQAAAAExAQAAAAoxNTIzNzIxMzkzAwAAAAMxNjACAAAABDQxOTQEAAAAATAHAAAACjEyLzMxLzIwMTAIAAAACjEyLzMxLzIwMTAJAAAAATD1C32JRCXeCJAJRYtEJd4IPENJUS5EVk4uSVFfVE9UQUxfUkVWXzFZUl9BTk5fR1JPV1RILklRX0NRLjMvMzEvMjAxOC5MLi5VU0QuSAEAAAAOEQQAAgAAAAgtMjIuMzAyOAEIAAAABQAAAAExAQAAAAoxOTc0Njk4Mzc3AwAAAAMxNjACAAAABDQxOTQEAAAAATAHAAAACTMvMzEvMjAxOAgAAAAJMy8zMS8yMDE4CQAAAAEwenmKiUQl3ghcY2+LRCXeCDxDSVEuRFZOLklRX1RPVEFMX1JFVl8xWVJfQU5OX0dST1dUSC5JUV9DUS4zLzMxLzIwMjIuTC4uVVNELkgBAAAADhEEAAIAAAAHNzIuNjkxOQEIAAAABQAAAAExAQAAAAstMjAzNTg3MTM2MgMAAAADMTYwAgAAAAQ0MTk0BAAAAAEwBwAAAAkzLzMxLzIwMjIIAAAACTMv</t>
  </si>
  <si>
    <t>MzEvMjAyMgkAAAABMAkRx4pEJd4IJXaCi0Ql3gg9Q0lRLkRWTi5JUV9UT1RBTF9SRVZfMVlSX0FOTl9HUk9XVEguSVFfQ1EuMTIvMzEvMjAyNC5MLi5VU0QuSAEAAAAOEQQAAgAAAAcxNy42NDIyAQgAAAAFAAAAATEBAAAACy0xOTU5MDI4ODkwAwAAAAMxNjACAAAABDQxOTQEAAAAATAHAAAACjEyLzMxLzIwMjQIAAAACjEyLzMxLzIwMjQJAAAAATDqI9qKRCXeCMpxj4tEJd4IPUNJUS5EVk4uSVFfVE9UQUxfUkVWXzFZUl9BTk5fR1JPV1RILklRX0NRLjEyLzMxLzIwMTYuTC4uVVNELkgBAAAADhEEAAIAAAAHLTEuMDgyNwEIAAAABQAAAAExAQAAAAoxODc1NTEyOTM5AwAAAAMxNjACAAAABDQxOTQEAAAAATAHAAAACjEyLzMxLzIwMTYIAAAACjEyLzMxLzIwMTYJAAAAATCNoIqJRCXeCAhNZ4tEJd4IPENJUS5EVk4uSVFfVE9UQUxfUkVWXzFZUl9BTk5fR1JPV1RILklRX0NRLjMvMzEvMjAyMC5MLi5VU0QuSAEAAAAOEQQAAgAAAAgtMjAuODEyOQEIAAAABQAAAAExAQAAAAstMjE0MDAyNDA1NwMAAAADMTYwAgAAAAQ0MTk0BAAAAAEwBwAAAAkzLzMxLzIwMjAIAAAACTMvMzEvMjAyMAkAAAABMClfx4pEJd4IRwB5i0Ql3gg8Q0lRLkRWTi5JUV9UT1RBTF9SRVZfMVlSX0FOTl9HUk9XVEguSVFfQ1EuMy8zMS8yMDI0LkwuLlVTRC5IAQAAAA4RBAACAAAABy0xLjE5OTIBCAAAAAUAAAABMQEAAAALLTE5MzI4</t>
  </si>
  <si>
    <t>ODI1OTADAAAAAzE2MAIAAAAENDE5NAQAAAABMAcAAAAJMy8zMS8yMDI0CAAAAAkzLzMxLzIwMjQJAAAAATDlStqKRCXeCFnvi4tEJd4IPENJUS5EVk4uSVFfVE9UQUxfUkVWXzFZUl9BTk5fR1JPV1RILklRX0NRLjMvMzEvMjAxMi5MLi5VU0QuSAEAAAAOEQQAAgAAAAYxLjc3MDYBCAAAAAUAAAABMQEAAAAKMTYxNTE4MDA1OAMAAAADMTYwAgAAAAQ0MTk0BAAAAAEwBwAAAAkzLzMxLzIwMTIIAAAACTMvMzEvMjAxMgkAAAABMNu9fIlEJd4ITPhKi0Ql3gg8Q0lRLkRWTi5JUV9UT1RBTF9SRVZfMVlSX0FOTl9HUk9XVEguSVFfQ1EuMy8zMS8yMDE0LkwuLlVTRC5IAQAAAA4RBAACAAAABzc2LjU2MDQBCAAAAAUAAAABMQEAAAAKMTczMjk5MzY3NwMAAAADMTYwAgAAAAQ0MTk0BAAAAAEwBwAAAAkzLzMxLzIwMTQIAAAACTMvMzEvMjAxNAkAAAABMFAEiolEJd4InCRVi0Ql3gg8Q0lRLkRWTi5JUV9UT1RBTF9SRVZfMVlSX0FOTl9HUk9XVEguSVFfQ1EuMy8zMS8yMDEwLkwuLlVTRC5IAQAAAA4RBAACAAAABzQ4LjI0OTcBCAAAAAUAAAABMQEAAAAKMTQ1MTI2MjY1NwMAAAADMTYwAgAAAAQ0MTk0BAAAAAEwBwAAAAkzLzMxLzIwMTAIAAAACTMvMzEvMjAxMAkAAAABMAYzfYlEJd4IYyNCi0Ql3ggzQ0lRLkRWTi5JUV9UT1RBTF9SRVZFTlVFLklRX0xUTS4xMi8zMS8yMDEyLkwuLlVTRC5IAQAAAA4RBAACAAAA</t>
  </si>
  <si>
    <t>BDg4MDgBCAAAAAUAAAABMQEAAAAKMTcyMDA3NTgyOAMAAAADMTYwAgAAAAIyOAQAAAABMAcAAAAKMTIvMzEvMjAxMggAAAAKMTIvMzEvMjAxMgkAAAABMKuHmIlEJd4I4pROi0Ql3ggyQ0lRLkRWTi5JUV9UT1RBTF9SRVZFTlVFLklRX0xUTS4zLzMxLzIwMTQuTC4uVVNELkgBAAAADhEEAAIAAAAFMTIzNDIBCAAAAAUAAAABMQEAAAAKMTczMzAwNTk5NAMAAAADMTYwAgAAAAIyOAQAAAABMAcAAAAJMy8zMS8yMDE0CAAAAAkzLzMxLzIwMTQJAAAAATBQBIqJRCXeCKVLVYtEJd4IM0NJUS5EVk4uSVFfVE9UQUxfUkVWRU5VRS5JUV9MVE0uMTIvMzEvMjAxNi5MLi5VU0QuSAEAAAAOEQQAAgAAAAQ2NjA0AQgAAAAFAAAAATEBAAAACjE5NDYyODQ1NTYDAAAAAzE2MAIAAAACMjgEAAAAATAHAAAACjEyLzMxLzIwMTYIAAAACjEyLzMxLzIwMTYJAAAAATCNoIqJRCXeCCV0Z4tEJd4IMkNJUS5EVk4uSVFfVE9UQUxfUkVWRU5VRS5JUV9MVE0uMy8zMS8yMDE4LkwuLlVTRC5IAQAAAA4RBAACAAAABDgxNjEBCAAAAAUAAAABMQEAAAAKMTk3NDY5ODM3OQMAAAADMTYwAgAAAAIyOAQAAAABMAcAAAAJMy8zMS8yMDE4CAAAAAkzLzMxLzIwMTgJAAAAATB6eYqJRCXeCIqKb4tEJd4IM0NJUS5EVk4uSVFfVE9UQUxfUkVWRU5VRS5JUV9MVE0uMTIvMzEvMjAyMC5MLi5VU0QuSAEAAAAOEQQAAgAAAAQ0NjczAQgAAAAFAAAA</t>
  </si>
  <si>
    <t>ATEBAAAACy0yMDYwOTQxMzk2AwAAAAMxNjACAAAAAjI4BAAAAAEwBwAAAAoxMi8zMS8yMDIwCAAAAAoxMi8zMS8yMDIwCQAAAAEwMTjHikQl3gjM0HyLRCXeCDJDSVEuRFZOLklRX1RPVEFMX1JFVkVOVUUuSVFfTFRNLjYvMzAvMjAyMy5MLi5VU0QuSAEAAAAOEQQAAgAAAAUxNjA4NAEIAAAABQAAAAExAQAAAAstMTk3MDM5ODA4MgMAAAADMTYwAgAAAAIyOAQAAAABMAcAAAAJNi8zMC8yMDIzCAAAAAk2LzMwLzIwMjMJAAAAATDlStqKRCXeCI9piItEJd4IMkNJUS5EVk4uSVFfVE9UQUxfUkVWRU5VRS5JUV9MVE0uNi8zMC8yMDEyLkwuLlVTRC5IAQAAAA4RBAACAAAABDk0NzIBCAAAAAUAAAABMQEAAAAKMTY0MzkwNTMwNQMAAAADMTYwAgAAAAIyOAQAAAABMAcAAAAJNi8zMC8yMDEyCAAAAAk2LzMwLzIwMTIJAAAAATCrh5iJRCXeCLpdTItEJd4IMkNJUS5EVk4uSVFfVE9UQUxfUkVWRU5VRS5JUV9MVE0uMy8zMS8yMDE1LkwuLlVTRC5IAQAAAA4RBAACAAAABTE2NDUwAQgAAAAFAAAAATEBAAAACjE4MDE2Mjc3NjYDAAAAAzE2MAIAAAACMjgEAAAAATAHAAAACTMvMzEvMjAxNQgAAAAJMy8zMS8yMDE1CQAAAAEw2718iUQl3ghqAlyLRCXeCDJDSVEuRFZOLklRX1RPVEFMX1JFVkVOVUUuSVFfTFRNLjYvMzAvMjAxOS5MLi5VU0QuSAEAAAAOEQQAAgAAAAQ4MTk0AQgAAAAFAAAAATEBAAAACjIwNDkwMDQ1</t>
  </si>
  <si>
    <t>MDUDAAAAAzE2MAIAAAACMjgEAAAAATAHAAAACTYvMzAvMjAxOQgAAAAJNi8zMC8yMDE5CQAAAAEwSIbHikQl3gjhpHWLRCXeCDJDSVEuRFZOLklRX1RPVEFMX1JFVkVOVUUuSVFfTFRNLjYvMzAvMjAyNC5MLi5VU0QuSAEAAAAOEQQAAgAAAAUxNDc2MgEIAAAABQAAAAExAQAAAAstMTkxODAyNzMxMwMAAAADMTYwAgAAAAIyOAQAAAABMAcAAAAJNi8zMC8yMDI0CAAAAAk2LzMwLzIwMjQJAAAAATDqI9qKRCXeCNgnjYtEJd4IMkNJUS5EVk4uSVFfVE9UQUxfUkVWRU5VRS5JUV9MVE0uNi8zMC8yMDE4LkwuLlVTRC5IAQAAAA4RBAACAAAABDc4OTUBCAAAAAUAAAABMQEAAAAKMTk3NDY5ODEyOQMAAAADMTYwAgAAAAIyOAQAAAABMAcAAAAJNi8zMC8yMDE4CAAAAAk2LzMwLzIwMTgJAAAAATBrUoqJRCXeCAoRcYtEJd4IMkNJUS5EVk4uSVFfVE9UQUxfUkVWRU5VRS5JUV9MVE0uNi8zMC8yMDIyLkwuLlVTRC5IAQAAAA4RBAACAAAABTE3NDAyAQgAAAAFAAAAATEBAAAACy0yMDIwNDU3NzU0AwAAAAMxNjACAAAAAjI4BAAAAAEwBwAAAAk2LzMwLzIwMjIIAAAACTYvMzAvMjAyMgkAAAABMP7pxopEJd4Ipa6Di0Ql3ggyQ0lRLkRWTi5JUV9UT1RBTF9SRVZFTlVFLklRX0xUTS42LzMwLzIwMTEuTC4uVVNELkgBAAAADhEEAAIAAAAEOTIzMgEIAAAABQAAAAExAQAAAAoxNTU3MjE2NjQxAwAAAAMxNjACAAAAAjI4</t>
  </si>
  <si>
    <t>BAAAAAEwBwAAAAk2LzMwLzIwMTEIAAAACTYvMzAvMjAxMQkAAAABMOfkfIlEJd4IuaFHi0Ql3ggyQ0lRLkRWTi5JUV9UT1RBTF9SRVZFTlVFLklRX0xUTS42LzMwLzIwMTYuTC4uVVNELkgBAAAADhEEAAIAAAAFMTA1NjIBCAAAAAUAAAABMQEAAAAKMTg2MzY4Mzg2NAMAAAADMTYwAgAAAAIyOAQAAAABMAcAAAAJNi8zMC8yMDE2CAAAAAk2LzMwLzIwMTYJAAAAATChx4qJRCXeCNA/ZItEJd4IMkNJUS5EVk4uSVFfVE9UQUxfUkVWRU5VRS5JUV9MVE0uMy8zMS8yMDE5LkwuLlVTRC5IAQAAAA4RBAACAAAABDg0NTABCAAAAAUAAAABMQEAAAAKMjA0OTAwNDgwNwMAAAADMTYwAgAAAAIyOAQAAAABMAcAAAAJMy8zMS8yMDE5CAAAAAkzLzMxLzIwMTkJAAAAATD1C32JRCXeCGqTdItEJd4IMkNJUS5EVk4uSVFfVE9UQUxfUkVWRU5VRS5JUV9MVE0uNi8zMC8yMDEzLkwuLlVTRC5IAQAAAA4RBAACAAAABDk2NzkBCAAAAAUAAAABMQEAAAAKMTcwNDk2OTYwNAMAAAADMTYwAgAAAAIyOAQAAAABMAcAAAAJNi8zMC8yMDEzCAAAAAk2LzMwLzIwMTMJAAAAATBrUoqJRCXeCNDeUItEJd4IMkNJUS5EVk4uSVFfVE9UQUxfUkVWRU5VRS5JUV9MVE0uOS8zMC8yMDE3LkwuLlVTRC5IAQAAAA4RBAACAAAABDkwOTcBCAAAAAUAAAABMQEAAAAKMTkyMDI4MzM3NwMAAAADMTYwAgAAAAIyOAQAAAABMAcAAAAJOS8zMC8yMDE3</t>
  </si>
  <si>
    <t>CAAAAAk5LzMwLzIwMTcJAAAAATB6eYqJRCXeCBBWbItEJd4IMkNJUS5EVk4uSVFfVE9UQUxfUkVWRU5VRS5JUV9MVE0uNi8zMC8yMDEwLkwuLlVTRC5IAQAAAA4RBAACAAAABDg2MjYBCAAAAAUAAAABMQEAAAAKMTQ2NTcyMTA1NwMAAAADMTYwAgAAAAIyOAQAAAABMAcAAAAJNi8zMC8yMDEwCAAAAAk2LzMwLzIwMTAJAAAAATAGM32JRCXeCNY0Q4tEJd4IMkNJUS5EVk4uSVFfVE9UQUxfUkVWRU5VRS5JUV9MVE0uOS8zMC8yMDExLkwuLlVTRC5IAQAAAA4RBAACAAAABDk4NDABCAAAAAUAAAABMQEAAAAKMTU3NTA2MzY2NAMAAAADMTYwAgAAAAIyOAQAAAABMAcAAAAJOS8zMC8yMDExCAAAAAk5LzMwLzIwMTEJAAAAATDn5HyJRCXeCDDhSItEJd4IMkNJUS5EVk4uSVFfVE9UQUxfUkVWRU5VRS5JUV9MVE0uMy8zMS8yMDE2LkwuLlVTRC5IAQAAAA4RBAACAAAABTExNTg2AQgAAAAFAAAAATEBAAAACjE4NDAxNzkxMDcDAAAAAzE2MAIAAAACMjgEAAAAATAHAAAACTMvMzEvMjAxNggAAAAJMy8zMS8yMDE2CQAAAAEwoceKiUQl3ggjuWKLRCXeCDJDSVEuRFZOLklRX1RPVEFMX1JFVkVOVUUuSVFfTFRNLjkvMzAvMjAyMS5MLi5VU0QuSAEAAAAOEQQAAgAAAAUxMDQxMwEIAAAABQAAAAExAQAAAAstMjA3MjM2MjI2OAMAAAADMTYwAgAAAAIyOAQAAAABMAcAAAAJOS8zMC8yMDIxCAAAAAk5LzMwLzIwMjEJAAAA</t>
  </si>
  <si>
    <t>ATAJEceKRCXeCD9TgItEJd4IMkNJUS5EVk4uSVFfVE9UQUxfUkVWRU5VRS5JUV9MVE0uMy8zMS8yMDI0LkwuLlVTRC5IAQAAAA4RBAACAAAABTE0Mzg2AQgAAAAFAAAAATEBAAAACy0xOTMyODgyNTg5AwAAAAMxNjACAAAAAjI4BAAAAAEwBwAAAAkzLzMxLzIwMjQIAAAACTMvMzEvMjAyNAkAAAABMOVK2opEJd4IRMiLi0Ql3ggzQ0lRLkRWTi5JUV9UT1RBTF9SRVZFTlVFLklRX0xUTS4xMi8zMS8yMDE0LkwuLlVTRC5IAQAAAA4RBAACAAAABTE3MjE3AQgAAAAFAAAAATEBAAAACjE4Mjc4NzA1MDMDAAAAAzE2MAIAAAACMjgEAAAAATAHAAAACjEyLzMxLzIwMTQIAAAACjEyLzMxLzIwMTQJAAAAATDbvXyJRCXeCL5UWotEJd4IMkNJUS5EVk4uSVFfVE9UQUxfUkVWRU5VRS5JUV9MVE0uMy8zMS8yMDEzLkwuLlVTRC5IAQAAAA4RBAACAAAABDg4MDABCAAAAAUAAAABMQEAAAAKMTY4OTg0MjQ0MAMAAAADMTYwAgAAAAIyOAQAAAABMAcAAAAJMy8zMS8yMDEzCAAAAAkzLzMxLzIwMTMJAAAAATCYYJiJRCXeCGXNT4tEJd4IMkNJUS5EVk4uSVFfVE9UQUxfUkVWRU5VRS5JUV9MVE0uMy8zMS8yMDIwLkwuLlVTRC5IAQAAAA4RBAACAAAABDYwODUBCAAAAAUAAAABMQEAAAALLTIxNDAwMjQwNTUDAAAAAzE2MAIAAAACMjgEAAAAATAHAAAACTMvMzEvMjAyMAgAAAAJMy8zMS8yMDIwCQAAAAEwKV/HikQl3ghSJ3mL</t>
  </si>
  <si>
    <t>RCXeCDJDSVEuRFZOLklRX1RPVEFMX1JFVkVOVUUuSVFfTFRNLjMvMzEvMjAyMy5MLi5VU0QuSAEAAAAOEQQAAgAAAAUxODI4OQEIAAAABQAAAAExAQAAAAstMTk4NDIyMTc3NQMAAAADMTYwAgAAAAIyOAQAAAABMAcAAAAJMy8zMS8yMDIzCAAAAAkzLzMxLzIwMjMJAAAAATDlStqKRCXeCA4xh4tEJd4IMkNJUS5EVk4uSVFfVE9UQUxfUkVWRU5VRS5JUV9MVE0uMy8zMS8yMDExLkwuLlVTRC5IAQAAAA4RBAACAAAABDg2MzcBCAAAAAUAAAABMQEAAAAKMTU0NDk2ODkxMQMAAAADMTYwAgAAAAIyOAQAAAABMAcAAAAJMy8zMS8yMDExCAAAAAkzLzMxLzIwMTEJAAAAATD1C32JRCXeCCZpRotEJd4IMkNJUS5EVk4uSVFfVE9UQUxfUkVWRU5VRS5JUV9MVE0uMy8zMS8yMDEyLkwuLlVTRC5IAQAAAA4RBAACAAAABTEwMzY1AQgAAAAFAAAAATEBAAAACjE2MTUxOTM0MzQDAAAAAzE2MAIAAAACMjgEAAAAATAHAAAACTMvMzEvMjAxMggAAAAJMy8zMS8yMDEyCQAAAAEw2718iUQl3givM0uLRCXeCDJDSVEuRFZOLklRX1RPVEFMX1JFVkVOVUUuSVFfTFRNLjkvMzAvMjAxNS5MLi5VU0QuSAEAAAAOEQQAAgAAAAUxMzcwOAEIAAAABQAAAAExAQAAAAoxODE1OTcwNjA4AwAAAAMxNjACAAAAAjI4BAAAAAEwBwAAAAk5LzMwLzIwMTUIAAAACTkvMzAvMjAxNQkAAAABMMiWfIlEJd4IuzZfi0Ql3ggyQ0lRLkRWTi5JUV9U</t>
  </si>
  <si>
    <t>T1RBTF9SRVZFTlVFLklRX0xUTS42LzMwLzIwMTcuTC4uVVNELkgBAAAADhEEAAIAAAAEOTk3NAEIAAAABQAAAAExAQAAAAoxODk4MTEwNDUzAwAAAAMxNjACAAAAAjI4BAAAAAEwBwAAAAk2LzMwLzIwMTcIAAAACTYvMzAvMjAxNwkAAAABMI2giolEJd4IY6hqi0Ql3ggyQ0lRLkRWTi5JUV9UT1RBTF9SRVZFTlVFLklRX0xUTS4zLzMxLzIwMTcuTC4uVVNELkgBAAAADhEEAAIAAAAFMTA0NDIBCAAAAAUAAAABMQEAAAAKMTg5ODExMDYzOAMAAAADMTYwAgAAAAIyOAQAAAABMAcAAAAJMy8zMS8yMDE3CAAAAAkzLzMxLzIwMTcJAAAAATCNoIqJRCXeCLX6aItEJd4IM0NJUS5EVk4uSVFfVE9UQUxfUkVWRU5VRS5JUV9MVE0uMTIvMzEvMjAxOC5MLi5VU0QuSAEAAAAOEQQAAgAAAAQ4NDM5AQgAAAAFAAAAATEBAAAACjIwODA5OTg4MzUDAAAAAzE2MAIAAAACMjgEAAAAATAHAAAACjEyLzMxLzIwMTgIAAAACjEyLzMxLzIwMTgJAAAAATD1C32JRCXeCPRac4tEJd4IMkNJUS5EVk4uSVFfVE9UQUxfUkVWRU5VRS5JUV9MVE0uNi8zMC8yMDIxLkwuLlVTRC5IAQAAAA4RBAACAAAABDc3NjYBCAAAAAUAAAABMQEAAAALLTIwNzIzNjIxODUDAAAAAzE2MAIAAAACMjgEAAAAATAHAAAACTYvMzAvMjAyMQgAAAAJNi8zMC8yMDIxCQAAAAEwCRHHikQl3gjaGn+LRCXeCDJDSVEuRFZOLklRX1RPVEFMX1JFVkVOVUUuSVFf</t>
  </si>
  <si>
    <t>TFRNLjMvMzEvMjAxMC5MLi5VU0QuSAEAAAAOEQQAAgAAAAQ4MzI2AQgAAAAFAAAAATEBAAAACjE0NTEyNzY5NTEDAAAAAzE2MAIAAAACMjgEAAAAATAHAAAACTMvMzEvMjAxMAgAAAAJMy8zMS8yMDEwCQAAAAEwBjN9iUQl3ghvSkKLRCXeCCdDSVEuRFZOLklRX05JLklRX0xUTS42LzMwLzIwMTUuTC4uVVNELkgBAAAADhEEAAIAAAAFLTU4MDcBCAAAAAUAAAABMQEAAAAKMTgwMTYyNzc0MAMAAAADMTYwAgAAAAIxNQQAAAABMAcAAAAJNi8zMC8yMDE1CAAAAAk2LzMwLzIwMTUJAAAAATDIlnyJRCXeCNgTXYtEJd4IJ0NJUS5EVk4uSVFfTkkuSVFfTFRNLjkvMzAvMjAyMy5MLi5VU0QuSAEAAAAOEQQAAgAAAAQzNzk2AQgAAAAFAAAAATEBAAAACy0xOTcwMzk4NzE5AwAAAAMxNjACAAAAAjE1BAAAAAEwBwAAAAk5LzMwLzIwMjMIAAAACTkvMzAvMjAyMwkAAAABMOVK2opEJd4I3SyJi0Ql3ggnQ0lRLkRWTi5JUV9OSS5JUV9MVE0uNi8zMC8yMDIwLkwuLlVTRC5IAQAAAA4RBAACAAAABS0zMDE5AQgAAAAFAAAAATEBAAAACy0yMTIzODU3MjcwAwAAAAMxNjACAAAAAjE1BAAAAAEwBwAAAAk2LzMwLzIwMjAIAAAACTYvMzAvMjAyMAkAAAABMClfx4pEJd4IrhF6i0Ql3ggnQ0lRLkRWTi5JUV9OSS5JUV9MVE0uMy8zMS8yMDIyLkwuLlVTRC5IAQAAAA4RBAACAAAABDM1ODkBCAAAAAUAAAABMQEAAAALLTIwMzU4</t>
  </si>
  <si>
    <t>NzEzNTgDAAAAAzE2MAIAAAACMTUEAAAAATAHAAAACTMvMzEvMjAyMggAAAAJMy8zMS8yMDIyCQAAAAEwCRHHikQl3ggCKIKLRCXeCCdDSVEuRFZOLklRX05JLklRX0xUTS4zLzMxLzIwMTYuTC4uVVNELkgBAAAADhEEAAIAAAAGLTEzOTExAQgAAAAFAAAAATEBAAAACjE4NDAxNzkxMDcDAAAAAzE2MAIAAAACMTUEAAAAATAHAAAACTMvMzEvMjAxNggAAAAJMy8zMS8yMDE2CQAAAAEwoceKiUQl3ggCRGKLRCXeCCdDSVEuRFZOLklRX05JLklRX0xUTS42LzMwLzIwMTQuTC4uVVNELkgBAAAADhEEAAIAAAAEMTYzNQEIAAAABQAAAAExAQAAAAoxNzQ4ODY1NDY3AwAAAAMxNjACAAAAAjE1BAAAAAEwBwAAAAk2LzMwLzIwMTQIAAAACTYvMzAvMjAxNAkAAAABMFAEiolEJd4IF11Wi0Ql3ggnQ0lRLkRWTi5JUV9OSS5JUV9MVE0uMy8zMS8yMDEwLkwuLlVTRC5IAQAAAA4RBAACAAAABDI2NzIBCAAAAAUAAAABMQEAAAAKMTQ1MTI3Njk1MQMAAAADMTYwAgAAAAIxNQQAAAABMAcAAAAJMy8zMS8yMDEwCAAAAAkzLzMxLzIwMTAJAAAAATAGM32JRCXeCDCuQYtEJd4IJ0NJUS5EVk4uSVFfTkkuSVFfTFRNLjMvMzEvMjAyMS5MLi5VU0QuSAEAAAAOEQQAAgAAAAQtNjUxAQgAAAAFAAAAATEBAAAACy0yMDg2ODk4ODIwAwAAAAMxNjACAAAAAjE1BAAAAAEwBwAAAAkzLzMxLzIwMjEIAAAACTMvMzEvMjAyMQkAAAABMDE4</t>
  </si>
  <si>
    <t>x4pEJd4IMrt9i0Ql3ggoQ0lRLkRWTi5JUV9OSS5JUV9MVE0uMTIvMzEvMjAxNi5MLi5VU0QuSAEAAAAOEQQAAgAAAAUtMTA1NgEIAAAABQAAAAExAQAAAAoxOTQ2Mjg0NTU2AwAAAAMxNjACAAAAAjE1BAAAAAEwBwAAAAoxMi8zMS8yMDE2CAAAAAoxMi8zMS8yMDE2CQAAAAEwjaCKiUQl3gj2JWeLRCXeCCdDSVEuRFZOLklRX05JLklRX0xUTS4zLzMxLzIwMTUuTC4uVVNELkgBAAAADhEEAAIAAAAFLTIzMTYBCAAAAAUAAAABMQEAAAAKMTgwMTYyNzc2NgMAAAADMTYwAgAAAAIxNQQAAAABMAcAAAAJMy8zMS8yMDE1CAAAAAkzLzMxLzIwMTUJAAAAATDbvXyJRCXeCDqNW4tEJd4IKENJUS5EVk4uSVFfTkkuSVFfTFRNLjEyLzMxLzIwMTAuTC4uVVNELkgBAAAADhEEAAIAAAAENDU1MAEIAAAABQAAAAExAQAAAAoxNTg4ODAzMzMyAwAAAAMxNjACAAAAAjE1BAAAAAEwBwAAAAoxMi8zMS8yMDEwCAAAAAoxMi8zMS8yMDEwCQAAAAEw9Qt9iUQl3giE4kSLRCXeCCdDSVEuRFZOLklRX05JLklRX0xUTS42LzMwLzIwMTkuTC4uVVNELkgBAAAADhEEAAIAAAAEMzg2NAEIAAAABQAAAAExAQAAAAoyMDQ5MDA0NTA1AwAAAAMxNjACAAAAAjE1BAAAAAEwBwAAAAk2LzMwLzIwMTkIAAAACTYvMzAvMjAxOQkAAAABMMBvfIlEJd4IxFZ1i0Ql3ggnQ0lRLkRWTi5JUV9OSS5JUV9MVE0uNi8zMC8yMDI1LkwuLlVTRC5IAQAA</t>
  </si>
  <si>
    <t>AA4RBAACAAAABDI4NDQBCAAAAAUAAAABMQEAAAALLTE5MzI4ODI4MjIDAAAAAzE2MAIAAAACMTUEAAAAATAHAAAACTYvMzAvMjAyNQgAAAAJNi8zMC8yMDI1CQAAAAEw6iPaikQl3gi1u5GLRCXeCCdDSVEuRFZOLklRX05JLklRX0xUTS42LzMwLzIwMjQuTC4uVVNELkgBAAAADhEEAAIAAAAEMzUwMgEIAAAABQAAAAExAQAAAAstMTkxODAyNzMxMwMAAAADMTYwAgAAAAIxNQQAAAABMAcAAAAJNi8zMC8yMDI0CAAAAAk2LzMwLzIwMjQJAAAAATDlStqKRCXeCJmLjItEJd4IJ0NJUS5EVk4uSVFfTkkuSVFfTFRNLjkvMzAvMjAyMi5MLi5VU0QuSAEAAAAOEQQAAgAAAAQ2MzIwAQgAAAAFAAAAATEBAAAACy0yMDIwNDU4MTI0AwAAAAMxNjACAAAAAjE1BAAAAAEwBwAAAAk5LzMwLzIwMjIIAAAACTkvMzAvMjAyMgkAAAABMP7pxopEJd4IApmEi0Ql3ggnQ0lRLkRWTi5JUV9OSS5JUV9MVE0uOS8zMC8yMDExLkwuLlVTRC5IAQAAAA4RBAACAAAABDQ3NTkBCAAAAAUAAAABMQEAAAAKMTU3NTA2MzY2NAMAAAADMTYwAgAAAAIxNQQAAAABMAcAAAAJOS8zMC8yMDExCAAAAAk5LzMwLzIwMTEJAAAAATDn5HyJRCXeCEpqSItEJd4IJ0NJUS5EVk4uSVFfTkkuSVFfTFRNLjkvMzAvMjAxMi5MLi5VU0QuSAEAAAAOEQQAAgAAAAM2NTgBCAAAAAUAAAABMQEAAAAKMTY0MzkwMzA2NQMAAAADMTYwAgAAAAIxNQQAAAABMAcA</t>
  </si>
  <si>
    <t>AAAJOS8zMC8yMDEyCAAAAAk5LzMwLzIwMTIJAAAAATCrh5iJRCXeCF81TYtEJd4IJ0NJUS5EVk4uSVFfTkkuSVFfTFRNLjkvMzAvMjAxOC5MLi5VU0QuSAEAAAAOEQQAAgAAAAQyMDk4AQgAAAAFAAAAATEBAAAACjE5OTA4MTg0NjkDAAAAAzE2MAIAAAACMTUEAAAAATAHAAAACTkvMzAvMjAxOAgAAAAJOS8zMC8yMDE4CQAAAAEwa1KKiUQl3ghk+3GLRCXeCChDSVEuRFZOLklRX05JLklRX0xUTS4xMi8zMS8yMDE5LkwuLlVTRC5IAQAAAA4RBAACAAAABC0zNTUBCAAAAAUAAAABMQEAAAALLTIxMTIxMDA0MzYDAAAAAzE2MAIAAAACMTUEAAAAATAHAAAACjEyLzMxLzIwMTkIAAAACjEyLzMxLzIwMTkJAAAAATApX8eKRCXeCLegd4tEJd4IKENJUS5EVk4uSVFfTkkuSVFfTFRNLjEyLzMxLzIwMTUuTC4uVVNELkgBAAAADhEEAAIAAAAGLTEyODk2AQgAAAAFAAAAATEBAAAACjE4NzU1MTI5MzgDAAAAAzE2MAIAAAACMTUEAAAAATAHAAAACjEyLzMxLzIwMTUIAAAACjEyLzMxLzIwMTUJAAAAATCm7oqJRCXeCEeWYItEJd4IJ0NJUS5EVk4uSVFfTkkuSVFfTFRNLjkvMzAvMjAyMC5MLi5VU0QuSAEAAAAOEQQAAgAAAAUtMzIyMAEIAAAABQAAAAExAQAAAAstMjEyMzg1NzI4MgMAAAADMTYwAgAAAAIxNQQAAAABMAcAAAAJOS8zMC8yMDIwCAAAAAk5LzMwLzIwMjAJAAAAATApX8eKRCXeCEFxe4tEJd4IKENJUS5E</t>
  </si>
  <si>
    <t>Vk4uSVFfTkkuSVFfTFRNLjEyLzMxLzIwMjEuTC4uVVNELkgBAAAADhEEAAIAAAAEMjgxMwEIAAAABQAAAAExAQAAAAstMjAwODIyMjE5NwMAAAADMTYwAgAAAAIxNQQAAAABMAcAAAAKMTIvMzEvMjAyMQgAAAAKMTIvMzEvMjAyMQkAAAABMAkRx4pEJd4IjRaBi0Ql3ggnQ0lRLkRWTi5JUV9OSS5JUV9MVE0uOS8zMC8yMDEwLkwuLlVTRC5IAQAAAA4RBAACAAAABDQ2NTUBCAAAAAUAAAABMQEAAAAKMTQ3OTk5MzMxNAMAAAADMTYwAgAAAAIxNQQAAAABMAcAAAAJOS8zMC8yMDEwCAAAAAk5LzMwLzIwMTAJAAAAATAGM32JRCXeCBTRQ4tEJd4IKENJUS5EVk4uSVFfTkkuSVFfTFRNLjEyLzMxLzIwMTMuTC4uVVNELkgBAAAADhEEAAIAAAADLTIwAQgAAAAFAAAAATEBAAAACjE3NzY3Mzk3MzUDAAAAAzE2MAIAAAACMTUEAAAAATAHAAAACjEyLzMxLzIwMTMIAAAACjEyLzMxLzIwMTMJAAAAATBuK4qJRCXeCNooU4tEJd4IJ0NJUS5EVk4uSVFfTkkuSVFfTFRNLjkvMzAvMjAyNC5MLi5VU0QuSAEAAAAOEQQAAgAAAAQzNDA0AQgAAAAFAAAAATEBAAAACy0xOTE4MDI3NDU1AwAAAAMxNjACAAAAAjE1BAAAAAEwBwAAAAk5LzMwLzIwMjQIAAAACTkvMzAvMjAyNAkAAAABMOoj2opEJd4IFsSNi0Ql3ggoQ0lRLkRWTi5JUV9OSS5JUV9MVE0uMTIvMzEvMjAwOS5MLi5VU0QuSAEAAAAOEQQAAgAAAAUtMjQ3OQEIAAAA</t>
  </si>
  <si>
    <t>BQAAAAExAQAAAAoxNTIzNzIxMTQ4AwAAAAMxNjACAAAAAjE1BAAAAAEwBwAAAAoxMi8zMS8yMDA5CAAAAAoxMi8zMS8yMDA5CQAAAAEwBjN9iUQl3gjv6kCLRCXeCChDSVEuRFZOLklRX05JLklRX0xUTS4xMi8zMS8yMDIzLkwuLlVTRC5IAQAAAA4RBAACAAAABDM3NDcBCAAAAAUAAAABMQEAAAALLTE5NTkwMjg4NjQDAAAAAzE2MAIAAAACMTUEAAAAATAHAAAACjEyLzMxLzIwMjMIAAAACjEyLzMxLzIwMjMJAAAAATDlStqKRCXeCGJliotEJd4IJ0NJUS5EVk4uSVFfTkkuSVFfTFRNLjkvMzAvMjAxNC5MLi5VU0QuSAEAAAAOEQQAAgAAAAQyMjIyAQgAAAAFAAAAATEBAAAACjE3NjI4MDYwNjEDAAAAAzE2MAIAAAACMTUEAAAAATAHAAAACTkvMzAvMjAxNAgAAAAJOS8zMC8yMDE0CQAAAAEwUASKiUQl3gjsWFiLRCXeCCdDSVEuRFZOLklRX05JLklRX0xUTS45LzMwLzIwMTYuTC4uVVNELkgBAAAADhEEAAIAAAAFLTgxNjUBCAAAAAUAAAABMQEAAAAKMTg2MzY4MzM5MgMAAAADMTYwAgAAAAIxNQQAAAABMAcAAAAJOS8zMC8yMDE2CAAAAAk5LzMwLzIwMTYJAAAAATChx4qJRCXeCEt4ZYtEJd4IKENJUS5EVk4uSVFfTkkuSVFfTFRNLjEyLzMxLzIwMTEuTC4uVVNELkgBAAAADhEEAAIAAAAENDcwNAEIAAAABQAAAAExAQAAAAoxNjYwODk4MTkyAwAAAAMxNjACAAAAAjE1BAAAAAEwBwAAAAoxMi8zMS8yMDEx</t>
  </si>
  <si>
    <t>CAAAAAoxMi8zMS8yMDExCQAAAAEw5+R8iUQl3gg1k0mLRCXeCChDSVEuRFZOLklRX05JLklRX0xUTS4xMi8zMS8yMDE3LkwuLlVTRC5IAQAAAA4RBAACAAAAAzg5OAEIAAAABQAAAAExAQAAAAoyMDE1OTQ4NTY4AwAAAAMxNjACAAAAAjE1BAAAAAEwBwAAAAoxMi8zMS8yMDE3CAAAAAoxMi8zMS8yMDE3CQAAAAEwenmKiUQl3giCZ22LRCXeCCZDSVEuRFZOLklRX05JLklRX0NRLjMvMzEvMjAxMS5MLi5VU0QuSAEAAAAOEQQAAgAAAAM0MTYBCAAAAAUAAAABMQEAAAAKMTU0NDk1MjM4OAMAAAADMTYwAgAAAAIxNQQAAAABMAcAAAAJMy8zMS8yMDExCAAAAAkzLzMxLzIwMTEJAAAAATD1C32JRCXeCA9CRotEJd4IJkNJUS5EVk4uSVFfTkkuSVFfQ1EuOS8zMC8yMDIzLkwuLlVTRC5IAQAAAA4RBAACAAAAAzkxMAEIAAAABQAAAAExAQAAAAstMTk3MDQwMDI3NgMAAAADMTYwAgAAAAIxNQQAAAABMAcAAAAJOS8zMC8yMDIzCAAAAAk5LzMwLzIwMjMJAAAAATDlStqKRCXeCOlTiYtEJd4IJkNJUS5EVk4uSVFfTkkuSVFfQ1EuMy8zMS8yMDIzLkwuLlVTRC5IAQAAAA4RBAACAAAAAzk5NQEIAAAABQAAAAExAQAAAAstMTk4NDIyMTc4MgMAAAADMTYwAgAAAAIxNQQAAAABMAcAAAAJMy8zMS8yMDIzCAAAAAkzLzMxLzIwMjMJAAAAATDlStqKRCXeCBAKh4tEJd4IJ0NJUS5EVk4uSVFfTkkuSVFfQ1EuMTIvMzEvMjAy</t>
  </si>
  <si>
    <t>MC5MLi5VU0QuSAEAAAAOEQQAAgAAAAQtMTAyAQgAAAAFAAAAATEBAAAACy0yMTEyMTAwNDM1AwAAAAMxNjACAAAAAjE1BAAAAAEwBwAAAAoxMi8zMS8yMDIwCAAAAAoxMi8zMS8yMDIwCQAAAAEwMTjHikQl3gi6qXyLRCXeCCZDSVEuRFZOLklRX05JLklRX0NRLjYvMzAvMjAxNC5MLi5VU0QuSAEAAAAOEQQAAgAAAAM2NzUBCAAAAAUAAAABMQEAAAAKMTc0ODg1NTMyMgMAAAADMTYwAgAAAAIxNQQAAAABMAcAAAAJNi8zMC8yMDE0CAAAAAk2LzMwLzIwMTQJAAAAATBQBIqJRCXeCDSrVotEJd4IJkNJUS5EVk4uSVFfTkkuSVFfQ1EuOS8zMC8yMDE1LkwuLlVTRC5IAQAAAA4RBAACAAAABS0zNTA3AQgAAAAFAAAAATEBAAAACjE4MTU5Njk0NzYDAAAAAzE2MAIAAAACMTUEAAAAATAHAAAACTkvMzAvMjAxNQgAAAAJOS8zMC8yMDE1CQAAAAEwyJZ8iUQl3giX6F6LRCXeCCZDSVEuRFZOLklRX05JLklRX0NRLjMvMzEvMjAxMy5MLi5VU0QuSAEAAAAOEQQAAgAAAAUtMTMzOQEIAAAABQAAAAExAQAAAAoxNjg5ODQyNDE1AwAAAAMxNjACAAAAAjE1BAAAAAEwBwAAAAkzLzMxLzIwMTMIAAAACTMvMzEvMjAxMwkAAAABMJhgmIlEJd4IQ39Pi0Ql3ggmQ0lRLkRWTi5JUV9OSS5JUV9DUS42LzMwLzIwMjQuTC4uVVNELkgBAAAADhEEAAIAAAADODQ0AQgAAAAFAAAAATEBAAAACy0xOTE4MDI3MzE0AwAAAAMxNjACAAAA</t>
  </si>
  <si>
    <t>AjE1BAAAAAEwBwAAAAk2LzMwLzIwMjQIAAAACTYvMzAvMjAyNAkAAAABMOVK2opEJd4IorKMi0Ql3ggmQ0lRLkRWTi5JUV9OSS5JUV9DUS45LzMwLzIwMTMuTC4uVVNELkgBAAAADhEEAAIAAAADNDI5AQgAAAAFAAAAATEBAAAACjE3MDQ5NTk0MTADAAAAAzE2MAIAAAACMTUEAAAAATAHAAAACTkvMzAvMjAxMwgAAAAJOS8zMC8yMDEzCQAAAAEwbiuKiUQl3ghB8FGLRCXeCCdDSVEuRFZOLklRX05JLklRX0NRLjEyLzMxLzIwMTAuTC4uVVNELkgBAAAADhEEAAIAAAADNTYyAQgAAAAFAAAAATEBAAAACjE1MjM3MjEzOTMDAAAAAzE2MAIAAAACMTUEAAAAATAHAAAACjEyLzMxLzIwMTAIAAAACjEyLzMxLzIwMTAJAAAAATD1C32JRCXeCJAJRYtEJd4IPUNJUS5EVk4uSVFfVE9UQUxfUkVWXzFZUl9BTk5fR1JPV1RILklRX0xUTS45LzMwLzIwMjMuTC4uVVNELkgBAAAADhEEAAIAAAAILTIwLjUyMTcBCAAAAAUAAAABMQEAAAALLTE5NzAzOTg3MTkDAAAAAzE2MAIAAAAENDE5NAQAAAABMAcAAAAJOS8zMC8yMDIzCAAAAAk5LzMwLzIwMjMJAAAAATDlStqKRCXeCAN7iYtEJd4IPUNJUS5EVk4uSVFfVE9UQUxfUkVWXzFZUl9BTk5fR1JPV1RILklRX0xUTS4zLzMxLzIwMTUuTC4uVVNELkgBAAAADhEEAAIAAAAHMzMuMjg0NwEIAAAABQAAAAExAQAAAAoxODAxNjI3NzY2AwAAAAMxNjACAAAABDQxOTQEAAAAATAH</t>
  </si>
  <si>
    <t>AAAACTMvMzEvMjAxNQgAAAAJMy8zMS8yMDE1CQAAAAEw2718iUQl3ghY21uLRCXeCD1DSVEuRFZOLklRX1RPVEFMX1JFVl8xWVJfQU5OX0dST1dUSC5JUV9MVE0uOS8zMC8yMDI1LkwuLlVTRC5IAQAAAA4RBAACAAAABzEzLjkzNzYBCAAAAAUAAAABMQEAAAALLTE5MTgwMjc0MzUDAAAAAzE2MAIAAAAENDE5NAQAAAABMAcAAAAJOS8zMC8yMDI1CAAAAAk5LzMwLzIwMjUJAAAAATDa/NmKRCXeCFtCk4tEJd4IPUNJUS5EVk4uSVFfVE9UQUxfUkVWXzFZUl9BTk5fR1JPV1RILklRX0xUTS4zLzMxLzIwMTkuTC4uVVNELkgBAAAADhEEAAIAAAAGMy41NDEyAQgAAAAFAAAAATEBAAAACjIwNDkwMDQ4MDcDAAAAAzE2MAIAAAAENDE5NAQAAAABMAcAAAAJMy8zMS8yMDE5CAAAAAkzLzMxLzIwMTkJAAAAATD1C32JRCXeCFtsdItEJd4IPUNJUS5EVk4uSVFfVE9UQUxfUkVWXzFZUl9BTk5fR1JPV1RILklRX0xUTS4zLzMxLzIwMjQuTC4uVVNELkgBAAAADhEEAAIAAAAILTIxLjM0MDcBCAAAAAUAAAABMQEAAAALLTE5MzI4ODI1ODkDAAAAAzE2MAIAAAAENDE5NAQAAAABMAcAAAAJMy8zMS8yMDI0CAAAAAkzLzMxLzIwMjQJAAAAATDlStqKRCXeCETIi4tEJd4IPUNJUS5EVk4uSVFfVE9UQUxfUkVWXzFZUl9BTk5fR1JPV1RILklRX0xUTS4zLzMxLzIwMTYuTC4uVVNELkgBAAAADhEEAAIAAAAILTI5LjU2ODQBCAAA</t>
  </si>
  <si>
    <t>AAUAAAABMQEAAAAKMTg0MDE3OTEwNwMAAAADMTYwAgAAAAQ0MTk0BAAAAAEwBwAAAAkzLzMxLzIwMTYIAAAACTMvMzEvMjAxNgkAAAABMKHHiolEJd4IFZJii0Ql3gg9Q0lRLkRWTi5JUV9UT1RBTF9SRVZfMVlSX0FOTl9HUk9XVEguSVFfTFRNLjYvMzAvMjAyMC5MLi5VU0QuSAEAAAAOEQQAAgAAAAgtMzYuNTg3OAEIAAAABQAAAAExAQAAAAstMjEyMzg1NzI3MAMAAAADMTYwAgAAAAQ0MTk0BAAAAAEwBwAAAAk2LzMwLzIwMjAIAAAACTYvMzAvMjAyMAkAAAABMClfx4pEJd4I2F96i0Ql3gg9Q0lRLkRWTi5JUV9UT1RBTF9SRVZfMVlSX0FOTl9HUk9XVEguSVFfTFRNLjMvMzEvMjAxOC5MLi5VU0QuSAEAAAAOEQQAAgAAAAgtMjEuODQ0NQEIAAAABQAAAAExAQAAAAoxOTc0Njk4Mzc5AwAAAAMxNjACAAAABDQxOTQEAAAAATAHAAAACTMvMzEvMjAxOAgAAAAJMy8zMS8yMDE4CQAAAAEwenmKiUQl3giKim+LRCXeCD1DSVEuRFZOLklRX1RPVEFMX1JFVl8xWVJfQU5OX0dST1dUSC5JUV9MVE0uMy8zMS8yMDIyLkwuLlVTRC5IAQAAAA4RBAACAAAACDE2Ny40MjU0AQgAAAAFAAAAATEBAAAACy0yMDM1ODcxMzU4AwAAAAMxNjACAAAABDQxOTQEAAAAATAHAAAACTMvMzEvMjAyMggAAAAJMy8zMS8yMDIyCQAAAAEwCRHHikQl3ggldoKLRCXeCD1DSVEuRFZOLklRX1RPVEFMX1JFVl8xWVJfQU5OX0dST1dUSC5J</t>
  </si>
  <si>
    <t>UV9MVE0uOS8zMC8yMDEzLkwuLlVTRC5IAQAAAA4RBAACAAAABzE3LjYxOTIBCAAAAAUAAAABMQEAAAAKMTcwNDk2ODE5NgMAAAADMTYwAgAAAAQ0MTk0BAAAAAEwBwAAAAk5LzMwLzIwMTMIAAAACTkvMzAvMjAxMwkAAAABMG4riolEJd4ITBdSi0Ql3gg9Q0lRLkRWTi5JUV9UT1RBTF9SRVZfMVlSX0FOTl9HUk9XVEguSVFfTFRNLjMvMzEvMjAxMi5MLi5VU0QuSAEAAAAOEQQAAgAAAAcyMC4wMDY5AQgAAAAFAAAAATEBAAAACjE2MTUxOTM0MzQDAAAAAzE2MAIAAAAENDE5NAQAAAABMAcAAAAJMy8zMS8yMDEyCAAAAAkzLzMxLzIwMTIJAAAAATDbvXyJRCXeCK8zS4tEJd4IPUNJUS5EVk4uSVFfVE9UQUxfUkVWXzFZUl9BTk5fR1JPV1RILklRX0xUTS42LzMwLzIwMjMuTC4uVVNELkgBAAAADhEEAAIAAAAHLTcuNTczOQEIAAAABQAAAAExAQAAAAstMTk3MDM5ODA4MgMAAAADMTYwAgAAAAQ0MTk0BAAAAAEwBwAAAAk2LzMwLzIwMjMIAAAACTYvMzAvMjAyMwkAAAABMOVK2opEJd4Ij2mIi0Ql3gg9Q0lRLkRWTi5JUV9UT1RBTF9SRVZfMVlSX0FOTl9HUk9XVEguSVFfTFRNLjYvMzAvMjAxOC5MLi5VU0QuSAEAAAAOEQQAAgAAAAgtMjAuODQ0MgEIAAAABQAAAAExAQAAAAoxOTc0Njk4MTI5AwAAAAMxNjACAAAABDQxOTQEAAAAATAHAAAACTYvMzAvMjAxOAgAAAAJNi8zMC8yMDE4CQAAAAEwa1KKiUQl3ggK</t>
  </si>
  <si>
    <t>EXGLRCXeCD1DSVEuRFZOLklRX1RPVEFMX1JFVl8xWVJfQU5OX0dST1dUSC5JUV9MVE0uNi8zMC8yMDE3LkwuLlVTRC5IAQAAAA4RBAACAAAABy01LjU2NzIBCAAAAAUAAAABMQEAAAAKMTg5ODExMDQ1MwMAAAADMTYwAgAAAAQ0MTk0BAAAAAEwBwAAAAk2LzMwLzIwMTcIAAAACTYvMzAvMjAxNwkAAAABMI2giolEJd4IY6hqi0Ql3gg9Q0lRLkRWTi5JUV9UT1RBTF9SRVZfMVlSX0FOTl9HUk9XVEguSVFfTFRNLjYvMzAvMjAxMS5MLi5VU0QuSAEAAAAOEQQAAgAAAAY3LjAyNTIBCAAAAAUAAAABMQEAAAAKMTU1NzIxNjY0MQMAAAADMTYwAgAAAAQ0MTk0BAAAAAEwBwAAAAk2LzMwLzIwMTEIAAAACTYvMzAvMjAxMQkAAAABMOfkfIlEJd4IknpHi0Ql3gg+Q0lRLkRWTi5JUV9UT1RBTF9SRVZfMVlSX0FOTl9HUk9XVEguSVFfTFRNLjEyLzMxLzIwMTIuTC4uVVNELkgBAAAADhEEAAIAAAAILTE2LjYyMjUBCAAAAAUAAAABMQEAAAAKMTcyMDA3NTgyOAMAAAADMTYwAgAAAAQ0MTk0BAAAAAEwBwAAAAoxMi8zMS8yMDEyCAAAAAoxMi8zMS8yMDEyCQAAAAEwq4eYiUQl3gjilE6LRCXeCD1DSVEuRFZOLklRX1RPVEFMX1JFVl8xWVJfQU5OX0dST1dUSC5JUV9MVE0uMy8zMS8yMDI1LkwuLlVTRC5IAQAAAA4RBAACAAAABjkuMzkzNAEIAAAABQAAAAExAQAAAAstMTk0NTM5Njc5MAMAAAADMTYwAgAAAAQ0MTk0BAAA</t>
  </si>
  <si>
    <t>AAEwBwAAAAkzLzMxLzIwMjUIAAAACTMvMzEvMjAyNQkAAAABMOoj2opEJd4IQaqQi0Ql3gg9Q0lRLkRWTi5JUV9UT1RBTF9SRVZfMVlSX0FOTl9HUk9XVEguSVFfTFRNLjYvMzAvMjAxNS5MLi5VU0QuSAEAAAAOEQQAAgAAAAY0LjMyMjMBCAAAAAUAAAABMQEAAAAKMTgwMTYyNzc0MAMAAAADMTYwAgAAAAQ0MTk0BAAAAAEwBwAAAAk2LzMwLzIwMTUIAAAACTYvMzAvMjAxNQkAAAABMMiWfIlEJd4II4ldi0Ql3gg9Q0lRLkRWTi5JUV9UT1RBTF9SRVZfMVlSX0FOTl9HUk9XVEguSVFfTFRNLjkvMzAvMjAxOS5MLi5VU0QuSAEAAAAOEQQAAgAAAActNS4wMDk5AQgAAAAFAAAAATEBAAAACjIwNjczNDIyNzkDAAAAAzE2MAIAAAAENDE5NAQAAAABMAcAAAAJOS8zMC8yMDE5CAAAAAk5LzMwLzIwMTkJAAAAATBIhseKRCXeCE22dotEJd4IPkNJUS5EVk4uSVFfVE9UQUxfUkVWXzFZUl9BTk5fR1JPV1RILklRX0xUTS4xMi8zMS8yMDI0LkwuLlVTRC5IAQAAAA4RBAACAAAABjUuMTU2OQEIAAAABQAAAAExAQAAAAstMTk1OTAyODg1OQMAAAADMTYwAgAAAAQ0MTk0BAAAAAEwBwAAAAoxMi8zMS8yMDI0CAAAAAoxMi8zMS8yMDI0CQAAAAEw6iPaikQl3gjBSo+LRCXeCD1DSVEuRFZOLklRX1RPVEFMX1JFVl8xWVJfQU5OX0dST1dUSC5JUV9MVE0uMy8zMS8yMDExLkwuLlVTRC5IAQAAAA4RBAACAAAABjMuNzM1MgEI</t>
  </si>
  <si>
    <t>AAAABQAAAAExAQAAAAoxNTQ0OTY4OTExAwAAAAMxNjACAAAABDQxOTQEAAAAATAHAAAACTMvMzEvMjAxMQgAAAAJMy8zMS8yMDExCQAAAAEw9Qt9iUQl3ggmaUaLRCXeCD1DSVEuRFZOLklRX1RPVEFMX1JFVl8xWVJfQU5OX0dST1dUSC5JUV9MVE0uOS8zMC8yMDE2LkwuLlVTRC5IAQAAAA4RBAACAAAACC0yNS42ODU4AQgAAAAFAAAAATEBAAAACjE4NjM2ODMzOTIDAAAAAzE2MAIAAAAENDE5NAQAAAABMAcAAAAJOS8zMC8yMDE2CAAAAAk5LzMwLzIwMTYJAAAAATChx4qJRCXeCG/GZYtEJd4IPUNJUS5EVk4uSVFfVE9UQUxfUkVWXzFZUl9BTk5fR1JPV1RILklRX0xUTS45LzMwLzIwMTcuTC4uVVNELkgBAAAADhEEAAIAAAAFLTEwLjcBCAAAAAUAAAABMQEAAAAKMTkyMDI4MzM3NwMAAAADMTYwAgAAAAQ0MTk0BAAAAAEwBwAAAAk5LzMwLzIwMTcIAAAACTkvMzAvMjAxNwkAAAABMHp5iolEJd4IDi9si0Ql3gg+Q0lRLkRWTi5JUV9UT1RBTF9SRVZfMVlSX0FOTl9HUk9XVEguSVFfTFRNLjEyLzMxLzIwMjIuTC4uVVNELkgBAAAADhEEAAIAAAAHNDQuMTk2MwEIAAAABQAAAAExAQAAAAstMTk1OTAyODg2MAMAAAADMTYwAgAAAAQ0MTk0BAAAAAEwBwAAAAoxMi8zMS8yMDIyCAAAAAoxMi8zMS8yMDIyCQAAAAEw/unGikQl3gidH4aLRCXeCD1DSVEuRFZOLklRX1RPVEFMX1JFVl8xWVJfQU5OX0dST1dUSC5J</t>
  </si>
  <si>
    <t>UV9MVE0uOS8zMC8yMDEwLkwuLlVTRC5IAQAAAA4RBAACAAAABzM0LjAyNjUBCAAAAAUAAAABMQEAAAAKMTQ3OTk5MzMxNAMAAAADMTYwAgAAAAQ0MTk0BAAAAAEwBwAAAAk5LzMwLzIwMTAIAAAACTkvMzAvMjAxMAkAAAABMAYzfYlEJd4IMR9Ei0Ql3gg9Q0lRLkRWTi5JUV9UT1RBTF9SRVZfMVlSX0FOTl9HUk9XVEguSVFfTFRNLjkvMzAvMjAyMC5MLi5VU0QuSAEAAAAOEQQAAgAAAAgtMzcuNjM1MgEIAAAABQAAAAExAQAAAAstMjEyMzg1NzI4MgMAAAADMTYwAgAAAAQ0MTk0BAAAAAEwBwAAAAk5LzMwLzIwMjAIAAAACTkvMzAvMjAyMAkAAAABMClfx4pEJd4ITZh7i0Ql3gg9Q0lRLkRWTi5JUV9UT1RBTF9SRVZfMVlSX0FOTl9HUk9XVEguSVFfTFRNLjkvMzAvMjAxNC5MLi5VU0QuSAEAAAAOEQQAAgAAAAc1NS44NTU4AQgAAAAFAAAAATEBAAAACjE3NjI4MDYwNjEDAAAAAzE2MAIAAAAENDE5NAQAAAABMAcAAAAJOS8zMC8yMDE0CAAAAAk5LzMwLzIwMTQJAAAAATBQBIqJRCXeCAynWItEJd4IPUNJUS5EVk4uSVFfVE9UQUxfUkVWXzFZUl9BTk5fR1JPV1RILklRX0xUTS42LzMwLzIwMjQuTC4uVVNELkgBAAAADhEEAAIAAAAHLTguMjE5NAEIAAAABQAAAAExAQAAAAstMTkxODAyNzMxMwMAAAADMTYwAgAAAAQ0MTk0BAAAAAEwBwAAAAk2LzMwLzIwMjQIAAAACTYvMzAvMjAyNAkAAAABMOVK2opEJd4I</t>
  </si>
  <si>
    <t>t9mMi0Ql3gg9Q0lRLkRWTi5JUV9UT1RBTF9SRVZfMVlSX0FOTl9HUk9XVEguSVFfTFRNLjYvMzAvMjAxNC5MLi5VU0QuSAEAAAAOEQQAAgAAAAc1MC4xMDg0AQgAAAAFAAAAATEBAAAACjE3NDg4NjU0NjcDAAAAAzE2MAIAAAAENDE5NAQAAAABMAcAAAAJNi8zMC8yMDE0CAAAAAk2LzMwLzIwMTQJAAAAATBQBIqJRCXeCFT5VotEJd4IPkNJUS5EVk4uSVFfVE9UQUxfUkVWXzFZUl9BTk5fR1JPV1RILklRX0xUTS4xMi8zMS8yMDE4LkwuLlVTRC5IAQAAAA4RBAACAAAABzMzLjEwNzIBCAAAAAUAAAABMQEAAAAKMjA4MDk5ODgzNQMAAAADMTYwAgAAAAQ0MTk0BAAAAAEwBwAAAAoxMi8zMS8yMDE4CAAAAAoxMi8zMS8yMDE4CQAAAAEwbiuKiUQl3gj0WnOLRCXeCD1DSVEuRFZOLklRX1RPVEFMX1JFVl8xWVJfQU5OX0dST1dUSC5JUV9MVE0uNi8zMC8yMDEwLkwuLlVTRC5IAQAAAA4RBAACAAAABy00LjYzMjQBCAAAAAUAAAABMQEAAAAKMTQ2NTcyMTA1NwMAAAADMTYwAgAAAAQ0MTk0BAAAAAEwBwAAAAk2LzMwLzIwMTAIAAAACTYvMzAvMjAxMAkAAAABMAYzfYlEJd4IxeZCi0Ql3gg9Q0lRLkRWTi5JUV9UT1RBTF9SRVZfMVlSX0FOTl9HUk9XVEguSVFfTFRNLjkvMzAvMjAyMi5MLi5VU0QuSAEAAAAOEQQAAgAAAAc4MC4zOTk1AQgAAAAFAAAAATEBAAAACy0yMDIwNDU4MTI0AwAAAAMxNjACAAAABDQxOTQE</t>
  </si>
  <si>
    <t>AAAAATAHAAAACTkvMzAvMjAyMggAAAAJOS8zMC8yMDIyCQAAAAEw/unGikQl3ggMwISLRCXeCD1DSVEuRFZOLklRX1RPVEFMX1JFVl8xWVJfQU5OX0dST1dUSC5JUV9MVE0uNi8zMC8yMDIxLkwuLlVTRC5IAQAAAA4RBAACAAAABzQ5LjQ2MTEBCAAAAAUAAAABMQEAAAALLTIwNzIzNjIxODUDAAAAAzE2MAIAAAAENDE5NAQAAAABMAcAAAAJNi8zMC8yMDIxCAAAAAk2LzMwLzIwMjEJAAAAATAxOMeKRCXeCNoaf4tEJd4IPUNJUS5EVk4uSVFfVE9UQUxfUkVWXzFZUl9BTk5fR1JPV1RILklRX0xUTS4zLzMxLzIwMjEuTC4uVVNELkgBAAAADhEEAAIAAAAHLTkuMDM4NwEIAAAABQAAAAExAQAAAAstMjA4Njg5ODgyMAMAAAADMTYwAgAAAAQ0MTk0BAAAAAEwBwAAAAkzLzMxLzIwMjEIAAAACTMvMzEvMjAyMQkAAAABMDE4x4pEJd4IP+J9i0Ql3gg9Q0lRLkRWTi5JUV9UT1RBTF9SRVZfMVlSX0FOTl9HUk9XVEguSVFfTFRNLjYvMzAvMjAxMy5MLi5VU0QuSAEAAAAOEQQAAgAAAAYyLjE4NTMBCAAAAAUAAAABMQEAAAAKMTcwNDk2OTYwNAMAAAADMTYwAgAAAAQ0MTk0BAAAAAEwBwAAAAk2LzMwLzIwMTMIAAAACTYvMzAvMjAxMwkAAAABMJhgmIlEJd4I0N5Qi0Ql3gg9Q0lRLkRWTi5JUV9UT1RBTF9SRVZfMVlSX0FOTl9HUk9XVEguSVFfTFRNLjkvMzAvMjAxNS5MLi5VU0QuSAEAAAAOEQQAAgAAAAgtMTUuNzA1</t>
  </si>
  <si>
    <t>NAEIAAAABQAAAAExAQAAAAoxODE1OTcwNjA4AwAAAAMxNjACAAAABDQxOTQEAAAAATAHAAAACTkvMzAvMjAxNQgAAAAJOS8zMC8yMDE1CQAAAAEwyJZ8iUQl3gilD1+LRCXeCD5DSVEuRFZOLklRX1RPVEFMX1JFVl8xWVJfQU5OX0dST1dUSC5JUV9MVE0uMTIvMzEvMjAxNi5MLi5VU0QuSAEAAAAOEQQAAgAAAAgtNDguOTU2NgEIAAAABQAAAAExAQAAAAoxOTQ2Mjg0NTU2AwAAAAMxNjACAAAABDQxOTQEAAAAATAHAAAACjEyLzMxLzIwMTYIAAAACjEyLzMxLzIwMTYJAAAAATCNoIqJRCXeCCV0Z4tEJd4IPUNJUS5EVk4uSVFfVE9UQUxfUkVWXzFZUl9BTk5fR1JPV1RILklRX0xUTS4zLzMxLzIwMTMuTC4uVVNELkgBAAAADhEEAAIAAAAILTE1LjA5ODkBCAAAAAUAAAABMQEAAAAKMTY4OTg0MjQ0MAMAAAADMTYwAgAAAAQ0MTk0BAAAAAEwBwAAAAkzLzMxLzIwMTMIAAAACTMvMzEvMjAxMwkAAAABMJhgmIlEJd4ITaZPi0Ql3gg9Q0lRLkRWTi5JUV9UT1RBTF9SRVZfMVlSX0FOTl9HUk9XVEguSVFfTFRNLjMvMzEvMjAyMC5MLi5VU0QuSAEAAAAOEQQAAgAAAAgtMjcuOTg4MgEIAAAABQAAAAExAQAAAAstMjE0MDAyNDA1NQMAAAADMTYwAgAAAAQ0MTk0BAAAAAEwBwAAAAkzLzMxLzIwMjAIAAAACTMvMzEvMjAyMAkAAAABMClfx4pEJd4IUid5i0Ql3gg9Q0lRLkRWTi5JUV9UT1RBTF9SRVZfMVlSX0FOTl9H</t>
  </si>
  <si>
    <t>Uk9XVEguSVFfTFRNLjYvMzAvMjAyMi5MLi5VU0QuSAEAAAAOEQQAAgAAAAgxMjQuMDc5MwEIAAAABQAAAAExAQAAAAstMjAyMDQ1Nzc1NAMAAAADMTYwAgAAAAQ0MTk0BAAAAAEwBwAAAAk2LzMwLzIwMjIIAAAACTYvMzAvMjAyMgkAAAABMP7pxopEJd4Ipa6Di0Ql3gg+Q0lRLkRWTi5JUV9UT1RBTF9SRVZfMVlSX0FOTl9HUk9XVEguSVFfTFRNLjEyLzMxLzIwMTQuTC4uVVNELkgBAAAADhEEAAIAAAAHNjIuNjA4NgEIAAAABQAAAAExAQAAAAoxODI3ODcwNTAzAwAAAAMxNjACAAAABDQxOTQEAAAAATAHAAAACjEyLzMxLzIwMTQIAAAACjEyLzMxLzIwMTQJAAAAATDn5HyJRCXeCL5UWotEJd4IPUNJUS5EVk4uSVFfVE9UQUxfUkVWXzFZUl9BTk5fR1JPV1RILklRX0xUTS45LzMwLzIwMjQuTC4uVVNELkgBAAAADhEEAAIAAAAHLTIuNjg1OQEIAAAABQAAAAExAQAAAAstMTkxODAyNzQ1NQMAAAADMTYwAgAAAAQ0MTk0BAAAAAEwBwAAAAk5LzMwLzIwMjQIAAAACTkvMzAvMjAyNAkAAAABMOoj2opEJd4IIeuNi0Ql3gg9Q0lRLkRWTi5JUV9UT1RBTF9SRVZfMVlSX0FOTl9HUk9XVEguSVFfTFRNLjMvMzEvMjAxNC5MLi5VU0QuSAEAAAAOEQQAAgAAAAU0MC4yNQEIAAAABQAAAAExAQAAAAoxNzMzMDA1OTk0AwAAAAMxNjACAAAABDQxOTQEAAAAATAHAAAACTMvMzEvMjAxNAgAAAAJMy8zMS8yMDE0CQAAAAEw</t>
  </si>
  <si>
    <t>UASKiUQl3gicJFWLRCXeCD5DSVEuRFZOLklRX1RPVEFMX1JFVl8xWVJfQU5OX0dST1dUSC5JUV9MVE0uMTIvMzEvMjAxMC5MLi5VU0QuSAEAAAAOEQQAAgAAAAcxOC45MzU4AQgAAAAFAAAAATEBAAAACjE1ODg4MDMzMzIDAAAAAzE2MAIAAAAENDE5NAQAAAABMAcAAAAKMTIvMzEvMjAxMAgAAAAKMTIvMzEvMjAxMAkAAAABMPULfYlEJd4IpjBFi0Ql3gg9Q0lRLkRWTi5JUV9UT1RBTF9SRVZfMVlSX0FOTl9HUk9XVEguSVFfTFRNLjYvMzAvMjAxMi5MLi5VU0QuSAEAAAAOEQQAAgAAAAYyLjU5OTYBCAAAAAUAAAABMQEAAAAKMTY0MzkwNTMwNQMAAAADMTYwAgAAAAQ0MTk0BAAAAAEwBwAAAAk2LzMwLzIwMTIIAAAACTYvMzAvMjAxMgkAAAABMKuHmIlEJd4IzCBMi0Ql3gg9Q0lRLkRWTi5JUV9UT1RBTF9SRVZfMVlSX0FOTl9HUk9XVEguSVFfTFRNLjMvMzEvMjAxNy5MLi5VU0QuSAEAAAAOEQQAAgAAAAYtOS44NzQBCAAAAAUAAAABMQEAAAAKMTg5ODExMDYzOAMAAAADMTYwAgAAAAQ0MTk0BAAAAAEwBwAAAAkzLzMxLzIwMTcIAAAACTMvMzEvMjAxNwkAAAABMI2giolEJd4Itfpoi0Ql3gg9Q0lRLkRWTi5JUV9UT1RBTF9SRVZfMVlSX0FOTl9HUk9XVEguSVFfTFRNLjYvMzAvMjAxOS5MLi5VU0QuSAEAAAAOEQQAAgAAAAYzLjc4NzIBCAAAAAUAAAABMQEAAAAKMjA0OTAwNDUwNQMAAAADMTYwAgAAAAQ0</t>
  </si>
  <si>
    <t>MTk0BAAAAAEwBwAAAAk2LzMwLzIwMTkIAAAACTYvMzAvMjAxOQkAAAABMEiGx4pEJd4I4aR1i0Ql3gg9Q0lRLkRWTi5JUV9UT1RBTF9SRVZfMVlSX0FOTl9HUk9XVEguSVFfTFRNLjkvMzAvMjAyMS5MLi5VU0QuSAEAAAAOEQQAAgAAAAgxMTcuNDM1NwEIAAAABQAAAAExAQAAAAstMjA3MjM2MjI2OAMAAAADMTYwAgAAAAQ0MTk0BAAAAAEwBwAAAAk5LzMwLzIwMjEIAAAACTkvMzAvMjAyMQkAAAABMAkRx4pEJd4IRCyAi0Ql3gg9Q0lRLkRWTi5JUV9UT1RBTF9SRVZfMVlSX0FOTl9HUk9XVEguSVFfTFRNLjkvMzAvMjAxMS5MLi5VU0QuSAEAAAAOEQQAAgAAAAcxMC42MzYzAQgAAAAFAAAAATEBAAAACjE1NzUwNjM2NjQDAAAAAzE2MAIAAAAENDE5NAQAAAABMAcAAAAJOS8zMC8yMDExCAAAAAk5LzMwLzIwMTEJAAAAATDn5HyJRCXeCOClSItEJd4IPUNJUS5EVk4uSVFfVE9UQUxfUkVWXzFZUl9BTk5fR1JPV1RILklRX0xUTS45LzMwLzIwMTIuTC4uVVNELkgBAAAADhEEAAIAAAAHLTkuODQ3NgEIAAAABQAAAAExAQAAAAoxNjQzOTAzMDY1AwAAAAMxNjACAAAABDQxOTQEAAAAATAHAAAACTkvMzAvMjAxMggAAAAJOS8zMC8yMDEyCQAAAAEwq4eYiUQl3ghyg02LRCXeCD1DSVEuRFZOLklRX1RPVEFMX1JFVl8xWVJfQU5OX0dST1dUSC5JUV9MVE0uMy8zMS8yMDIzLkwuLlVTRC5IAQAAAA4RBAACAAAABzIz</t>
  </si>
  <si>
    <t>LjU1NzYBCAAAAAUAAAABMQEAAAALLTE5ODQyMjE3NzUDAAAAAzE2MAIAAAAENDE5NAQAAAABMAcAAAAJMy8zMS8yMDIzCAAAAAkzLzMxLzIwMjMJAAAAATDlStqKRCXeCA4xh4tEJd4IPUNJUS5EVk4uSVFfVE9UQUxfUkVWXzFZUl9BTk5fR1JPV1RILklRX0xUTS42LzMwLzIwMjUuTC4uVVNELkgBAAAADhEEAAIAAAAGNy43OTA2AQgAAAAFAAAAATEBAAAACy0xOTMyODgyODIyAwAAAAMxNjACAAAABDQxOTQEAAAAATAHAAAACTYvMzAvMjAyNQgAAAAJNi8zMC8yMDI1CQAAAAEw6iPaikQl3gjkMJKLRCXeCD1DSVEuRFZOLklRX1RPVEFMX1JFVl8xWVJfQU5OX0dST1dUSC5JUV9MVE0uMy8zMS8yMDEwLkwuLlVTRC5IAQAAAA4RBAACAAAACC0yOS4zODY5AQgAAAAFAAAAATEBAAAACjE0NTEyNzY5NTEDAAAAAzE2MAIAAAAENDE5NAQAAAABMAcAAAAJMy8zMS8yMDEwCAAAAAkzLzMxLzIwMTAJAAAAATAGM32JRCXeCFL8QYtEJd4IPUNJUS5EVk4uSVFfVE9UQUxfUkVWXzFZUl9BTk5fR1JPV1RILklRX0xUTS42LzMwLzIwMTYuTC4uVVNELkgBAAAADhEEAAIAAAAILTMwLjMxNjEBCAAAAAUAAAABMQEAAAAKMTg2MzY4Mzg2NAMAAAADMTYwAgAAAAQ0MTk0BAAAAAEwBwAAAAk2LzMwLzIwMTYIAAAACTYvMzAvMjAxNgkAAAABMKHHiolEJd4IvRhki0Ql3gg9Q0lRLkRWTi5JUV9UT1RBTF9SRVZfMVlSX0FOTl9H</t>
  </si>
  <si>
    <t>Uk9XVEguSVFfTFRNLjkvMzAvMjAxOC5MLi5VU0QuSAEAAAAOEQQAAgAAAAgtMTEuMTM1NgEIAAAABQAAAAExAQAAAAoxOTkwODE4NDY5AwAAAAMxNjACAAAABDQxOTQEAAAAATAHAAAACTkvMzAvMjAxOAgAAAAJOS8zMC8yMDE4CQAAAAEwa1KKiUQl3gh0InKLRCXeCD5DSVEuRFZOLklRX1RPVEFMX1JFVl8xWVJfQU5OX0dST1dUSC5JUV9MVE0uMTIvMzEvMjAyMC5MLi5VU0QuSAEAAAAOEQQAAgAAAAgtMjkuOTgyMQEIAAAABQAAAAExAQAAAAstMjA2MDk0MTM5NgMAAAADMTYwAgAAAAQ0MTk0BAAAAAEwBwAAAAoxMi8zMS8yMDIwCAAAAAoxMi8zMS8yMDIwCQAAAAEwMTjHikQl3gjM0HyLRCXeCD5DSVEuRFZOLklRX1RPVEFMX1JFVl8xWVJfQU5OX0dST1dUSC5JUV9MVE0uMTIvMzEvMjAxOS5MLi5VU0QuSAEAAAAOEQQAAgAAAAgtMjAuOTE0OQEIAAAABQAAAAExAQAAAAstMjExMjEwMDQzNgMAAAADMTYwAgAAAAQ0MTk0BAAAAAEwBwAAAAoxMi8zMS8yMDE5CAAAAAoxMi8zMS8yMDE5CQAAAAEwKV/HikQl3gjL7neLRCXeCD5DSVEuRFZOLklRX1RPVEFMX1JFVl8xWVJfQU5OX0dST1dUSC5JUV9MVE0uMTIvMzEvMjAyMy5MLi5VU0QuSAEAAAAOEQQAAgAAAAgtMjcuMjM1NgEIAAAABQAAAAExAQAAAAstMTk1OTAyODg2NAMAAAADMTYwAgAAAAQ0MTk0BAAAAAEwBwAAAAoxMi8zMS8yMDIzCAAAAAoxMi8z</t>
  </si>
  <si>
    <t>MS8yMDIzCQAAAAEw5UraikQl3giDs4qLRCXeCD5DSVEuRFZOLklRX1RPVEFMX1JFVl8xWVJfQU5OX0dST1dUSC5JUV9MVE0uMTIvMzEvMjAyMS5MLi5VU0QuSAEAAAAOEQQAAgAAAAgxOTQuMjQzNQEIAAAABQAAAAExAQAAAAstMjAwODIyMjE5NwMAAAADMTYwAgAAAAQ0MTk0BAAAAAEwBwAAAAoxMi8zMS8yMDIxCAAAAAoxMi8zMS8yMDIxCQAAAAEwCRHHikQl3gisZIGLRCXeCD5DSVEuRFZOLklRX1RPVEFMX1JFVl8xWVJfQU5OX0dST1dUSC5JUV9MVE0uMTIvMzEvMjAxMy5MLi5VU0QuSAEAAAAOEQQAAgAAAAcyMC4yMDg5AQgAAAAFAAAAATEBAAAACjE3NzY3Mzk3MzUDAAAAAzE2MAIAAAAENDE5NAQAAAABMAcAAAAKMTIvMzEvMjAxMwgAAAAKMTIvMzEvMjAxMwkAAAABMG4riolEJd4I5XZTi0Ql3gg+Q0lRLkRWTi5JUV9UT1RBTF9SRVZfMVlSX0FOTl9HUk9XVEguSVFfTFRNLjEyLzMxLzIwMTUuTC4uVVNELkgBAAAADhEEAAIAAAAILTI0Ljg1MzQBCAAAAAUAAAABMQEAAAAKMTg3NTUxMjkzOAMAAAADMTYwAgAAAAQ0MTk0BAAAAAEwBwAAAAoxMi8zMS8yMDE1CAAAAAoxMi8zMS8yMDE1CQAAAAEwpu6KiUQl3ghp5GCLRCXeCD5DSVEuRFZOLklRX1RPVEFMX1JFVl8xWVJfQU5OX0dST1dUSC5JUV9MVE0uMTIvMzEvMjAxNy5MLi5VU0QuSAEAAAAOEQQAAgAAAActMy45OTc2AQgAAAAFAAAAATEBAAAA</t>
  </si>
  <si>
    <t>CjIwMTU5NDg1NjgDAAAAAzE2MAIAAAAENDE5NAQAAAABMAcAAAAKMTIvMzEvMjAxNwgAAAAKMTIvMzEvMjAxNwkAAAABMHp5iolEJd4Io7Vti0Ql3gg+Q0lRLkRWTi5JUV9UT1RBTF9SRVZfMVlSX0FOTl9HUk9XVEguSVFfTFRNLjEyLzMxLzIwMDkuTC4uVVNELkgBAAAADhEEAAIAAAAILTQ1LjI4NjgBCAAAAAUAAAABMQEAAAAKMTUyMzcyMTE0OAMAAAADMTYwAgAAAAQ0MTk0BAAAAAEwBwAAAAoxMi8zMS8yMDA5CAAAAAoxMi8zMS8yMDA5CQAAAAEwBjN9iUQl3gjxEUGLRCXeCD5DSVEuRFZOLklRX1RPVEFMX1JFVl8xWVJfQU5OX0dST1dUSC5JUV9MVE0uMTIvMzEvMjAxMS5MLi5VU0QuSAEAAAAOEQQAAgAAAAcxOC40NDM3AQgAAAAFAAAAATEBAAAACjE2NjA4OTgxOTIDAAAAAzE2MAIAAAAENDE5NAQAAAABMAcAAAAKMTIvMzEvMjAxMQgAAAAKMTIvMzEvMjAxMQkAAAABMOfkfIlEJd4Imc5Ji0Ql3gglQ0lRLi5JUV9UT1RBTF9SRVZFTlVFLklRX0NRLi5MLi5VU0QuSAUAAAABAAAACAAAABQoSW52YWxpZCBJZGVudGlmaWVyKYVg2YpEJd4IhWDZikQl3ggoQ0lRLkNWWC5JUV9UT1RBTF9SRVZFTlVFLklRX0NRLi5MLi5VU0QuSAEAAADKgAEAAgAAAAU0ODc0NwEIAAAABQAAAAExAQAAAAstMTkxODA5ODA1OQMAAAADMTYwAgAAAAIyOAQAAAABMAcAAAAKMTEvMTYvMjAyNQgAAAAJOS8zMC8yMDI1CQAA</t>
  </si>
  <si>
    <t>AAEw2vzZikQl3gja/NmKRCXeCB1DSVEuQ09QLklRX0JFVEFfNVlSLjkvMzAvMjAyNQEAAABPhgQAAgAAABEwLjYzNDk0NTYwNjIyNTY3MgDAb3yJRCXeCBrvPotEJd4II0NJUS5eU1A1MDAtMTAuSVFfQkVUQV81WVIuOS8zMC8yMDI1AQAAAE7DKAADAAAAAADAb3yJRCXeCCcWP4tEJd4IHUNJUS5eSEcuSVFfQkVUQV81WVIuOS8zMC8yMDI1AQAAAGaBNQMDAAAAAADAb3yJRCXeCCcWP4tEJd4IHUNJUS5eQ0wuSVFfQkVUQV81WVIuOS8zMC8yMDI1AQAAAFOANQMDAAAAAADAb3yJRCXeCCcWP4tEJd4IHUNJUS5EVk4uSVFfQkVUQV81WVIuOS8zMC8yMDI1AQAAAA4RBAACAAAAEDEuMDgwMjAyNDYyNjA2MTgAwG98iUQl3ggnFj+LRCXeCB1DSVEuRU9HLklRX0JFVEFfNVlSLjkvMzAvMjAyNQEAAABcHQQAAgAAABEwLjc2MDA5NTEwOTQ4MzgwNwDAb3yJRCXeCBrvPotEJd4IHUNJUS5YT00uSVFfQkVUQV81WVIuOS8zMC8yMDI1AQAAAEIzBgACAAAAETAuNDg0MDA1MjczNDU5OTY4AMBvfIlEJd4IGu8+i0Ql3ggeQ0lRLl5TUFguSVFfQkVUQV81WVIuOS8zMC8yMDI1AQAAAJu4KAADAAAAAADAb3yJRCXeCBrvPotEJd4IHENJUS5CUC5JUV9CRVRBXzVZUi45LzMwLzIwMjUBAAAA4gQGAAMAAAAAAMBvfIlEJd4IJxY/i0Ql3ggdQ0lRLkNWWC5JUV9CRVRBXzVZUi45LzMwLzIwMjUBAAAAyoABAAIAAAARMC44MTMy</t>
  </si>
  <si>
    <t>NTQ4ODQ3MDU4MTEAwG98iUQl3gga7z6LRCXeCDxDSVEuQ09QLklRX1JFVFVSTl9JTlZFU1RFRF9DQVBJVEFMLklRX0xUTS45LzMwLzIwMjUuTC4uVVNELkgBAAAAT4YEAAIAAAAGNi4zODM1AOoj2opEJd4IEqaSi0Ql3gg7Q0lRLkNPUC5JUV9SRVRVUk5fSU5WRVNURURfQ0FQSVRBTC5JUV9DUS45LzMwLzIwMjUuTC4uVVNELkgBAAAAT4YEAAIAAAAGMy4zODQ0AOoj2opEJd4IAH+Si0Ql3gg7Q0lRLkRWTi5JUV9SRVRVUk5fSU5WRVNURURfQ0FQSVRBTC5JUV9DUS45LzMwLzIwMjUuTC4uVVNELkgBAAAADhEEAAIAAAAGOC44Njk2AOoj2opEJd4IEqaSi0Ql3gg6Q0lRLkJQLklRX1JFVFVSTl9JTlZFU1RFRF9DQVBJVEFMLklRX0NRLjkvMzAvMjAyNS5MLi5VU0QuSAEAAADiBAYAAgAAAActMC4zMzA0AOoj2opEJd4IAH+Si0Ql3gg7Q0lRLkVPRy5JUV9SRVRVUk5fSU5WRVNURURfQ0FQSVRBTC5JUV9DUS45LzMwLzIwMjUuTC4uVVNELkgBAAAAXB0EAAIAAAAHMTAuMjUzNgDqI9qKRCXeCAB/kotEJd4IO0NJUS5DVlguSVFfUkVUVVJOX0lOVkVTVEVEX0NBUElUQUwuSVFfQ1EuOS8zMC8yMDI1LkwuLlVTRC5IAQAAAMqAAQACAAAABjAuMjEyNADqI9qKRCXeCAB/kotEJd4IO0NJUS5YT00uSVFfUkVUVVJOX0lOVkVTVEVEX0NBUElUQUwuSVFfQ1EuOS8zMC8yMDI1LkwuLlVTRC5IAQAAAEIzBgACAAAABjQu</t>
  </si>
  <si>
    <t>MjcxMgDqI9qKRCXeCAB/kotEJd4IO0NJUS5CUC5JUV9SRVRVUk5fSU5WRVNURURfQ0FQSVRBTC5JUV9MVE0uOS8zMC8yMDI1LkwuLlVTRC5IAQAAAOIEBgACAAAABy0yLjM1ODIA6iPaikQl3ggAf5KLRCXeCDxDSVEuQ1ZYLklRX1JFVFVSTl9JTlZFU1RFRF9DQVBJVEFMLklRX0xUTS45LzMwLzIwMjUuTC4uVVNELkgBAAAAyoABAAIAAAAGMC4yNTQyAOoj2opEJd4I81eSi0Ql3gg8Q0lRLlhPTS5JUV9SRVRVUk5fSU5WRVNURURfQ0FQSVRBTC5JUV9MVE0uOS8zMC8yMDI1LkwuLlVTRC5IAQAAAEIzBgACAAAABjQuMDQyMgDqI9qKRCXeCPNXkotEJd4IPENJUS5EVk4uSVFfUkVUVVJOX0lOVkVTVEVEX0NBUElUQUwuSVFfTFRNLjkvMzAvMjAyNS5MLi5VU0QuSAEAAAAOEQQAAgAAAAY4LjgyMzcA6iPaikQl3ggAf5KLRCXeCDxDSVEuRU9HLklRX1JFVFVSTl9JTlZFU1RFRF9DQVBJVEFMLklRX0xUTS45LzMwLzIwMjUuTC4uVVNELkgBAAAAXB0EAAIAAAAFOS40NTkA6iPaikQl3ggAf5KLRCXeCDtDSVEuQ09QLklRX1JFVFVSTl9JTlZFU1RFRF9DQVBJVEFMLklRX0NRLjYvMzAvMjAyNS5MLi5VU0QuSAEAAABPhgQAAgAAAAY0LjQzMjgA6iPaikQl3giDRpGLRCXeCDpDSVEuQlAuSVFfUkVUVVJOX0lOVkVTVEVEX0NBUElUQUwuSVFfQ1EuMy8zMS8yMDI1LkwuLlVTRC5IAQAAAOIEBgACAAAABy0xLjUyNTIA</t>
  </si>
  <si>
    <t>6iPaikQl3gjiv4+LRCXeCD1DSVEuQ1ZYLklRX1JFVFVSTl9JTlZFU1RFRF9DQVBJVEFMLklRX0xUTS4xMi8zMS8yMDI0LkwuLlVTRC5IAQAAAMqAAQACAAAABTMuMTYxAOoj2opEJd4IV2COi0Ql3gg7Q0lRLkNPUC5JUV9SRVRVUk5fSU5WRVNURURfQ0FQSVRBTC5JUV9DUS42LzMwLzIwMjQuTC4uVVNELkgBAAAAT4YEAAIAAAAGOC4zMjcyAOVK2opEJd4IeD2Mi0Ql3gg6Q0lRLkJQLklRX1JFVFVSTl9JTlZFU1RFRF9DQVBJVEFMLklRX0NRLjMvMzEvMjAyNC5MLi5VU0QuSAEAAADiBAYAAgAAAAYyLjgwNjQA5UraikQl3gj5BIuLRCXeCD1DSVEuQ1ZYLklRX1JFVFVSTl9JTlZFU1RFRF9DQVBJVEFMLklRX0xUTS4xMi8zMS8yMDIzLkwuLlVTRC5IAQAAAMqAAQACAAAABjUuMzQyMgDlStqKRCXeCCfJiYtEJd4IO0NJUS5DT1AuSVFfUkVUVVJOX0lOVkVTVEVEX0NBUElUQUwuSVFfQ1EuNi8zMC8yMDIzLkwuLlVTRC5IAQAAAE+GBAACAAAABjUuNDk3NgDlStqKRCXeCCt/h4tEJd4IOkNJUS5CUC5JUV9SRVRVUk5fSU5WRVNURURfQ0FQSVRBTC5JUV9DUS4zLzMxLzIwMjMuTC4uVVNELkgBAAAA4gQGAAIAAAAHMTkuODk2NADzcdqKRCXeCL9thotEJd4IPUNJUS5DVlguSVFfUkVUVVJOX0lOVkVTVEVEX0NBUElUQUwuSVFfTFRNLjEyLzMxLzIwMjIuTC4uVVNELkgBAAAAyoABAAIAAAAHMTMuNTE4NAD+6caK</t>
  </si>
  <si>
    <t>RCXeCD8OhYtEJd4IO0NJUS5DT1AuSVFfUkVUVVJOX0lOVkVTVEVEX0NBUElUQUwuSVFfQ1EuNi8zMC8yMDIyLkwuLlVTRC5IAQAAAE+GBAACAAAABzI0LjYwODgACRHHikQl3ghM64KLRCXeCDpDSVEuQlAuSVFfUkVUVVJOX0lOVkVTVEVEX0NBUElUQUwuSVFfQ1EuMy8zMS8yMDIyLkwuLlVTRC5IAQAAAOIEBgACAAAACC01NS43NTI0AAkRx4pEJd4I29mBi0Ql3gg9Q0lRLkNWWC5JUV9SRVRVUk5fSU5WRVNURURfQ0FQSVRBTC5JUV9MVE0uMTIvMzEvMjAyMS5MLi5VU0QuSAEAAADKgAEAAgAAAAYzLjA2MTYACRHHikQl3ghNeoCLRCXeCDtDSVEuQ09QLklRX1JFVFVSTl9JTlZFU1RFRF9DQVBJVEFMLklRX0NRLjYvMzAvMjAyMS5MLi5VU0QuSAEAAABPhgQAAgAAAAU5LjQ2NAAxOMeKRCXeCG1XfotEJd4IOkNJUS5CUC5JUV9SRVRVUk5fSU5WRVNURURfQ0FQSVRBTC5JUV9DUS4zLzMxLzIwMjEuTC4uVVNELkgBAAAA4gQGAAIAAAAGOC42NDk2ADE4x4pEJd4I/kV9i0Ql3gg9Q0lRLkNWWC5JUV9SRVRVUk5fSU5WRVNURURfQ0FQSVRBTC5JUV9MVE0uMTIvMzEvMjAyMC5MLi5VU0QuSAEAAADKgAEAAgAAAActOC41MTE3ADE4x4pEJd4IeOZ7i0Ql3gg7Q0lRLkNPUC5JUV9SRVRVUk5fSU5WRVNURURfQ0FQSVRBTC5JUV9DUS42LzMwLzIwMjAuTC4uVVNELkgBAAAAT4YEAAIAAAAFLTEuNjgAKV/HikQl3gh1</t>
  </si>
  <si>
    <t>dXmLRCXeCDpDSVEuQlAuSVFfUkVUVVJOX0lOVkVTVEVEX0NBUElUQUwuSVFfQ1EuMy8zMS8yMDIwLkwuLlVTRC5IAQAAAOIEBgACAAAABy0xNC45MDQAKV/HikQl3ggNZHiLRCXeCD1DSVEuQ1ZYLklRX1JFVFVSTl9JTlZFU1RFRF9DQVBJVEFMLklRX0xUTS4xMi8zMS8yMDE5LkwuLlVTRC5IAQAAAMqAAQACAAAABy0zLjI5NjMAKV/HikQl3ghvBHeLRCXeCDtDSVEuQ09QLklRX1JFVFVSTl9JTlZFU1RFRF9DQVBJVEFMLklRX0NRLjYvMzAvMjAxOS5MLi5VU0QuSAEAAABPhgQAAgAAAAUxMC4wOADn5HyJRCXeCIzhdItEJd4IOkNJUS5CUC5JUV9SRVRVUk5fSU5WRVNURURfQ0FQSVRBTC5JUV9DUS4zLzMxLzIwMTkuTC4uVVNELkgBAAAA4gQGAAIAAAAFMy40NTYA9Qt9iUQl3ggc0HOLRCXeCD1DSVEuQ1ZYLklRX1JFVFVSTl9JTlZFU1RFRF9DQVBJVEFMLklRX0xUTS4xMi8zMS8yMDE4LkwuLlVTRC5IAQAAAMqAAQACAAAABjMuMzQzMwBrUoqJRCXeCJBwcotEJd4IO0NJUS5DT1AuSVFfUkVUVVJOX0lOVkVTVEVEX0NBUElUQUwuSVFfQ1EuNi8zMC8yMDE4LkwuLlVTRC5IAQAAAE+GBAACAAAABjExLjA5NABrUoqJRCXeCLD/b4tEJd4IOkNJUS5CUC5JUV9SRVRVUk5fSU5WRVNURURfQ0FQSVRBTC5JUV9DUS4zLzMxLzIwMTguTC4uVVNELkgBAAAA4gQGAAIAAAAGMS41NTkyAHp5iolEJd4I9Xhui0Ql3gg9</t>
  </si>
  <si>
    <t>Q0lRLkNWWC5JUV9SRVRVUk5fSU5WRVNURURfQ0FQSVRBTC5JUV9MVE0uMTIvMzEvMjAxNy5MLi5VU0QuSAEAAADKgAEAAgAAAAYwLjU1ODEAenmKiUQl3ggupGyLRCXeCDtDSVEuQ09QLklRX1JFVFVSTl9JTlZFU1RFRF9DQVBJVEFMLklRX0NRLjYvMzAvMjAxNy5MLi5VU0QuSAEAAABPhgQAAgAAAActMjYuMDA2AI2giolEJd4I95Zpi0Ql3gg6Q0lRLkJQLklRX1JFVFVSTl9JTlZFU1RFRF9DQVBJVEFMLklRX0NRLjMvMzEvMjAxNy5MLi5VU0QuSAEAAADiBAYAAgAAAAUwLjM2NgCNoIqJRCXeCFUQaItEJd4IPUNJUS5DVlguSVFfUkVUVVJOX0lOVkVTVEVEX0NBUElUQUwuSVFfTFRNLjEyLzMxLzIwMTYuTC4uVVNELkgBAAAAyoABAAIAAAAHLTQuNDI3MwCNoIqJRCXeCJk7ZotEJd4IO0NJUS5DT1AuSVFfUkVUVVJOX0lOVkVTVEVEX0NBUElUQUwuSVFfQ1EuNi8zMC8yMDE2LkwuLlVTRC5IAQAAAE+GBAACAAAABy04LjE3ODgAoceKiUQl3ghFB2OLRCXeCDpDSVEuQlAuSVFfUkVUVVJOX0lOVkVTVEVEX0NBUElUQUwuSVFfQ1EuMy8zMS8yMDE2LkwuLlVTRC5IAQAAAOIEBgACAAAABS00LjQ0AKHHiolEJd4IsoBhi0Ql3gg9Q0lRLkNWWC5JUV9SRVRVUk5fSU5WRVNURURfQ0FQSVRBTC5JUV9MVE0uMTIvMzEvMjAxNS5MLi5VU0QuSAEAAADKgAEAAgAAAAYtMS44MDkAyJZ8iUQl3gjoq1+LRCXeCDtDSVEu</t>
  </si>
  <si>
    <t>Q09QLklRX1JFVFVSTl9JTlZFU1RFRF9DQVBJVEFMLklRX0NRLjYvMzAvMjAxNS5MLi5VU0QuSAEAAABPhgQAAgAAAActNS45ODU2ANu9fIlEJd4InXdci0Ql3gg6Q0lRLkJQLklRX1JFVFVSTl9JTlZFU1RFRF9DQVBJVEFMLklRX0NRLjMvMzEvMjAxNS5MLi5VU0QuSAEAAADiBAYAAgAAAAUyLjEzNADbvXyJRCXeCPbwWotEJd4IPUNJUS5DVlguSVFfUkVUVVJOX0lOVkVTVEVEX0NBUElUQUwuSVFfTFRNLjEyLzMxLzIwMTQuTC4uVVNELkgBAAAAyoABAAIAAAAGNi4zNzU5AFAEiolEJd4IRPVYi0Ql3gg7Q0lRLkNPUC5JUV9SRVRVUk5fSU5WRVNURURfQ0FQSVRBTC5JUV9DUS42LzMwLzIwMTQuTC4uVVNELkgBAAAAT4YEAAIAAAAFNi40NTgAUASKiUQl3gjVwFWLRCXeCDpDSVEuQlAuSVFfUkVUVVJOX0lOVkVTVEVEX0NBUElUQUwuSVFfQ1EuMy8zMS8yMDE0LkwuLlVTRC5IAQAAAOIEBgACAAAABjQuNjM5NgBuK4qJRCXeCDQ6VItEJd4IPUNJUS5DVlguSVFfUkVUVVJOX0lOVkVTVEVEX0NBUElUQUwuSVFfTFRNLjEyLzMxLzIwMTMuTC4uVVNELkgBAAAAyoABAAIAAAAGOC42OTQxAG4riolEJd4IdmVSi0Ql3gg7Q0lRLkNPUC5JUV9SRVRVUk5fSU5WRVNURURfQ0FQSVRBTC5JUV9DUS42LzMwLzIwMTMuTC4uVVNELkgBAAAAT4YEAAIAAAAFNi42NzQAmGCYiUQl3giDG1CLRCXeCDpDSVEuQlAuSVFfUkVU</t>
  </si>
  <si>
    <t>VVJOX0lOVkVTVEVEX0NBUElUQUwuSVFfQ1EuMy8zMS8yMDEzLkwuLlVTRC5IAQAAAOIEBgACAAAABzM1LjIzMjgAq4eYiUQl3gj64k6LRCXeCD1DSVEuQ1ZYLklRX1JFVFVSTl9JTlZFU1RFRF9DQVBJVEFMLklRX0xUTS4xMi8zMS8yMDEyLkwuLlVTRC5IAQAAAMqAAQACAAAABzEzLjY5NTQAq4eYiUQl3giPqk2LRCXeCDtDSVEuQ09QLklRX1JFVFVSTl9JTlZFU1RFRF9DQVBJVEFMLklRX0NRLjYvMzAvMjAxMi5MLi5VU0QuSAEAAABPhgQAAgAAAAY2LjcwMjgAqa6YiUQl3ggCb0uLRCXeCDpDSVEuQlAuSVFfUkVUVVJOX0lOVkVTVEVEX0NBUElUQUwuSVFfQ1EuMy8zMS8yMDEyLkwuLlVTRC5IAQAAAOIEBgACAAAABzExLjMwMzIA2718iUQl3gj1RUqLRCXeCD1DSVEuQ1ZYLklRX1JFVFVSTl9JTlZFU1RFRF9DQVBJVEFMLklRX0xUTS4xMi8zMS8yMDExLkwuLlVTRC5IAQAAAMqAAQACAAAABzE2LjYzMjQA5+R8iUQl3gihHEmLRCXeCDtDSVEuQ09QLklRX1JFVFVSTl9JTlZFU1RFRF9DQVBJVEFMLklRX0NRLjYvMzAvMjAxMS5MLi5VU0QuSAEAAABPhgQAAgAAAAcxMy44MTQ0AOfkfIlEJd4IRrdGi0Ql3gg6Q0lRLkJQLklRX1JFVFVSTl9JTlZFU1RFRF9DQVBJVEFMLklRX0NRLjMvMzEvMjAxMS5MLi5VU0QuSAEAAADiBAYAAgAAAAcxNy42ODk2APULfYlEJd4I2KVFi0Ql3gg9Q0lRLkNWWC5JUV9SRVRV</t>
  </si>
  <si>
    <t>Uk5fSU5WRVNURURfQ0FQSVRBTC5JUV9MVE0uMTIvMzEvMjAxMC5MLi5VU0QuSAEAAADKgAEAAgAAAAcxMi4xMjA5AAYzfYlEJd4IR0ZEi0Ql3gg7Q0lRLkNPUC5JUV9SRVRVUk5fSU5WRVNURURfQ0FQSVRBTC5JUV9DUS42LzMwLzIwMTAuTC4uVVNELkgBAAAAT4YEAAIAAAAHMTMuNzAxNgAGM32JRCXeCJSYQotEJd4IOkNJUS5CUC5JUV9SRVRVUk5fSU5WRVNURURfQ0FQSVRBTC5JUV9DUS4zLzMxLzIwMTAuTC4uVVNELkgBAAAA4gQGAAIAAAAHMTAuMDg2NAAGM32JRCXeCCuHQYtEJd4IPUNJUS5DVlguSVFfUkVUVVJOX0lOVkVTVEVEX0NBUElUQUwuSVFfTFRNLjEyLzMxLzIwMDkuTC4uVVNELkgBAAAAyoABAAIAAAAGNS4yMDQ2ABlafYlEJd4IwnVAi0Ql3gg8Q0lRLkJQLklRX1JFVFVSTl9JTlZFU1RFRF9DQVBJVEFMLklRX0xUTS4xMi8zMS8yMDI0LkwuLlVTRC5IAQAAAOIEBgACAAAABy0zLjA5NzUA6iPaikQl3ghBOY6LRCXeCDxDSVEuQ09QLklRX1JFVFVSTl9JTlZFU1RFRF9DQVBJVEFMLklRX0xUTS4zLzMxLzIwMjQuTC4uVVNELkgBAAAAT4YEAAIAAAAGOC40MzA5AOVK2opEJd4IECyLi0Ql3gg8Q0lRLkJQLklRX1JFVFVSTl9JTlZFU1RFRF9DQVBJVEFMLklRX0xUTS4xMi8zMS8yMDIzLkwuLlVTRC5IAQAAAOIEBgACAAAABTcuMjY3AOVK2opEJd4IJ8mJi0Ql3gg8Q0lRLkNPUC5JUV9SRVRV</t>
  </si>
  <si>
    <t>Uk5fSU5WRVNURURfQ0FQSVRBTC5JUV9MVE0uMy8zMS8yMDIzLkwuLlVTRC5IAQAAAE+GBAACAAAABzE0LjM0NDQA83HaikQl3girRoaLRCXeCDtDSVEuQ1ZYLklRX1JFVFVSTl9JTlZFU1RFRF9DQVBJVEFMLklRX0NRLjYvMzAvMjAyMi5MLi5VU0QuSAEAAADKgAEAAgAAAAcxOS44MzI0AAkRx4pEJd4ITOuCi0Ql3gg8Q0lRLkJQLklRX1JFVFVSTl9JTlZFU1RFRF9DQVBJVEFMLklRX0xUTS4xMi8zMS8yMDIxLkwuLlVTRC5IAQAAAOIEBgACAAAABjEuOTkwMQAJEceKRCXeCE16gItEJd4IO0NJUS5DVlguSVFfUkVUVVJOX0lOVkVTVEVEX0NBUElUQUwuSVFfQ1EuNi8zMC8yMDIxLkwuLlVTRC5IAQAAAMqAAQACAAAABTEuMTQ2ADE4x4pEJd4IbVd+i0Ql3gg7Q0lRLkNWWC5JUV9SRVRVUk5fSU5WRVNURURfQ0FQSVRBTC5JUV9DUS42LzMwLzIwMjAuTC4uVVNELkgBAAAAyoABAAIAAAAILTI0LjY3NzYAKV/HikQl3gh1dXmLRCXeCDxDSVEuQlAuSVFfUkVUVVJOX0lOVkVTVEVEX0NBUElUQUwuSVFfTFRNLjEyLzMxLzIwMTkuTC4uVVNELkgBAAAA4gQGAAIAAAAHLTEuNjkwMgBIhseKRCXeCG8Ed4tEJd4IPENJUS5CUC5JUV9SRVRVUk5fSU5WRVNURURfQ0FQSVRBTC5JUV9MVE0uMTIvMzEvMjAxOC5MLi5VU0QuSAEAAADiBAYAAgAAAAYxLjYyMDMAa1KKiUQl3giQcHKLRCXeCDxDSVEuQ09QLklRX1JFVFVS</t>
  </si>
  <si>
    <t>Tl9JTlZFU1RFRF9DQVBJVEFMLklRX0xUTS4zLzMxLzIwMTguTC4uVVNELkgBAAAAT4YEAAIAAAAGLTMuMzk3AHp5iolEJd4I2ypui0Ql3gg8Q0lRLkJQLklRX1JFVFVSTl9JTlZFU1RFRF9DQVBJVEFMLklRX0xUTS4xMi8zMS8yMDE3LkwuLlVTRC5IAQAAAOIEBgACAAAABy0xLjczMDMAenmKiUQl3ggupGyLRCXeCDxDSVEuQlAuSVFfUkVUVVJOX0lOVkVTVEVEX0NBUElUQUwuSVFfTFRNLjEyLzMxLzIwMTYuTC4uVVNELkgBAAAA4gQGAAIAAAAHLTIuOTI2MgCNoIqJRCXeCJk7ZotEJd4IPENJUS5DT1AuSVFfUkVUVVJOX0lOVkVTVEVEX0NBUElUQUwuSVFfTFRNLjMvMzEvMjAxNi5MLi5VU0QuSAEAAABPhgQAAgAAAAgtMTMuMTU4NAChx4qJRCXeCIoyYYtEJd4IPENJUS5DT1AuSVFfUkVUVVJOX0lOVkVTVEVEX0NBUElUQUwuSVFfTFRNLjMvMzEvMjAxNS5MLi5VU0QuSAEAAABPhgQAAgAAAAYxLjk2NTIA2718iUQl3gjcolqLRCXeCDtDSVEuQ1ZYLklRX1JFVFVSTl9JTlZFU1RFRF9DQVBJVEFMLklRX0NRLjYvMzAvMjAxNC5MLi5VU0QuSAEAAADKgAEAAgAAAAY4LjI1ODgAUASKiUQl3gjVwFWLRCXeCDxDSVEuQlAuSVFfUkVUVVJOX0lOVkVTVEVEX0NBUElUQUwuSVFfTFRNLjEyLzMxLzIwMTIuTC4uVVNELkgBAAAA4gQGAAIAAAAGMy41MTgxAKuHmIlEJd4Ij6pNi0Ql3gg8Q0lRLkJQLklRX1JFVFVS</t>
  </si>
  <si>
    <t>Tl9JTlZFU1RFRF9DQVBJVEFMLklRX0xUTS4xMi8zMS8yMDExLkwuLlVTRC5IAQAAAOIEBgACAAAABzE0LjE4NjkA5+R8iUQl3gihHEmLRCXeCDxDSVEuQlAuSVFfUkVUVVJOX0lOVkVTVEVEX0NBUElUQUwuSVFfTFRNLjEyLzMxLzIwMTAuTC4uVVNELkgBAAAA4gQGAAIAAAAGLTQuNTY2AAYzfYlEJd4IVm1Ei0Ql3gg8Q0lRLkJQLklRX1JFVFVSTl9JTlZFU1RFRF9DQVBJVEFMLklRX0xUTS4xMi8zMS8yMDA5LkwuLlVTRC5IAQAAAOIEBgACAAAABjQuNjUxNwAZWn2JRCXeCMJ1QItEJd4IPUNJUS5EVk4uSVFfUkVUVVJOX0lOVkVTVEVEX0NBUElUQUwuSVFfTFRNLjEyLzMxLzIwMjQuTC4uVVNELkgBAAAADhEEAAIAAAAGOS4xNjA4AOoj2opEJd4IQTmOi0Ql3gg8Q0lRLlhPTS5JUV9SRVRVUk5fSU5WRVNURURfQ0FQSVRBTC5JUV9MVE0uMy8zMS8yMDIyLkwuLlVTRC5IAQAAAEIzBgACAAAABjQuNzk1NwAJEceKRCXeCMKLgYtEJd4IO0NJUS5FT0cuSVFfUkVUVVJOX0lOVkVTVEVEX0NBUElUQUwuSVFfQ1EuNi8zMC8yMDIwLkwuLlVTRC5IAQAAAFwdBAACAAAABi0xNi44OQApX8eKRCXeCHV1eYtEJd4IO0NJUS5FT0cuSVFfUkVUVVJOX0lOVkVTVEVEX0NBUElUQUwuSVFfQ1EuNi8zMC8yMDE5LkwuLlVTRC5IAQAAAFwdBAACAAAABjEwLjc0OADn5HyJRCXeCIzhdItEJd4IPENJUS5YT00uSVFfUkVUVVJO</t>
  </si>
  <si>
    <t>X0lOVkVTVEVEX0NBUElUQUwuSVFfTFRNLjMvMzEvMjAxOC5MLi5VU0QuSAEAAABCMwYAAgAAAAYzLjEwNzMAenmKiUQl3gjbKm6LRCXeCDxDSVEuWE9NLklRX1JFVFVSTl9JTlZFU1RFRF9DQVBJVEFMLklRX0xUTS4zLzMxLzIwMTcuTC4uVVNELkgBAAAAQjMGAAIAAAAHLTEuMTEwNQCNoIqJRCXeCDfCZ4tEJd4IPENJUS5YT00uSVFfUkVUVVJOX0lOVkVTVEVEX0NBUElUQUwuSVFfTFRNLjMvMzEvMjAxNi5MLi5VU0QuSAEAAABCMwYAAgAAAAUwLjM2NAChx4qJRCXeCIoyYYtEJd4IPENJUS5YT00uSVFfUkVUVVJOX0lOVkVTVEVEX0NBUElUQUwuSVFfTFRNLjMvMzEvMjAxNS5MLi5VU0QuSAEAAABCMwYAAgAAAAY4LjAxNjgA2718iUQl3gjcolqLRCXeCDtDSVEuRU9HLklRX1JFVFVSTl9JTlZFU1RFRF9DQVBJVEFMLklRX0NRLjYvMzAvMjAxNC5MLi5VU0QuSAEAAABcHQQAAgAAAAYxMS40NjIAUASKiUQl3gjVwFWLRCXeCDtDSVEuRU9HLklRX1JFVFVSTl9JTlZFU1RFRF9DQVBJVEFMLklRX0NRLjYvMzAvMjAxMy5MLi5VU0QuSAEAAABcHQQAAgAAAAcxMS45NDc2AJhgmIlEJd4IgxtQi0Ql3gg7Q0lRLkVPRy5JUV9SRVRVUk5fSU5WRVNURURfQ0FQSVRBTC5JUV9DUS42LzMwLzIwMTIuTC4uVVNELkgBAAAAXB0EAAIAAAADNy43AKmumIlEJd4IAm9Li0Ql3gg7Q0lRLkVPRy5JUV9SRVRVUk5fSU5WRVNU</t>
  </si>
  <si>
    <t>RURfQ0FQSVRBTC5JUV9DUS42LzMwLzIwMTEuTC4uVVNELkgBAAAAXB0EAAIAAAAFNS44ODgA5+R8iUQl3ghGt0aLRCXeCD1DSVEuRFZOLklRX1JFVFVSTl9JTlZFU1RFRF9DQVBJVEFMLklRX0xUTS4xMi8zMS8yMDA5LkwuLlVTRC5IAQAAAA4RBAACAAAACC0xMi4wNzg2ABlafYlEJd4IwnVAi0Ql3gg9Q0lRLkVPRy5JUV9SRVRVUk5fSU5WRVNURURfQ0FQSVRBTC5JUV9MVE0uMTIvMzEvMjAwOS5MLi5VU0QuSAEAAABcHQQAAgAAAAYzLjQxMTQAGVp9iUQl3gjCdUCLRCXeCDtDSVEuQ1ZYLklRX1JFVFVSTl9JTlZFU1RFRF9DQVBJVEFMLklRX0NRLjYvMzAvMjAyNC5MLi5VU0QuSAEAAADKgAEAAgAAAAUzLjE3NADlStqKRCXeCGEWjItEJd4IPENJUS5DT1AuSVFfUkVUVVJOX0lOVkVTVEVEX0NBUElUQUwuSVFfTFRNLjMvMzEvMjAyMS5MLi5VU0QuSAEAAABPhgQAAgAAAActMy41NDM4ADE4x4pEJd4I4Pd8i0Ql3gg7Q0lRLkNWWC5JUV9SRVRVUk5fSU5WRVNURURfQ0FQSVRBTC5JUV9DUS42LzMwLzIwMTkuTC4uVVNELkgBAAAAyoABAAIAAAAGNC4yNjQ0AOfkfIlEJd4IjOF0i0Ql3gg7Q0lRLkNWWC5JUV9SRVRVUk5fSU5WRVNURURfQ0FQSVRBTC5JUV9DUS42LzMwLzIwMTguTC4uVVNELkgBAAAAyoABAAIAAAAFMi42NzIAa1KKiUQl3giiJnCLRCXeCDtDSVEuQ1ZYLklRX1JFVFVSTl9JTlZFU1RFRF9D</t>
  </si>
  <si>
    <t>QVBJVEFMLklRX0NRLjYvMzAvMjAxNy5MLi5VU0QuSAEAAADKgAEAAgAAAActMS4yMTQ0AI2giolEJd4I95Zpi0Ql3gg8Q0lRLkJQLklRX1JFVFVSTl9JTlZFU1RFRF9DQVBJVEFMLklRX0xUTS4xMi8zMS8yMDE1LkwuLlVTRC5IAQAAAOIEBgACAAAABy04LjI4NDEAyJZ8iUQl3gjoq1+LRCXeCDxDSVEuQlAuSVFfUkVUVVJOX0lOVkVTVEVEX0NBUElUQUwuSVFfTFRNLjEyLzMxLzIwMTQuTC4uVVNELkgBAAAA4gQGAAIAAAAHLTEuMjAyNABQBIqJRCXeCD0cWYtEJd4IO0NJUS5DVlguSVFfUkVUVVJOX0lOVkVTVEVEX0NBUElUQUwuSVFfQ1EuNi8zMC8yMDEzLkwuLlVTRC5IAQAAAMqAAQACAAAABjguNjE2NACYYJiJRCXeCIMbUItEJd4IO0NJUS5DVlguSVFfUkVUVVJOX0lOVkVTVEVEX0NBUElUQUwuSVFfQ1EuNi8zMC8yMDEyLkwuLlVTRC5IAQAAAMqAAQACAAAABzE1LjczODgAqa6YiUQl3ggCb0uLRCXeCDtDSVEuQ1ZYLklRX1JFVFVSTl9JTlZFU1RFRF9DQVBJVEFMLklRX0NRLjYvMzAvMjAxMS5MLi5VU0QuSAEAAADKgAEAAgAAAAcxOS43MzMyAOfkfIlEJd4IRrdGi0Ql3gg7Q0lRLkNWWC5JUV9SRVRVUk5fSU5WRVNURURfQ0FQSVRBTC5JUV9DUS42LzMwLzIwMTAuTC4uVVNELkgBAAAAyoABAAIAAAAHMTQuNjI5NgAGM32JRCXeCG9KQotEJd4IO0NJUS5FT0cuSVFfUkVUVVJOX0lOVkVTVEVEX0NB</t>
  </si>
  <si>
    <t>UElUQUwuSVFfQ1EuNi8zMC8yMDI1LkwuLlVTRC5IAQAAAFwdBAACAAAABjkuNTUzNgDqI9qKRCXeCHcfkYtEJd4IPUNJUS5EVk4uSVFfUkVUVVJOX0lOVkVTVEVEX0NBUElUQUwuSVFfTFRNLjEyLzMxLzIwMjMuTC4uVVNELkgBAAAADhEEAAIAAAAHMTAuMjkwMwDlStqKRCXeCCfJiYtEJd4IPENJUS5YT00uSVFfUkVUVVJOX0lOVkVTVEVEX0NBUElUQUwuSVFfTFRNLjMvMzEvMjAyMy5MLi5VU0QuSAEAAABCMwYAAgAAAAcxOS44MjIzAPNx2opEJd4Iq0aGi0Ql3gg7Q0lRLkVPRy5JUV9SRVRVUk5fSU5WRVNURURfQ0FQSVRBTC5JUV9DUS42LzMwLzIwMjIuTC4uVVNELkgBAAAAXB0EAAIAAAAGMTEuMDQyAAkRx4pEJd4ITOuCi0Ql3gg7Q0lRLkVPRy5JUV9SRVRVUk5fSU5WRVNURURfQ0FQSVRBTC5JUV9DUS42LzMwLzIwMjEuTC4uVVNELkgBAAAAXB0EAAIAAAAHMTAuMTkzNgAxOMeKRCXeCG1XfotEJd4IPUNJUS5EVk4uSVFfUkVUVVJOX0lOVkVTVEVEX0NBUElUQUwuSVFfTFRNLjEyLzMxLzIwMjAuTC4uVVNELkgBAAAADhEEAAIAAAAILTMxLjQ3MzMAMTjHikQl3giBDXyLRCXeCD1DSVEuRFZOLklRX1JFVFVSTl9JTlZFU1RFRF9DQVBJVEFMLklRX0xUTS4xMi8zMS8yMDE5LkwuLlVTRC5IAQAAAA4RBAACAAAABy00LjEwNTMASIbHikQl3ghvBHeLRCXeCD1DSVEuRFZOLklRX1JFVFVSTl9JTlZFU1RF</t>
  </si>
  <si>
    <t>RF9DQVBJVEFMLklRX0xUTS4xMi8zMS8yMDE4LkwuLlVTRC5IAQAAAA4RBAACAAAABzE2LjgxNDcAa1KKiUQl3giQcHKLRCXeCDtDSVEuRU9HLklRX1JFVFVSTl9JTlZFU1RFRF9DQVBJVEFMLklRX0NRLjYvMzAvMjAxNy5MLi5VU0QuSAEAAABcHQQAAgAAAActMS40MDEyAI2giolEJd4I95Zpi0Ql3gg7Q0lRLkVPRy5JUV9SRVRVUk5fSU5WRVNURURfQ0FQSVRBTC5JUV9DUS42LzMwLzIwMTYuTC4uVVNELkgBAAAAXB0EAAIAAAAHLTguMDAxNgChx4qJRCXeCFsuY4tEJd4IO0NJUS5FT0cuSVFfUkVUVVJOX0lOVkVTVEVEX0NBUElUQUwuSVFfQ1EuNi8zMC8yMDE1LkwuLlVTRC5IAQAAAFwdBAACAAAABy0xLjQzMDQA2718iUQl3gidd1yLRCXeCDxDSVEuWE9NLklRX1JFVFVSTl9JTlZFU1RFRF9DQVBJVEFMLklRX0xUTS4zLzMxLzIwMTMuTC4uVVNELkgBAAAAQjMGAAIAAAAHMTguODM4MQCrh5iJRCXeCOu7TotEJd4IPENJUS5YT00uSVFfUkVUVVJOX0lOVkVTVEVEX0NBUElUQUwuSVFfTFRNLjMvMzEvMjAxMi5MLi5VU0QuSAEAAABCMwYAAgAAAAcxNy40NDU3ANu9fIlEJd4I9UVKi0Ql3gg8Q0lRLlhPTS5JUV9SRVRVUk5fSU5WRVNURURfQ0FQSVRBTC5JUV9MVE0uMy8zMS8yMDExLkwuLlVTRC5IAQAAAEIzBgACAAAABzE3LjM3NjMA9Qt9iUQl3gjGfkWLRCXeCDtDSVEuWE9NLklRX1JFVFVSTl9JTlZF</t>
  </si>
  <si>
    <t>U1RFRF9DQVBJVEFMLklRX0NRLjYvMzAvMjAyNS5MLi5VU0QuSAEAAABCMwYAAgAAAAYzLjYyNjQA6iPaikQl3gh3H5GLRCXeCDtDSVEuRFZOLklRX1JFVFVSTl9JTlZFU1RFRF9DQVBJVEFMLklRX0NRLjMvMzEvMjAyNS5MLi5VU0QuSAEAAAAOEQQAAgAAAAY1LjU0NjQA6iPaikQl3gj95o+LRCXeCD1DSVEuRU9HLklRX1JFVFVSTl9JTlZFU1RFRF9DQVBJVEFMLklRX0xUTS4xMi8zMS8yMDI0LkwuLlVTRC5IAQAAAFwdBAACAAAABzEyLjY4NzkA6iPaikQl3ghih46LRCXeCDtDSVEuWE9NLklRX1JFVFVSTl9JTlZFU1RFRF9DQVBJVEFMLklRX0NRLjYvMzAvMjAyNC5MLi5VU0QuSAEAAABCMwYAAgAAAAY2LjkxODQA5UraikQl3ghhFoyLRCXeCDtDSVEuRFZOLklRX1JFVFVSTl9JTlZFU1RFRF9DQVBJVEFMLklRX0NRLjMvMzEvMjAyNC5MLi5VU0QuSAEAAAAOEQQAAgAAAAY2LjMzMTIA5UraikQl3ggQLIuLRCXeCD1DSVEuRU9HLklRX1JFVFVSTl9JTlZFU1RFRF9DQVBJVEFMLklRX0xUTS4xMi8zMS8yMDIzLkwuLlVTRC5IAQAAAFwdBAACAAAABjEzLjIyNwDlStqKRCXeCCfJiYtEJd4IO0NJUS5YT00uSVFfUkVUVVJOX0lOVkVTVEVEX0NBUElUQUwuSVFfQ1EuNi8zMC8yMDIzLkwuLlVTRC5IAQAAAEIzBgACAAAABjYuNzM1MgDlStqKRCXeCCt/h4tEJd4IO0NJUS5EVk4uSVFfUkVUVVJOX0lOVkVTVEVE</t>
  </si>
  <si>
    <t>X0NBUElUQUwuSVFfQ1EuMy8zMS8yMDIzLkwuLlVTRC5IAQAAAA4RBAACAAAABjguOTEyNADzcdqKRCXeCL9thotEJd4IPUNJUS5FT0cuSVFfUkVUVVJOX0lOVkVTVEVEX0NBUElUQUwuSVFfTFRNLjEyLzMxLzIwMjIuTC4uVVNELkgBAAAAXB0EAAIAAAAGOC44NzczAP7pxopEJd4IQTWFi0Ql3gg7Q0lRLlhPTS5JUV9SRVRVUk5fSU5WRVNURURfQ0FQSVRBTC5JUV9DUS42LzMwLzIwMjIuTC4uVVNELkgBAAAAQjMGAAIAAAAHMjQuODA2OAAJEceKRCXeCEzrgotEJd4IO0NJUS5EVk4uSVFfUkVUVVJOX0lOVkVTVEVEX0NBUElUQUwuSVFfQ1EuMy8zMS8yMDIyLkwuLlVTRC5IAQAAAA4RBAACAAAABjcuOTY1NgAJEceKRCXeCNvZgYtEJd4IPUNJUS5FT0cuSVFfUkVUVVJOX0lOVkVTVEVEX0NBUElUQUwuSVFfTFRNLjEyLzMxLzIwMjEuTC4uVVNELkgBAAAAXB0EAAIAAAAHMTMuNTM5OAAJEceKRCXeCE16gItEJd4IO0NJUS5YT00uSVFfUkVUVVJOX0lOVkVTVEVEX0NBUElUQUwuSVFfQ1EuNi8zMC8yMDIxLkwuLlVTRC5IAQAAAEIzBgACAAAABjEuNzA4OAAxOMeKRCXeCG1XfotEJd4IO0NJUS5EVk4uSVFfUkVUVVJOX0lOVkVTVEVEX0NBUElUQUwuSVFfQ1EuMy8zMS8yMDIxLkwuLlVTRC5IAQAAAA4RBAACAAAABjAuMzM4NAAxOMeKRCXeCP5FfYtEJd4IPUNJUS5FT0cuSVFfUkVUVVJOX0lOVkVTVEVEX0NB</t>
  </si>
  <si>
    <t>UElUQUwuSVFfTFRNLjEyLzMxLzIwMjAuTC4uVVNELkgBAAAAXB0EAAIAAAAHLTUuMjE2OAAxOMeKRCXeCHjme4tEJd4IO0NJUS5YT00uSVFfUkVUVVJOX0lOVkVTVEVEX0NBUElUQUwuSVFfQ1EuNi8zMC8yMDIwLkwuLlVTRC5IAQAAAEIzBgACAAAABy03LjU5NTYAKV/HikQl3gh1dXmLRCXeCDtDSVEuRFZOLklRX1JFVFVSTl9JTlZFU1RFRF9DQVBJVEFMLklRX0NRLjMvMzEvMjAyMC5MLi5VU0QuSAEAAAAOEQQAAgAAAAgtNzcuNjEyOAApX8eKRCXeCA1keItEJd4IPUNJUS5FT0cuSVFfUkVUVVJOX0lOVkVTVEVEX0NBUElUQUwuSVFfTFRNLjEyLzMxLzIwMTkuTC4uVVNELkgBAAAAXB0EAAIAAAAGOC4wOTIyAEiGx4pEJd4IbwR3i0Ql3gg7Q0lRLlhPTS5JUV9SRVRVUk5fSU5WRVNURURfQ0FQSVRBTC5JUV9DUS42LzMwLzIwMTkuTC4uVVNELkgBAAAAQjMGAAIAAAAHLTAuOTUxNgDn5HyJRCXeCIzhdItEJd4IO0NJUS5EVk4uSVFfUkVUVVJOX0lOVkVTVEVEX0NBUElUQUwuSVFfQ1EuMy8zMS8yMDE5LkwuLlVTRC5IAQAAAA4RBAACAAAABy0xMC4xNTYA9Qt9iUQl3ggc0HOLRCXeCD1DSVEuRU9HLklRX1JFVFVSTl9JTlZFU1RFRF9DQVBJVEFMLklRX0xUTS4xMi8zMS8yMDE4LkwuLlVTRC5IAQAAAFwdBAACAAAABzEyLjM5MDQAa1KKiUQl3giQcHKLRCXeCDtDSVEuWE9NLklRX1JFVFVSTl9JTlZFU1RF</t>
  </si>
  <si>
    <t>RF9DQVBJVEFMLklRX0NRLjYvMzAvMjAxOC5MLi5VU0QuSAEAAABCMwYAAgAAAAUwLjc2MgBrUoqJRCXeCLD/b4tEJd4IO0NJUS5EVk4uSVFfUkVUVVJOX0lOVkVTVEVEX0NBUElUQUwuSVFfQ1EuMy8zMS8yMDE4LkwuLlVTRC5IAQAAAA4RBAACAAAABy00LjA5MjgAenmKiUQl3gj1eG6LRCXeCD1DSVEuRU9HLklRX1JFVFVSTl9JTlZFU1RFRF9DQVBJVEFMLklRX0xUTS4xMi8zMS8yMDE3LkwuLlVTRC5IAQAAAFwdBAACAAAABzEwLjA2NDcAenmKiUQl3ggupGyLRCXeCDtDSVEuWE9NLklRX1JFVFVSTl9JTlZFU1RFRF9DQVBJVEFMLklRX0NRLjYvMzAvMjAxNy5MLi5VU0QuSAEAAABCMwYAAgAAAAYwLjEwNzIAjaCKiUQl3gj3lmmLRCXeCDtDSVEuRFZOLklRX1JFVFVSTl9JTlZFU1RFRF9DQVBJVEFMLklRX0NRLjMvMzEvMjAxNy5MLi5VU0QuSAEAAAAOEQQAAgAAAAU0Ljg5OACNoIqJRCXeCFUQaItEJd4IPUNJUS5FT0cuSVFfUkVUVVJOX0lOVkVTVEVEX0NBUElUQUwuSVFfTFRNLjEyLzMxLzIwMTYuTC4uVVNELkgBAAAAXB0EAAIAAAAGLTcuMjQ1AI2giolEJd4ImTtmi0Ql3gg7Q0lRLlhPTS5JUV9SRVRVUk5fSU5WRVNURURfQ0FQSVRBTC5JUV9DUS42LzMwLzIwMTYuTC4uVVNELkgBAAAAQjMGAAIAAAAGLTIuNTg4AKHHiolEJd4IRQdji0Ql3gg7Q0lRLkRWTi5JUV9SRVRVUk5fSU5WRVNURURfQ0FQ</t>
  </si>
  <si>
    <t>SVRBTC5JUV9DUS4zLzMxLzIwMTYuTC4uVVNELkgBAAAADhEEAAIAAAAHLTUzLjkwNgChx4qJRCXeCLKAYYtEJd4IPUNJUS5FT0cuSVFfUkVUVVJOX0lOVkVTVEVEX0NBUElUQUwuSVFfTFRNLjEyLzMxLzIwMTUuTC4uVVNELkgBAAAAXB0EAAIAAAAILTIyLjYzNDkAyJZ8iUQl3gjoq1+LRCXeCDtDSVEuWE9NLklRX1JFVFVSTl9JTlZFU1RFRF9DQVBJVEFMLklRX0NRLjYvMzAvMjAxNS5MLi5VU0QuSAEAAABCMwYAAgAAAAYyLjEyNTIA2718iUQl3gidd1yLRCXeCDtDSVEuRFZOLklRX1JFVFVSTl9JTlZFU1RFRF9DQVBJVEFMLklRX0NRLjMvMzEvMjAxNS5MLi5VU0QuSAEAAAAOEQQAAgAAAActNDAuODY2ANu9fIlEJd4I9vBai0Ql3gg9Q0lRLkVPRy5JUV9SRVRVUk5fSU5WRVNURURfQ0FQSVRBTC5JUV9MVE0uMTIvMzEvMjAxNC5MLi5VU0QuSAEAAABcHQQAAgAAAAcxMS43MjYzAFAEiolEJd4IRPVYi0Ql3gg7Q0lRLlhPTS5JUV9SRVRVUk5fSU5WRVNURURfQ0FQSVRBTC5JUV9DUS42LzMwLzIwMTQuTC4uVVNELkgBAAAAQjMGAAIAAAAHMTEuMjMwNABQBIqJRCXeCNXAVYtEJd4IO0NJUS5EVk4uSVFfUkVUVVJOX0lOVkVTVEVEX0NBUElUQUwuSVFfQ1EuMy8zMS8yMDE0LkwuLlVTRC5IAQAAAA4RBAACAAAABjIuNTYxMgBuK4qJRCXeCDQ6VItEJd4IPUNJUS5FT0cuSVFfUkVUVVJOX0lOVkVTVEVEX0NB</t>
  </si>
  <si>
    <t>UElUQUwuSVFfTFRNLjEyLzMxLzIwMTMuTC4uVVNELkgBAAAAXB0EAAIAAAAGOS43NjE4AG4riolEJd4IdmVSi0Ql3gg7Q0lRLlhPTS5JUV9SRVRVUk5fSU5WRVNURURfQ0FQSVRBTC5JUV9DUS42LzMwLzIwMTMuTC4uVVNELkgBAAAAQjMGAAIAAAAFOC42MTgAmGCYiUQl3giDG1CLRCXeCDtDSVEuRFZOLklRX1JFVFVSTl9JTlZFU1RFRF9DQVBJVEFMLklRX0NRLjMvMzEvMjAxMy5MLi5VU0QuSAEAAAAOEQQAAgAAAAgtMTcuNTM1NgCrh5iJRCXeCA4KT4tEJd4IPUNJUS5FT0cuSVFfUkVUVVJOX0lOVkVTVEVEX0NBUElUQUwuSVFfTFRNLjEyLzMxLzIwMTIuTC4uVVNELkgBAAAAXB0EAAIAAAAGMi4wODk0AKuHmIlEJd4Ij6pNi0Ql3gg7Q0lRLlhPTS5JUV9SRVRVUk5fSU5WRVNURURfQ0FQSVRBTC5JUV9DUS42LzMwLzIwMTIuTC4uVVNELkgBAAAAQjMGAAIAAAAHMjkuMTgwOACprpiJRCXeCAJvS4tEJd4IO0NJUS5EVk4uSVFfUkVUVVJOX0lOVkVTVEVEX0NBUElUQUwuSVFfQ1EuMy8zMS8yMDEyLkwuLlVTRC5IAQAAAA4RBAACAAAABTMuOTEyANu9fIlEJd4I9UVKi0Ql3gg9Q0lRLkVPRy5JUV9SRVRVUk5fSU5WRVNURURfQ0FQSVRBTC5JUV9MVE0uMTIvMzEvMjAxMS5MLi5VU0QuSAEAAABcHQQAAgAAAAY1LjU4MTQA5+R8iUQl3gihHEmLRCXeCDtDSVEuWE9NLklRX1JFVFVSTl9JTlZFU1RFRF9DQVBJ</t>
  </si>
  <si>
    <t>VEFMLklRX0NRLjYvMzAvMjAxMS5MLi5VU0QuSAEAAABCMwYAAgAAAAcxOS4wNDE2AOfkfIlEJd4IRrdGi0Ql3gg7Q0lRLkRWTi5JUV9SRVRVUk5fSU5WRVNURURfQ0FQSVRBTC5JUV9DUS4zLzMxLzIwMTEuTC4uVVNELkgBAAAADhEEAAIAAAAGNS40Njc2APULfYlEJd4I2KVFi0Ql3gg9Q0lRLkVPRy5JUV9SRVRVUk5fSU5WRVNURURfQ0FQSVRBTC5JUV9MVE0uMTIvMzEvMjAxMC5MLi5VU0QuSAEAAABcHQQAAgAAAAYwLjA1MjQABjN9iUQl3ghWbUSLRCXeCDtDSVEuWE9NLklRX1JFVFVSTl9JTlZFU1RFRF9DQVBJVEFMLklRX0NRLjYvMzAvMjAxMC5MLi5VU0QuSAEAAABCMwYAAgAAAAcxNS4wMDQ4AAYzfYlEJd4IlJhCi0Ql3gg7Q0lRLkRWTi5JUV9SRVRVUk5fSU5WRVNURURfQ0FQSVRBTC5JUV9DUS4zLzMxLzIwMTAuTC4uVVNELkgBAAAADhEEAAIAAAAHMTkuNTI1MgAGM32JRCXeCCuHQYtEJd4IPENJUS5DT1AuSVFfUkVUVVJOX0lOVkVTVEVEX0NBUElUQUwuSVFfTFRNLjMvMzEvMjAyNS5MLi5VU0QuSAEAAABPhgQAAgAAAAU3LjQyOQDqI9qKRCXeCP3mj4tEJd4IO0NJUS5DVlguSVFfUkVUVVJOX0lOVkVTVEVEX0NBUElUQUwuSVFfQ1EuNi8zMC8yMDIzLkwuLlVTRC5IAQAAAMqAAQACAAAABjcuMDA2NADlStqKRCXeCCt/h4tEJd4IPENJUS5CUC5JUV9SRVRVUk5fSU5WRVNURURfQ0FQSVRBTC5J</t>
  </si>
  <si>
    <t>UV9MVE0uMTIvMzEvMjAyMi5MLi5VU0QuSAEAAADiBAYAAgAAAAYtNC41ODMA/unGikQl3ghBNYWLRCXeCDxDSVEuQ09QLklRX1JFVFVSTl9JTlZFU1RFRF9DQVBJVEFMLklRX0xUTS4zLzMxLzIwMjIuTC4uVVNELkgBAAAAT4YEAAIAAAAHMTUuNTg3MgAJEceKRCXeCMKLgYtEJd4IPENJUS5CUC5JUV9SRVRVUk5fSU5WRVNURURfQ0FQSVRBTC5JUV9MVE0uMTIvMzEvMjAyMC5MLi5VU0QuSAEAAADiBAYAAgAAAAgtMTUuNDE3NAAxOMeKRCXeCHjme4tEJd4IPENJUS5DT1AuSVFfUkVUVVJOX0lOVkVTVEVEX0NBUElUQUwuSVFfTFRNLjMvMzEvMjAyMC5MLi5VU0QuSAEAAABPhgQAAgAAAAY0LjIxODIAKV/HikQl3gjkFXiLRCXeCDxDSVEuQ09QLklRX1JFVFVSTl9JTlZFU1RFRF9DQVBJVEFMLklRX0xUTS4zLzMxLzIwMTkuTC4uVVNELkgBAAAAT4YEAAIAAAAGMTIuMDU3APULfYlEJd4IEalzi0Ql3gg8Q0lRLkNPUC5JUV9SRVRVUk5fSU5WRVNURURfQ0FQSVRBTC5JUV9MVE0uMy8zMS8yMDE3LkwuLlVTRC5IAQAAAE+GBAACAAAABy00LjMyNTUAjaCKiUQl3gg3wmeLRCXeCDtDSVEuQ1ZYLklRX1JFVFVSTl9JTlZFU1RFRF9DQVBJVEFMLklRX0NRLjYvMzAvMjAxNi5MLi5VU0QuSAEAAADKgAEAAgAAAActNy4xNzI4AKHHiolEJd4IWy5ji0Ql3gg7Q0lRLkNWWC5JUV9SRVRVUk5fSU5WRVNURURfQ0FQSVRB</t>
  </si>
  <si>
    <t>TC5JUV9DUS42LzMwLzIwMTUuTC4uVVNELkgBAAAAyoABAAIAAAAGLTMuMDEyANu9fIlEJd4InXdci0Ql3gg8Q0lRLkNPUC5JUV9SRVRVUk5fSU5WRVNURURfQ0FQSVRBTC5JUV9MVE0uMy8zMS8yMDE0LkwuLlVTRC5IAQAAAE+GBAACAAAABjcuNzMyOQBuK4qJRCXeCBvsU4tEJd4IPENJUS5DT1AuSVFfUkVUVVJOX0lOVkVTVEVEX0NBUElUQUwuSVFfTFRNLjMvMzEvMjAxMy5MLi5VU0QuSAEAAABPhgQAAgAAAAY1LjAzOTEAq4eYiUQl3gjru06LRCXeCDxDSVEuQ09QLklRX1JFVFVSTl9JTlZFU1RFRF9DQVBJVEFMLklRX0xUTS4zLzMxLzIwMTIuTC4uVVNELkgBAAAAT4YEAAIAAAAGOC44OTgyANu9fIlEJd4ImApKi0Ql3gg8Q0lRLkNPUC5JUV9SRVRVUk5fSU5WRVNURURfQ0FQSVRBTC5JUV9MVE0uMy8zMS8yMDExLkwuLlVTRC5IAQAAAE+GBAACAAAABjkuMDcyNgD1C32JRCXeCMZ+RYtEJd4IPENJUS5DT1AuSVFfUkVUVVJOX0lOVkVTVEVEX0NBUElUQUwuSVFfTFRNLjMvMzEvMjAxMC5MLi5VU0QuSAEAAABPhgQAAgAAAAYzLjA3NjIABjN9iUQl3ggrh0GLRCXeCDxDSVEuWE9NLklRX1JFVFVSTl9JTlZFU1RFRF9DQVBJVEFMLklRX0xUTS4zLzMxLzIwMjUuTC4uVVNELkgBAAAAQjMGAAIAAAAGNS42ODQ5AOoj2opEJd4I/eaPi0Ql3gg8Q0lRLlhPTS5JUV9SRVRVUk5fSU5WRVNURURfQ0FQSVRBTC5J</t>
  </si>
  <si>
    <t>UV9MVE0uMy8zMS8yMDI0LkwuLlVTRC5IAQAAAEIzBgACAAAABjcuMDk2NADlStqKRCXeCOPdiotEJd4IO0NJUS5FT0cuSVFfUkVUVVJOX0lOVkVTVEVEX0NBUElUQUwuSVFfQ1EuNi8zMC8yMDIzLkwuLlVTRC5IAQAAAFwdBAACAAAABzIwLjY5NzIA5UraikQl3ghLpoeLRCXeCD1DSVEuRFZOLklRX1JFVFVSTl9JTlZFU1RFRF9DQVBJVEFMLklRX0xUTS4xMi8zMS8yMDIyLkwuLlVTRC5IAQAAAA4RBAACAAAABzE1LjQyNzMA/unGikQl3ghBNYWLRCXeCD1DSVEuRFZOLklRX1JFVFVSTl9JTlZFU1RFRF9DQVBJVEFMLklRX0xUTS4xMi8zMS8yMDIxLkwuLlVTRC5IAQAAAA4RBAACAAAABzEyLjYyNDgACRHHikQl3ghNeoCLRCXeCDxDSVEuWE9NLklRX1JFVFVSTl9JTlZFU1RFRF9DQVBJVEFMLklRX0xUTS4zLzMxLzIwMjEuTC4uVVNELkgBAAAAQjMGAAIAAAAHLTE0LjI3OAAxOMeKRCXeCOD3fItEJd4IPENJUS5YT00uSVFfUkVUVVJOX0lOVkVTVEVEX0NBUElUQUwuSVFfTFRNLjMvMzEvMjAyMC5MLi5VU0QuSAEAAABCMwYAAgAAAActMS40MjAzAClfx4pEJd4I5zx4i0Ql3gg8Q0lRLlhPTS5JUV9SRVRVUk5fSU5WRVNURURfQ0FQSVRBTC5JUV9MVE0uMy8zMS8yMDE5LkwuLlVTRC5IAQAAAEIzBgACAAAABjEuODk0NAD1C32JRCXeCBGpc4tEJd4IPUNJUS5EVk4uSVFfUkVUVVJOX0lOVkVTVEVEX0NBUElU</t>
  </si>
  <si>
    <t>QUwuSVFfTFRNLjEyLzMxLzIwMTcuTC4uVVNELkgBAAAADhEEAAIAAAAGMy41MDg2AHp5iolEJd4ILqRsi0Ql3gg9Q0lRLkRWTi5JUV9SRVRVUk5fSU5WRVNURURfQ0FQSVRBTC5JUV9MVE0uMTIvMzEvMjAxNi5MLi5VU0QuSAEAAAAOEQQAAgAAAActNS40MzY3AI2giolEJd4ImTtmi0Ql3gg9Q0lRLkRWTi5JUV9SRVRVUk5fSU5WRVNURURfQ0FQSVRBTC5JUV9MVE0uMTIvMzEvMjAxNS5MLi5VU0QuSAEAAAAOEQQAAgAAAActNDMuMTExAMiWfIlEJd4I/tJfi0Ql3gg9Q0lRLkRWTi5JUV9SRVRVUk5fSU5WRVNURURfQ0FQSVRBTC5JUV9MVE0uMTIvMzEvMjAxNC5MLi5VU0QuSAEAAAAOEQQAAgAAAAYzLjQ4MjMAUASKiUQl3gg9HFmLRCXeCDxDSVEuWE9NLklRX1JFVFVSTl9JTlZFU1RFRF9DQVBJVEFMLklRX0xUTS4zLzMxLzIwMTQuTC4uVVNELkgBAAAAQjMGAAIAAAAHMTAuODE3MgBuK4qJRCXeCBvsU4tEJd4IPUNJUS5EVk4uSVFfUkVUVVJOX0lOVkVTVEVEX0NBUElUQUwuSVFfTFRNLjEyLzMxLzIwMTIuTC4uVVNELkgBAAAADhEEAAIAAAAHLTEuNjUyOACrh5iJRCXeCI+qTYtEJd4IPUNJUS5EVk4uSVFfUkVUVVJOX0lOVkVTVEVEX0NBUElUQUwuSVFfTFRNLjEyLzMxLzIwMTEuTC4uVVNELkgBAAAADhEEAAIAAAAHMTUuNzgwOQDn5HyJRCXeCKEcSYtEJd4IPUNJUS5EVk4uSVFfUkVUVVJOX0lOVkVT</t>
  </si>
  <si>
    <t>VEVEX0NBUElUQUwuSVFfTFRNLjEyLzMxLzIwMTAuTC4uVVNELkgBAAAADhEEAAIAAAAHMTcuODg3MwAGM32JRCXeCFZtRItEJd4IPENJUS5YT00uSVFfUkVUVVJOX0lOVkVTVEVEX0NBUElUQUwuSVFfTFRNLjMvMzEvMjAxMC5MLi5VU0QuSAEAAABCMwYAAgAAAAcxMC40OTgyAAYzfYlEJd4IFWBBi0Ql3gg7Q0lRLkNWWC5JUV9SRVRVUk5fSU5WRVNURURfQ0FQSVRBTC5JUV9DUS42LzMwLzIwMjUuTC4uVVNELkgBAAAAyoABAAIAAAAGLTAuOTk2AOoj2opEJd4Idx+Ri0Ql3gg8Q0lRLkJQLklRX1JFVFVSTl9JTlZFU1RFRF9DQVBJVEFMLklRX0xUTS4xMi8zMS8yMDEzLkwuLlVTRC5IAQAAAOIEBgACAAAABzEwLjM2OTcAbiuKiUQl3gh2ZVKLRCXeCDtDSVEuRU9HLklRX1JFVFVSTl9JTlZFU1RFRF9DQVBJVEFMLklRX0NRLjYvMzAvMjAyNC5MLi5VU0QuSAEAAABcHQQAAgAAAAcxNC4xODM2AOVK2opEJd4IYRaMi0Ql3gg7Q0lRLkVPRy5JUV9SRVRVUk5fSU5WRVNURURfQ0FQSVRBTC5JUV9DUS42LzMwLzIwMTguTC4uVVNELkgBAAAAXB0EAAIAAAAHMTAuMDEwNABrUoqJRCXeCKImcItEJd4IPUNJUS5EVk4uSVFfUkVUVVJOX0lOVkVTVEVEX0NBUElUQUwuSVFfTFRNLjEyLzMxLzIwMTMuTC4uVVNELkgBAAAADhEEAAIAAAAHLTEuMTI0NgBuK4qJRCXeCHZlUotEJd4IO0NJUS5FT0cuSVFfUkVUVVJOX0lO</t>
  </si>
  <si>
    <t>VkVTVEVEX0NBUElUQUwuSVFfQ1EuNi8zMC8yMDEwLkwuLlVTRC5IAQAAAFwdBAACAAAABjAuNjI1NgAGM32JRCXeCIBxQotEJd4IOkNJUS5CUC5JUV9SRVRVUk5fSU5WRVNURURfQ0FQSVRBTC5JUV9DUS42LzMwLzIwMjUuTC4uVVNELkgBAAAA4gQGAAIAAAAGNC4yODg4AOoj2opEJd4Idx+Ri0Ql3gg8Q0lRLkNPUC5JUV9SRVRVUk5fSU5WRVNURURfQ0FQSVRBTC5JUV9DUS4xMi8zMS8yMDI0LkwuLlVTRC5IAQAAAE+GBAACAAAABjcuMTE5MgDqI9qKRCXeCGKHjotEJd4IPENJUS5DVlguSVFfUkVUVVJOX0lOVkVTVEVEX0NBUElUQUwuSVFfTFRNLjkvMzAvMjAyNC5MLi5VU0QuSAEAAADKgAEAAgAAAAYyLjY4MjMA6iPaikQl3gjhTo2LRCXeCDtDSVEuRU9HLklRX1JFVFVSTl9JTlZFU1RFRF9DQVBJVEFMLklRX0NRLjkvMzAvMjAxNS5MLi5VU0QuSAEAAABcHQQAAgAAAAgtNzYuNTYzNgDIlnyJRCXeCEclXotEJd4IPENJUS5DT1AuSVFfUkVUVVJOX0lOVkVTVEVEX0NBUElUQUwuSVFfTFRNLjYvMzAvMjAxNC5MLi5VU0QuSAEAAABPhgQAAgAAAAY3LjYzMzkAUASKiUQl3gi5clWLRCXeCDxDSVEuRU9HLklRX1JFVFVSTl9JTlZFU1RFRF9DQVBJVEFMLklRX0xUTS45LzMwLzIwMTMuTC4uVVNELkgBAAAAXB0EAAIAAAAGNC40NDQ2AG4riolEJd4I9CxRi0Ql3gg8Q0lRLkNWWC5JUV9SRVRVUk5fSU5WRVNU</t>
  </si>
  <si>
    <t>RURfQ0FQSVRBTC5JUV9MVE0uMy8zMS8yMDEzLkwuLlVTRC5IAQAAAMqAAQACAAAABzEyLjk3NzMAq4eYiUQl3gjru06LRCXeCDxDSVEuRFZOLklRX1JFVFVSTl9JTlZFU1RFRF9DQVBJVEFMLklRX0xUTS42LzMwLzIwMTIuTC4uVVNELkgBAAAADhEEAAIAAAAGNi44MDIxANu9fIlEJd4IAm9Li0Ql3gg8Q0lRLlhPTS5JUV9SRVRVUk5fSU5WRVNURURfQ0FQSVRBTC5JUV9DUS4xMi8zMS8yMDEwLkwuLlVTRC5IAQAAAEIzBgACAAAABzE2LjcyNzYA9Qt9iUQl3ghWbUSLRCXeCDpDSVEuQlAuSVFfUkVUVVJOX0lOVkVTVEVEX0NBUElUQUwuSVFfQ1EuOS8zMC8yMDIzLkwuLlVTRC5IAQAAAOIEBgACAAAABjkuODMxMgDlStqKRCXeCLi3iItEJd4IO0NJUS5DT1AuSVFfUkVUVVJOX0lOVkVTVEVEX0NBUElUQUwuSVFfQ1EuMy8zMS8yMDIzLkwuLlVTRC5IAQAAAE+GBAACAAAABjguODQyNADzcdqKRCXeCL9thotEJd4IO0NJUS5DT1AuSVFfUkVUVVJOX0lOVkVTVEVEX0NBUElUQUwuSVFfQ1EuOS8zMC8yMDIyLkwuLlVTRC5IAQAAAE+GBAACAAAABzE4LjI3NDQA/unGikQl3gjE/IOLRCXeCDxDSVEuQ1ZYLklRX1JFVFVSTl9JTlZFU1RFRF9DQVBJVEFMLklRX0xUTS42LzMwLzIwMjIuTC4uVVNELkgBAAAAyoABAAIAAAAHMTAuMjg1NQAJEceKRCXeCEHEgotEJd4IO0NJUS5CUC5JUV9SRVRVUk5fSU5WRVNURURf</t>
  </si>
  <si>
    <t>Q0FQSVRBTC5JUV9DUS4xMi8zMS8yMDIxLkwuLlVTRC5IAQAAAOIEBgACAAAABjUuNzkwOAAJEceKRCXeCGOhgItEJd4IOkNJUS5CUC5JUV9SRVRVUk5fSU5WRVNURURfQ0FQSVRBTC5JUV9DUS42LzMwLzIwMjEuTC4uVVNELkgBAAAA4gQGAAIAAAAGNC44ODkyADE4x4pEJd4IbVd+i0Ql3gg8Q0lRLkNWWC5JUV9SRVRVUk5fSU5WRVNURURfQ0FQSVRBTC5JUV9MVE0uOS8zMC8yMDIwLkwuLlVTRC5IAQAAAMqAAQACAAAACC0xMS41OTExAClfx4pEJd4I8616i0Ql3gg8Q0lRLkNWWC5JUV9SRVRVUk5fSU5WRVNURURfQ0FQSVRBTC5JUV9MVE0uMy8zMS8yMDIwLkwuLlVTRC5IAQAAAMqAAQACAAAABy0yLjgyOTQAKV/HikQl3gjnPHiLRCXeCDpDSVEuQlAuSVFfUkVUVVJOX0lOVkVTVEVEX0NBUElUQUwuSVFfQ1EuOS8zMC8yMDE5LkwuLlVTRC5IAQAAAOIEBgACAAAABi01LjM4OABIhseKRCXeCBIadotEJd4IO0NJUS5DT1AuSVFfUkVUVVJOX0lOVkVTVEVEX0NBUElUQUwuSVFfQ1EuOS8zMC8yMDE4LkwuLlVTRC5IAQAAAE+GBAACAAAABzEzLjA5NjgAa1KKiUQl3gglX3GLRCXeCDxDSVEuQ1ZYLklRX1JFVFVSTl9JTlZFU1RFRF9DQVBJVEFMLklRX0xUTS42LzMwLzIwMTguTC4uVVNELkgBAAAAyoABAAIAAAAGMS45ODE0AGtSiolEJd4IiNhvi0Ql3gg7Q0lRLkJQLklRX1JFVFVSTl9JTlZFU1RFRF9DQVBJ</t>
  </si>
  <si>
    <t>VEFMLklRX0NRLjEyLzMxLzIwMTcuTC4uVVNELkgBAAAA4gQGAAIAAAAHLTMuODgwNAB6eYqJRCXeCEXLbItEJd4IOkNJUS5CUC5JUV9SRVRVUk5fSU5WRVNURURfQ0FQSVRBTC5JUV9DUS42LzMwLzIwMTcuTC4uVVNELkgBAAAA4gQGAAIAAAAHLTMuNDc2OACNoIqJRCXeCPeWaYtEJd4IPENJUS5DT1AuSVFfUkVUVVJOX0lOVkVTVEVEX0NBUElUQUwuSVFfQ1EuMTIvMzEvMjAxNi5MLi5VU0QuSAEAAABPhgQAAgAAAActMi4xODA4AI2giolEJd4IqGJmi0Ql3gg8Q0lRLkNWWC5JUV9SRVRVUk5fSU5WRVNURURfQ0FQSVRBTC5JUV9MVE0uOS8zMC8yMDE2LkwuLlVTRC5IAQAAAMqAAQACAAAABy00LjkzMzYAoceKiUQl3ggDjmSLRCXeCDxDSVEuRFZOLklRX1JFVFVSTl9JTlZFU1RFRF9DQVBJVEFMLklRX0xUTS42LzMwLzIwMTUuTC4uVVNELkgBAAAADhEEAAIAAAAILTE3LjU1OTEA2718iUQl3giKUFyLRCXeCDxDSVEuQ1ZYLklRX1JFVFVSTl9JTlZFU1RFRF9DQVBJVEFMLklRX0NRLjEyLzMxLzIwMTMuTC4uVVNELkgBAAAAyoABAAIAAAAGNy4yMTc2AG4riolEJd4Ih4xSi0Ql3gg6Q0lRLkJQLklRX1JFVFVSTl9JTlZFU1RFRF9DQVBJVEFMLklRX0NRLjkvMzAvMjAxMi5MLi5VU0QuSAEAAADiBAYAAgAAAAU5LjM5OACrh5iJRCXeCCXATItEJd4IPENJUS5DT1AuSVFfUkVUVVJOX0lOVkVTVEVEX0NBUElU</t>
  </si>
  <si>
    <t>QUwuSVFfTFRNLjYvMzAvMjAxMS5MLi5VU0QuSAEAAABPhgQAAgAAAAY4LjIxMzkA5+R8iUQl3ggwkEaLRCXeCDxDSVEuRU9HLklRX1JFVFVSTl9JTlZFU1RFRF9DQVBJVEFMLklRX0xUTS45LzMwLzIwMTAuTC4uVVNELkgBAAAAXB0EAAIAAAAGMi43MjM5AAYzfYlEJd4I8YJDi0Ql3gg8Q0lRLkNWWC5JUV9SRVRVUk5fSU5WRVNURURfQ0FQSVRBTC5JUV9MVE0uMy8zMS8yMDEwLkwuLlVTRC5IAQAAAMqAAQACAAAABjcuNTg5MwAGM32JRCXeCBVgQYtEJd4IO0NJUS5YT00uSVFfUkVUVVJOX0lOVkVTVEVEX0NBUElUQUwuSVFfQ1EuOS8zMC8yMDE0LkwuLlVTRC5IAQAAAEIzBgACAAAABTkuNzc4AFAEiolEJd4IjJVXi0Ql3gg9Q0lRLlhPTS5JUV9SRVRVUk5fSU5WRVNURURfQ0FQSVRBTC5JUV9MVE0uMTIvMzEvMjAxNy5MLi5VU0QuSAEAAABCMwYAAgAAAAYyLjk1OTIAenmKiUQl3ggupGyLRCXeCDxDSVEuRU9HLklRX1JFVFVSTl9JTlZFU1RFRF9DQVBJVEFMLklRX0NRLjEyLzMxLzIwMTYuTC4uVVNELkgBAAAAXB0EAAIAAAAHLTQuNzk4OACNoIqJRCXeCKhiZotEJd4IOkNJUS5CUC5JUV9SRVRVUk5fSU5WRVNURURfQ0FQSVRBTC5JUV9DUS42LzMwLzIwMTMuTC4uVVNELkgBAAAA4gQGAAIAAAAGMS40NTI0AJhgmIlEJd4IgxtQi0Ql3gg8Q0lRLkNPUC5JUV9SRVRVUk5fSU5WRVNURURfQ0FQSVRBTC5J</t>
  </si>
  <si>
    <t>UV9DUS4xMi8zMS8yMDEyLkwuLlVTRC5IAQAAAE+GBAACAAAABjMuMzY5MgCrh5iJRCXeCI3RTYtEJd4IOkNJUS5CUC5JUV9SRVRVUk5fSU5WRVNURURfQ0FQSVRBTC5JUV9DUS42LzMwLzIwMjAuTC4uVVNELkgBAAAA4gQGAAIAAAAILTQ1LjAxMzIAKV/HikQl3gh1dXmLRCXeCDtDSVEuRFZOLklRX1JFVFVSTl9JTlZFU1RFRF9DQVBJVEFMLklRX0NRLjYvMzAvMjAxMy5MLi5VU0QuSAEAAAAOEQQAAgAAAAY3LjY1NDgAmGCYiUQl3giDG1CLRCXeCDxDSVEuRFZOLklRX1JFVFVSTl9JTlZFU1RFRF9DQVBJVEFMLklRX0NRLjEyLzMxLzIwMjQuTC4uVVNELkgBAAAADhEEAAIAAAAGOC4zMTcyAOoj2opEJd4IV2COi0Ql3gg8Q0lRLkNWWC5JUV9SRVRVUk5fSU5WRVNURURfQ0FQSVRBTC5JUV9MVE0uOS8zMC8yMDE1LkwuLlVTRC5IAQAAAMqAAQACAAAABjAuMzQ3MwDIlnyJRCXeCCHXXYtEJd4IO0NJUS5YT00uSVFfUkVUVVJOX0lOVkVTVEVEX0NBUElUQUwuSVFfQ1EuOS8zMC8yMDIxLkwuLlVTRC5IAQAAAEIzBgACAAAABjUuMzgzMgAJEceKRCXeCOJof4tEJd4IPENJUS5EVk4uSVFfUkVUVVJOX0lOVkVTVEVEX0NBUElUQUwuSVFfQ1EuMTIvMzEvMjAxNi5MLi5VU0QuSAEAAAAOEQQAAgAAAAc0NS43NTMyAI2giolEJd4IqGJmi0Ql3gg8Q0lRLkNPUC5JUV9SRVRVUk5fSU5WRVNURURfQ0FQSVRBTC5JUV9M</t>
  </si>
  <si>
    <t>VE0uNi8zMC8yMDEzLkwuLlVTRC5IAQAAAE+GBAACAAAABjUuNjU5NACYYJiJRCXeCHH0T4tEJd4IPENJUS5YT00uSVFfUkVUVVJOX0lOVkVTVEVEX0NBUElUQUwuSVFfQ1EuMTIvMzEvMjAwOS5MLi5VU0QuSAEAAABCMwYAAgAAAAcxMy4xNTg4ABlafYlEJd4IzJxAi0Ql3gg8Q0lRLkVPRy5JUV9SRVRVUk5fSU5WRVNURURfQ0FQSVRBTC5JUV9MVE0uOS8zMC8yMDE1LkwuLlVTRC5IAQAAAFwdBAACAAAACC0xOS4yMDU1AMiWfIlEJd4IIdddi0Ql3gg8Q0lRLkNWWC5JUV9SRVRVUk5fSU5WRVNURURfQ0FQSVRBTC5JUV9DUS4xMi8zMS8yMDEyLkwuLlVTRC5IAQAAAMqAAQACAAAABzE0LjgzNTYAq4eYiUQl3giN0U2LRCXeCDxDSVEuQ09QLklRX1JFVFVSTl9JTlZFU1RFRF9DQVBJVEFMLklRX0xUTS42LzMwLzIwMTAuTC4uVVNELkgBAAAAT4YEAAIAAAAGNi4yMDY1AAYzfYlEJd4IgHFCi0Ql3gg8Q0lRLkNWWC5JUV9SRVRVUk5fSU5WRVNURURfQ0FQSVRBTC5JUV9MVE0uMy8zMS8yMDI0LkwuLlVTRC5IAQAAAMqAAQACAAAABjQuODAxNQDlStqKRCXeCPkEi4tEJd4IPENJUS5DT1AuSVFfUkVUVVJOX0lOVkVTVEVEX0NBUElUQUwuSVFfQ1EuMTIvMzEvMjAyMC5MLi5VU0QuSAEAAABPhgQAAgAAAAgtMTAuNzI3NgAxOMeKRCXeCIENfItEJd4IO0NJUS5DT1AuSVFfUkVUVVJOX0lOVkVTVEVEX0NBUElUQUwu</t>
  </si>
  <si>
    <t>SVFfQ1EuMy8zMS8yMDE5LkwuLlVTRC5IAQAAAE+GBAACAAAABzEyLjM2NzYA9Qt9iUQl3ggc0HOLRCXeCD1DSVEuWE9NLklRX1JFVFVSTl9JTlZFU1RFRF9DQVBJVEFMLklRX0xUTS4xMi8zMS8yMDE0LkwuLlVTRC5IAQAAAEIzBgACAAAABzEwLjEzNjkAUASKiUQl3ghE9ViLRCXeCD1DSVEuWE9NLklRX1JFVFVSTl9JTlZFU1RFRF9DQVBJVEFMLklRX0xUTS4xMi8zMS8yMDExLkwuLlVTRC5IAQAAAEIzBgACAAAABzE4LjU0ODYA5+R8iUQl3gihHEmLRCXeCDxDSVEuRFZOLklRX1JFVFVSTl9JTlZFU1RFRF9DQVBJVEFMLklRX0xUTS4zLzMxLzIwMjAuTC4uVVNELkgBAAAADhEEAAIAAAAILTE3LjY0NDQAKV/HikQl3gjnPHiLRCXeCDxDSVEuWE9NLklRX1JFVFVSTl9JTlZFU1RFRF9DQVBJVEFMLklRX0xUTS45LzMwLzIwMTIuTC4uVVNELkgBAAAAQjMGAAIAAAAHMTkuMDE0NQCrh5iJRCXeCLpdTItEJd4IPENJUS5EVk4uSVFfUkVUVVJOX0lOVkVTVEVEX0NBUElUQUwuSVFfQ1EuMTIvMzEvMjAxMC5MLi5VU0QuSAEAAAAOEQQAAgAAAAY3Ljk5OTYABjN9iUQl3gholESLRCXeCDxDSVEuQ1ZYLklRX1JFVFVSTl9JTlZFU1RFRF9DQVBJVEFMLklRX0xUTS42LzMwLzIwMTcuTC4uVVNELkgBAAAAyoABAAIAAAAHLTEuMTc4NgCNoIqJRCXeCOpvaYtEJd4IO0NJUS5CUC5JUV9SRVRVUk5fSU5WRVNURURfQ0FQ</t>
  </si>
  <si>
    <t>SVRBTC5JUV9MVE0uNi8zMC8yMDI1LkwuLlVTRC5IAQAAAOIEBgACAAAABy0yLjkzNDEA6iPaikQl3gho+JCLRCXeCDtDSVEuRFZOLklRX1JFVFVSTl9JTlZFU1RFRF9DQVBJVEFMLklRX0NRLjYvMzAvMjAyNS5MLi5VU0QuSAEAAAAOEQQAAgAAAAcxMi4zNDg0AOoj2opEJd4Idx+Ri0Ql3gg8Q0lRLlhPTS5JUV9SRVRVUk5fSU5WRVNURURfQ0FQSVRBTC5JUV9DUS4xMi8zMS8yMDI0LkwuLlVTRC5IAQAAAEIzBgACAAAABTQuMDYyAOoj2opEJd4IYoeOi0Ql3gg8Q0lRLkVPRy5JUV9SRVRVUk5fSU5WRVNURURfQ0FQSVRBTC5JUV9MVE0uOS8zMC8yMDI0LkwuLlVTRC5IAQAAAFwdBAACAAAABjExLjA3NgDqI9qKRCXeCNgnjYtEJd4IPENJUS5DVlguSVFfUkVUVVJOX0lOVkVTVEVEX0NBUElUQUwuSVFfTFRNLjMvMzEvMjAxNi5MLi5VU0QuSAEAAADKgAEAAgAAAActMy40ODI3AKHHiolEJd4InVlhi0Ql3gg6Q0lRLkJQLklRX1JFVFVSTl9JTlZFU1RFRF9DQVBJVEFMLklRX0NRLjkvMzAvMjAxNS5MLi5VU0QuSAEAAADiBAYAAgAAAActNC4xMjI0AMiWfIlEJd4IRyVei0Ql3gg8Q0lRLlhPTS5JUV9SRVRVUk5fSU5WRVNURURfQ0FQSVRBTC5JUV9MVE0uNi8zMC8yMDE0LkwuLlVTRC5IAQAAAEIzBgACAAAABzExLjQxNjkAUASKiUQl3gjJmVWLRCXeCDtDSVEuQlAuSVFfUkVUVVJOX0lOVkVTVEVEX0NBUElU</t>
  </si>
  <si>
    <t>QUwuSVFfTFRNLjkvMzAvMjAxMy5MLi5VU0QuSAEAAADiBAYAAgAAAAcxMC41NDAyAG4riolEJd4I9CxRi0Ql3gg8Q0lRLkVPRy5JUV9SRVRVUk5fSU5WRVNURURfQ0FQSVRBTC5JUV9MVE0uMy8zMS8yMDEzLkwuLlVTRC5IAQAAAFwdBAACAAAABjIuOTI1MgCrh5iJRCXeCPriTotEJd4IO0NJUS5DT1AuSVFfUkVUVVJOX0lOVkVTVEVEX0NBUElUQUwuSVFfQ1EuMy8zMS8yMDEyLkwuLlVTRC5IAQAAAE+GBAACAAAABjguNzE0OADbvXyJRCXeCPVFSotEJd4IPENJUS5DVlguSVFfUkVUVVJOX0lOVkVTVEVEX0NBUElUQUwuSVFfQ1EuMTIvMzEvMjAxMC5MLi5VU0QuSAEAAADKgAEAAgAAAAcxMy4zNTQ0APULfYlEJd4IVm1Ei0Ql3gg7Q0lRLkRWTi5JUV9SRVRVUk5fSU5WRVNURURfQ0FQSVRBTC5JUV9DUS42LzMwLzIwMTcuTC4uVVNELkgBAAAADhEEAAIAAAAGMy40MzcyAI2giolEJd4I95Zpi0Ql3gg9Q0lRLkNPUC5JUV9SRVRVUk5fSU5WRVNURURfQ0FQSVRBTC5JUV9MVE0uMTIvMzEvMjAxNy5MLi5VU0QuSAEAAABPhgQAAgAAAActMy44MjI4AHp5iolEJd4IJ31si0Ql3gg7Q0lRLkJQLklRX1JFVFVSTl9JTlZFU1RFRF9DQVBJVEFMLklRX0xUTS45LzMwLzIwMTYuTC4uVVNELkgBAAAA4gQGAAIAAAAHLTUuNTU0MgChx4qJRCXeCAOOZItEJd4IO0NJUS5CUC5JUV9SRVRVUk5fSU5WRVNURURfQ0FQSVRB</t>
  </si>
  <si>
    <t>TC5JUV9DUS4xMi8zMS8yMDEzLkwuLlVTRC5IAQAAAOIEBgACAAAABy0wLjI5MjgAbiuKiUQl3giHjFKLRCXeCDxDSVEuQ1ZYLklRX1JFVFVSTl9JTlZFU1RFRF9DQVBJVEFMLklRX0xUTS42LzMwLzIwMTEuTC4uVVNELkgBAAAAyoABAAIAAAAHMTQuMzU1MgDn5HyJRCXeCEa3RotEJd4IPENJUS5EVk4uSVFfUkVUVVJOX0lOVkVTVEVEX0NBUElUQUwuSVFfTFRNLjkvMzAvMjAyMC5MLi5VU0QuSAEAAAAOEQQAAgAAAAgtMzUuODg2NwApX8eKRCXeCPOteotEJd4IPENJUS5EVk4uSVFfUkVUVVJOX0lOVkVTVEVEX0NBUElUQUwuSVFfTFRNLjYvMzAvMjAxOC5MLi5VU0QuSAEAAAAOEQQAAgAAAActMS44Njk3AGtSiolEJd4IsP9vi0Ql3gg7Q0lRLkJQLklRX1JFVFVSTl9JTlZFU1RFRF9DQVBJVEFMLklRX0NRLjEyLzMxLzIwMjAuTC4uVVNELkgBAAAA4gQGAAIAAAAGMC43MjA4ADE4x4pEJd4IgQ18i0Ql3gg6Q0lRLkJQLklRX1JFVFVSTl9JTlZFU1RFRF9DQVBJVEFMLklRX0NRLjYvMzAvMjAxNi5MLi5VU0QuSAEAAADiBAYAAgAAAActNi44NzUyAKHHiolEJd4IWy5ji0Ql3gg8Q0lRLkNWWC5JUV9SRVRVUk5fSU5WRVNURURfQ0FQSVRBTC5JUV9MVE0uOS8zMC8yMDEyLkwuLlVTRC5IAQAAAMqAAQACAAAABzEyLjQ5MjQAq4eYiUQl3gi6XUyLRCXeCDtDSVEuRFZOLklRX1JFVFVSTl9JTlZFU1RFRF9DQVBJ</t>
  </si>
  <si>
    <t>VEFMLklRX0NRLjYvMzAvMjAyMC5MLi5VU0QuSAEAAAAOEQQAAgAAAAgtMzQuNTIzMgApX8eKRCXeCISceYtEJd4IPUNJUS5DT1AuSVFfUkVUVVJOX0lOVkVTVEVEX0NBUElUQUwuSVFfTFRNLjEyLzMxLzIwMjQuTC4uVVNELkgBAAAAT4YEAAIAAAAGNy4wNDAyAOoj2opEJd4IV2COi0Ql3gg9Q0lRLkNPUC5JUV9SRVRVUk5fSU5WRVNURURfQ0FQSVRBTC5JUV9MVE0uMTIvMzEvMjAyMC5MLi5VU0QuSAEAAABPhgQAAgAAAActOS4zNTU5ADE4x4pEJd4IeOZ7i0Ql3gg8Q0lRLkVPRy5JUV9SRVRVUk5fSU5WRVNURURfQ0FQSVRBTC5JUV9MVE0uMy8zMS8yMDI0LkwuLlVTRC5IAQAAAFwdBAACAAAABzE0LjQ4MjIA5UraikQl3gj5BIuLRCXeCDtDSVEuRFZOLklRX1JFVFVSTl9JTlZFU1RFRF9DQVBJVEFMLklRX0NRLjkvMzAvMjAyMy5MLi5VU0QuSAEAAAAOEQQAAgAAAAcxMy4yMzQ4AOVK2opEJd4Iwd6Ii0Ql3gg7Q0lRLlhPTS5JUV9SRVRVUk5fSU5WRVNURURfQ0FQSVRBTC5JUV9DUS4zLzMxLzIwMjMuTC4uVVNELkgBAAAAQjMGAAIAAAAHMTIuMzc1MgDzcdqKRCXeCL9thotEJd4IO0NJUS5YT00uSVFfUkVUVVJOX0lOVkVTVEVEX0NBUElUQUwuSVFfQ1EuOS8zMC8yMDIyLkwuLlVTRC5IAQAAAEIzBgACAAAABzI3LjE5OTIA/unGikQl3gjSI4SLRCXeCDxDSVEuRU9HLklRX1JFVFVSTl9JTlZFU1RFRF9D</t>
  </si>
  <si>
    <t>QVBJVEFMLklRX0xUTS42LzMwLzIwMjIuTC4uVVNELkgBAAAAXB0EAAIAAAAHMTAuMTE5MQAJEceKRCXeCEHEgotEJd4IPENJUS5EVk4uSVFfUkVUVVJOX0lOVkVTVEVEX0NBUElUQUwuSVFfQ1EuMTIvMzEvMjAyMS5MLi5VU0QuSAEAAAAOEQQAAgAAAAcyMy44MDI4AAkRx4pEJd4IY6GAi0Ql3gg7Q0lRLkRWTi5JUV9SRVRVUk5fSU5WRVNURURfQ0FQSVRBTC5JUV9DUS42LzMwLzIwMjEuTC4uVVNELkgBAAAADhEEAAIAAAAGMC42ODg0ADE4x4pEJd4IbVd+i0Ql3gg8Q0lRLlhPTS5JUV9SRVRVUk5fSU5WRVNURURfQ0FQSVRBTC5JUV9DUS4xMi8zMS8yMDIwLkwuLlVTRC5IAQAAAEIzBgACAAAACC0zOC43OTQ0ADE4x4pEJd4IgQ18i0Ql3gg8Q0lRLkVPRy5JUV9SRVRVUk5fSU5WRVNURURfQ0FQSVRBTC5JUV9MVE0uOS8zMC8yMDIwLkwuLlVTRC5IAQAAAFwdBAACAAAABy00LjAyOTcAKV/HikQl3gjzrXqLRCXeCDxDSVEuRU9HLklRX1JFVFVSTl9JTlZFU1RFRF9DQVBJVEFMLklRX0xUTS4zLzMxLzIwMjAuTC4uVVNELkgBAAAAXB0EAAIAAAAGNS40OTU4AClfx4pEJd4I5zx4i0Ql3gg7Q0lRLkRWTi5JUV9SRVRVUk5fSU5WRVNURURfQ0FQSVRBTC5JUV9DUS45LzMwLzIwMTkuTC4uVVNELkgBAAAADhEEAAIAAAAFMi42MDgASIbHikQl3ggSGnaLRCXeCDtDSVEuWE9NLklRX1JFVFVSTl9JTlZFU1RFRF9D</t>
  </si>
  <si>
    <t>QVBJVEFMLklRX0NRLjMvMzEvMjAxOS5MLi5VU0QuSAEAAABCMwYAAgAAAActMS45Mjk2APULfYlEJd4IHNBzi0Ql3gg7Q0lRLlhPTS5JUV9SRVRVUk5fSU5WRVNURURfQ0FQSVRBTC5JUV9DUS45LzMwLzIwMTguTC4uVVNELkgBAAAAQjMGAAIAAAAGNC42NDI0AGtSiolEJd4IL4Zxi0Ql3gg8Q0lRLkVPRy5JUV9SRVRVUk5fSU5WRVNURURfQ0FQSVRBTC5JUV9MVE0uNi8zMC8yMDE4LkwuLlVTRC5IAQAAAFwdBAACAAAABzE1LjQ5NTcAa1KKiUQl3giI2G+LRCXeCDxDSVEuRFZOLklRX1JFVFVSTl9JTlZFU1RFRF9DQVBJVEFMLklRX0NRLjEyLzMxLzIwMTcuTC4uVVNELkgBAAAADhEEAAIAAAAGMi43ODEyAHp5iolEJd4IRctsi0Ql3gg8Q0lRLlhPTS5JUV9SRVRVUk5fSU5WRVNURURfQ0FQSVRBTC5JUV9DUS4xMi8zMS8yMDE2LkwuLlVTRC5IAQAAAEIzBgACAAAABy0yLjY0MzIAjaCKiUQl3gioYmaLRCXeCDxDSVEuRU9HLklRX1JFVFVSTl9JTlZFU1RFRF9DQVBJVEFMLklRX0xUTS45LzMwLzIwMTYuTC4uVVNELkgBAAAAXB0EAAIAAAAHLTguMzUyMwChx4qJRCXeCAOOZItEJd4IO0NJUS5DT1AuSVFfUkVUVVJOX0lOVkVTVEVEX0NBUElUQUwuSVFfQ1EuMy8zMS8yMDE1LkwuLlVTRC5IAQAAAE+GBAACAAAABy0zLjQ4NzIA2718iUQl3gjiyVqLRCXeCDtDSVEuQ09QLklRX1JFVFVSTl9JTlZFU1RFRF9D</t>
  </si>
  <si>
    <t>QVBJVEFMLklRX0NRLjkvMzAvMjAxNC5MLi5VU0QuSAEAAABPhgQAAgAAAAY5LjM0ODgAUASKiUQl3giMlVeLRCXeCDxDSVEuRU9HLklRX1JFVFVSTl9JTlZFU1RFRF9DQVBJVEFMLklRX0NRLjEyLzMxLzIwMTMuTC4uVVNELkgBAAAAXB0EAAIAAAAGOS45NTA0AG4riolEJd4Ih4xSi0Ql3gg7Q0lRLkRWTi5JUV9SRVRVUk5fSU5WRVNURURfQ0FQSVRBTC5JUV9DUS45LzMwLzIwMTIuTC4uVVNELkgBAAAADhEEAAIAAAAHLTkuNzA3NgCrh5iJRCXeCCXATItEJd4IPENJUS5YT00uSVFfUkVUVVJOX0lOVkVTVEVEX0NBUElUQUwuSVFfTFRNLjYvMzAvMjAxMS5MLi5VU0QuSAEAAABCMwYAAgAAAAcxNi44NDc1AOfkfIlEJd4IMJBGi0Ql3gg7Q0lRLkJQLklRX1JFVFVSTl9JTlZFU1RFRF9DQVBJVEFMLklRX0xUTS45LzMwLzIwMTAuTC4uVVNELkgBAAAA4gQGAAIAAAAGLTcuNjUxAAYzfYlEJd4I8YJDi0Ql3gg8Q0lRLkVPRy5JUV9SRVRVUk5fSU5WRVNURURfQ0FQSVRBTC5JUV9MVE0uMy8zMS8yMDEwLkwuLlVTRC5IAQAAAFwdBAACAAAABjIuOTg0NQAGM32JRCXeCBVgQYtEJd4IO0NJUS5CUC5JUV9SRVRVUk5fSU5WRVNURURfQ0FQSVRBTC5JUV9MVE0uNi8zMC8yMDE4LkwuLlVTRC5IAQAAAOIEBgACAAAABjAuMTI2NwBrUoqJRCXeCLD/b4tEJd4IPENJUS5DT1AuSVFfUkVUVVJOX0lOVkVTVEVEX0NBUElU</t>
  </si>
  <si>
    <t>QUwuSVFfTFRNLjYvMzAvMjAxNy5MLi5VU0QuSAEAAABPhgQAAgAAAActOC42NjIzAI2giolEJd4I1khpi0Ql3gg8Q0lRLkRWTi5JUV9SRVRVUk5fSU5WRVNURURfQ0FQSVRBTC5JUV9MVE0uOS8zMC8yMDEwLkwuLlVTRC5IAQAAAA4RBAACAAAABzE4Ljg2MzMABjN9iUQl3gjkW0OLRCXeCDxDSVEuQ1ZYLklRX1JFVFVSTl9JTlZFU1RFRF9DQVBJVEFMLklRX0xUTS42LzMwLzIwMjEuTC4uVVNELkgBAAAAyoABAAIAAAAHLTMuNjUzNAAxOMeKRCXeCGEwfotEJd4IO0NJUS5DT1AuSVFfUkVUVVJOX0lOVkVTVEVEX0NBUElUQUwuSVFfQ1EuMy8zMS8yMDE4LkwuLlVTRC5IAQAAAE+GBAACAAAABjQuNDc3MgB6eYqJRCXeCOhRbotEJd4IO0NJUS5FT0cuSVFfUkVUVVJOX0lOVkVTVEVEX0NBUElUQUwuSVFfQ1EuMy8zMS8yMDE1LkwuLlVTRC5IAQAAAFwdBAACAAAABy00LjM1NzIA2718iUQl3gj28FqLRCXeCDxDSVEuQ09QLklRX1JFVFVSTl9JTlZFU1RFRF9DQVBJVEFMLklRX0NRLjEyLzMxLzIwMDkuTC4uVVNELkgBAAAAT4YEAAIAAAAFMi4yMjQAGVp9iUQl3gjMnECLRCXeCDxDSVEuWE9NLklRX1JFVFVSTl9JTlZFU1RFRF9DQVBJVEFMLklRX0NRLjEyLzMxLzIwMTIuTC4uVVNELkgBAAAAQjMGAAIAAAAHMTUuOTk0NACrh5iJRCXeCI3RTYtEJd4IPENJUS5FT0cuSVFfUkVUVVJOX0lOVkVTVEVEX0NBUElU</t>
  </si>
  <si>
    <t>QUwuSVFfTFRNLjYvMzAvMjAyMS5MLi5VU0QuSAEAAABcHQQAAgAAAAYzLjczOTcAMTjHikQl3ghhMH6LRCXeCDxDSVEuQ1ZYLklRX1JFVFVSTl9JTlZFU1RFRF9DQVBJVEFMLklRX0xUTS4zLzMxLzIwMTUuTC4uVVNELkgBAAAAyoABAAIAAAAGNS4wNjYxANu9fIlEJd4I3KJai0Ql3gg6Q0lRLkJQLklRX1JFVFVSTl9JTlZFU1RFRF9DQVBJVEFMLklRX0NRLjkvMzAvMjAxMS5MLi5VU0QuSAEAAADiBAYAAgAAAAY5LjgyNDgA5+R8iUQl3gjH70eLRCXeCDtDSVEuQlAuSVFfUkVUVVJOX0lOVkVTVEVEX0NBUElUQUwuSVFfTFRNLjYvMzAvMjAyMS5MLi5VU0QuSAEAAADiBAYAAgAAAAY1LjEzNTUAMTjHikQl3ghhMH6LRCXeCDxDSVEuQ09QLklRX1JFVFVSTl9JTlZFU1RFRF9DQVBJVEFMLklRX0xUTS42LzMwLzIwMjUuTC4uVVNELkgBAAAAT4YEAAIAAAAGNi44NjUyAOoj2opEJd4Idx+Ri0Ql3gg8Q0lRLkNWWC5JUV9SRVRVUk5fSU5WRVNURURfQ0FQSVRBTC5JUV9DUS4xMi8zMS8yMDI0LkwuLlVTRC5IAQAAAMqAAQACAAAABDAuNzcA6iPaikQl3ghih46LRCXeCDtDSVEuQlAuSVFfUkVUVVJOX0lOVkVTVEVEX0NBUElUQUwuSVFfTFRNLjkvMzAvMjAyNC5MLi5VU0QuSAEAAADiBAYAAgAAAActMS41MDk4AOoj2opEJd4I2CeNi0Ql3gg8Q0lRLkVPRy5JUV9SRVRVUk5fSU5WRVNURURfQ0FQSVRBTC5JUV9M</t>
  </si>
  <si>
    <t>VE0uMy8zMS8yMDE2LkwuLlVTRC5IAQAAAFwdBAACAAAACC0yMy43Mzc4AKHHiolEJd4InVlhi0Ql3gg7Q0lRLkRWTi5JUV9SRVRVUk5fSU5WRVNURURfQ0FQSVRBTC5JUV9DUS45LzMwLzIwMTUuTC4uVVNELkgBAAAADhEEAAIAAAAILTQ4LjAyNDQAyJZ8iUQl3ghHJV6LRCXeCDxDSVEuQ1ZYLklRX1JFVFVSTl9JTlZFU1RFRF9DQVBJVEFMLklRX0xUTS42LzMwLzIwMTQuTC4uVVNELkgBAAAAyoABAAIAAAAGNy4xOTg2AFAEiolEJd4IyZlVi0Ql3gg8Q0lRLkRWTi5JUV9SRVRVUk5fSU5WRVNURURfQ0FQSVRBTC5JUV9MVE0uOS8zMC8yMDEzLkwuLlVTRC5IAQAAAA4RBAACAAAABy0yLjkwNDQAbiuKiUQl3gj0LFGLRCXeCDtDSVEuQlAuSVFfUkVUVVJOX0lOVkVTVEVEX0NBUElUQUwuSVFfTFRNLjMvMzEvMjAxMy5MLi5VU0QuSAEAAADiBAYAAgAAAAY5LjU2MjMAq4eYiUQl3gj64k6LRCXeCDtDSVEuWE9NLklRX1JFVFVSTl9JTlZFU1RFRF9DQVBJVEFMLklRX0NRLjMvMzEvMjAxMi5MLi5VU0QuSAEAAABCMwYAAgAAAAcxNi4xNzQ0ANu9fIlEJd4I9UVKi0Ql3gg7Q0lRLkNPUC5JUV9SRVRVUk5fSU5WRVNURURfQ0FQSVRBTC5JUV9DUS45LzMwLzIwMTEuTC4uVVNELkgBAAAAT4YEAAIAAAAGNy4xMzQ4AOfkfIlEJd4Ix+9Hi0Ql3gg8Q0lRLkVPRy5JUV9SRVRVUk5fSU5WRVNURURfQ0FQSVRBTC5JUV9D</t>
  </si>
  <si>
    <t>US4xMi8zMS8yMDEwLkwuLlVTRC5IAQAAAFwdBAACAAAABjAuNDAwOAD1C32JRCXeCFZtRItEJd4IO0NJUS5DVlguSVFfUkVUVVJOX0lOVkVTVEVEX0NBUElUQUwuSVFfQ1EuMy8zMS8yMDE5LkwuLlVTRC5IAQAAAMqAAQACAAAABjAuODQ0OAD1C32JRCXeCBzQc4tEJd4IO0NJUS5CUC5JUV9SRVRVUk5fSU5WRVNURURfQ0FQSVRBTC5JUV9MVE0uMy8zMS8yMDEwLkwuLlVTRC5IAQAAAOIEBgACAAAABjcuMzAzOQAGM32JRCXeCBVgQYtEJd4IO0NJUS5FT0cuSVFfUkVUVVJOX0lOVkVTVEVEX0NBUElUQUwuSVFfQ1EuOS8zMC8yMDE4LkwuLlVTRC5IAQAAAFwdBAACAAAABTE3Ljc0AGtSiolEJd4IL4Zxi0Ql3gg8Q0lRLkRWTi5JUV9SRVRVUk5fSU5WRVNURURfQ0FQSVRBTC5JUV9MVE0uOS8zMC8yMDE2LkwuLlVTRC5IAQAAAA4RBAACAAAABy0zNC4xOTQAoceKiUQl3gj6tGSLRCXeCDxDSVEuRFZOLklRX1JFVFVSTl9JTlZFU1RFRF9DQVBJVEFMLklRX0NRLjEyLzMxLzIwMTMuTC4uVVNELkgBAAAADhEEAAIAAAAGMS40OTM2AG4riolEJd4Ih4xSi0Ql3gg8Q0lRLkRWTi5JUV9SRVRVUk5fSU5WRVNURURfQ0FQSVRBTC5JUV9MVE0uMy8zMS8yMDEwLkwuLlVTRC5IAQAAAA4RBAACAAAABzExLjEyMTkABjN9iUQl3ggVYEGLRCXeCDtDSVEuQlAuSVFfUkVUVVJOX0lOVkVTVEVEX0NBUElUQUwuSVFfTFRNLjYv</t>
  </si>
  <si>
    <t>MzAvMjAxNC5MLi5VU0QuSAEAAADiBAYAAgAAAAYzLjMxODMAUASKiUQl3gjJmVWLRCXeCDpDSVEuQlAuSVFfUkVUVVJOX0lOVkVTVEVEX0NBUElUQUwuSVFfQ1EuNi8zMC8yMDEwLkwuLlVTRC5IAQAAAOIEBgACAAAAAy01NAAGM32JRCXeCIBxQotEJd4IPENJUS5DVlguSVFfUkVUVVJOX0lOVkVTVEVEX0NBUElUQUwuSVFfTFRNLjMvMzEvMjAxOS5MLi5VU0QuSAEAAADKgAEAAgAAAAYyLjcxMDUA9Qt9iUQl3ggRqXOLRCXeCD1DSVEuQ09QLklRX1JFVFVSTl9JTlZFU1RFRF9DQVBJVEFMLklRX0xUTS4xMi8zMS8yMDEzLkwuLlVTRC5IAQAAAE+GBAACAAAABjcuODczNQBuK4qJRCXeCHZlUotEJd4IPENJUS5EVk4uSVFfUkVUVVJOX0lOVkVTVEVEX0NBUElUQUwuSVFfTFRNLjYvMzAvMjAxNC5MLi5VU0QuSAEAAAAOEQQAAgAAAAYzLjY5NTEAUASKiUQl3gjJmVWLRCXeCDxDSVEuRU9HLklRX1JFVFVSTl9JTlZFU1RFRF9DQVBJVEFMLklRX0xUTS45LzMwLzIwMTkuTC4uVVNELkgBAAAAXB0EAAIAAAAGOS4zNzE0AEiGx4pEJd4IAvN1i0Ql3gg6Q0lRLkJQLklRX1JFVFVSTl9JTlZFU1RFRF9DQVBJVEFMLklRX0NRLjkvMzAvMjAxNC5MLi5VU0QuSAEAAADiBAYAAgAAAAYwLjM2NjgAUASKiUQl3gikvFeLRCXeCDxDSVEuRFZOLklRX1JFVFVSTl9JTlZFU1RFRF9DQVBJVEFMLklRX0xUTS42LzMwLzIwMTEu</t>
  </si>
  <si>
    <t>TC4uVVNELkgBAAAADhEEAAIAAAAHMjEuMzU0MQDn5HyJRCXeCEa3RotEJd4IPENJUS5YT00uSVFfUkVUVVJOX0lOVkVTVEVEX0NBUElUQUwuSVFfQ1EuMTIvMzEvMjAxNS5MLi5VU0QuSAEAAABCMwYAAgAAAActMC41MTM2AMiWfIlEJd4I/tJfi0Ql3gg7Q0lRLkJQLklRX1JFVFVSTl9JTlZFU1RFRF9DQVBJVEFMLklRX0xUTS45LzMwLzIwMjMuTC4uVVNELkgBAAAA4gQGAAIAAAAHMTUuMjYyNwDlStqKRCXeCLi3iItEJd4IO0NJUS5CUC5JUV9SRVRVUk5fSU5WRVNURURfQ0FQSVRBTC5JUV9MVE0uMy8zMS8yMDI0LkwuLlVTRC5IAQAAAOIEBgACAAAABjMuMDI1OQDlStqKRCXeCPkEi4tEJd4IPENJUS5DT1AuSVFfUkVUVVJOX0lOVkVTVEVEX0NBUElUQUwuSVFfTFRNLjkvMzAvMjAyMy5MLi5VU0QuSAEAAABPhgQAAgAAAAY2Ljk3NjMA5UraikQl3gijkIiLRCXeCDtDSVEuQ1ZYLklRX1JFVFVSTl9JTlZFU1RFRF9DQVBJVEFMLklRX0NRLjMvMzEvMjAyMy5MLi5VU0QuSAEAAADKgAEAAgAAAAY4LjAwOTYA83HaikQl3gi/bYaLRCXeCDtDSVEuQ1ZYLklRX1JFVFVSTl9JTlZFU1RFRF9DQVBJVEFMLklRX0NRLjkvMzAvMjAyMi5MLi5VU0QuSAEAAADKgAEAAgAAAAcxOC42NTE2AP7pxopEJd4I0iOEi0Ql3gg7Q0lRLkJQLklRX1JFVFVSTl9JTlZFU1RFRF9DQVBJVEFMLklRX0xUTS42LzMwLzIwMjIuTC4u</t>
  </si>
  <si>
    <t>VVNELkgBAAAA4gQGAAIAAAAILTEwLjAwNzQACRHHikQl3ghM64KLRCXeCD1DSVEuQ09QLklRX1JFVFVSTl9JTlZFU1RFRF9DQVBJVEFMLklRX0xUTS4xMi8zMS8yMDIxLkwuLlVTRC5IAQAAAE+GBAACAAAABzEwLjIxMzMACRHHikQl3ghNeoCLRCXeCDxDSVEuQ09QLklRX1JFVFVSTl9JTlZFU1RFRF9DQVBJVEFMLklRX0xUTS42LzMwLzIwMjEuTC4uVVNELkgBAAAAT4YEAAIAAAAHLTAuNDI5NgAxOMeKRCXeCGEwfotEJd4IPENJUS5DVlguSVFfUkVUVVJOX0lOVkVTVEVEX0NBUElUQUwuSVFfQ1EuMTIvMzEvMjAyMC5MLi5VU0QuSAEAAADKgAEAAgAAAActNy4xOTk2ADE4x4pEJd4IgQ18i0Ql3gg7Q0lRLkJQLklRX1JFVFVSTl9JTlZFU1RFRF9DQVBJVEFMLklRX0xUTS45LzMwLzIwMjAuTC4uVVNELkgBAAAA4gQGAAIAAAAILTE3LjA3MTEAKV/HikQl3gjzrXqLRCXeCDtDSVEuQlAuSVFfUkVUVVJOX0lOVkVTVEVEX0NBUElUQUwuSVFfTFRNLjMvMzEvMjAyMC5MLi5VU0QuSAEAAADiBAYAAgAAAActNi4yNDU3AClfx4pEJd4I5zx4i0Ql3gg8Q0lRLkNPUC5JUV9SRVRVUk5fSU5WRVNURURfQ0FQSVRBTC5JUV9MVE0uOS8zMC8yMDE5LkwuLlVTRC5IAQAAAE+GBAACAAAABzE0LjE2OTcASIbHikQl3ggC83WLRCXeCDtDSVEuQ1ZYLklRX1JFVFVSTl9JTlZFU1RFRF9DQVBJVEFMLklRX0NRLjkvMzAvMjAx</t>
  </si>
  <si>
    <t>OC5MLi5VU0QuSAEAAADKgAEAAgAAAAY0LjAwOTYAa1KKiUQl3ggvhnGLRCXeCDxDSVEuQ1ZYLklRX1JFVFVSTl9JTlZFU1RFRF9DQVBJVEFMLklRX0NRLjEyLzMxLzIwMTYuTC4uVVNELkgBAAAAyoABAAIAAAAHLTMuMzMzMgCNoIqJRCXeCKhiZotEJd4IO0NJUS5YT00uSVFfUkVUVVJOX0lOVkVTVEVEX0NBUElUQUwuSVFfQ1EuMy8zMS8yMDE1LkwuLlVTRC5IAQAAAEIzBgACAAAABjMuODYyOADbvXyJRCXeCOLJWotEJd4IPENJUS5DT1AuSVFfUkVUVVJOX0lOVkVTVEVEX0NBUElUQUwuSVFfTFRNLjkvMzAvMjAxMi5MLi5VU0QuSAEAAABPhgQAAgAAAAY4LjQ1OTEAq4eYiUQl3gi6XUyLRCXeCDtDSVEuRU9HLklRX1JFVFVSTl9JTlZFU1RFRF9DQVBJVEFMLklRX0NRLjMvMzEvMjAxOS5MLi5VU0QuSAEAAABcHQQAAgAAAAQ3Ljc2APULfYlEJd4IHNBzi0Ql3gg7Q0lRLkNWWC5JUV9SRVRVUk5fSU5WRVNURURfQ0FQSVRBTC5JUV9DUS4zLzMxLzIwMTUuTC4uVVNELkgBAAAAyoABAAIAAAAFMS4yMTYA2718iUQl3gj28FqLRCXeCDxDSVEuRU9HLklRX1JFVFVSTl9JTlZFU1RFRF9DQVBJVEFMLklRX0xUTS42LzMwLzIwMTEuTC4uVVNELkgBAAAAXB0EAAIAAAAGMS42MjEzAOfkfIlEJd4IRrdGi0Ql3gg7Q0lRLkNPUC5JUV9SRVRVUk5fSU5WRVNURURfQ0FQSVRBTC5JUV9DUS45LzMwLzIwMjEuTC4uVVNE</t>
  </si>
  <si>
    <t>LkgBAAAAT4YEAAIAAAAHMTEuMjQzNgAJEceKRCXeCOJof4tEJd4IOkNJUS5CUC5JUV9SRVRVUk5fSU5WRVNURURfQ0FQSVRBTC5JUV9DUS45LzMwLzIwMTguTC4uVVNELkgBAAAA4gQGAAIAAAAGNC43MDQ4AGtSiolEJd4IL4Zxi0Ql3gg7Q0lRLkJQLklRX1JFVFVSTl9JTlZFU1RFRF9DQVBJVEFMLklRX0xUTS42LzMwLzIwMTEuTC4uVVNELkgBAAAA4gQGAAIAAAAHMTMuNzUyNQDn5HyJRCXeCEa3RotEJd4IPENJUS5DT1AuSVFfUkVUVVJOX0lOVkVTVEVEX0NBUElUQUwuSVFfQ1EuMTIvMzEvMjAxNS5MLi5VU0QuSAEAAABPhgQAAgAAAActMjYuMDI4AMiWfIlEJd4I/tJfi0Ql3gg8Q0lRLkVPRy5JUV9SRVRVUk5fSU5WRVNURURfQ0FQSVRBTC5JUV9MVE0uNi8zMC8yMDE3LkwuLlVTRC5IAQAAAFwdBAACAAAABy0zLjMxODUAjaCKiUQl3gjqb2mLRCXeCDxDSVEuRU9HLklRX1JFVFVSTl9JTlZFU1RFRF9DQVBJVEFMLklRX0xUTS45LzMwLzIwMTIuTC4uVVNELkgBAAAAXB0EAAIAAAAGNS4zODM4AKuHmIlEJd4I7phMi0Ql3gg8Q0lRLlhPTS5JUV9SRVRVUk5fSU5WRVNURURfQ0FQSVRBTC5JUV9MVE0uNi8zMC8yMDI1LkwuLlVTRC5IAQAAAEIzBgACAAAABTQuMzg2AOoj2opEJd4Idx+Ri0Ql3gg8Q0lRLkVPRy5JUV9SRVRVUk5fSU5WRVNURURfQ0FQSVRBTC5JUV9DUS4xMi8zMS8yMDI0LkwuLlVTRC5I</t>
  </si>
  <si>
    <t>AQAAAFwdBAACAAAABTguNjI0AOoj2opEJd4IV2COi0Ql3gg8Q0lRLkRWTi5JUV9SRVRVUk5fSU5WRVNURURfQ0FQSVRBTC5JUV9MVE0uOS8zMC8yMDI0LkwuLlVTRC5IAQAAAA4RBAACAAAABzEwLjEwMjgA6iPaikQl3gjYJ42LRCXeCDtDSVEuQlAuSVFfUkVUVVJOX0lOVkVTVEVEX0NBUElUQUwuSVFfTFRNLjMvMzEvMjAxNi5MLi5VU0QuSAEAAADiBAYAAgAAAActOS44MDU5AKHHiolEJd4InVlhi0Ql3gg8Q0lRLkNPUC5JUV9SRVRVUk5fSU5WRVNURURfQ0FQSVRBTC5JUV9MVE0uOS8zMC8yMDE1LkwuLlVTRC5IAQAAAE+GBAACAAAABy02LjM3NzUAyJZ8iUQl3ggh112LRCXeCDxDSVEuRU9HLklRX1JFVFVSTl9JTlZFU1RFRF9DQVBJVEFMLklRX0xUTS42LzMwLzIwMTQuTC4uVVNELkgBAAAAXB0EAAIAAAAHMTAuMTAyNgBQBIqJRCXeCMmZVYtEJd4IPENJUS5EVk4uSVFfUkVUVVJOX0lOVkVTVEVEX0NBUElUQUwuSVFfTFRNLjMvMzEvMjAxMy5MLi5VU0QuSAEAAAAOEQQAAgAAAActNy4wMDAyAKuHmIlEJd4I+uJOi0Ql3gg7Q0lRLkNWWC5JUV9SRVRVUk5fSU5WRVNURURfQ0FQSVRBTC5JUV9DUS4zLzMxLzIwMTIuTC4uVVNELkgBAAAAyoABAAIAAAAHMTQuNTczNgDbvXyJRCXeCPVFSotEJd4IO0NJUS5YT00uSVFfUkVUVVJOX0lOVkVTVEVEX0NBUElUQUwuSVFfQ1EuOS8zMC8yMDExLkwuLlVTRC5I</t>
  </si>
  <si>
    <t>AQAAAEIzBgACAAAABzE4LjAzMDgA5+R8iUQl3gjH70eLRCXeCDtDSVEuQlAuSVFfUkVUVVJOX0lOVkVTVEVEX0NBUElUQUwuSVFfQ1EuMTIvMzEvMjAxMC5MLi5VU0QuSAEAAADiBAYAAgAAAAcxNi4zOTkyAPULfYlEJd4IVm1Ei0Ql3gg8Q0lRLlhPTS5JUV9SRVRVUk5fSU5WRVNURURfQ0FQSVRBTC5JUV9MVE0uOS8zMC8yMDIzLkwuLlVTRC5IAQAAAEIzBgACAAAABzEwLjc3OTEA5UraikQl3gijkIiLRCXeCDxDSVEuRFZOLklRX1JFVFVSTl9JTlZFU1RFRF9DQVBJVEFMLklRX0xUTS42LzMwLzIwMjIuTC4uVVNELkgBAAAADhEEAAIAAAAHMTcuODY0OAAJEceKRCXeCEzrgotEJd4IPUNJUS5YT00uSVFfUkVUVVJOX0lOVkVTVEVEX0NBUElUQUwuSVFfTFRNLjEyLzMxLzIwMjEuTC4uVVNELkgBAAAAQjMGAAIAAAAGMy40ODQ4AAkRx4pEJd4ITXqAi0Ql3gg8Q0lRLlhPTS5JUV9SRVRVUk5fSU5WRVNURURfQ0FQSVRBTC5JUV9MVE0uNi8zMC8yMDIxLkwuLlVTRC5IAQAAAEIzBgACAAAACC0xMS42ODE4ADE4x4pEJd4IYTB+i0Ql3gg7Q0lRLkNWWC5JUV9SRVRVUk5fSU5WRVNURURfQ0FQSVRBTC5JUV9DUS45LzMwLzIwMTEuTC4uVVNELkgBAAAAyoABAAIAAAAFMTkuMzcA5+R8iUQl3gjH70eLRCXeCDxDSVEuQ09QLklRX1JFVFVSTl9JTlZFU1RFRF9DQVBJVEFMLklRX0NRLjEyLzMxLzIwMTkuTC4uVVNE</t>
  </si>
  <si>
    <t>LkgBAAAAT4YEAAIAAAAGMi4wMTg4AClfx4pEJd4Igyt3i0Ql3gg7Q0lRLkVPRy5JUV9SRVRVUk5fSU5WRVNURURfQ0FQSVRBTC5JUV9DUS45LzMwLzIwMTQuTC4uVVNELkgBAAAAXB0EAAIAAAAHMTcuOTE0NABQBIqJRCXeCKS8V4tEJd4IO0NJUS5FT0cuSVFfUkVUVVJOX0lOVkVTVEVEX0NBUElUQUwuSVFfQ1EuOS8zMC8yMDExLkwuLlVTRC5IAQAAAFwdBAACAAAABzExLjM3OTIA5+R8iUQl3gjH70eLRCXeCDxDSVEuWE9NLklRX1JFVFVSTl9JTlZFU1RFRF9DQVBJVEFMLklRX0NRLjEyLzMxLzIwMTkuTC4uVVNELkgBAAAAQjMGAAIAAAAGMy4xNDc2AClfx4pEJd4Igyt3i0Ql3gg8Q0lRLkNWWC5JUV9SRVRVUk5fSU5WRVNURURfQ0FQSVRBTC5JUV9MVE0uMy8zMS8yMDEyLkwuLlVTRC5IAQAAAMqAAQACAAAABzE2LjE3MjcA2718iUQl3gj1RUqLRCXeCD1DSVEuWE9NLklRX1JFVFVSTl9JTlZFU1RFRF9DQVBJVEFMLklRX0xUTS4xMi8zMS8yMDEwLkwuLlVTRC5IAQAAAEIzBgACAAAABjE1LjAwNwAGM32JRCXeCEdGRItEJd4IPENJUS5EVk4uSVFfUkVUVVJOX0lOVkVTVEVEX0NBUElUQUwuSVFfTFRNLjMvMzEvMjAyNC5MLi5VU0QuSAEAAAAOEQQAAgAAAAY5Ljc1NzUA5UraikQl3gj5BIuLRCXeCDtDSVEuRU9HLklRX1JFVFVSTl9JTlZFU1RFRF9DQVBJVEFMLklRX0NRLjMvMzEvMjAyMy5MLi5VU0Qu</t>
  </si>
  <si>
    <t>SAEAAABcHQQAAgAAAAcxMi42NzA4APNx2opEJd4Iv22Gi0Ql3gg7Q0lRLkVPRy5JUV9SRVRVUk5fSU5WRVNURURfQ0FQSVRBTC5JUV9DUS45LzMwLzIwMjIuTC4uVVNELkgBAAAAXB0EAAIAAAAHMjEuNzIzMgD+6caKRCXeCNIjhItEJd4IPENJUS5FT0cuSVFfUkVUVVJOX0lOVkVTVEVEX0NBUElUQUwuSVFfQ1EuMTIvMzEvMjAyMC5MLi5VU0QuSAEAAABcHQQAAgAAAAQxLjc2ADE4x4pEJd4IgQ18i0Ql3gg8Q0lRLlhPTS5JUV9SRVRVUk5fSU5WRVNURURfQ0FQSVRBTC5JUV9MVE0uOS8zMC8yMDE5LkwuLlVTRC5IAQAAAEIzBgACAAAABTAuMDg3AEiGx4pEJd4IAvN1i0Ql3gg8Q0lRLlhPTS5JUV9SRVRVUk5fSU5WRVNURURfQ0FQSVRBTC5JUV9MVE0uNi8zMC8yMDE3LkwuLlVTRC5IAQAAAEIzBgACAAAABy0wLjQ0NDgAjaCKiUQl3gjWSGmLRCXeCDtDSVEuQ1ZYLklRX1JFVFVSTl9JTlZFU1RFRF9DQVBJVEFMLklRX0NRLjkvMzAvMjAxNC5MLi5VU0QuSAEAAADKgAEAAgAAAAY3LjkyODgAUASKiUQl3giMlVeLRCXeCDxDSVEuQ1ZYLklRX1JFVFVSTl9JTlZFU1RFRF9DQVBJVEFMLklRX0xUTS45LzMwLzIwMTkuTC4uVVNELkgBAAAAyoABAAIAAAAGMi4yOTQ5AEiGx4pEJd4IAvN1i0Ql3gg9Q0lRLkNPUC5JUV9SRVRVUk5fSU5WRVNURURfQ0FQSVRBTC5JUV9MVE0uMTIvMzEvMjAxMC5MLi5VU0QuSAEA</t>
  </si>
  <si>
    <t>AABPhgQAAgAAAAY4LjQwODEABjN9iUQl3ghHRkSLRCXeCDtDSVEuRFZOLklRX1JFVFVSTl9JTlZFU1RFRF9DQVBJVEFMLklRX0NRLjkvMzAvMjAxOC5MLi5VU0QuSAEAAAAOEQQAAgAAAAc1OS4wMzc2AGtSiolEJd4IL4Zxi0Ql3gg8Q0lRLkNWWC5JUV9SRVRVUk5fSU5WRVNURURfQ0FQSVRBTC5JUV9MVE0uNi8zMC8yMDI1LkwuLlVTRC5IAQAAAMqAAQACAAAABjEuMDk4MwDqI9qKRCXeCGj4kItEJd4IO0NJUS5CUC5JUV9SRVRVUk5fSU5WRVNURURfQ0FQSVRBTC5JUV9DUS4xMi8zMS8yMDI0LkwuLlVTRC5IAQAAAOIEBgACAAAABy01LjI1MzYA6iPaikQl3ghXYI6LRCXeCDxDSVEuRFZOLklRX1JFVFVSTl9JTlZFU1RFRF9DQVBJVEFMLklRX0xUTS4zLzMxLzIwMTYuTC4uVVNELkgBAAAADhEEAAIAAAAILTQ5LjQ3ODcAoceKiUQl3gidWWGLRCXeCDxDSVEuWE9NLklRX1JFVFVSTl9JTlZFU1RFRF9DQVBJVEFMLklRX0xUTS45LzMwLzIwMTUuTC4uVVNELkgBAAAAQjMGAAIAAAAGMy43OTU2AMiWfIlEJd4IIdddi0Ql3gg7Q0lRLkVPRy5JUV9SRVRVUk5fSU5WRVNURURfQ0FQSVRBTC5JUV9DUS4zLzMxLzIwMTIuTC4uVVNELkgBAAAAXB0EAAIAAAAGNi4yOTg0ANu9fIlEJd4I9UVKi0Ql3gg7Q0lRLkNPUC5JUV9SRVRVUk5fSU5WRVNURURfQ0FQSVRBTC5JUV9DUS45LzMwLzIwMTcuTC4uVVNELkgBAAAA</t>
  </si>
  <si>
    <t>T4YEAAIAAAAGMC43MjY0AHp5iolEJd4Ikx1ri0Ql3gg7Q0lRLkRWTi5JUV9SRVRVUk5fSU5WRVNURURfQ0FQSVRBTC5JUV9DUS42LzMwLzIwMTYuTC4uVVNELkgBAAAADhEEAAIAAAAILTI4LjUzNTYAoceKiUQl3ghbLmOLRCXeCDpDSVEuQlAuSVFfUkVUVVJOX0lOVkVTVEVEX0NBUElUQUwuSVFfQ1EuNi8zMC8yMDI0LkwuLlVTRC5IAQAAAOIEBgACAAAABy0wLjM0NzYA5UraikQl3ghhFoyLRCXeCDxDSVEuQ09QLklRX1JFVFVSTl9JTlZFU1RFRF9DQVBJVEFMLklRX0NRLjEyLzMxLzIwMjMuTC4uVVNELkgBAAAAT4YEAAIAAAAGOS40MjUyAOVK2opEJd4IJ8mJi0Ql3gg8Q0lRLkNWWC5JUV9SRVRVUk5fSU5WRVNURURfQ0FQSVRBTC5JUV9MVE0uOS8zMC8yMDIzLkwuLlVTRC5IAQAAAMqAAQACAAAABjcuNjg2NQDlStqKRCXeCKOQiItEJd4IPENJUS5DVlguSVFfUkVUVVJOX0lOVkVTVEVEX0NBUElUQUwuSVFfTFRNLjMvMzEvMjAyMy5MLi5VU0QuSAEAAADKgAEAAgAAAAcxMy43MTk5APNx2opEJd4Iq0aGi0Ql3gg6Q0lRLkJQLklRX1JFVFVSTl9JTlZFU1RFRF9DQVBJVEFMLklRX0NRLjkvMzAvMjAyMi5MLi5VU0QuSAEAAADiBAYAAgAAAActOS43NzY0AP7pxopEJd4I0iOEi0Ql3gg7Q0lRLkNPUC5JUV9SRVRVUk5fSU5WRVNURURfQ0FQSVRBTC5JUV9DUS4zLzMxLzIwMjIuTC4uVVNELkgBAAAAT4YE</t>
  </si>
  <si>
    <t>AAIAAAAFMjkuMjMACRHHikQl3gjNsoGLRCXeCDtDSVEuQlAuSVFfUkVUVVJOX0lOVkVTVEVEX0NBUElUQUwuSVFfQ1EuMTIvMzEvMjAxNi5MLi5VU0QuSAEAAADiBAYAAgAAAActMS43ODI4AI2giolEJd4IqGJmi0Ql3gg7Q0lRLlhPTS5JUV9SRVRVUk5fSU5WRVNURURfQ0FQSVRBTC5JUV9DUS4zLzMxLzIwMTguTC4uVVNELkgBAAAAQjMGAAIAAAAGMi4zMDE2AHp5iolEJd4I6FFui0Ql3gg7Q0lRLkNPUC5JUV9SRVRVUk5fSU5WRVNURURfQ0FQSVRBTC5JUV9DUS4zLzMxLzIwMTQuTC4uVVNELkgBAAAAT4YEAAIAAAAGNi44MDg4AG4riolEJd4IPxNUi0Ql3gg8Q0lRLkVPRy5JUV9SRVRVUk5fSU5WRVNURURfQ0FQSVRBTC5JUV9MVE0uNi8zMC8yMDI1LkwuLlVTRC5IAQAAAFwdBAACAAAABjEwLjgwNQDqI9qKRCXeCGj4kItEJd4IO0NJUS5EVk4uSVFfUkVUVVJOX0lOVkVTVEVEX0NBUElUQUwuSVFfQ1EuNi8zMC8yMDEwLkwuLlVTRC5IAQAAAA4RBAACAAAABzExLjE4MzYABjN9iUQl3giAcUKLRCXeCDtDSVEuQlAuSVFfUkVUVVJOX0lOVkVTVEVEX0NBUElUQUwuSVFfTFRNLjMvMzEvMjAyMy5MLi5VU0QuSAEAAADiBAYAAgAAAAcxNC44MjQ3APNx2opEJd4Iq0aGi0Ql3gg7Q0lRLkRWTi5JUV9SRVRVUk5fSU5WRVNURURfQ0FQSVRBTC5JUV9DUS42LzMwLzIwMjQuTC4uVVNELkgBAAAADhEEAAIAAAAH</t>
  </si>
  <si>
    <t>MTMuMDUzNgDlStqKRCXeCHg9jItEJd4IPENJUS5YT00uSVFfUkVUVVJOX0lOVkVTVEVEX0NBUElUQUwuSVFfQ1EuMTIvMzEvMjAyMy5MLi5VU0QuSAEAAABCMwYAAgAAAAY1Ljk1NzYA5UraikQl3ggnyYmLRCXeCDxDSVEuRU9HLklRX1JFVFVSTl9JTlZFU1RFRF9DQVBJVEFMLklRX0xUTS45LzMwLzIwMjMuTC4uVVNELkgBAAAAXB0EAAIAAAAHMjUuODE2NgDlStqKRCXeCKOQiItEJd4IPENJUS5FT0cuSVFfUkVUVVJOX0lOVkVTVEVEX0NBUElUQUwuSVFfTFRNLjMvMzEvMjAyMy5MLi5VU0QuSAEAAABcHQQAAgAAAAcyOC4wMDUzAPNx2opEJd4Iq0aGi0Ql3gg7Q0lRLkRWTi5JUV9SRVRVUk5fSU5WRVNURURfQ0FQSVRBTC5JUV9DUS45LzMwLzIwMjIuTC4uVVNELkgBAAAADhEEAAIAAAAGMjAuNDE4AP7pxopEJd4I0iOEi0Ql3gg7Q0lRLlhPTS5JUV9SRVRVUk5fSU5WRVNURURfQ0FQSVRBTC5JUV9DUS4zLzMxLzIwMjIuTC4uVVNELkgBAAAAQjMGAAIAAAAGMy4wMzg4AAkRx4pEJd4IzbKBi0Ql3gg8Q0lRLkRWTi5JUV9SRVRVUk5fSU5WRVNURURfQ0FQSVRBTC5JUV9DUS4xMi8zMS8yMDIwLkwuLlVTRC5IAQAAAA4RBAACAAAABy03LjQ5MTYAMTjHikQl3giBDXyLRCXeCDxDSVEuRU9HLklRX1JFVFVSTl9JTlZFU1RFRF9DQVBJVEFMLklRX0xUTS4zLzMxLzIwMTkuTC4uVVNELkgBAAAAXB0EAAIAAAAH</t>
  </si>
  <si>
    <t>MTEuNzQ1NgD1C32JRCXeCBGpc4tEJd4IO0NJUS5YT00uSVFfUkVUVVJOX0lOVkVTVEVEX0NBUElUQUwuSVFfQ1EuOS8zMC8yMDE3LkwuLlVTRC5IAQAAAEIzBgACAAAABjEuMTkwNAB6eYqJRCXeCJMda4tEJd4IPUNJUS5YT00uSVFfUkVUVVJOX0lOVkVTVEVEX0NBUElUQUwuSVFfTFRNLjEyLzMxLzIwMTMuTC4uVVNELkgBAAAAQjMGAAIAAAAHMTEuMjMzNABuK4qJRCXeCHZlUotEJd4IPENJUS5DVlguSVFfUkVUVVJOX0lOVkVTVEVEX0NBUElUQUwuSVFfQ1EuMTIvMzEvMjAyMy5MLi5VU0QuSAEAAADKgAEAAgAAAActMS4xNzM2AOVK2opEJd4IJ8mJi0Ql3gg8Q0lRLkRWTi5JUV9SRVRVUk5fSU5WRVNURURfQ0FQSVRBTC5JUV9MVE0uNi8zMC8yMDI1LkwuLlVTRC5IAQAAAA4RBAACAAAABTkuNjgyAOoj2opEJd4IaPiQi0Ql3gg9Q0lRLlhPTS5JUV9SRVRVUk5fSU5WRVNURURfQ0FQSVRBTC5JUV9MVE0uMTIvMzEvMjAyNC5MLi5VU0QuSAEAAABCMwYAAgAAAAY1Ljg2MjIA6iPaikQl3ghXYI6LRCXeCDxDSVEuQ1ZYLklRX1JFVFVSTl9JTlZFU1RFRF9DQVBJVEFMLklRX0NRLjEyLzMxLzIwMTUuTC4uVVNELkgBAAAAyoABAAIAAAAGLTUuMzg2AMiWfIlEJd4IFfpfi0Ql3gg7Q0lRLkJQLklRX1JFVFVSTl9JTlZFU1RFRF9DQVBJVEFMLklRX0xUTS45LzMwLzIwMTUuTC4uVVNELkgBAAAA4gQGAAIAAAAH</t>
  </si>
  <si>
    <t>LTguNDc0OQDIlnyJRCXeCDv+XYtEJd4IO0NJUS5DT1AuSVFfUkVUVVJOX0lOVkVTVEVEX0NBUElUQUwuSVFfQ1EuMy8zMS8yMDI1LkwuLlVTRC5IAQAAAE+GBAACAAAABjguMjY0OADqI9qKRCXeCP3mj4tEJd4IO0NJUS5DT1AuSVFfUkVUVVJOX0lOVkVTVEVEX0NBUElUQUwuSVFfQ1EuOS8zMC8yMDI0LkwuLlVTRC5IAQAAAE+GBAACAAAABjYuNzQ0OADqI9qKRCXeCPh1jYtEJd4IPENJUS5FT0cuSVFfUkVUVVJOX0lOVkVTVEVEX0NBUElUQUwuSVFfQ1EuMTIvMzEvMjAxNS5MLi5VU0QuSAEAAABcHQQAAgAAAAYtNy42NjYAyJZ8iUQl3ggV+l+LRCXeCDxDSVEuRFZOLklRX1JFVFVSTl9JTlZFU1RFRF9DQVBJVEFMLklRX0xUTS45LzMwLzIwMTUuTC4uVVNELkgBAAAADhEEAAIAAAAILTMyLjE1NzQAyJZ8iUQl3gg7/l2LRCXeCDtDSVEuQ1ZYLklRX1JFVFVSTl9JTlZFU1RFRF9DQVBJVEFMLklRX0NRLjMvMzEvMjAxNC5MLi5VU0QuSAEAAADKgAEAAgAAAAY2LjA1NTYAbiuKiUQl3gg/E1SLRCXeCDtDSVEuWE9NLklRX1JFVFVSTl9JTlZFU1RFRF9DQVBJVEFMLklRX0NRLjkvMzAvMjAxMy5MLi5VU0QuSAEAAABCMwYAAgAAAAcxMC41MjI4AG4riolEJd4IA1RRi0Ql3gg7Q0lRLkJQLklRX1JFVFVSTl9JTlZFU1RFRF9DQVBJVEFMLklRX0NRLjEyLzMxLzIwMTIuTC4uVVNELkgBAAAA4gQGAAIAAAAGMC42</t>
  </si>
  <si>
    <t>NDQ0AKuHmIlEJd4IjdFNi0Ql3gg8Q0lRLkNPUC5JUV9SRVRVUk5fSU5WRVNURURfQ0FQSVRBTC5JUV9MVE0uOS8zMC8yMDExLkwuLlVTRC5IAQAAAE+GBAACAAAABjcuODEzNgDn5HyJRCXeCBO+R4tEJd4IPENJUS5DVlguSVFfUkVUVVJOX0lOVkVTVEVEX0NBUElUQUwuSVFfTFRNLjYvMzAvMjAxMC5MLi5VU0QuSAEAAADKgAEAAgAAAAcxMC43NDg0AAYzfYlEJd4IgHFCi0Ql3gg8Q0lRLkNWWC5JUV9SRVRVUk5fSU5WRVNURURfQ0FQSVRBTC5JUV9MVE0uNi8zMC8yMDI0LkwuLlVTRC5IAQAAAMqAAQACAAAABjMuODg2MgDlStqKRCXeCFnvi4tEJd4IO0NJUS5CUC5JUV9SRVRVUk5fSU5WRVNURURfQ0FQSVRBTC5JUV9DUS4xMi8zMS8yMDIzLkwuLlVTRC5IAQAAAOIEBgACAAAABjEuMDAyOADlStqKRCXeCCfJiYtEJd4IOkNJUS5CUC5JUV9SRVRVUk5fSU5WRVNURURfQ0FQSVRBTC5JUV9DUS42LzMwLzIwMjMuTC4uVVNELkgBAAAA4gQGAAIAAAAGNC45MzE2AOVK2opEJd4IS6aHi0Ql3gg8Q0lRLkNPUC5JUV9SRVRVUk5fSU5WRVNURURfQ0FQSVRBTC5JUV9DUS4xMi8zMS8yMDIyLkwuLlVTRC5IAQAAAE+GBAACAAAABjUuMjM2NAD+6caKRCXeCEE1hYtEJd4IPENJUS5DVlguSVFfUkVUVVJOX0lOVkVTVEVEX0NBUElUQUwuSVFfTFRNLjkvMzAvMjAyMi5MLi5VU0QuSAEAAADKgAEAAgAAAAYxMy4wNjYA</t>
  </si>
  <si>
    <t>/unGikQl3gjE/IOLRCXeCDtDSVEuRFZOLklRX1JFVFVSTl9JTlZFU1RFRF9DQVBJVEFMLklRX0NRLjYvMzAvMjAyMy5MLi5VU0QuSAEAAAAOEQQAAgAAAAY1LjExMDgA5UraikQl3ghLpoeLRCXeCDxDSVEuRU9HLklRX1JFVFVSTl9JTlZFU1RFRF9DQVBJVEFMLklRX0NRLjEyLzMxLzIwMTkuTC4uVVNELkgBAAAAXB0EAAIAAAAGNi44NTA4AClfx4pEJd4Igyt3i0Ql3gg8Q0lRLkRWTi5JUV9SRVRVUk5fSU5WRVNURURfQ0FQSVRBTC5JUV9MVE0uNi8zMC8yMDE5LkwuLlVTRC5IAQAAAA4RBAACAAAABzI0LjM2OTkA5+R8iUQl3gh7unSLRCXeCDxDSVEuQ09QLklRX1JFVFVSTl9JTlZFU1RFRF9DQVBJVEFMLklRX0xUTS42LzMwLzIwMTguTC4uVVNELkgBAAAAT4YEAAIAAAAGNi40MDc1AGtSiolEJd4IiNhvi0Ql3gg8Q0lRLkVPRy5JUV9SRVRVUk5fSU5WRVNURURfQ0FQSVRBTC5JUV9MVE0uOS8zMC8yMDE3LkwuLlVTRC5IAQAAAFwdBAACAAAABy0xLjkyMTYAenmKiUQl3giF9mqLRCXeCDpDSVEuQlAuSVFfUkVUVVJOX0lOVkVTVEVEX0NBUElUQUwuSVFfQ1EuOS8zMC8yMDE2LkwuLlVTRC5IAQAAAOIEBgACAAAABjEuMjE3MgChx4qJRCXeCAzcZItEJd4IPENJUS5DVlguSVFfUkVUVVJOX0lOVkVTVEVEX0NBUElUQUwuSVFfTFRNLjkvMzAvMjAxMy5MLi5VU0QuSAEAAADKgAEAAgAAAAcxMC41NTM1AG4r</t>
  </si>
  <si>
    <t>iolEJd4I9CxRi0Ql3gg7Q0lRLlhPTS5JUV9SRVRVUk5fSU5WRVNURURfQ0FQSVRBTC5JUV9DUS45LzMwLzIwMjAuTC4uVVNELkgBAAAAQjMGAAIAAAAHLTYuODk0NAApX8eKRCXeCP/UeotEJd4IPUNJUS5YT00uSVFfUkVUVVJOX0lOVkVTVEVEX0NBUElUQUwuSVFfTFRNLjEyLzMxLzIwMTUuTC4uVVNELkgBAAAAQjMGAAIAAAAGMS45MDc1AMiWfIlEJd4I6Ktfi0Ql3gg8Q0lRLlhPTS5JUV9SRVRVUk5fSU5WRVNURURfQ0FQSVRBTC5JUV9DUS4xMi8zMS8yMDE0LkwuLlVTRC5IAQAAAEIzBgACAAAABjYuOTUyOABQBIqJRCXeCD0cWYtEJd4IO0NJUS5YT00uSVFfUkVUVVJOX0lOVkVTVEVEX0NBUElUQUwuSVFfQ1EuOS8zMC8yMDEyLkwuLlVTRC5IAQAAAEIzBgACAAAABTE1LjA5AKuHmIlEJd4I7phMi0Ql3gg7Q0lRLkVPRy5JUV9SRVRVUk5fSU5WRVNURURfQ0FQSVRBTC5JUV9DUS4zLzMxLzIwMTEuTC4uVVNELkgBAAAAXB0EAAIAAAAGMi4zMzU2APULfYlEJd4I2KVFi0Ql3gg8Q0lRLkRWTi5JUV9SRVRVUk5fSU5WRVNURURfQ0FQSVRBTC5JUV9MVE0uMy8zMS8yMDE4LkwuLlVTRC5IAQAAAA4RBAACAAAABjEuMjAyNAB6eYqJRCXeCOhRbotEJd4IO0NJUS5DVlguSVFfUkVUVVJOX0lOVkVTVEVEX0NBUElUQUwuSVFfQ1EuOS8zMC8yMDE5LkwuLlVTRC5IAQAAAMqAAQACAAAABjAuNzEwOABIhseKRCXe</t>
  </si>
  <si>
    <t>CBIadotEJd4IPENJUS5FT0cuSVFfUkVUVVJOX0lOVkVTVEVEX0NBUElUQUwuSVFfQ1EuMTIvMzEvMjAyMy5MLi5VU0QuSAEAAABcHQQAAgAAAAQwLjcyAOVK2opEJd4IJ8mJi0Ql3gg8Q0lRLkNPUC5JUV9SRVRVUk5fSU5WRVNURURfQ0FQSVRBTC5JUV9MVE0uNi8zMC8yMDE1LkwuLlVTRC5IAQAAAE+GBAACAAAABy0xLjE2MDMA2718iUQl3gh7KVyLRCXeCDxDSVEuQ1ZYLklRX1JFVFVSTl9JTlZFU1RFRF9DQVBJVEFMLklRX0NRLjEyLzMxLzIwMDkuTC4uVVNELkgBAAAAyoABAAIAAAAENi42OQAZWn2JRCXeCMycQItEJd4IPENJUS5DVlguSVFfUkVUVVJOX0lOVkVTVEVEX0NBUElUQUwuSVFfTFRNLjkvMzAvMjAxOC5MLi5VU0QuSAEAAADKgAEAAgAAAAYzLjAzODgAa1KKiUQl3gglX3GLRCXeCDxDSVEuRU9HLklRX1JFVFVSTl9JTlZFU1RFRF9DQVBJVEFMLklRX0NRLjEyLzMxLzIwMTIuTC4uVVNELkgBAAAAXB0EAAIAAAAILTExLjExMzYAq4eYiUQl3giN0U2LRCXeCDtDSVEuQlAuSVFfUkVUVVJOX0lOVkVTVEVEX0NBUElUQUwuSVFfTFRNLjYvMzAvMjAxMi5MLi5VU0QuSAEAAADiBAYAAgAAAAU3LjQ5MgDbvXyJRCXeCAJvS4tEJd4IPUNJUS5DT1AuSVFfUkVUVVJOX0lOVkVTVEVEX0NBUElUQUwuSVFfTFRNLjEyLzMxLzIwMDkuTC4uVVNELkgBAAAAT4YEAAIAAAAGMS42OTgxABlafYlEJd4InU5A</t>
  </si>
  <si>
    <t>i0Ql3gg8Q0lRLkVPRy5JUV9SRVRVUk5fSU5WRVNURURfQ0FQSVRBTC5JUV9DUS4xMi8zMS8yMDIxLkwuLlVTRC5IAQAAAFwdBAACAAAABjI4Ljc1OAAJEceKRCXeCGOhgItEJd4IPENJUS5YT00uSVFfUkVUVVJOX0lOVkVTVEVEX0NBUElUQUwuSVFfTFRNLjYvMzAvMjAyNC5MLi5VU0QuSAEAAABCMwYAAgAAAAY2LjUzNzYA5UraikQl3gh4PYyLRCXeCDtDSVEuWE9NLklRX1JFVFVSTl9JTlZFU1RFRF9DQVBJVEFMLklRX0NRLjMvMzEvMjAyNS5MLi5VU0QuSAEAAABCMwYAAgAAAAY0LjMxNDgA6iPaikQl3ggDDpCLRCXeCDxDSVEuRU9HLklRX1JFVFVSTl9JTlZFU1RFRF9DQVBJVEFMLklRX0xUTS42LzMwLzIwMjQuTC4uVVNELkgBAAAAXB0EAAIAAAAHMTEuODMwOQDlStqKRCXeCGEWjItEJd4IO0NJUS5CUC5JUV9SRVRVUk5fSU5WRVNURURfQ0FQSVRBTC5JUV9MVE0uOS8zMC8yMDIyLkwuLlVTRC5IAQAAAOIEBgACAAAACC0xMC41OTk2AP7pxopEJd4IxPyDi0Ql3gg7Q0lRLkRWTi5JUV9SRVRVUk5fSU5WRVNURURfQ0FQSVRBTC5JUV9DUS45LzMwLzIwMjEuTC4uVVNELkgBAAAADhEEAAIAAAAHMTMuMDY2NAAJEceKRCXeCPyPf4tEJd4IO0NJUS5CUC5JUV9SRVRVUk5fSU5WRVNURURfQ0FQSVRBTC5JUV9DUS4xMi8zMS8yMDE5LkwuLlVTRC5IAQAAAOIEBgACAAAABy00LjY1MjgAKV/HikQl3giDK3eL</t>
  </si>
  <si>
    <t>RCXeCDtDSVEuQlAuSVFfUkVUVVJOX0lOVkVTVEVEX0NBUElUQUwuSVFfTFRNLjMvMzEvMjAxOS5MLi5VU0QuSAEAAADiBAYAAgAAAAQyLjA2APULfYlEJd4IEalzi0Ql3gg8Q0lRLkNWWC5JUV9SRVRVUk5fSU5WRVNURURfQ0FQSVRBTC5JUV9DUS4xMi8zMS8yMDExLkwuLlVTRC5IAQAAAMqAAQACAAAABzEwLjcwMDgA5+R8iUQl3gihHEmLRCXeCDxDSVEuWE9NLklRX1JFVFVSTl9JTlZFU1RFRF9DQVBJVEFMLklRX0xUTS42LzMwLzIwMTAuTC4uVVNELkgBAAAAQjMGAAIAAAAHMTEuNTg4NwAGM32JRCXeCIBxQotEJd4IO0NJUS5CUC5JUV9SRVRVUk5fSU5WRVNURURfQ0FQSVRBTC5JUV9MVE0uOS8zMC8yMDIxLkwuLlVTRC5IAQAAAOIEBgACAAAABjEuNDIwNgAJEceKRCXeCOJof4tEJd4IPENJUS5EVk4uSVFfUkVUVVJOX0lOVkVTVEVEX0NBUElUQUwuSVFfTFRNLjMvMzEvMjAyMy5MLi5VU0QuSAEAAAAOEQQAAgAAAAcxNS45Njc3APNx2opEJd4Iv22Gi0Ql3gg8Q0lRLkRWTi5JUV9SRVRVUk5fSU5WRVNURURfQ0FQSVRBTC5JUV9MVE0uNi8zMC8yMDE2LkwuLlVTRC5IAQAAAA4RBAACAAAACC00OC4yMjI0AKHHiolEJd4IRQdji0Ql3gg7Q0lRLkVPRy5JUV9SRVRVUk5fSU5WRVNURURfQ0FQSVRBTC5JUV9DUS4zLzMxLzIwMTMuTC4uVVNELkgBAAAAXB0EAAIAAAAFOS4wNDQAq4eYiUQl3gj64k6LRCXe</t>
  </si>
  <si>
    <t>CD1DSVEuQ09QLklRX1JFVFVSTl9JTlZFU1RFRF9DQVBJVEFMLklRX0xUTS4xMi8zMS8yMDIzLkwuLlVTRC5IAQAAAE+GBAACAAAABjguMDE0NgDlStqKRCXeCBKiiYtEJd4IO0NJUS5CUC5JUV9SRVRVUk5fSU5WRVNURURfQ0FQSVRBTC5JUV9MVE0uOS8zMC8yMDE0LkwuLlVTRC5IAQAAAOIEBgACAAAABjIuMTczMgBQBIqJRCXeCIyVV4tEJd4IPUNJUS5DT1AuSVFfUkVUVVJOX0lOVkVTVEVEX0NBUElUQUwuSVFfTFRNLjEyLzMxLzIwMTYuTC4uVVNELkgBAAAAT4YEAAIAAAAHLTcuNjM4MgCNoIqJRCXeCIsUZotEJd4IPENJUS5DVlguSVFfUkVUVVJOX0lOVkVTVEVEX0NBUElUQUwuSVFfTFRNLjMvMzEvMjAyMS5MLi5VU0QuSAEAAADKgAEAAgAAAActOS44MzEzADE4x4pEJd4I4Pd8i0Ql3gg8Q0lRLkNPUC5JUV9SRVRVUk5fSU5WRVNURURfQ0FQSVRBTC5JUV9MVE0uOS8zMC8yMDIyLkwuLlVTRC5IAQAAAE+GBAACAAAABzIxLjc0MTkA/unGikQl3gjE/IOLRCXeCDtDSVEuQlAuSVFfUkVUVVJOX0lOVkVTVEVEX0NBUElUQUwuSVFfTFRNLjYvMzAvMjAxOS5MLi5VU0QuSAEAAADiBAYAAgAAAAYxLjQ2MjkA5+R8iUQl3gh7unSLRCXeCDxDSVEuQ09QLklRX1JFVFVSTl9JTlZFU1RFRF9DQVBJVEFMLklRX0xUTS42LzMwLzIwMjMuTC4uVVNELkgBAAAAT4YEAAIAAAAGOS40NzkzAOVK2opEJd4IIViHi0Ql</t>
  </si>
  <si>
    <t>3gg8Q0lRLkRWTi5JUV9SRVRVUk5fSU5WRVNURURfQ0FQSVRBTC5JUV9MVE0uMy8zMS8yMDE5LkwuLlVTRC5IAQAAAA4RBAACAAAABzE0LjgwMjQA9Qt9iUQl3ggRqXOLRCXeCDxDSVEuWE9NLklRX1JFVFVSTl9JTlZFU1RFRF9DQVBJVEFMLklRX0xUTS42LzMwLzIwMTguTC4uVVNELkgBAAAAQjMGAAIAAAAGMy4yNzcyAGtSiolEJd4IiNhvi0Ql3gg7Q0lRLkJQLklRX1JFVFVSTl9JTlZFU1RFRF9DQVBJVEFMLklRX0xUTS45LzMwLzIwMTcuTC4uVVNELkgBAAAA4gQGAAIAAAAHLTEuMTYzOQB6eYqJRCXeCJMda4tEJd4IO0NJUS5EVk4uSVFfUkVUVVJOX0lOVkVTVEVEX0NBUElUQUwuSVFfQ1EuOS8zMC8yMDE2LkwuLlVTRC5IAQAAAA4RBAACAAAABzE3LjcxNzIAoceKiUQl3ggM3GSLRCXeCDtDSVEuRU9HLklRX1JFVFVSTl9JTlZFU1RFRF9DQVBJVEFMLklRX0NRLjMvMzEvMjAxNC5MLi5VU0QuSAEAAABcHQQAAgAAAAcxMS4yNjA4AG4riolEJd4INDpUi0Ql3gg8Q0lRLlhPTS5JUV9SRVRVUk5fSU5WRVNURURfQ0FQSVRBTC5JUV9MVE0uNi8zMC8yMDEzLkwuLlVTRC5IAQAAAEIzBgACAAAABzEzLjUxNjgAmGCYiUQl3ghx9E+LRCXeCDxDSVEuQ1ZYLklRX1JFVFVSTl9JTlZFU1RFRF9DQVBJVEFMLklRX0NRLjEyLzMxLzIwMTQuTC4uVVNELkgBAAAAyoABAAIAAAAGMy4yMDE2AFAEiolEJd4IRkNZi0Ql</t>
  </si>
  <si>
    <t>3gg7Q0lRLkNWWC5JUV9SRVRVUk5fSU5WRVNURURfQ0FQSVRBTC5JUV9DUS45LzMwLzIwMTIuTC4uVVNELkgBAAAAyoABAAIAAAAGOS43MjQ4AKuHmIlEJd4I7phMi0Ql3gg8Q0lRLkVPRy5JUV9SRVRVUk5fSU5WRVNURURfQ0FQSVRBTC5JUV9DUS4xMi8zMS8yMDExLkwuLlVTRC5IAQAAAFwdBAACAAAABTEuNzU2AOfkfIlEJd4IoRxJi0Ql3gg8Q0lRLkRWTi5JUV9SRVRVUk5fSU5WRVNURURfQ0FQSVRBTC5JUV9MVE0uOS8zMC8yMDE3LkwuLlVTRC5IAQAAAA4RBAACAAAABzE0LjM5MTIAenmKiUQl3giTHWuLRCXeCDxDSVEuQ1ZYLklRX1JFVFVSTl9JTlZFU1RFRF9DQVBJVEFMLklRX0xUTS42LzMwLzIwMTMuTC4uVVNELkgBAAAAyoABAAIAAAAHMTEuMDUxMgCYYJiJRCXeCHH0T4tEJd4IPENJUS5FT0cuSVFfUkVUVVJOX0lOVkVTVEVEX0NBUElUQUwuSVFfTFRNLjYvMzAvMjAxMy5MLi5VU0QuSAEAAABcHQQAAgAAAAY0LjE3NTYAmGCYiUQl3ghx9E+LRCXeCDxDSVEuRU9HLklRX1JFVFVSTl9JTlZFU1RFRF9DQVBJVEFMLklRX0xUTS4zLzMxLzIwMTguTC4uVVNELkgBAAAAXB0EAAIAAAAHMTIuNjk4NwB6eYqJRCXeCNsqbotEJd4IO0NJUS5CUC5JUV9SRVRVUk5fSU5WRVNURURfQ0FQSVRBTC5JUV9DUS4xMi8zMS8yMDE0LkwuLlVTRC5IAQAAAOIEBgACAAAACC0xNC4xODcyAFAEiolEJd4IRkNZi0Ql</t>
  </si>
  <si>
    <t>3gg8Q0lRLkVPRy5JUV9SRVRVUk5fSU5WRVNURURfQ0FQSVRBTC5JUV9MVE0uMy8zMS8yMDE0LkwuLlVTRC5IAQAAAFwdBAACAAAABzEwLjI3NTMAbiuKiUQl3ggb7FOLRCXeCDtDSVEuQlAuSVFfUkVUVVJOX0lOVkVTVEVEX0NBUElUQUwuSVFfTFRNLjMvMzEvMjAxMS5MLi5VU0QuSAEAAADiBAYAAgAAAActMi4zMzMyAPULfYlEJd4Ixn5Fi0Ql3gg8Q0lRLkVPRy5JUV9SRVRVUk5fSU5WRVNURURfQ0FQSVRBTC5JUV9MVE0uOS8zMC8yMDIxLkwuLlVTRC5IAQAAAFwdBAACAAAABjUuNzAwNwAJEceKRCXeCOJof4tEJd4IO0NJUS5CUC5JUV9SRVRVUk5fSU5WRVNURURfQ0FQSVRBTC5JUV9MVE0uMy8zMS8yMDE0LkwuLlVTRC5IAQAAAOIEBgACAAAABjIuNjk4MwBuK4qJRCXeCBvsU4tEJd4IPUNJUS5DT1AuSVFfUkVUVVJOX0lOVkVTVEVEX0NBUElUQUwuSVFfTFRNLjEyLzMxLzIwMTEuTC4uVVNELkgBAAAAT4YEAAIAAAAFOS4yNDgA5+R8iUQl3ggw4UiLRCXeCDxDSVEuQ09QLklRX1JFVFVSTl9JTlZFU1RFRF9DQVBJVEFMLklRX0xUTS45LzMwLzIwMjAuTC4uVVNELkgBAAAAT4YEAAIAAAAHLTYuMjU3MwApX8eKRCXeCPOteotEJd4IO0NJUS5CUC5JUV9SRVRVUk5fSU5WRVNURURfQ0FQSVRBTC5JUV9MVE0uNi8zMC8yMDE2LkwuLlVTRC5IAQAAAOIEBgACAAAABy02Ljg2NjIAoceKiUQl3ghFB2OLRCXe</t>
  </si>
  <si>
    <t>CDxDSVEuQ1ZYLklRX1JFVFVSTl9JTlZFU1RFRF9DQVBJVEFMLklRX0xUTS4zLzMxLzIwMjIuTC4uVVNELkgBAAAAyoABAAIAAAAFNS42NjUACRHHikQl3gjNsoGLRCXeCDtDSVEuRU9HLklRX1JFVFVSTl9JTlZFU1RFRF9DQVBJVEFMLklRX0NRLjkvMzAvMjAxOS5MLi5VU0QuSAEAAABcHQQAAgAAAAY2LjY2MjgASIbHikQl3ggSGnaLRCXeCDtDSVEuRFZOLklRX1JFVFVSTl9JTlZFU1RFRF9DQVBJVEFMLklRX0NRLjYvMzAvMjAxNS5MLi5VU0QuSAEAAAAOEQQAAgAAAAgtMzQuNzkxNgDbvXyJRCXeCKqeXItEJd4IO0NJUS5YT00uSVFfUkVUVVJOX0lOVkVTVEVEX0NBUElUQUwuSVFfQ1EuOS8zMC8yMDI0LkwuLlVTRC5IAQAAAEIzBgACAAAABTUuNDc2AOoj2opEJd4I+HWNi0Ql3gg8Q0lRLkRWTi5JUV9SRVRVUk5fSU5WRVNURURfQ0FQSVRBTC5JUV9DUS4xMi8zMS8yMDIzLkwuLlVTRC5IAQAAAA4RBAACAAAABzE0LjM3MTYA5UraikQl3ggz8ImLRCXeCD1DSVEuWE9NLklRX1JFVFVSTl9JTlZFU1RFRF9DQVBJVEFMLklRX0xUTS4xMi8zMS8yMDE4LkwuLlVTRC5IAQAAAEIzBgACAAAABjIuOTc2NQBrUoqJRCXeCJBwcotEJd4IPENJUS5FT0cuSVFfUkVUVVJOX0lOVkVTVEVEX0NBUElUQUwuSVFfTFRNLjYvMzAvMjAyMC5MLi5VU0QuSAEAAABcHQQAAgAAAActMS4zNzgxAClfx4pEJd4IYE55i0Ql3gg8</t>
  </si>
  <si>
    <t>Q0lRLkVPRy5JUV9SRVRVUk5fSU5WRVNURURfQ0FQSVRBTC5JUV9MVE0uOS8zMC8yMDExLkwuLlVTRC5IAQAAAFwdBAACAAAABTUuNDQ3AOfkfIlEJd4IE75Hi0Ql3gg8Q0lRLlhPTS5JUV9SRVRVUk5fSU5WRVNURURfQ0FQSVRBTC5JUV9MVE0uNi8zMC8yMDE1LkwuLlVTRC5IAQAAAEIzBgACAAAABjUuNjQxMwDbvXyJRCXeCIpQXItEJd4IPENJUS5EVk4uSVFfUkVUVVJOX0lOVkVTVEVEX0NBUElUQUwuSVFfTFRNLjMvMzEvMjAyMi5MLi5VU0QuSAEAAAAOEQQAAgAAAAcxMS4yMzM1AAkRx4pEJd4IzbKBi0Ql3gg8Q0lRLkVPRy5JUV9SRVRVUk5fSU5WRVNURURfQ0FQSVRBTC5JUV9MVE0uNi8zMC8yMDEyLkwuLlVTRC5IAQAAAFwdBAACAAAABjYuNzY1NgDbvXyJRCXeCAJvS4tEJd4IO0NJUS5FT0cuSVFfUkVUVVJOX0lOVkVTVEVEX0NBUElUQUwuSVFfQ1EuMy8zMS8yMDIxLkwuLlVTRC5IAQAAAFwdBAACAAAABjYuODg0OAAxOMeKRCXeCOwefYtEJd4IOkNJUS5CUC5JUV9SRVRVUk5fSU5WRVNURURfQ0FQSVRBTC5JUV9DUS45LzMwLzIwMTcuTC4uVVNELkgBAAAA4gQGAAIAAAAGMC4yMjcyAHp5iolEJd4IqURri0Ql3gg7Q0lRLkJQLklRX1JFVFVSTl9JTlZFU1RFRF9DQVBJVEFMLklRX0NRLjEyLzMxLzIwMDkuTC4uVVNELkgBAAAA4gQGAAIAAAAENC44OAAZWn2JRCXeCMycQItEJd4IPENJUS5EVk4u</t>
  </si>
  <si>
    <t>SVFfUkVUVVJOX0lOVkVTVEVEX0NBUElUQUwuSVFfQ1EuMTIvMzEvMjAyMi5MLi5VU0QuSAEAAAAOEQQAAgAAAAY3LjI5MzYA/unGikQl3ghNXIWLRCXeCDtDSVEuQ1ZYLklRX1JFVFVSTl9JTlZFU1RFRF9DQVBJVEFMLklRX0NRLjkvMzAvMjAyMy5MLi5VU0QuSAEAAADKgAEAAgAAAAY3Ljk5NTIA5UraikQl3gi4t4iLRCXeCDxDSVEuWE9NLklRX1JFVFVSTl9JTlZFU1RFRF9DQVBJVEFMLklRX0xUTS45LzMwLzIwMTcuTC4uVVNELkgBAAAAQjMGAAIAAAAGMC4wNzI4AHp5iolEJd4IhfZqi0Ql3gg7Q0lRLkVPRy5JUV9SRVRVUk5fSU5WRVNURURfQ0FQSVRBTC5JUV9DUS45LzMwLzIwMjMuTC4uVVNELkgBAAAAXB0EAAIAAAAHMTYuMzQ0NADlStqKRCXeCLi3iItEJd4IPENJUS5DT1AuSVFfUkVUVVJOX0lOVkVTVEVEX0NBUElUQUwuSVFfTFRNLjYvMzAvMjAyNC5MLi5VU0QuSAEAAABPhgQAAgAAAAY5LjIzODgA5UraikQl3gh4PYyLRCXeCDtDSVEuQ09QLklRX1JFVFVSTl9JTlZFU1RFRF9DQVBJVEFMLklRX0NRLjkvMzAvMjAxMi5MLi5VU0QuSAEAAABPhgQAAgAAAAY1LjQxODQAq4eYiUQl3gjumEyLRCXeCDtDSVEuQ1ZYLklRX1JFVFVSTl9JTlZFU1RFRF9DQVBJVEFMLklRX0NRLjMvMzEvMjAyNS5MLi5VU0QuSAEAAADKgAEAAgAAAAYxLjEzODQA6iPaikQl3gjiv4+LRCXeCDtDSVEuQlAuSVFfUkVU</t>
  </si>
  <si>
    <t>VVJOX0lOVkVTVEVEX0NBUElUQUwuSVFfTFRNLjYvMzAvMjAyNC5MLi5VU0QuSAEAAADiBAYAAgAAAAYxLjczNjMA5UraikQl3ghhFoyLRCXeCDxDSVEuRFZOLklRX1JFVFVSTl9JTlZFU1RFRF9DQVBJVEFMLklRX0xUTS45LzMwLzIwMjIuTC4uVVNELkgBAAAADhEEAAIAAAAHMTkuNDI4OAD+6caKRCXeCMT8g4tEJd4IPENJUS5DT1AuSVFfUkVUVVJOX0lOVkVTVEVEX0NBUElUQUwuSVFfTFRNLjkvMzAvMjAyMS5MLi5VU0QuSAEAAABPhgQAAgAAAAY0LjQ4NTUACRHHikQl3gjLQX+LRCXeCDtDSVEuQ1ZYLklRX1JFVFVSTl9JTlZFU1RFRF9DQVBJVEFMLklRX0NRLjkvMzAvMjAyMC5MLi5VU0QuSAEAAADKgAEAAgAAAActNi4xOTY0AClfx4pEJd4I/9R6i0Ql3gg8Q0lRLkRWTi5JUV9SRVRVUk5fSU5WRVNURURfQ0FQSVRBTC5JUV9DUS4xMi8zMS8yMDE5LkwuLlVTRC5IAQAAAA4RBAACAAAABy0yNS4wNjYAKV/HikQl3giDK3eLRCXeCDxDSVEuQ09QLklRX1JFVFVSTl9JTlZFU1RFRF9DQVBJVEFMLklRX0NRLjEyLzMxLzIwMTguTC4uVVNELkgBAAAAT4YEAAIAAAAFMTIuODcAa1KKiUQl3gigl3KLRCXeCDtDSVEuQ1ZYLklRX1JFVFVSTl9JTlZFU1RFRF9DQVBJVEFMLklRX0NRLjMvMzEvMjAxOC5MLi5VU0QuSAEAAADKgAEAAgAAAAYzLjE5MjQAenmKiUQl3gjoUW6LRCXeCDtDSVEuQ09QLklRX1JFVFVS</t>
  </si>
  <si>
    <t>Tl9JTlZFU1RFRF9DQVBJVEFMLklRX0NRLjkvMzAvMjAxNS5MLi5VU0QuSAEAAABPhgQAAgAAAAgtMTEuMTIzMgDIlnyJRCXeCDv+XYtEJd4IPENJUS5DT1AuSVFfUkVUVVJOX0lOVkVTVEVEX0NBUElUQUwuSVFfTFRNLjkvMzAvMjAxNi5MLi5VU0QuSAEAAABPhgQAAgAAAAgtMTMuMjE0OAChx4qJRCXeCAOOZItEJd4IPENJUS5DVlguSVFfUkVUVVJOX0lOVkVTVEVEX0NBUElUQUwuSVFfTFRNLjMvMzEvMjAxMS5MLi5VU0QuSAEAAADKgAEAAgAAAAcxMy4wNDcxAPULfYlEJd4Ixn5Fi0Ql3gg8Q0lRLkVPRy5JUV9SRVRVUk5fSU5WRVNURURfQ0FQSVRBTC5JUV9DUS4xMi8zMS8yMDE0LkwuLlVTRC5IAQAAAFwdBAACAAAABjUuOTY4OABQBIqJRCXeCEZDWYtEJd4IO0NJUS5YT00uSVFfUkVUVVJOX0lOVkVTVEVEX0NBUElUQUwuSVFfQ1EuMy8zMS8yMDE3LkwuLlVTRC5IAQAAAEIzBgACAAAABjEuNTc4NACNoIqJRCXeCEbpZ4tEJd4IO0NJUS5DVlguSVFfUkVUVVJOX0lOVkVTVEVEX0NBUElUQUwuSVFfQ1EuMy8zMS8yMDE3LkwuLlVTRC5IAQAAAMqAAQACAAAABjEuMzUzNgCNoIqJRCXeCEbpZ4tEJd4IPENJUS5EVk4uSVFfUkVUVVJOX0lOVkVTVEVEX0NBUElUQUwuSVFfTFRNLjMvMzEvMjAxNC5MLi5VU0QuSAEAAAAOEQQAAgAAAAYzLjU1MTUAbiuKiUQl3gg/E1SLRCXeCDxDSVEuRFZOLklRX1JFVFVS</t>
  </si>
  <si>
    <t>Tl9JTlZFU1RFRF9DQVBJVEFMLklRX0xUTS45LzMwLzIwMjEuTC4uVVNELkgBAAAADhEEAAIAAAAGMy40MjQ2AAkRx4pEJd4I4mh/i0Ql3gg6Q0lRLkJQLklRX1JFVFVSTl9JTlZFU1RFRF9DQVBJVEFMLklRX0NRLjYvMzAvMjAxNS5MLi5VU0QuSAEAAADiBAYAAgAAAActMTguMDE0ANu9fIlEJd4Iqp5ci0Ql3gg8Q0lRLkRWTi5JUV9SRVRVUk5fSU5WRVNURURfQ0FQSVRBTC5JUV9MVE0uNi8zMC8yMDIxLkwuLlVTRC5IAQAAAA4RBAACAAAABy0yLjA3NDgAMTjHikQl3ghhMH6LRCXeCDxDSVEuWE9NLklRX1JFVFVSTl9JTlZFU1RFRF9DQVBJVEFMLklRX0NRLjEyLzMxLzIwMjIuTC4uVVNELkgBAAAAQjMGAAIAAAAFMTQuNzMA/unGikQl3ghBNYWLRCXeCDtDSVEuQ1ZYLklRX1JFVFVSTl9JTlZFU1RFRF9DQVBJVEFMLklRX0NRLjMvMzEvMjAxMy5MLi5VU0QuSAEAAADKgAEAAgAAAAcxMS42Mjg4AKuHmIlEJd4I+uJOi0Ql3gg8Q0lRLkVPRy5JUV9SRVRVUk5fSU5WRVNURURfQ0FQSVRBTC5JUV9MVE0uMy8zMS8yMDIyLkwuLlVTRC5IAQAAAFwdBAACAAAABjkuOTY0OQAJEceKRCXeCM2ygYtEJd4IO0NJUS5FT0cuSVFfUkVUVVJOX0lOVkVTVEVEX0NBUElUQUwuSVFfQ1EuMy8zMS8yMDEwLkwuLlVTRC5IAQAAAFwdBAACAAAABTIuNTM4AAYzfYlEJd4IK4dBi0Ql3gg8Q0lRLkNWWC5JUV9SRVRVUk5fSU5W</t>
  </si>
  <si>
    <t>RVNURURfQ0FQSVRBTC5JUV9DUS4xMi8zMS8yMDIyLkwuLlVTRC5IAQAAAMqAAQACAAAABjcuODUxMgD+6caKRCXeCEE1hYtEJd4IPENJUS5FT0cuSVFfUkVUVVJOX0lOVkVTVEVEX0NBUElUQUwuSVFfTFRNLjMvMzEvMjAxNy5MLi5VU0QuSAEAAABcHQQAAgAAAActNC44MzE5AI2giolEJd4IN8Jni0Ql3gg7Q0lRLkNPUC5JUV9SRVRVUk5fSU5WRVNURURfQ0FQSVRBTC5JUV9DUS45LzMwLzIwMTMuTC4uVVNELkgBAAAAT4YEAAIAAAAGOC42Nzg4AG4riolEJd4IA1RRi0Ql3gg7Q0lRLkNWWC5JUV9SRVRVUk5fSU5WRVNURURfQ0FQSVRBTC5JUV9DUS45LzMwLzIwMjQuTC4uVVNELkgBAAAAyoABAAIAAAAGMy4zOTM2AOoj2opEJd4I4U6Ni0Ql3gg6Q0lRLkJQLklRX1JFVFVSTl9JTlZFU1RFRF9DQVBJVEFMLklRX0NRLjYvMzAvMjAxOS5MLi5VU0QuSAEAAADiBAYAAgAAAAYwLjA5NTIA5+R8iUQl3giM4XSLRCXeCDtDSVEuQ1ZYLklRX1JFVFVSTl9JTlZFU1RFRF9DQVBJVEFMLklRX0NRLjMvMzEvMjAyMS5MLi5VU0QuSAEAAADKgAEAAgAAAActMi40Mjg4ADE4x4pEJd4I7B59i0Ql3gg7Q0lRLkJQLklRX1JFVFVSTl9JTlZFU1RFRF9DQVBJVEFMLklRX0xUTS42LzMwLzIwMjAuTC4uVVNELkgBAAAA4gQGAAIAAAAILTE3LjA5OTIAKV/HikQl3gh1dXmLRCXeCDtDSVEuRU9HLklRX1JFVFVSTl9JTlZFU1RF</t>
  </si>
  <si>
    <t>RF9DQVBJVEFMLklRX0NRLjkvMzAvMjAxNy5MLi5VU0QuSAEAAABcHQQAAgAAAAYwLjA4MjgAenmKiUQl3giTHWuLRCXeCDxDSVEuRFZOLklRX1JFVFVSTl9JTlZFU1RFRF9DQVBJVEFMLklRX0xUTS42LzMwLzIwMjAuTC4uVVNELkgBAAAADhEEAAIAAAAILTMyLjQ0NzkAKV/HikQl3gh1dXmLRCXeCD1DSVEuQ09QLklRX1JFVFVSTl9JTlZFU1RFRF9DQVBJVEFMLklRX0xUTS4xMi8zMS8yMDEyLkwuLlVTRC5IAQAAAE+GBAACAAAABjYuMTg5MQCrh5iJRCXeCI+qTYtEJd4IO0NJUS5CUC5JUV9SRVRVUk5fSU5WRVNURURfQ0FQSVRBTC5JUV9MVE0uMy8zMS8yMDIxLkwuLlVTRC5IAQAAAOIEBgACAAAABy05LjkwNDEAMTjHikQl3gjsHn2LRCXeCDpDSVEuQlAuSVFfUkVUVVJOX0lOVkVTVEVEX0NBUElUQUwuSVFfQ1EuNi8zMC8yMDE4LkwuLlVTRC5IAQAAAOIEBgACAAAABjIuNjI2NABrUoqJRCXeCKImcItEJd4IPENJUS5YT00uSVFfUkVUVVJOX0lOVkVTVEVEX0NBUElUQUwuSVFfTFRNLjkvMzAvMjAyMi5MLi5VU0QuSAEAAABCMwYAAgAAAAcxNS45NjQ3AP7pxopEJd4IxPyDi0Ql3gg8Q0lRLlhPTS5JUV9SRVRVUk5fSU5WRVNURURfQ0FQSVRBTC5JUV9MVE0uOS8zMC8yMDEwLkwuLlVTRC5IAQAAAEIzBgACAAAABzEzLjA2MzkABjN9iUQl3gjxgkOLRCXeCDxDSVEuQ1ZYLklRX1JFVFVSTl9JTlZFU1RF</t>
  </si>
  <si>
    <t>RF9DQVBJVEFMLklRX0xUTS45LzMwLzIwMTcuTC4uVVNELkgBAAAAyoABAAIAAAAHLTAuODQ0NQB6eYqJRCXeCIX2aotEJd4IO0NJUS5DVlguSVFfUkVUVVJOX0lOVkVTVEVEX0NBUElUQUwuSVFfQ1EuMy8zMS8yMDExLkwuLlVTRC5IAQAAAMqAAQACAAAABzE1LjkzNTYA9Qt9iUQl3gjYpUWLRCXeCDxDSVEuWE9NLklRX1JFVFVSTl9JTlZFU1RFRF9DQVBJVEFMLklRX0xUTS42LzMwLzIwMjMuTC4uVVNELkgBAAAAQjMGAAIAAAAHMTUuMzQ5MQDlStqKRCXeCCFYh4tEJd4IO0NJUS5FT0cuSVFfUkVUVVJOX0lOVkVTVEVEX0NBUElUQUwuSVFfQ1EuMy8zMS8yMDE4LkwuLlVTRC5IAQAAAFwdBAACAAAABjkuNDI5NgB6eYqJRCXeCPV4botEJd4IPENJUS5FT0cuSVFfUkVUVVJOX0lOVkVTVEVEX0NBUElUQUwuSVFfTFRNLjYvMzAvMjAxMC5MLi5VU0QuSAEAAABcHQQAAgAAAAUzLjM1MwAGM32JRCXeCG9KQotEJd4IO0NJUS5YT00uSVFfUkVUVVJOX0lOVkVTVEVEX0NBUElUQUwuSVFfQ1EuOS8zMC8yMDE1LkwuLlVTRC5IAQAAAEIzBgACAAAABjIuMjI2NADIlnyJRCXeCDv+XYtEJd4IO0NJUS5FT0cuSVFfUkVUVVJOX0lOVkVTVEVEX0NBUElUQUwuSVFfQ1EuOS8zMC8yMDEyLkwuLlVTRC5IAQAAAFwdBAACAAAABTYuNDQ0AKuHmIlEJd4IJcBMi0Ql3gg8Q0lRLkNWWC5JUV9SRVRVUk5fSU5WRVNURURfQ0FQ</t>
  </si>
  <si>
    <t>SVRBTC5JUV9DUS4xMi8zMS8yMDE4LkwuLlVTRC5IAQAAAMqAAQACAAAABjMuMzgxNgBrUoqJRCXeCKCXcotEJd4IPENJUS5DT1AuSVFfUkVUVVJOX0lOVkVTVEVEX0NBUElUQUwuSVFfTFRNLjYvMzAvMjAxNi5MLi5VU0QuSAEAAABPhgQAAgAAAAgtMTMuNTc4MQChx4qJRCXeCDbgYotEJd4IPENJUS5EVk4uSVFfUkVUVVJOX0lOVkVTVEVEX0NBUElUQUwuSVFfTFRNLjYvMzAvMjAxMC5MLi5VU0QuSAEAAAAOEQQAAgAAAAcxMi43ODM2AAYzfYlEJd4Ib0pCi0Ql3gg7Q0lRLkRWTi5JUV9SRVRVUk5fSU5WRVNURURfQ0FQSVRBTC5JUV9DUS45LzMwLzIwMjAuTC4uVVNELkgBAAAADhEEAAIAAAAHLTYuOTIxNgApX8eKRCXeCCP8eotEJd4IO0NJUS5CUC5JUV9SRVRVUk5fSU5WRVNURURfQ0FQSVRBTC5JUV9MVE0uMy8zMS8yMDE4LkwuLlVTRC5IAQAAAOIEBgACAAAABy0xLjM5NDIAenmKiUQl3gjbKm6LRCXeCDxDSVEuRFZOLklRX1JFVFVSTl9JTlZFU1RFRF9DQVBJVEFMLklRX0xUTS42LzMwLzIwMTMuTC4uVVNELkgBAAAADhEEAAIAAAAHLTYuNTQ3OACYYJiJRCXeCHH0T4tEJd4IPENJUS5FT0cuSVFfUkVUVVJOX0lOVkVTVEVEX0NBUElUQUwuSVFfTFRNLjYvMzAvMjAxNi5MLi5VU0QuSAEAAABcHQQAAgAAAAgtMjUuNjIyNwChx4qJRCXeCDbgYotEJd4IPENJUS5DVlguSVFfUkVUVVJOX0lOVkVTVEVE</t>
  </si>
  <si>
    <t>X0NBUElUQUwuSVFfQ1EuMTIvMzEvMjAxNy5MLi5VU0QuSAEAAADKgAEAAgAAAAYyLjI2ODgAenmKiUQl3ggupGyLRCXeCDxDSVEuWE9NLklRX1JFVFVSTl9JTlZFU1RFRF9DQVBJVEFMLklRX0xUTS45LzMwLzIwMTguTC4uVVNELkgBAAAAQjMGAAIAAAAGNC4xMjkyAGtSiolEJd4IJV9xi0Ql3gg7Q0lRLkNWWC5JUV9SRVRVUk5fSU5WRVNURURfQ0FQSVRBTC5JUV9DUS45LzMwLzIwMTAuTC4uVVNELkgBAAAAyoABAAIAAAAGOC4zMDQ4AAYzfYlEJd4IBqpDi0Ql3gg7Q0lRLkRWTi5JUV9SRVRVUk5fSU5WRVNURURfQ0FQSVRBTC5JUV9DUS42LzMwLzIwMTkuTC4uVVNELkgBAAAADhEEAAIAAAAHMTQuMzA5NgDn5HyJRCXeCIzhdItEJd4IO0NJUS5CUC5JUV9SRVRVUk5fSU5WRVNURURfQ0FQSVRBTC5JUV9DUS4xMi8zMS8yMDIyLkwuLlVTRC5IAQAAAOIEBgACAAAABzMyLjQ1NjgA/unGikQl3ghNXIWLRCXeCDxDSVEuRU9HLklRX1JFVFVSTl9JTlZFU1RFRF9DQVBJVEFMLklRX0NRLjEyLzMxLzIwMDkuTC4uVVNELkgBAAAAXB0EAAIAAAAGMTEuNjAyABlafYlEJd4IzJxAi0Ql3gg7Q0lRLkVPRy5JUV9SRVRVUk5fSU5WRVNURURfQ0FQSVRBTC5JUV9DUS45LzMwLzIwMTMuTC4uVVNELkgBAAAAXB0EAAIAAAAGNy44NjY0AG4riolEJd4IA1RRi0Ql3gg7Q0lRLkNPUC5JUV9SRVRVUk5fSU5WRVNURURfQ0FQ</t>
  </si>
  <si>
    <t>SVRBTC5JUV9DUS45LzMwLzIwMjMuTC4uVVNELkgBAAAAT4YEAAIAAAAGOC45MzY4AOVK2opEJd4IuLeIi0Ql3gg8Q0lRLkRWTi5JUV9SRVRVUk5fSU5WRVNURURfQ0FQSVRBTC5JUV9MVE0uOS8zMC8yMDE0LkwuLlVTRC5IAQAAAA4RBAACAAAABjUuMzA5OQBQBIqJRCXeCIyVV4tEJd4IO0NJUS5CUC5JUV9SRVRVUk5fSU5WRVNURURfQ0FQSVRBTC5JUV9DUS4xMi8zMS8yMDE1LkwuLlVTRC5IAQAAAOIEBgACAAAABi0xMi40NADIlnyJRCXeCBX6X4tEJd4IPENJUS5DT1AuSVFfUkVUVVJOX0lOVkVTVEVEX0NBUElUQUwuSVFfTFRNLjkvMzAvMjAxMC5MLi5VU0QuSAEAAABPhgQAAgAAAAY3LjU5NDkABjN9iUQl3gjxgkOLRCXeCDtDSVEuQ1ZYLklRX1JFVFVSTl9JTlZFU1RFRF9DQVBJVEFMLklRX0NRLjMvMzEvMjAyMC5MLi5VU0QuSAEAAADKgAEAAgAAAAQyLjcxAClfx4pEJd4IDWR4i0Ql3gg9Q0lRLlhPTS5JUV9SRVRVUk5fSU5WRVNURURfQ0FQSVRBTC5JUV9MVE0uMTIvMzEvMjAwOS5MLi5VU0QuSAEAAABCMwYAAgAAAAU4LjkzNgAZWn2JRCXeCJ1OQItEJd4IPENJUS5EVk4uSVFfUkVUVVJOX0lOVkVTVEVEX0NBUElUQUwuSVFfTFRNLjMvMzEvMjAyMS5MLi5VU0QuSAEAAAAOEQQAAgAAAActNy45NTQ4ADE4x4pEJd4I7B59i0Ql3gg7Q0lRLkVPRy5JUV9SRVRVUk5fSU5WRVNURURfQ0FQSVRBTC5J</t>
  </si>
  <si>
    <t>UV9DUS4zLzMxLzIwMjAuTC4uVVNELkgBAAAAXB0EAAIAAAAHLTIuMjk4OAApX8eKRCXeCA1keItEJd4IPENJUS5DVlguSVFfUkVUVVJOX0lOVkVTVEVEX0NBUElUQUwuSVFfTFRNLjkvMzAvMjAxMC5MLi5VU0QuSAEAAADKgAEAAgAAAAcxMC40MTAxAAYzfYlEJd4I8YJDi0Ql3gg7Q0lRLkVPRy5JUV9SRVRVUk5fSU5WRVNURURfQ0FQSVRBTC5JUV9DUS4zLzMxLzIwMjUuTC4uVVNELkgBAAAAXB0EAAIAAAAHMTAuNjEzNgDqI9qKRCXeCOK/j4tEJd4IPENJUS5EVk4uSVFfUkVUVVJOX0lOVkVTVEVEX0NBUElUQUwuSVFfTFRNLjYvMzAvMjAyNC5MLi5VU0QuSAEAAAAOEQQAAgAAAAcxMS43NDY2AOVK2opEJd4IYRaMi0Ql3gg6Q0lRLkJQLklRX1JFVFVSTl9JTlZFU1RFRF9DQVBJVEFMLklRX0NRLjYvMzAvMjAyMi5MLi5VU0QuSAEAAADiBAYAAgAAAAcyMi42MDA4AAkRx4pEJd4ITOuCi0Ql3gg8Q0lRLlhPTS5JUV9SRVRVUk5fSU5WRVNURURfQ0FQSVRBTC5JUV9MVE0uOS8zMC8yMDIxLkwuLlVTRC5IAQAAAEIzBgACAAAABy04LjcwMTUACRHHikQl3gjLQX+LRCXeCDtDSVEuRU9HLklRX1JFVFVSTl9JTlZFU1RFRF9DQVBJVEFMLklRX0NRLjkvMzAvMjAyMC5MLi5VU0QuSAEAAABcHQQAAgAAAActMy45NDcyAClfx4pEJd4I/9R6i0Ql3gg9Q0lRLkNPUC5JUV9SRVRVUk5fSU5WRVNURURfQ0FQSVRBTC5J</t>
  </si>
  <si>
    <t>UV9MVE0uMTIvMzEvMjAxOS5MLi5VU0QuSAEAAABPhgQAAgAAAAcxMS42MjA5AClfx4pEJd4IbwR3i0Ql3gg8Q0lRLlhPTS5JUV9SRVRVUk5fSU5WRVNURURfQ0FQSVRBTC5JUV9DUS4xMi8zMS8yMDE4LkwuLlVTRC5IAQAAAEIzBgACAAAABjQuMjIzMgBrUoqJRCXeCKCXcotEJd4IPENJUS5DVlguSVFfUkVUVVJOX0lOVkVTVEVEX0NBUElUQUwuSVFfTFRNLjMvMzEvMjAxOC5MLi5VU0QuSAEAAADKgAEAAgAAAAYxLjAwMTEAenmKiUQl3gjbKm6LRCXeCDtDSVEuQlAuSVFfUkVUVVJOX0lOVkVTVEVEX0NBUElUQUwuSVFfTFRNLjYvMzAvMjAxNy5MLi5VU0QuSAEAAADiBAYAAgAAAActMC45NTI3AI2giolEJd4I6m9pi0Ql3gg8Q0lRLkNWWC5JUV9SRVRVUk5fSU5WRVNURURfQ0FQSVRBTC5JUV9MVE0uMy8zMS8yMDE0LkwuLlVTRC5IAQAAAMqAAQACAAAABjcuMzM2MwBuK4qJRCXeCBvsU4tEJd4IO0NJUS5CUC5JUV9SRVRVUk5fSU5WRVNURURfQ0FQSVRBTC5JUV9DUS4xMi8zMS8yMDExLkwuLlVTRC5IAQAAAOIEBgACAAAABzE2LjUwMDgA5+R8iUQl3gihHEmLRCXeCDtDSVEuQ1ZYLklRX1JFVFVSTl9JTlZFU1RFRF9DQVBJVEFMLklRX0NRLjkvMzAvMjAxNS5MLi5VU0QuSAEAAADKgAEAAgAAAAQwLjA4AMiWfIlEJd4IO/5di0Ql3gg7Q0lRLkJQLklRX1JFVFVSTl9JTlZFU1RFRF9DQVBJVEFMLklRX0xU</t>
  </si>
  <si>
    <t>TS42LzMwLzIwMTMuTC4uVVNELkgBAAAA4gQGAAIAAAAHMTEuODQxNwCYYJiJRCXeCHH0T4tEJd4IPENJUS5EVk4uSVFfUkVUVVJOX0lOVkVTVEVEX0NBUElUQUwuSVFfQ1EuMTIvMzEvMjAxMS5MLi5VU0QuSAEAAAAOEQQAAgAAAAY1LjY5MDgA5+R8iUQl3gihHEmLRCXeCDtDSVEuWE9NLklRX1JFVFVSTl9JTlZFU1RFRF9DQVBJVEFMLklRX0NRLjMvMzEvMjAyNC5MLi5VU0QuSAEAAABCMwYAAgAAAAY2Ljg3MDQA5UraikQl3gj5BIuLRCXeCDtDSVEuQ09QLklRX1JFVFVSTl9JTlZFU1RFRF9DQVBJVEFMLklRX0NRLjkvMzAvMjAxOS5MLi5VU0QuSAEAAABPhgQAAgAAAAcyMS43MTg4AEiGx4pEJd4IAvN1i0Ql3gg8Q0lRLkVPRy5JUV9SRVRVUk5fSU5WRVNURURfQ0FQSVRBTC5JUV9DUS4xMi8zMS8yMDE4LkwuLlVTRC5IAQAAAFwdBAACAAAABzEyLjE1MDQAa1KKiUQl3gigl3KLRCXeCDtDSVEuQlAuSVFfUkVUVVJOX0lOVkVTVEVEX0NBUElUQUwuSVFfQ1EuMTIvMzEvMjAxOC5MLi5VU0QuSAEAAADiBAYAAgAAAActMi4zMDk2AGtSiolEJd4IoJdyi0Ql3gg7Q0lRLkVPRy5JUV9SRVRVUk5fSU5WRVNURURfQ0FQSVRBTC5JUV9DUS4zLzMxLzIwMjIuTC4uVVNELkgBAAAAXB0EAAIAAAAHLTkuMjE1NgAJEceKRCXeCNvZgYtEJd4IO0NJUS5FT0cuSVFfUkVUVVJOX0lOVkVTVEVEX0NBUElUQUwuSVFfQ1Eu</t>
  </si>
  <si>
    <t>My8zMS8yMDE3LkwuLlVTRC5IAQAAAFwdBAACAAAABy0xLjMwMjQAjaCKiUQl3ghG6WeLRCXeCDxDSVEuQ09QLklRX1JFVFVSTl9JTlZFU1RFRF9DQVBJVEFMLklRX0xUTS45LzMwLzIwMTQuTC4uVVNELkgBAAAAT4YEAAIAAAAGNy43NDA4AFAEiolEJd4Ig25Xi0Ql3gg9Q0lRLkNPUC5JUV9SRVRVUk5fSU5WRVNURURfQ0FQSVRBTC5JUV9MVE0uMTIvMzEvMjAxOC5MLi5VU0QuSAEAAABPhgQAAgAAAAcxMC4wMzUyAGtSiolEJd4IkHByi0Ql3gg7Q0lRLkJQLklRX1JFVFVSTl9JTlZFU1RFRF9DQVBJVEFMLklRX0xUTS45LzMwLzIwMTkuTC4uVVNELkgBAAAA4gQGAAIAAAAHLTEuMDY2OABIhseKRCXeCALzdYtEJd4IO0NJUS5DT1AuSVFfUkVUVVJOX0lOVkVTVEVEX0NBUElUQUwuSVFfQ1EuOS8zMC8yMDEwLkwuLlVTRC5IAQAAAE+GBAACAAAABjkuMTI2NAAGM32JRCXeCPGCQ4tEJd4IPENJUS5EVk4uSVFfUkVUVVJOX0lOVkVTVEVEX0NBUElUQUwuSVFfTFRNLjkvMzAvMjAxOS5MLi5VU0QuSAEAAAAOEQQAAgAAAAY5LjkyODIASIbHikQl3ggC83WLRCXeCDxDSVEuRU9HLklRX1JFVFVSTl9JTlZFU1RFRF9DQVBJVEFMLklRX0NRLjEyLzMxLzIwMjIuTC4uVVNELkgBAAAAXB0EAAIAAAAGMzAuNDA4AP7pxopEJd4ITVyFi0Ql3gg7Q0lRLkJQLklRX1JFVFVSTl9JTlZFU1RFRF9DQVBJVEFMLklRX0xUTS45</t>
  </si>
  <si>
    <t>LzMwLzIwMTEuTC4uVVNELkgBAAAA4gQGAAIAAAAHMTQuNTE3MQDn5HyJRCXeCMfvR4tEJd4IPENJUS5DVlguSVFfUkVUVVJOX0lOVkVTVEVEX0NBUElUQUwuSVFfTFRNLjYvMzAvMjAxNS5MLi5VU0QuSAEAAADKgAEAAgAAAAYyLjI5MTIA2718iUQl3giKUFyLRCXeCDpDSVEuQlAuSVFfUkVUVVJOX0lOVkVTVEVEX0NBUElUQUwuSVFfQ1EuOS8zMC8yMDI0LkwuLlVTRC5IAQAAAOIEBgACAAAABy0yLjk0NTIA6iPaikQl3gjhTo2LRCXeCDxDSVEuRU9HLklRX1JFVFVSTl9JTlZFU1RFRF9DQVBJVEFMLklRX0xUTS42LzMwLzIwMTUuTC4uVVNELkgBAAAAXB0EAAIAAAAGNC40ODA4ANu9fIlEJd4IilBci0Ql3gg7Q0lRLkJQLklRX1JFVFVSTl9JTlZFU1RFRF9DQVBJVEFMLklRX0xUTS4zLzMxLzIwMTIuTC4uVVNELkgBAAAA4gQGAAIAAAAHMTIuNDkyNwDbvXyJRCXeCPVFSotEJd4IPENJUS5YT00uSVFfUkVUVVJOX0lOVkVTVEVEX0NBUElUQUwuSVFfTFRNLjkvMzAvMjAyNC5MLi5VU0QuSAEAAABCMwYAAgAAAAY2LjE3NDcA6iPaikQl3gjhTo2LRCXeCDtDSVEuQ09QLklRX1JFVFVSTl9JTlZFU1RFRF9DQVBJVEFMLklRX0NRLjMvMzEvMjAxMS5MLi5VU0QuSAEAAABPhgQAAgAAAAU4LjQ5NAD1C32JRCXeCNilRYtEJd4IPENJUS5EVk4uSVFfUkVUVVJOX0lOVkVTVEVEX0NBUElUQUwuSVFfTFRNLjMvMzEv</t>
  </si>
  <si>
    <t>MjAxNS5MLi5VU0QuSAEAAAAOEQQAAgAAAAYtNy4xOTYA2718iUQl3gjiyVqLRCXeCD1DSVEuWE9NLklRX1JFVFVSTl9JTlZFU1RFRF9DQVBJVEFMLklRX0xUTS4xMi8zMS8yMDIwLkwuLlVTRC5IAQAAAEIzBgACAAAACC0xNS4yNjQ2ADE4x4pEJd4IeOZ7i0Ql3gg8Q0lRLkNWWC5JUV9SRVRVUk5fSU5WRVNURURfQ0FQSVRBTC5JUV9MVE0uNi8zMC8yMDIzLkwuLlVTRC5IAQAAAMqAAQACAAAABjEwLjUyOQDlStqKRCXeCCFYh4tEJd4IPENJUS5EVk4uSVFfUkVUVVJOX0lOVkVTVEVEX0NBUElUQUwuSVFfTFRNLjYvMzAvMjAxNy5MLi5VU0QuSAEAAAAOEQQAAgAAAAcxOC4xMjYxAI2giolEJd4I6m9pi0Ql3gg8Q0lRLlhPTS5JUV9SRVRVUk5fSU5WRVNURURfQ0FQSVRBTC5JUV9MVE0uOS8zMC8yMDE2LkwuLlVTRC5IAQAAAEIzBgACAAAABy0xLjU4MTMAoceKiUQl3ggDjmSLRCXeCDtDSVEuQlAuSVFfUkVUVVJOX0lOVkVTVEVEX0NBUElUQUwuSVFfTFRNLjkvMzAvMjAxMi5MLi5VU0QuSAEAAADiBAYAAgAAAAY3LjM1NDMAq4eYiUQl3gjumEyLRCXeCDxDSVEuRU9HLklRX1JFVFVSTl9JTlZFU1RFRF9DQVBJVEFMLklRX0xUTS4zLzMxLzIwMTEuTC4uVVNELkgBAAAAXB0EAAIAAAAGMC4xMzc1APULfYlEJd4Ixn5Fi0Ql3gg7Q0lRLkJQLklRX1JFVFVSTl9JTlZFU1RFRF9DQVBJVEFMLklRX0xUTS42LzMw</t>
  </si>
  <si>
    <t>LzIwMTAuTC4uVVNELkgBAAAA4gQGAAIAAAAGLTcuNDQ0AAYzfYlEJd4Ib0pCi0Ql3gg8Q0lRLkNWWC5JUV9SRVRVUk5fSU5WRVNURURfQ0FQSVRBTC5JUV9MVE0uMy8zMS8yMDI1LkwuLlVTRC5IAQAAAMqAAQACAAAABjIuMTM1MQDqI9qKRCXeCP3mj4tEJd4IO0NJUS5DT1AuSVFfUkVUVVJOX0lOVkVTVEVEX0NBUElUQUwuSVFfQ1EuMy8zMS8yMDI0LkwuLlVTRC5IAQAAAE+GBAACAAAABjkuNTI0NADlStqKRCXeCPkEi4tEJd4IO0NJUS5EVk4uSVFfUkVUVVJOX0lOVkVTVEVEX0NBUElUQUwuSVFfQ1EuNi8zMC8yMDIyLkwuLlVTRC5IAQAAAA4RBAACAAAABzI2LjU5MjQACRHHikQl3ghM64KLRCXeCDxDSVEuQ1ZYLklRX1JFVFVSTl9JTlZFU1RFRF9DQVBJVEFMLklRX0xUTS45LzMwLzIwMjEuTC4uVVNELkgBAAAAyoABAAIAAAAHLTAuMTAwOQAJEceKRCXeCMtBf4tEJd4IOkNJUS5CUC5JUV9SRVRVUk5fSU5WRVNURURfQ0FQSVRBTC5JUV9DUS45LzMwLzIwMjAuTC4uVVNELkgBAAAA4gQGAAIAAAAHLTMuNjM0NAApX8eKRCXeCCP8eotEJd4IPUNJUS5YT00uSVFfUkVUVVJOX0lOVkVTVEVEX0NBUElUQUwuSVFfTFRNLjEyLzMxLzIwMTkuTC4uVVNELkgBAAAAQjMGAAIAAAAHLTAuMTI3OAApX8eKRCXeCG8Ed4tEJd4IO0NJUS5DT1AuSVFfUkVUVVJOX0lOVkVTVEVEX0NBUElUQUwuSVFfQ1EuMy8zMS8y</t>
  </si>
  <si>
    <t>MDE3LkwuLlVTRC5IAQAAAE+GBAACAAAABTEuNjM4AI2giolEJd4IRulni0Ql3gg7Q0lRLlhPTS5JUV9SRVRVUk5fSU5WRVNURURfQ0FQSVRBTC5JUV9DUS45LzMwLzIwMTkuTC4uVVNELkgBAAAAQjMGAAIAAAAHLTAuODc0OABIhseKRCXeCBIadotEJd4IO0NJUS5EVk4uSVFfUkVUVVJOX0lOVkVTVEVEX0NBUElUQUwuSVFfQ1EuOS8zMC8yMDExLkwuLlVTRC5IAQAAAA4RBAACAAAABzEyLjk4MTIA5+R8iUQl3gjH70eLRCXeCDxDSVEuQ09QLklRX1JFVFVSTl9JTlZFU1RFRF9DQVBJVEFMLklRX0NRLjEyLzMxLzIwMTcuTC4uVVNELkgBAAAAT4YEAAIAAAAGOS44NjA4AHp5iolEJd4ILqRsi0Ql3gg8Q0lRLlhPTS5JUV9SRVRVUk5fSU5WRVNURURfQ0FQSVRBTC5JUV9MVE0uOS8zMC8yMDE0LkwuLlVTRC5IAQAAAEIzBgACAAAABzExLjI4MDkAUASKiUQl3giDbleLRCXeCDxDSVEuQ1ZYLklRX1JFVFVSTl9JTlZFU1RFRF9DQVBJVEFMLklRX0xUTS45LzMwLzIwMTEuTC4uVVNELkgBAAAAyoABAAIAAAAGMTcuMjEyAOfkfIlEJd4IE75Hi0Ql3gg7Q0lRLlhPTS5JUV9SRVRVUk5fSU5WRVNURURfQ0FQSVRBTC5JUV9DUS4zLzMxLzIwMjEuTC4uVVNELkgBAAAAQjMGAAIAAAAHLTEuNzA0OAAxOMeKRCXeCOwefYtEJd4IO0NJUS5CUC5JUV9SRVRVUk5fSU5WRVNURURfQ0FQSVRBTC5JUV9MVE0uMy8zMS8yMDIy</t>
  </si>
  <si>
    <t>LkwuLlVTRC5IAQAAAOIEBgACAAAACC0xMy45MTEyAAkRx4pEJd4IzbKBi0Ql3gg7Q0lRLkNWWC5JUV9SRVRVUk5fSU5WRVNURURfQ0FQSVRBTC5JUV9DUS4zLzMxLzIwMTYuTC4uVVNELkgBAAAAyoABAAIAAAAGLTUuNjQ0AKHHiolEJd4IsoBhi0Ql3gg9Q0lRLlhPTS5JUV9SRVRVUk5fSU5WRVNURURfQ0FQSVRBTC5JUV9MVE0uMTIvMzEvMjAxNi5MLi5VU0QuSAEAAABCMwYAAgAAAActMi4xMzUyAI2giolEJd4IixRmi0Ql3gg7Q0lRLkRWTi5JUV9SRVRVUk5fSU5WRVNURURfQ0FQSVRBTC5JUV9DUS42LzMwLzIwMTQuTC4uVVNELkgBAAAADhEEAAIAAAAGNS44MzQ4AFAEiolEJd4I6OdVi0Ql3gg7Q0lRLkNPUC5JUV9SRVRVUk5fSU5WRVNURURfQ0FQSVRBTC5JUV9DUS45LzMwLzIwMjAuTC4uVVNELkgBAAAAT4YEAAIAAAAHLTcuODA0NAApX8eKRCXeCP/UeotEJd4IPENJUS5FT0cuSVFfUkVUVVJOX0lOVkVTVEVEX0NBUElUQUwuSVFfTFRNLjYvMzAvMjAyMy5MLi5VU0QuSAEAAABcHQQAAgAAAAczMC4wMTEyAOVK2opEJd4IK3+Hi0Ql3gg8Q0lRLlhPTS5JUV9SRVRVUk5fSU5WRVNURURfQ0FQSVRBTC5JUV9MVE0uNi8zMC8yMDE2LkwuLlVTRC5IAQAAAEIzBgACAAAABy0wLjgxNTcAoceKiUQl3gg24GKLRCXeCDxDSVEuRFZOLklRX1JFVFVSTl9JTlZFU1RFRF9DQVBJVEFMLklRX0xUTS45LzMwLzIw</t>
  </si>
  <si>
    <t>MTIuTC4uVVNELkgBAAAADhEEAAIAAAAFMS4wOTUAq4eYiUQl3gjumEyLRCXeCDxDSVEuQ1ZYLklRX1JFVFVSTl9JTlZFU1RFRF9DQVBJVEFMLklRX0xUTS42LzMwLzIwMTYuTC4uVVNELkgBAAAAyoABAAIAAAAHLTQuNTg4NQChx4qJRCXeCDbgYotEJd4IPENJUS5EVk4uSVFfUkVUVVJOX0lOVkVTVEVEX0NBUElUQUwuSVFfQ1EuMTIvMzEvMjAxNC5MLi5VU0QuSAEAAAAOEQQAAgAAAActNS4zMDQ4AFAEiolEJd4IRkNZi0Ql3gg7Q0lRLkNPUC5JUV9SRVRVUk5fSU5WRVNURURfQ0FQSVRBTC5JUV9DUS4zLzMxLzIwMTMuTC4uVVNELkgBAAAAT4YEAAIAAAAGNy4xNTQ4AKuHmIlEJd4I+uJOi0Ql3gg7Q0lRLkVPRy5JUV9SRVRVUk5fSU5WRVNURURfQ0FQSVRBTC5JUV9DUS4zLzMxLzIwMjQuTC4uVVNELkgBAAAAXB0EAAIAAAAHMTUuNDA2NADlStqKRCXeCPkEi4tEJd4IPENJUS5YT00uSVFfUkVUVVJOX0lOVkVTVEVEX0NBUElUQUwuSVFfTFRNLjkvMzAvMjAxMS5MLi5VU0QuSAEAAABCMwYAAgAAAAcxOC4zNTQ2AOfkfIlEJd4IE75Hi0Ql3gg8Q0lRLlhPTS5JUV9SRVRVUk5fSU5WRVNURURfQ0FQSVRBTC5JUV9MVE0uNi8zMC8yMDIwLkwuLlVTRC5IAQAAAEIzBgACAAAABi0zLjA0MwApX8eKRCXeCGBOeYtEJd4IO0NJUS5DT1AuSVFfUkVUVVJOX0lOVkVTVEVEX0NBUElUQUwuSVFfQ1EuMy8zMS8yMDE2</t>
  </si>
  <si>
    <t>LkwuLlVTRC5IAQAAAE+GBAACAAAACC0xMC42NTI0AKHHiolEJd4IsoBhi0Ql3gg7Q0lRLlhPTS5JUV9SRVRVUk5fSU5WRVNURURfQ0FQSVRBTC5JUV9DUS4zLzMxLzIwMTYuTC4uVVNELkgBAAAAQjMGAAIAAAAHLTIuMjc2OAChx4qJRCXeCLKAYYtEJd4IO0NJUS5DVlguSVFfUkVUVVJOX0lOVkVTVEVEX0NBUElUQUwuSVFfQ1EuOS8zMC8yMDEzLkwuLlVTRC5IAQAAAMqAAQACAAAABjcuMzg0OABuK4qJRCXeCANUUYtEJd4IPENJUS5FT0cuSVFfUkVUVVJOX0lOVkVTVEVEX0NBUElUQUwuSVFfTFRNLjYvMzAvMjAxOS5MLi5VU0QuSAEAAABcHQQAAgAAAAcxMi4xNjA2AOfkfIlEJd4Ie7p0i0Ql3gg7Q0lRLkVPRy5JUV9SRVRVUk5fSU5WRVNURURfQ0FQSVRBTC5JUV9DUS45LzMwLzIwMjEuTC4uVVNELkgBAAAAXB0EAAIAAAAGNC4xMjA0AAkRx4pEJd4I4mh/i0Ql3gg7Q0lRLlhPTS5JUV9SRVRVUk5fSU5WRVNURURfQ0FQSVRBTC5JUV9DUS4zLzMxLzIwMTQuTC4uVVNELkgBAAAAQjMGAAIAAAAHMTIuNTAyOABuK4qJRCXeCD8TVItEJd4IPENJUS5FT0cuSVFfUkVUVVJOX0lOVkVTVEVEX0NBUElUQUwuSVFfTFRNLjMvMzEvMjAyNS5MLi5VU0QuSAEAAABcHQQAAgAAAAcxMS44MTQ2AOoj2opEJd4I2JiPi0Ql3gg8Q0lRLkNPUC5JUV9SRVRVUk5fSU5WRVNURURfQ0FQSVRBTC5JUV9MVE0uNi8zMC8yMDIy</t>
  </si>
  <si>
    <t>LkwuLlVTRC5IAQAAAE+GBAACAAAABzE5LjU4MDIACRHHikQl3ghBxIKLRCXeCDtDSVEuQ1ZYLklRX1JFVFVSTl9JTlZFU1RFRF9DQVBJVEFMLklRX0NRLjMvMzEvMjAxMC5MLi5VU0QuSAEAAADKgAEAAgAAAAcxMi4xOTk2AAYzfYlEJd4IK4dBi0Ql3gg8Q0lRLkNWWC5JUV9SRVRVUk5fSU5WRVNURURfQ0FQSVRBTC5JUV9MVE0uOS8zMC8yMDE0LkwuLlVTRC5IAQAAAMqAAQACAAAABjcuNDA0MQBQBIqJRCXeCINuV4tEJd4IPENJUS5DVlguSVFfUkVUVVJOX0lOVkVTVEVEX0NBUElUQUwuSVFfTFRNLjYvMzAvMjAxMi5MLi5VU0QuSAEAAADKgAEAAgAAAAcxNC45NDg2ANu9fIlEJd4IAm9Li0Ql3gg7Q0lRLkVPRy5JUV9SRVRVUk5fSU5WRVNURURfQ0FQSVRBTC5JUV9DUS45LzMwLzIwMjQuTC4uVVNELkgBAAAAXB0EAAIAAAAHMTMuNjI1MgDqI9qKRCXeCOFOjYtEJd4IPENJUS5FT0cuSVFfUkVUVVJOX0lOVkVTVEVEX0NBUElUQUwuSVFfTFRNLjkvMzAvMjAxOC5MLi5VU0QuSAEAAABcHQQAAgAAAAcyMC4wODg5AGtSiolEJd4IJV9xi0Ql3gg8Q0lRLkVPRy5JUV9SRVRVUk5fSU5WRVNURURfQ0FQSVRBTC5JUV9MVE0uMy8zMS8yMDE1LkwuLlVTRC5IAQAAAFwdBAACAAAABjcuNjIyOQDbvXyJRCXeCOLJWotEJd4IPUNJUS5YT00uSVFfUkVUVVJOX0lOVkVTVEVEX0NBUElUQUwuSVFfTFRNLjEyLzMxLzIw</t>
  </si>
  <si>
    <t>MTIuTC4uVVNELkgBAAAAQjMGAAIAAAAHMTkuMjcyMQCrh5iJRCXeCI+qTYtEJd4IO0NJUS5EVk4uSVFfUkVUVVJOX0lOVkVTVEVEX0NBUElUQUwuSVFfQ1EuNi8zMC8yMDE4LkwuLlVTRC5IAQAAAA4RBAACAAAABy04Ljc2MDQAa1KKiUQl3giiJnCLRCXeCDxDSVEuQ1ZYLklRX1JFVFVSTl9JTlZFU1RFRF9DQVBJVEFMLklRX0NRLjEyLzMxLzIwMTkuTC4uVVNELkgBAAAAyoABAAIAAAAILTE5LjExNTYAKV/HikQl3giDK3eLRCXeCDtDSVEuQlAuSVFfUkVUVVJOX0lOVkVTVEVEX0NBUElUQUwuSVFfTFRNLjYvMzAvMjAyMy5MLi5VU0QuSAEAAADiBAYAAgAAAAYxMi45MTYA5UraikQl3ggrf4eLRCXeCDpDSVEuQlAuSVFfUkVUVVJOX0lOVkVTVEVEX0NBUElUQUwuSVFfQ1EuNi8zMC8yMDEyLkwuLlVTRC5IAQAAAOIEBgACAAAABy03LjI2MzIAqa6YiUQl3ggCb0uLRCXeCDxDSVEuRFZOLklRX1JFVFVSTl9JTlZFU1RFRF9DQVBJVEFMLklRX0xUTS4zLzMxLzIwMTEuTC4uVVNELkgBAAAADhEEAAIAAAAHMTQuMjUyNQD1C32JRCXeCNilRYtEJd4IO0NJUS5DT1AuSVFfUkVUVVJOX0lOVkVTVEVEX0NBUElUQUwuSVFfQ1EuMy8zMS8yMDEwLkwuLlVTRC5IAQAAAE+GBAACAAAABjUuNTU5MgAGM32JRCXeCCuHQYtEJd4IO0NJUS5CUC5JUV9SRVRVUk5fSU5WRVNURURfQ0FQSVRBTC5JUV9MVE0uMy8zMS8yMDI1</t>
  </si>
  <si>
    <t>LkwuLlVTRC5IAQAAAOIEBgACAAAABy00LjE4MzkA6iPaikQl3gjiv4+LRCXeCDtDSVEuQ1ZYLklRX1JFVFVSTl9JTlZFU1RFRF9DQVBJVEFMLklRX0NRLjMvMzEvMjAyNC5MLi5VU0QuSAEAAADKgAEAAgAAAAY1LjM3OTIA5UraikQl3gj5BIuLRCXeCDxDSVEuWE9NLklRX1JFVFVSTl9JTlZFU1RFRF9DQVBJVEFMLklRX0xUTS42LzMwLzIwMjIuTC4uVVNELkgBAAAAQjMGAAIAAAAHMTAuNDgxNwAJEceKRCXeCEHEgotEJd4IPUNJUS5DT1AuSVFfUkVUVVJOX0lOVkVTVEVEX0NBUElUQUwuSVFfTFRNLjEyLzMxLzIwMTQuTC4uVVNELkgBAAAAT4YEAAIAAAAGNC40ODg4AFAEiolEJd4IRPVYi0Ql3gg8Q0lRLlhPTS5JUV9SRVRVUk5fSU5WRVNURURfQ0FQSVRBTC5JUV9MVE0uOS8zMC8yMDIwLkwuLlVTRC5IAQAAAEIzBgACAAAABy00LjU4NzEAKV/HikQl3gjzrXqLRCXeCDtDSVEuWE9NLklRX1JFVFVSTl9JTlZFU1RFRF9DQVBJVEFMLklRX0NRLjMvMzEvMjAxMy5MLi5VU0QuSAEAAABCMwYAAgAAAAYxNS4wMTQAq4eYiUQl3gj64k6LRCXeCDxDSVEuQ09QLklRX1JFVFVSTl9JTlZFU1RFRF9DQVBJVEFMLklRX0xUTS42LzMwLzIwMTIuTC4uVVNELkgBAAAAT4YEAAIAAAAGOS4wNTIzANu9fIlEJd4IAm9Li0Ql3gg8Q0lRLlhPTS5JUV9SRVRVUk5fSU5WRVNURURfQ0FQSVRBTC5JUV9DUS4xMi8zMS8yMDE3</t>
  </si>
  <si>
    <t>LkwuLlVTRC5IAQAAAEIzBgACAAAABjguNzI3NgB6eYqJRCXeCC6kbItEJd4IPENJUS5YT00uSVFfUkVUVVJOX0lOVkVTVEVEX0NBUElUQUwuSVFfQ1EuMTIvMzEvMjAxMy5MLi5VU0QuSAEAAABCMwYAAgAAAAcxMS4yMDA4AG4riolEJd4Ih4xSi0Ql3gg8Q0lRLkNPUC5JUV9SRVRVUk5fSU5WRVNURURfQ0FQSVRBTC5JUV9MVE0uOS8zMC8yMDE4LkwuLlVTRC5IAQAAAE+GBAACAAAABjkuMzkzNABrUoqJRCXeCCVfcYtEJd4IPENJUS5FT0cuSVFfUkVUVVJOX0lOVkVTVEVEX0NBUElUQUwuSVFfQ1EuMTIvMzEvMjAxNy5MLi5VU0QuSAEAAABcHQQAAgAAAAc0My40Mjg4AHp5iolEJd4IRctsi0Ql3gg8Q0lRLkVPRy5JUV9SRVRVUk5fSU5WRVNURURfQ0FQSVRBTC5JUV9MVE0uOS8zMC8yMDE0LkwuLlVTRC5IAQAAAFwdBAACAAAABzEyLjU1MTYAUASKiUQl3giMlVeLRCXeCDtDSVEuQ1ZYLklRX1JFVFVSTl9JTlZFU1RFRF9DQVBJVEFMLklRX0NRLjkvMzAvMjAxNy5MLi5VU0QuSAEAAADKgAEAAgAAAAYtMC4xNjgAenmKiUQl3giTHWuLRCXeCD1DSVEuWE9NLklRX1JFVFVSTl9JTlZFU1RFRF9DQVBJVEFMLklRX0xUTS4xMi8zMS8yMDIzLkwuLlVTRC5IAQAAAEIzBgACAAAABjguMjY4MgDlStqKRCXeCBKiiYtEJd4IO0NJUS5FT0cuSVFfUkVUVVJOX0lOVkVTVEVEX0NBUElUQUwuSVFfQ1EuOS8zMC8yMDEw</t>
  </si>
  <si>
    <t>LkwuLlVTRC5IAQAAAFwdBAACAAAABy0zLjE3MDgABjN9iUQl3ggGqkOLRCXeCDxDSVEuQ09QLklRX1JFVFVSTl9JTlZFU1RFRF9DQVBJVEFMLklRX0NRLjEyLzMxLzIwMjEuTC4uVVNELkgBAAAAT4YEAAIAAAAHMTIuNDM4NAAJEceKRCXeCGOhgItEJd4IO0NJUS5FT0cuSVFfUkVUVVJOX0lOVkVTVEVEX0NBUElUQUwuSVFfQ1EuMy8zMS8yMDE2LkwuLlVTRC5IAQAAAFwdBAACAAAACC0xMS41NzEyAKHHiolEJd4IsoBhi0Ql3gg6Q0lRLkJQLklRX1JFVFVSTl9JTlZFU1RFRF9DQVBJVEFMLklRX0NRLjYvMzAvMjAxNC5MLi5VU0QuSAEAAADiBAYAAgAAAAYzLjg5MjQAUASKiUQl3gjVwFWLRCXeCD1DSVEuWE9NLklRX1JFVFVSTl9JTlZFU1RFRF9DQVBJVEFMLklRX0xUTS4xMi8zMS8yMDIyLkwuLlVTRC5IAQAAAEIzBgACAAAABzE3LjA2NzgA/unGikQl3gg/DoWLRCXeCDxDSVEuRFZOLklRX1JFVFVSTl9JTlZFU1RFRF9DQVBJVEFMLklRX0xUTS4zLzMxLzIwMTIuTC4uVVNELkgBAAAADhEEAAIAAAAHMTQuOTI4NQDbvXyJRCXeCPVFSotEJd4IO0NJUS5DVlguSVFfUkVUVVJOX0lOVkVTVEVEX0NBUElUQUwuSVFfQ1EuOS8zMC8yMDE2LkwuLlVTRC5IAQAAAMqAAQACAAAABy0xLjQ5MjQAoceKiUQl3gj6tGSLRCXeCDtDSVEuQ1ZYLklRX1JFVFVSTl9JTlZFU1RFRF9DQVBJVEFMLklRX0NRLjkvMzAvMjAy</t>
  </si>
  <si>
    <t>MS5MLi5VU0QuSAEAAADKgAEAAgAAAAY4LjA2ODQACRHHikQl3gjiaH+LRCXeCDxDSVEuRFZOLklRX1JFVFVSTl9JTlZFU1RFRF9DQVBJVEFMLklRX0NRLjEyLzMxLzIwMTUuTC4uVVNELkgBAAAADhEEAAIAAAAILTcxLjM4MDgAyJZ8iUQl3ggV+l+LRCXeCDtDSVEuWE9NLklRX1JFVFVSTl9JTlZFU1RFRF9DQVBJVEFMLklRX0NRLjMvMzEvMjAxMS5MLi5VU0QuSAEAAABCMwYAAgAAAAYxOS44NDYA9Qt9iUQl3gjYpUWLRCXeCDpDSVEuQlAuSVFfUkVUVVJOX0lOVkVTVEVEX0NBUElUQUwuSVFfQ1EuOS8zMC8yMDIxLkwuLlVTRC5IAQAAAOIEBgACAAAABy04Ljc5NzYACRHHikQl3gjiaH+LRCXeCDxDSVEuQ09QLklRX1JFVFVSTl9JTlZFU1RFRF9DQVBJVEFMLklRX0NRLjEyLzMxLzIwMTQuTC4uVVNELkgBAAAAT4YEAAIAAAAHLTQuOTg5MgBQBIqJRCXeCD0cWYtEJd4IPENJUS5EVk4uSVFfUkVUVVJOX0lOVkVTVEVEX0NBUElUQUwuSVFfTFRNLjYvMzAvMjAyMy5MLi5VU0QuSAEAAAAOEQQAAgAAAAcxMC41NTEzAOVK2opEJd4IK3+Hi0Ql3gg7Q0lRLkNWWC5JUV9SRVRVUk5fSU5WRVNURURfQ0FQSVRBTC5JUV9DUS4zLzMxLzIwMjIuTC4uVVNELkgBAAAAyoABAAIAAAAGOC4wMDEyAAkRx4pEJd4I29mBi0Ql3gg7Q0lRLkRWTi5JUV9SRVRVUk5fSU5WRVNURURfQ0FQSVRBTC5JUV9DUS45LzMwLzIwMTQu</t>
  </si>
  <si>
    <t>TC4uVVNELkgBAAAADhEEAAIAAAAGOS41MDQ4AFAEiolEJd4IpLxXi0Ql3gg7Q0lRLkRWTi5JUV9SRVRVUk5fSU5WRVNURURfQ0FQSVRBTC5JUV9DUS42LzMwLzIwMTIuTC4uVVNELkgBAAAADhEEAAIAAAAGNC44MTUyAKmumIlEJd4IR6pLi0Ql3gg8Q0lRLkNPUC5JUV9SRVRVUk5fSU5WRVNURURfQ0FQSVRBTC5JUV9DUS4xMi8zMS8yMDEwLkwuLlVTRC5IAQAAAE+GBAACAAAABjUuMDU4OAD1C32JRCXeCFZtRItEJd4IO0NJUS5YT00uSVFfUkVUVVJOX0lOVkVTVEVEX0NBUElUQUwuSVFfQ1EuMy8zMS8yMDEwLkwuLlVTRC5IAQAAAEIzBgACAAAABzEzLjY4ODgABjN9iUQl3ggrh0GLRCXeCDxDSVEuRFZOLklRX1JFVFVSTl9JTlZFU1RFRF9DQVBJVEFMLklRX0xUTS4zLzMxLzIwMjUuTC4uVVNELkgBAAAADhEEAAIAAAAGOS4zMzE3AOoj2opEJd4I4r+Pi0Ql3gg8Q0lRLkRWTi5JUV9SRVRVUk5fSU5WRVNURURfQ0FQSVRBTC5JUV9DUS4xMi8zMS8yMDE4LkwuLlVTRC5IAQAAAA4RBAACAAAABzMxLjExODgAa1KKiUQl3gigl3KLRCXeCDxDSVEuQ09QLklRX1JFVFVSTl9JTlZFU1RFRF9DQVBJVEFMLklRX0NRLjEyLzMxLzIwMTMuTC4uVVNELkgBAAAAT4YEAAIAAAAGOC42OTMyAG4riolEJd4Ih4xSi0Ql3gg8Q0lRLkNPUC5JUV9SRVRVUk5fSU5WRVNURURfQ0FQSVRBTC5JUV9MVE0uNi8zMC8yMDIwLkwu</t>
  </si>
  <si>
    <t>LlVTRC5IAQAAAE+GBAACAAAABjEuMjE0MgApX8eKRCXeCGBOeYtEJd4IO0NJUS5DT1AuSVFfUkVUVVJOX0lOVkVTVEVEX0NBUElUQUwuSVFfQ1EuMy8zMS8yMDIxLkwuLlVTRC5IAQAAAE+GBAACAAAABjIuODg2OAAxOMeKRCXeCOwefYtEJd4IPENJUS5DVlguSVFfUkVUVVJOX0lOVkVTVEVEX0NBUElUQUwuSVFfTFRNLjMvMzEvMjAxNy5MLi5VU0QuSAEAAADKgAEAAgAAAActMi42NjI5AI2giolEJd4IN8Jni0Ql3gg8Q0lRLkNWWC5JUV9SRVRVUk5fSU5WRVNURURfQ0FQSVRBTC5JUV9MVE0uNi8zMC8yMDIwLkwuLlVTRC5IAQAAAMqAAQACAAAABy05Ljk2MjYAKV/HikQl3ghgTnmLRCXeCDxDSVEuWE9NLklRX1JFVFVSTl9JTlZFU1RFRF9DQVBJVEFMLklRX0xUTS42LzMwLzIwMTIuTC4uVVNELkgBAAAAQjMGAAIAAAAHMTkuNzIzMQDbvXyJRCXeCAJvS4tEJd4IO0NJUS5YT00uSVFfUkVUVVJOX0lOVkVTVEVEX0NBUElUQUwuSVFfQ1EuOS8zMC8yMDEwLkwuLlVTRC5IAQAAAEIzBgACAAAABzEyLjIyODQABjN9iUQl3ggGqkOLRCXeCDtDSVEuQlAuSVFfUkVUVVJOX0lOVkVTVEVEX0NBUElUQUwuSVFfTFRNLjMvMzEvMjAxNy5MLi5VU0QuSAEAAADiBAYAAgAAAActMS43MDg2AI2giolEJd4IN8Jni0Ql3gg8Q0lRLkRWTi5JUV9SRVRVUk5fSU5WRVNURURfQ0FQSVRBTC5JUV9MVE0uMy8zMS8yMDE3Lkwu</t>
  </si>
  <si>
    <t>LlVTRC5IAQAAAA4RBAACAAAABTkuNzc3AI2giolEJd4IN8Jni0Ql3gg8Q0lRLkNPUC5JUV9SRVRVUk5fSU5WRVNURURfQ0FQSVRBTC5JUV9MVE0uNi8zMC8yMDE5LkwuLlVTRC5IAQAAAE+GBAACAAAABzEyLjA5MTkA5+R8iUQl3gh7unSLRCXeCDxDSVEuRFZOLklRX1JFVFVSTl9JTlZFU1RFRF9DQVBJVEFMLklRX0xUTS45LzMwLzIwMTEuTC4uVVNELkgBAAAADhEEAAIAAAAHMTYuMzg2OADn5HyJRCXeCMfvR4tEJd4IOkNJUS5CUC5JUV9SRVRVUk5fSU5WRVNURURfQ0FQSVRBTC5JUV9DUS45LzMwLzIwMTAuTC4uVVNELkgBAAAA4gQGAAIAAAAGNS43NzEyAAYzfYlEJd4I5FtDi0Ql3gg8Q0lRLkNPUC5JUV9SRVRVUk5fSU5WRVNURURfQ0FQSVRBTC5JUV9MVE0uOS8zMC8yMDEzLkwuLlVTRC5IAQAAAE+GBAACAAAABjYuNDUwNwBuK4qJRCXeCPQsUYtEJd4IPENJUS5DT1AuSVFfUkVUVVJOX0lOVkVTVEVEX0NBUElUQUwuSVFfQ1EuMTIvMzEvMjAxMS5MLi5VU0QuSAEAAABPhgQAAgAAAAcxMC43OTY0AOfkfIlEJd4IoRxJi0Ql3gg8Q0lRLkRWTi5JUV9SRVRVUk5fSU5WRVNURURfQ0FQSVRBTC5JUV9MVE0uOS8zMC8yMDIzLkwuLlVTRC5IAQAAAA4RBAACAAAABjguNjE1OQDlStqKRCXeCLi3iItEJd4IPENJUS5YT00uSVFfUkVUVVJOX0lOVkVTVEVEX0NBUElUQUwuSVFfTFRNLjkvMzAvMjAxMy5MLi5V</t>
  </si>
  <si>
    <t>U0QuSAEAAABCMwYAAgAAAAcxMi4yOTg3AG4riolEJd4I9CxRi0Ql3gg8Q0lRLlhPTS5JUV9SRVRVUk5fSU5WRVNURURfQ0FQSVRBTC5JUV9DUS4xMi8zMS8yMDExLkwuLlVTRC5IAQAAAEIzBgACAAAABTE2LjA0AOfkfIlEJd4IoRxJi0Ql3gg7Q0lRLkRWTi5JUV9SRVRVUk5fSU5WRVNURURfQ0FQSVRBTC5JUV9DUS45LzMwLzIwMjQuTC4uVVNELkgBAAAADhEEAAIAAAAHMTAuMDUxNgDqI9qKRCXeCOFOjYtEJd4IPENJUS5YT00uSVFfUkVUVVJOX0lOVkVTVEVEX0NBUElUQUwuSVFfQ1EuMTIvMzEvMjAyMS5MLi5VU0QuSAEAAABCMwYAAgAAAAY5LjAyMjQACRHHikQl3ghjoYCLRCXeCDtDSVEuQ09QLklRX1JFVFVSTl9JTlZFU1RFRF9DQVBJVEFMLklRX0NRLjMvMzEvMjAyMC5MLi5VU0QuSAEAAABPhgQAAgAAAAgtMTguMDc1MgApX8eKRCXeCOc8eItEJd4IPENJUS5YT00uSVFfUkVUVVJOX0lOVkVTVEVEX0NBUElUQUwuSVFfTFRNLjYvMzAvMjAxOS5MLi5VU0QuSAEAAABCMwYAAgAAAAYxLjQ0NDUA5+R8iUQl3gh7unSLRCXeCDtDSVEuQlAuSVFfUkVUVVJOX0lOVkVTVEVEX0NBUElUQUwuSVFfTFRNLjkvMzAvMjAxOC5MLi5VU0QuSAEAAADiBAYAAgAAAAQxLjIzAGtSiolEJd4IJV9xi0Ql3gg7Q0lRLkRWTi5JUV9SRVRVUk5fSU5WRVNURURfQ0FQSVRBTC5JUV9DUS45LzMwLzIwMTcuTC4uVVNELkgB</t>
  </si>
  <si>
    <t>AAAADhEEAAIAAAAGMi45NDA0AHp5iolEJd4IqURri0Ql3gg7Q0lRLkNPUC5JUV9SRVRVUk5fSU5WRVNURURfQ0FQSVRBTC5JUV9DUS45LzMwLzIwMTYuTC4uVVNELkgBAAAAT4YEAAIAAAAHLTguMjI3NgChx4qJRCXeCPq0ZItEJd4IOkNJUS5CUC5JUV9SRVRVUk5fSU5WRVNURURfQ0FQSVRBTC5JUV9DUS45LzMwLzIwMTMuTC4uVVNELkgBAAAA4gQGAAIAAAAFNS4wMzQAbiuKiUQl3ggDVFGLRCXeCDxDSVEuRFZOLklRX1JFVFVSTl9JTlZFU1RFRF9DQVBJVEFMLklRX0NRLjEyLzMxLzIwMTIuTC4uVVNELkgBAAAADhEEAAIAAAAGLTUuMzI2AKuHmIlEJd4IjdFNi0Ql3gg8Q0lRLkVPRy5JUV9SRVRVUk5fSU5WRVNURURfQ0FQSVRBTC5JUV9MVE0uMy8zMS8yMDEyLkwuLlVTRC5IAQAAAFwdBAACAAAABjYuMzI3NQDbvXyJRCXeCPVFSotEJd4IPENJUS5EVk4uSVFfUkVUVVJOX0lOVkVTVEVEX0NBUElUQUwuSVFfQ1EuMTIvMzEvMjAwOS5MLi5VU0QuSAEAAAAOEQQAAgAAAAUxMC42MgAZWn2JRCXeCJ1OQItEJd4IO0NJUS5YT00uSVFfUkVUVVJOX0lOVkVTVEVEX0NBUElUQUwuSVFfQ1EuOS8zMC8yMDIzLkwuLlVTRC5IAQAAAEIzBgACAAAABjguNjk4NADlStqKRCXeCLi3iItEJd4IPUNJUS5DT1AuSVFfUkVUVVJOX0lOVkVTVEVEX0NBUElUQUwuSVFfTFRNLjEyLzMxLzIwMjIuTC4uVVNELkgBAAAAT4YE</t>
  </si>
  <si>
    <t>AAIAAAAHMTkuNzQ3MgD+6caKRCXeCD8OhYtEJd4IPENJUS5FT0cuSVFfUkVUVVJOX0lOVkVTVEVEX0NBUElUQUwuSVFfTFRNLjMvMzEvMjAyMS5MLi5VU0QuSAEAAABcHQQAAgAAAAUtMy4wNQAxOMeKRCXeCOwefYtEJd4IO0NJUS5CUC5JUV9SRVRVUk5fSU5WRVNURURfQ0FQSVRBTC5JUV9MVE0uNi8zMC8yMDE1LkwuLlVTRC5IAQAAAOIEBgACAAAABy03LjE4NjcA2718iUQl3giKUFyLRCXeCDpDSVEuQlAuSVFfUkVUVVJOX0lOVkVTVEVEX0NBUElUQUwuSVFfQ1EuNi8zMC8yMDExLkwuLlVTRC5IAQAAAOIEBgACAAAABjEyLjg4OADn5HyJRCXeCFPeRotEJd4IO0NJUS5EVk4uSVFfUkVUVVJOX0lOVkVTVEVEX0NBUElUQUwuSVFfQ1EuOS8zMC8yMDEwLkwuLlVTRC5IAQAAAA4RBAACAAAABzM0LjU2NjgABjN9iUQl3gjkW0OLRCXeCDxDSVEuQ09QLklRX1JFVFVSTl9JTlZFU1RFRF9DQVBJVEFMLklRX0xUTS45LzMwLzIwMjQuTC4uVVNELkgBAAAAT4YEAAIAAAAGOC41NzY3AOoj2opEJd4I4U6Ni0Ql3gg8Q0lRLkNWWC5JUV9SRVRVUk5fSU5WRVNURURfQ0FQSVRBTC5JUV9DUS4xMi8zMS8yMDIxLkwuLlVTRC5IAQAAAMqAAQACAAAABjUuNzA0OAAJEceKRCXeCGOhgItEJd4IO0NJUS5YT00uSVFfUkVUVVJOX0lOVkVTVEVEX0NBUElUQUwuSVFfQ1EuMy8zMS8yMDIwLkwuLlVTRC5IAQAAAEIzBgACAAAA</t>
  </si>
  <si>
    <t>By02LjkyNTIAKV/HikQl3ggNZHiLRCXeCDxDSVEuQ1ZYLklRX1JFVFVSTl9JTlZFU1RFRF9DQVBJVEFMLklRX0xUTS42LzMwLzIwMTkuTC4uVVNELkgBAAAAyoABAAIAAAAGMy4xMTgzAOfkfIlEJd4Ie7p0i0Ql3gg8Q0lRLkRWTi5JUV9SRVRVUk5fSU5WRVNURURfQ0FQSVRBTC5JUV9MVE0uOS8zMC8yMDE4LkwuLlVTRC5IAQAAAA4RBAACAAAABzEwLjQ2NDMAa1KKiUQl3gglX3GLRCXeCDxDSVEuQ09QLklRX1JFVFVSTl9JTlZFU1RFRF9DQVBJVEFMLklRX0xUTS45LzMwLzIwMTcuTC4uVVNELkgBAAAAT4YEAAIAAAAHLTYuNDQ4NgB6eYqJRCXeCIX2aotEJd4IO0NJUS5YT00uSVFfUkVUVVJOX0lOVkVTVEVEX0NBUElUQUwuSVFfQ1EuOS8zMC8yMDE2LkwuLlVTRC5IAQAAAEIzBgACAAAABy0wLjg2OTIAoceKiUQl3gj6tGSLRCXeCDtDSVEuRFZOLklRX1JFVFVSTl9JTlZFU1RFRF9DQVBJVEFMLklRX0NRLjkvMzAvMjAxMy5MLi5VU0QuSAEAAAAOEQQAAgAAAAY0LjQ2NjQAbiuKiUQl3ggDVFGLRCXeCDtDSVEuRFZOLklRX1JFVFVSTl9JTlZFU1RFRF9DQVBJVEFMLklRX0NRLjYvMzAvMjAxMS5MLi5VU0QuSAEAAAAOEQQAAgAAAAczOC41NzcyAOfkfIlEJd4IU95Gi0Ql3gg7Q0lRLkJQLklRX1JFVFVSTl9JTlZFU1RFRF9DQVBJVEFMLklRX0xUTS4zLzMxLzIwMTUuTC4uVVNELkgBAAAA4gQGAAIAAAAH</t>
  </si>
  <si>
    <t>LTEuODU4OADbvXyJRCXeCOLJWotEJd4IO0NJUS5FT0cuSVFfUkVUVVJOX0lOVkVTVEVEX0NBUElUQUwuSVFfQ1EuOS8zMC8yMDE2LkwuLlVTRC5IAQAAAFwdBAACAAAABy01Ljk3ODQAoceKiUQl3ggM3GSLRCXeCDxDSVEuRU9HLklRX1JFVFVSTl9JTlZFU1RFRF9DQVBJVEFMLklRX0xUTS45LzMwLzIwMjIuTC4uVVNELkgBAAAAXB0EAAIAAAAHMTQuMTg0NwD+6caKRCXeCMT8g4tEJd4IPUNJUS5DT1AuSVFfUkVUVVJOX0lOVkVTVEVEX0NBUElUQUwuSVFfTFRNLjEyLzMxLzIwMTUuTC4uVVNELkgBAAAAT4YEAAIAAAAILTExLjU3NjUAyJZ8iUQl3gjoq1+LRCXeCElDSVFSQU5HRVYuXlNQWC5JUV9DTE9TRVBSSUNFLjExLzE0LzIwMjAuMTEvMTQvMjAyNS4uLkRFU0MuTS5JUV9DTE9TRVBSSUNFBAAAAJu4KAA8AAAAAgAAABA2ODQwLjE5ODc0MTM4NzIzAgAAABA2Njg4LjQ1OTAzNjg5MDE2AgAAAA82NDYwLjI2MjY2NzAxOTICAAAADzYzMzkuMzk0NTY3MTY1OAIAAAAQNjIwNC45NTM5NTIzODk2MgIAAAAQNTkxMS42ODY3MjMxMjYzMwIAAAAQNTU2OS4wNjQ2NzQ5NDY4MQIAAAAQNTYxMS44NTI2MDY4MTc2MwIAAAAQNTk1NC41MDQ4MjY5NjUwOAIAAAAQNjA0MC41MjU5MzM4ODE4NgIAAAAQNTg4MS42Mjc2NDgyMTQwOQIAAAAQNjAzMi4zODQ0MTIyNzM5MgIAAAAQNTcwNS40NDc5MjA2Njk3MwIAAAAQ</t>
  </si>
  <si>
    <t>U1A1MDAtMTAuSVFfQkVUQV81WVIuAQAAAE7DKAADAAAAAAB30VAsfCTeCPToOsQ/Jd4IFENJUS5eSEcuSVFfQkVUQV81WVIuAQAAAGaBNQMDAAAAAAB30VAsfCTeCPToOsQ/Jd4IFENJUS5eQ0wuSVFfQkVUQV81WVIuAQAAAFOANQMDAAAAAAB30VAsfCTeCAAQO8Q/Jd4IFENJUS5EVk4uSVFfQkVUQV81WVIuAQAAAA4RBAACAAAAETAuNjg0Mjg2NjE2MjgyMzQzAHfRUCx8JN4IABA7xD8l3ggUQ0lRLkVPRy5JUV9CRVRBXzVZUi4BAAAAXB0EAAIAAAARMC41MDQ2NTg2NjY4MDk5MTcAd9FQLHwk3ggAEDvEPyXeCBRDSVEuWE9NLklRX0JFVEFfNVlSLgEAAABCMwYAAgAAABEwLjM3ODc3MTE4MDI1NzAyMQB30VAsfCTeCBQ3O8Q/Jd4IFUNJUS5eU1BYLklRX0JFVEFfNVlSLgEAAACbuCgAAwAAAAAAd9FQLHwk3ggUNzvEPyXeCBNDSVEuQlAuSVFfQkVUQV81WVIuAQAAAOIEBgADAAAAAAB30VAsfCTeCAAQO8Q/Jd4IFENJUS5DVlguSVFfQkVUQV81WVIuAQAAAMqAAQACAAAAETAuNjY4ODM3NjUwMTYzOTYxAHfRUCx8JN4IABA7xD8l3ggUQ0lRLkNPUC5JUV9CRVRBXzVZUi4BAAAAT4YEAAIAAAARMC4zMjcwNjA2OTIxNDIzNjIAwG98iUQl3gjAb3yJRCXeCC9DSVEuQlAuSVFfTklfMVlSX0FOTl9HUk9XVEguLjYvMzAvMjAyMi5MLi5VU0QuSAEAAADiBAYAAwAAAAJOTQEIAAAABQAAAAExAQAAAAstMjAzNjMz</t>
  </si>
  <si>
    <t>MzY4NAIAAAAINDguMzc1NTICAAAACTQ1LjM5MzE0OAIAAAAINDEuMTM5NjUCAAAACDM5LjEzNjY4l9tGXjsl3ggK+yBfOyXeCDBDSVEuQ09QLklRX05JXzFZUl9BTk5fR1JPV1RILi42LzMwLzIwMjIuTC4uVVNELkgBAAAAT4YEAAIAAAAINzU5LjUzNTMBCAAAAAUAAAABMQEAAAALLTIwMjE0NzQ4NTkDAAAAAzE2MAIAAAAENDE5OQQAAAABMAcAAAAJNi8zMC8yMDIyCAAAAAk2LzMwLzIwMjIJAAAAATDUIh4xfCTeCNQiHjF8JN4IOkNJUS4uSVFfVE9UQUxfUkVWXzFZUl9BTk5fR1JPV1RILklRX0xUTS45LzMwLzIwMjUuTC4uVVNELkgFAAAAAAAAAAgAAAAUKEludmFsaWQgSWRlbnRpZmllcimrD5VdOyXeCAlo03lEJd4IOkNJUS4uSVFfVE9UQUxfUkVWXzFZUl9BTk5fR1JPV1RILklRX0xUTS42LzMwLzIwMjQuTC4uVVNELkgFAAAAAAAAAAgAAAAUKEludmFsaWQgSWRlbnRpZmllcimrD5VdOyXeCCVT3XlEJd4IOkNJUS4uSVFfVE9UQUxfUkVWXzFZUl9BTk5fR1JPV1RILklRX0xUTS4zLzMxLzIwMjUuTC4uVVNELkgFAAAAAAAAAAgAAAAUKEludmFsaWQgSWRlbnRpZmllcimrD5VdOyXeCEq/2HlEJd4IOkNJUS4uSVFfVE9UQUxfUkVWXzFZUl9BTk5fR1JPV1RILklRX0xUTS4zLzMxLzIwMjMuTC4uVVNELkgFAAAAAAAAAAgAAAAUKEludmFsaWQgSWRlbnRpZmllcimrD5VdOyXeCGU9tBA+Jd4IOkNJUS4u</t>
  </si>
  <si>
    <t>SVFfVE9UQUxfUkVWXzFZUl9BTk5fR1JPV1RILklRX0xUTS4zLzMxLzIwMjQuTC4uVVNELkgFAAAAAAAAAAgAAAAUKEludmFsaWQgSWRlbnRpZmllcimrD5VdOyXeCMLi43lEJd4IOkNJUS4uSVFfVE9UQUxfUkVWXzFZUl9BTk5fR1JPV1RILklRX0xUTS42LzMwLzIwMjMuTC4uVVNELkgFAAAAAAAAAAgAAAAUKEludmFsaWQgSWRlbnRpZmllcimrD5VdOyXeCArEtRA+Jd4IOkNJUS4uSVFfVE9UQUxfUkVWXzFZUl9BTk5fR1JPV1RILklRX0xUTS45LzMwLzIwMjIuTC4uVVNELkgFAAAAAAAAAAgAAAAUKEludmFsaWQgSWRlbnRpZmllcimrD5VdOyXeCPvhsBA+Jd4IO0NJUS4uSVFfVE9UQUxfUkVWXzFZUl9BTk5fR1JPV1RILklRX0xUTS4xMi8zMS8yMDE5LkwuLlVTRC5IBQAAAAAAAAAIAAAAFChJbnZhbGlkIElkZW50aWZpZXIpqw+VXTsl3ghHHZ4QPiXeCDtDSVEuLklRX1RPVEFMX1JFVl8xWVJfQU5OX0dST1dUSC5JUV9MVE0uMTIvMzEvMjAxNC5MLi5VU0QuSAUAAAAAAAAACAAAABQoSW52YWxpZCBJZGVudGlmaWVyKasPlV07Jd4IAp19ED4l3gg6Q0lRLi5JUV9UT1RBTF9SRVZfMVlSX0FOTl9HUk9XVEguSVFfTFRNLjkvMzAvMjAxOS5MLi5VU0QuSAUAAAAAAAAACAAAABQoSW52YWxpZCBJZGVudGlmaWVyKasPlV07Jd4IrZacED4l3gg6Q0lRLi5JUV9UT1RBTF9SRVZfMVlSX0FOTl9HUk9XVEguSVFf</t>
  </si>
  <si>
    <t>TFRNLjkvMzAvMjAxNS5MLi5VU0QuSAUAAAAAAAAACAAAABQoSW52YWxpZCBJZGVudGlmaWVyKasPlV07Jd4I+n6CED4l3gg6Q0lRLi5JUV9UT1RBTF9SRVZfMVlSX0FOTl9HUk9XVEguSVFfTFRNLjkvMzAvMjAyNC5MLi5VU0QuSAUAAAAAAAAACAAAABQoSW52YWxpZCBJZGVudGlmaWVyKasPlV07Jd4IoFbSeUQl3gg6Q0lRLi5JUV9UT1RBTF9SRVZfMVlSX0FOTl9HUk9XVEguSVFfTFRNLjkvMzAvMjAxOC5MLi5VU0QuSAUAAAAAAAAACAAAABQoSW52YWxpZCBJZGVudGlmaWVyKasPlV07Jd4IDy6WED4l3gg6Q0lRLi5JUV9UT1RBTF9SRVZfMVlSX0FOTl9HUk9XVEguSVFfTFRNLjkvMzAvMjAyMC5MLi5VU0QuSAUAAAAAAAAACAAAABQoSW52YWxpZCBJZGVudGlmaWVyKasPlV07Jd4ISf+iED4l3gg6Q0lRLi5JUV9UT1RBTF9SRVZfMVlSX0FOTl9HUk9XVEguSVFfTFRNLjYvMzAvMjAxNi5MLi5VU0QuSAUAAAAAAAAACAAAABQoSW52YWxpZCBJZGVudGlmaWVyKasPlV07Jd4I7DmHED4l3gg7Q0lRLi5JUV9UT1RBTF9SRVZfMVlSX0FOTl9HUk9XVEguSVFfTFRNLjEyLzMxLzIwMTUuTC4uVVNELkgFAAAAAAAAAAgAAAAUKEludmFsaWQgSWRlbnRpZmllcimrD5VdOyXeCKIFhBA+Jd4IOkNJUS4uSVFfVE9UQUxfUkVWXzFZUl9BTk5fR1JPV1RILklRX0xUTS45LzMwLzIwMTQuTC4uVVNELkgFAAAAAAAAAAgA</t>
  </si>
  <si>
    <t>Tk5fR1JPV1RILklRX0xUTS45LzMwLzIwMTAuTC4uVVNELkgFAAAAAAAAAAgAAAAUKEludmFsaWQgSWRlbnRpZmllcimrD5VdOyXeCLBSYhA+Jd4IOkNJUS4uSVFfVE9UQUxfUkVWXzFZUl9BTk5fR1JPV1RILklRX0xUTS42LzMwLzIwMTguTC4uVVNELkgFAAAAAAAAAAgAAAAUKEludmFsaWQgSWRlbnRpZmllcimrD5VdOyXeCGKAlBA+Jd4IOkNJUS4uSVFfVE9UQUxfUkVWXzFZUl9BTk5fR1JPV1RILklRX0xUTS42LzMwLzIwMjUuTC4uVVNELkgFAAAAAAAAAAgAAAAUKEludmFsaWQgSWRlbnRpZmllcimrD5VdOyXeCLHu1HlEJd4IO0NJUS4uSVFfVE9UQUxfUkVWXzFZUl9BTk5fR1JPV1RILklRX0xUTS4xMi8zMS8yMDEzLkwuLlVTRC5IBQAAAAAAAAAIAAAAFChJbnZhbGlkIElkZW50aWZpZXIpqw+VXTsl3gh9gncQPiXeCDpDSVEuLklRX1RPVEFMX1JFVl8xWVJfQU5OX0dST1dUSC5JUV9MVE0uOS8zMC8yMDIzLkwuLlVTRC5IBQAAAAAAAAAIAAAAFChJbnZhbGlkIElkZW50aWZpZXIpqw+VXTsl3gipcbcQPiXeCDpDSVEuLklRX1RPVEFMX1JFVl8xWVJfQU5OX0dST1dUSC5JUV9MVE0uMy8zMS8yMDE4LkwuLlVTRC5IBQAAAAAAAAAIAAAAFChJbnZhbGlkIElkZW50aWZpZXIpqw+VXTsl3gjJ+ZIQPiXeCDpDSVEuLklRX1RPVEFMX1JFVl8xWVJfQU5OX0dST1dUSC5JUV9MVE0uNi8zMC8yMDExLkwuLlVT</t>
  </si>
  <si>
    <t>aWVyKasPlV07Jd4ImSppED4l3gg6Q0lRLi5JUV9UT1RBTF9SRVZfMVlSX0FOTl9HUk9XVEguSVFfTFRNLjMvMzEvMjAxNy5MLi5VU0QuSAUAAAAAAAAACAAAABQoSW52YWxpZCBJZGVudGlmaWVyKasPlV07Jd4I/UKMED4l3gg7Q0lRLi5JUV9UT1RBTF9SRVZfMVlSX0FOTl9HUk9XVEguSVFfTFRNLjEyLzMxLzIwMjQuTC4uVVNELkgFAAAAAAAAAAgAAAAUKEludmFsaWQgSWRlbnRpZmllcimrD5VdOyXeCOd06XlEJd4IOkNJUS4uSVFfVE9UQUxfUkVWXzFZUl9BTk5fR1JPV1RILklRX0xUTS4zLzMxLzIwMTUuTC4uVVNELkgFAAAAAAAAAAgAAAAUKEludmFsaWQgSWRlbnRpZmllcimrD5VdOyXeCLFKfxA+Jd4IOkNJUS4uSVFfVE9UQUxfUkVWXzFZUl9BTk5fR1JPV1RILklRX0xUTS42LzMwLzIwMTcuTC4uVVNELkgFAAAAAAAAAAgAAAAUKEludmFsaWQgSWRlbnRpZmllcimrD5VdOyXeCLvwjRA+Jd4IOkNJUS4uSVFfVE9UQUxfUkVWXzFZUl9BTk5fR1JPV1RILklRX0xUTS42LzMwLzIwMTMuTC4uVVNELkgFAAAAAAAAAAgAAAAUKEludmFsaWQgSWRlbnRpZmllcimrD5VdOyXeCCpOdBA+Jd4IO0NJUS4uSVFfVE9UQUxfUkVWXzFZUl9BTk5fR1JPV1RILklRX0xUTS4xMi8zMS8yMDExLkwuLlVTRC5IBQAAAAAAAAAIAAAAFChJbnZhbGlkIElkZW50aWZpZXIpqw+VXTsl3ghM2GoQPiXeCDtDSVEuLklRX1RP</t>
  </si>
  <si>
    <t>VEFMX1JFVl8xWVJfQU5OX0dST1dUSC5JUV9MVE0uMTIvMzEvMjAyMy5MLi5VU0QuSAUAAAAAAAAACAAAABQoSW52YWxpZCBJZGVudGlmaWVyKasPlV07Jd4Ig7fleUQl3gg6Q0lRLi5JUV9UT1RBTF9SRVZfMVlSX0FOTl9HUk9XVEguSVFfTFRNLjkvMzAvMjAyMS5MLi5VU0QuSAUAAAAAAAAACAAAABQoSW52YWxpZCBJZGVudGlmaWVyKasPlV07Jd4IAo+pED4l3gg6Q0lRLi5JUV9UT1RBTF9SRVZfMVlSX0FOTl9HUk9XVEguSVFfTFRNLjkvMzAvMjAxNy5MLi5VU0QuSAUAAAAAAAAACAAAABQoSW52YWxpZCBJZGVudGlmaWVyKasPlV07Jd4ISHePED4l3gg6Q0lRLi5JUV9UT1RBTF9SRVZfMVlSX0FOTl9HUk9XVEguSVFfTFRNLjMvMzEvMjAxNC5MLi5VU0QuSAUAAAAAAAAACAAAABQoSW52YWxpZCBJZGVudGlmaWVyKasPlV07Jd4IIQl5ED4l3gg6Q0lRLi5JUV9UT1RBTF9SRVZfMVlSX0FOTl9HUk9XVEguSVFfTFRNLjYvMzAvMjAyMi5MLi5VU0QuSAUAAAAAAAAACAAAABQoSW52YWxpZCBJZGVudGlmaWVyKasPlV07Jd4ITzSvED4l3gg7Q0lRLi5JUV9UT1RBTF9SRVZfMVlSX0FOTl9HUk9XVEguSVFfTFRNLjEyLzMxLzIwMTAuTC4uVVNELkgFAAAAAAAAAAgAAAAUKEludmFsaWQgSWRlbnRpZmllcimrD5VdOyXeCGcAZBA+Jd4IOkNJUS4uSVFfVE9UQUxfUkVWXzFZUl9BTk5fR1JPV1RILklRX0xUTS4z</t>
  </si>
  <si>
    <t>IgNDT1ABAAAADiJJUV9QUklDRURBVEUiDElRX1BSSUNFREFURQIAAAAMIjExLzI3LzIwMjAiCjExLzI3LzIwMjAAAAAAAwAAAAAAAAAFIkNPUCIDQ09QAQAAAA4iSVFfUFJJQ0VEQVRFIgxJUV9QUklDRURBVEUCAAAADCIxMS8yMC8yMDIwIgoxMS8yMC8yMDIwAAAAAAMAAAAAAAAABSJDT1AiA0NPUAEAAAAOIklRX1BSSUNFREFURSIMSVFfUFJJQ0VEQVRFAgAAAAwiMTEvMTMvMjAyMCIKMTEvMTMvMjAyMOTpZCo9Jd4I2ZLLGT4l3ggeQ0lRLkNPUC5JUV9QUklDRURBVEUuMTEvNy8yMDI1AQAAAE+GBAAFAAAACTExLzcvMjAyNQCTh9mKRCXeCHg9jItEJd4IH0NJUS5DT1AuSVFfUFJJQ0VEQVRFLjEwLzMxLzIwMjUBAAAAT4YEAAUAAAAKMTAvMzEvMjAyNQCTh9mKRCXeCCE+lYtEJd4IH0NJUS5DT1AuSVFfUFJJQ0VEQVRFLjEwLzI0LzIwMjUBAAAAT4YEAAUAAAAKMTAvMjQvMjAyNQCTh9mKRCXeCDPwiYtEJd4IH0NJUS5DT1AuSVFfUFJJQ0VEQVRFLjEwLzE3LzIwMjUBAAAAT4YEAAUAAAAKMTAvMTcvMjAyNQCTh9mKRCXeCMHeiItEJd4IH0NJUS5DT1AuSVFfUFJJQ0VEQVRFLjEwLzEwLzIwMjUBAAAAT4YEAAUAAAAKMTAvMTAvMjAyNQCTh9mKRCXeCFPNh4tEJd4IHkNJUS5DT1AuSVFfUFJJQ0VEQVRFLjEwLzMvMjAyNQEAAABPhgQABQAAAAkxMC8zLzIwMjUAk4fZikQl3gjLlIaLRCXeCB5DSVEuQ09Q</t>
  </si>
  <si>
    <t>LklRX1BSSUNFREFURS45LzI2LzIwMjUBAAAAT4YEAAUAAAAJOS8yNi8yMDI1AP7pxopEJd4ITVyFi0Ql3ggeQ0lRLkNPUC5JUV9QUklDRURBVEUuOS8xOS8yMDI1AQAAAE+GBAAFAAAACTkvMTkvMjAyNQD+6caKRCXeCOJKhItEJd4IHkNJUS5DT1AuSVFfUFJJQ0VEQVRFLjkvMTIvMjAyNQEAAABPhgQABQAAAAk5LzEyLzIwMjUA/unGikQl3ghiEoOLRCXeCB1DSVEuQ09QLklRX1BSSUNFREFURS45LzUvMjAyNQEAAABPhgQABQAAAAg5LzUvMjAyNQD+6caKRCXeCNvZgYtEJd4IHkNJUS5DT1AuSVFfUFJJQ0VEQVRFLjgvMjkvMjAyNQEAAABPhgQABQAAAAk4LzI5LzIwMjUA2vzZikQl3gghPpWLRCXeCB5DSVEuQ09QLklRX1BSSUNFREFURS44LzIyLzIwMjUBAAAAT4YEAAUAAAAJOC8yMi8yMDI1AP7pxopEJd4I/I9/i0Ql3ggeQ0lRLkNPUC5JUV9QUklDRURBVEUuOC8xNS8yMDI1AQAAAE+GBAAFAAAACTgvMTUvMjAyNQD+6caKRCXeCIR+fotEJd4IHUNJUS5DT1AuSVFfUFJJQ0VEQVRFLjgvOC8yMDI1AQAAAE+GBAAFAAAACDgvOC8yMDI1AP7pxopEJd4I/kV9i0Ql3ggdQ0lRLkNPUC5JUV9QUklDRURBVEUuOC8xLzIwMjUBAAAAT4YEAAUAAAAIOC8xLzIwMjUA/unGikQl3giKNHyLRCXeCB5DSVEuQ09QLklRX1BSSUNFREFURS43LzI1LzIwMjUBAAAAT4YEAAUAAAAJNy8yNS8yMDI1AP7pxopEJd4IJCN7</t>
  </si>
  <si>
    <t>i0Ql3ggeQ0lRLkNPUC5JUV9QUklDRURBVEUuNy8xOC8yMDI1AQAAAE+GBAAFAAAACTcvMTgvMjAyNQD+6caKRCXeCISceYtEJd4IHkNJUS5DT1AuSVFfUFJJQ0VEQVRFLjcvMTEvMjAyNQEAAABPhgQABQAAAAk3LzExLzIwMjUA/unGikQl3ggRi3iLRCXeCB1DSVEuQ09QLklRX1BSSUNFREFURS43LzMvMjAyNQEAAABPhgQABQAAAAg3LzMvMjAyNQD+6caKRCXeCI5Sd4tEJd4IHkNJUS5DT1AuSVFfUFJJQ0VEQVRFLjYvMjcvMjAyNQEAAABPhgQABQAAAAk2LzI3LzIwMjUA/unGikQl3ggeQXaLRCXeCB5DSVEuQ09QLklRX1BSSUNFREFURS42LzIwLzIwMjUBAAAAT4YEAAUAAAAJNi8yMC8yMDI1AMBvfIlEJd4IoQh1i0Ql3ggeQ0lRLkNPUC5JUV9QUklDRURBVEUuNi8xMy8yMDI1AQAAAE+GBAAFAAAACTYvMTMvMjAyNQDAb3yJRCXeCCj3c4tEJd4IHUNJUS5DT1AuSVFfUFJJQ0VEQVRFLjYvNi8yMDI1AQAAAE+GBAAFAAAACDYvNi8yMDI1AMBvfIlEJd4Iq75yi0Ql3ggeQ0lRLkNPUC5JUV9QUklDRURBVEUuNS8zMC8yMDI1AQAAAE+GBAAFAAAACTUvMzAvMjAyNQDa/NmKRCXeCB8XlYtEJd4IHkNJUS5DT1AuSVFfUFJJQ0VEQVRFLjUvMjMvMjAyNQEAAABPhgQABQAAAAk1LzIzLzIwMjUAwG98iUQl3gi3TXCLRCXeCB5DSVEuQ09QLklRX1BSSUNFREFURS41LzE2LzIwMjUBAAAAT4YEAAUAAAAJNS8xNi8y</t>
  </si>
  <si>
    <t>MDI1AMBvfIlEJd4IBKBui0Ql3ggdQ0lRLkNPUC5JUV9QUklDRURBVEUuNS85LzIwMjUBAAAAT4YEAAUAAAAINS85LzIwMjUAwG98iUQl3ghW8myLRCXeCB1DSVEuQ09QLklRX1BSSUNFREFURS41LzIvMjAyNQEAAABPhgQABQAAAAg1LzIvMjAyNQDAb3yJRCXeCLVra4tEJd4IHkNJUS5DT1AuSVFfUFJJQ0VEQVRFLjQvMjUvMjAyNQEAAABPhgQABQAAAAk0LzI1LzIwMjUAwG98iUQl3ggIvmmLRCXeCB5DSVEuQ09QLklRX1BSSUNFREFURS40LzE3LzIwMjUBAAAAT4YEAAUAAAAJNC8xNy8yMDI1AMBvfIlEJd4IZDdoi0Ql3ggeQ0lRLkNPUC5JUV9QUklDRURBVEUuNC8xMS8yMDI1AQAAAE+GBAAFAAAACTQvMTEvMjAyNQDAb3yJRCXeCM2wZotEJd4IHUNJUS5DT1AuSVFfUFJJQ0VEQVRFLjQvNC8yMDI1AQAAAE+GBAAFAAAACDQvNC8yMDI1AMBvfIlEJd4IGQNli0Ql3ggeQ0lRLkNPUC5JUV9QUklDRURBVEUuMy8yOC8yMDI1AQAAAE+GBAAFAAAACTMvMjgvMjAyNQDAb3yJRCXeCGNVY4tEJd4IHkNJUS5DT1AuSVFfUFJJQ0VEQVRFLjMvMjEvMjAyNQEAAABPhgQABQAAAAkzLzIxLzIwMjUAwG98iUQl3gjKzmGLRCXeCB5DSVEuQ09QLklRX1BSSUNFREFURS4zLzE0LzIwMjUBAAAAT4YEAAUAAAAJMy8xNC8yMDI1AMBvfIlEJd4IHCFgi0Ql3ggdQ0lRLkNPUC5JUV9QUklDRURBVEUuMy83LzIwMjUBAAAAT4YE</t>
  </si>
  <si>
    <t>AAUAAAAIMy83LzIwMjUAwG98iUQl3ghYTF6LRCXeCB5DSVEuQ09QLklRX1BSSUNFREFURS4yLzI4LzIwMjUBAAAAT4YEAAUAAAAJMi8yOC8yMDI1ANr82YpEJd4IBPCUi0Ql3ggeQ0lRLkNPUC5JUV9QUklDRURBVEUuMi8yMS8yMDI1AQAAAE+GBAAFAAAACTIvMjEvMjAyNQDAb3yJRCXeCAQYW4tEJd4IHkNJUS5DT1AuSVFfUFJJQ0VEQVRFLjIvMTQvMjAyNQEAAABPhgQABQAAAAkyLzE0LzIwMjUAwG98iUQl3ghValmLRCXeCB1DSVEuQ09QLklRX1BSSUNFREFURS4yLzcvMjAyNQEAAABPhgQABQAAAAgyLzcvMjAyNQDAb3yJRCXeCLbjV4tEJd4IHkNJUS5DT1AuSVFfUFJJQ0VEQVRFLjEvMzEvMjAyNQEAAABPhgQABQAAAAkxLzMxLzIwMjUA2vzZikQl3ggfF5WLRCXeCB5DSVEuQ09QLklRX1BSSUNFREFURS4xLzI0LzIwMjUBAAAAT4YEAAUAAAAJMS8yNC8yMDI1AMBvfIlEJd4IUmFUi0Ql3ggeQ0lRLkNPUC5JUV9QUklDRURBVEUuMS8xNy8yMDI1AQAAAE+GBAAFAAAACTEvMTcvMjAyNQDAb3yJRCXeCJyzUotEJd4IHkNJUS5DT1AuSVFfUFJJQ0VEQVRFLjEvMTAvMjAyNQEAAABPhgQABQAAAAkxLzEwLzIwMjUAwG98iUQl3ggOe1GLRCXeCB1DSVEuQ09QLklRX1BSSUNFREFURS4xLzMvMjAyNQEAAABPhgQABQAAAAgxLzMvMjAyNQDAb3yJRCXeCI1CUItEJd4IH0NJUS5DT1AuSVFfUFJJQ0VEQVRFLjEy</t>
  </si>
  <si>
    <t>LzI3LzIwMjQBAAAAT4YEAAUAAAAKMTIvMjcvMjAyNADAb3yJRCXeCA4KT4tEJd4IH0NJUS5DT1AuSVFfUFJJQ0VEQVRFLjEyLzIwLzIwMjQBAAAAT4YEAAUAAAAKMTIvMjAvMjAyNADAb3yJRCXeCJ/4TYtEJd4IH0NJUS5DT1AuSVFfUFJJQ0VEQVRFLjEyLzEzLzIwMjQBAAAAT4YEAAUAAAAKMTIvMTMvMjAyNADAb3yJRCXeCCXATItEJd4IHkNJUS5DT1AuSVFfUFJJQ0VEQVRFLjEyLzYvMjAyNAEAAABPhgQABQAAAAkxMi82LzIwMjQAyJZ8iUQl3ghHqkuLRCXeCB9DSVEuQ09QLklRX1BSSUNFREFURS4xMS8yOS8yMDI0AQAAAE+GBAAFAAAACjExLzI5LzIwMjQA2vzZikQl3ggfF5WLRCXeCB9DSVEuQ09QLklRX1BSSUNFREFURS4xMS8yMi8yMDI0AQAAAE+GBAAFAAAACjExLzIyLzIwMjQAwG98iUQl3gjvV0mLRCXeCB9DSVEuQ09QLklRX1BSSUNFREFURS4xMS8xNS8yMDI0AQAAAE+GBAAFAAAACjExLzE1LzIwMjQAwG98iUQl3ggCL0iLRCXeCB5DSVEuQ09QLklRX1BSSUNFREFURS4xMS84LzIwMjQBAAAAT4YEAAUAAAAJMTEvOC8yMDI0AMBvfIlEJd4IU95Gi0Ql3ggeQ0lRLkNPUC5JUV9QUklDRURBVEUuMTEvMS8yMDI0AQAAAE+GBAAFAAAACTExLzEvMjAyNADAb3yJRCXeCOfMRYtEJd4IH0NJUS5DT1AuSVFfUFJJQ0VEQVRFLjEwLzI1LzIwMjQBAAAAT4YEAAUAAAAKMTAvMjUvMjAyNADAb3yJRCXe</t>
  </si>
  <si>
    <t>CGiURItEJd4IH0NJUS5DT1AuSVFfUFJJQ0VEQVRFLjEwLzE4LzIwMjQBAAAAT4YEAAUAAAAKMTAvMTgvMjAyNADAb3yJRCXeCJ1OQItEJd4IH0NJUS5DT1AuSVFfUFJJQ0VEQVRFLjEwLzExLzIwMjQBAAAAT4YEAAUAAAAKMTAvMTEvMjAyNADAb3yJRCXeCJ1OQItEJd4IHkNJUS5DT1AuSVFfUFJJQ0VEQVRFLjEwLzQvMjAyNAEAAABPhgQABQAAAAkxMC80LzIwMjQAwG98iUQl3gidTkCLRCXeCB5DSVEuQ09QLklRX1BSSUNFREFURS45LzI3LzIwMjQBAAAAT4YEAAUAAAAJOS8yNy8yMDI0AMBvfIlEJd4InU5Ai0Ql3ggeQ0lRLkNPUC5JUV9QUklDRURBVEUuOS8yMC8yMDI0AQAAAE+GBAAFAAAACTkvMjAvMjAyNADAb3yJRCXeCI0nQItEJd4IHkNJUS5DT1AuSVFfUFJJQ0VEQVRFLjkvMTMvMjAyNAEAAABPhgQABQAAAAk5LzEzLzIwMjQAwG98iUQl3gidTkCLRCXeCB1DSVEuQ09QLklRX1BSSUNFREFURS45LzYvMjAyNAEAAABPhgQABQAAAAg5LzYvMjAyNADAb3yJRCXeCJ1OQItEJd4IHkNJUS5DT1AuSVFfUFJJQ0VEQVRFLjgvMzAvMjAyNAEAAABPhgQABQAAAAk4LzMwLzIwMjQA2vzZikQl3ggE8JSLRCXeCB5DSVEuQ09QLklRX1BSSUNFREFURS44LzIzLzIwMjQBAAAAT4YEAAUAAAAJOC8yMy8yMDI0AMBvfIlEJd4IjSdAi0Ql3ggeQ0lRLkNPUC5JUV9QUklDRURBVEUuOC8xNi8yMDI0AQAAAE+GBAAF</t>
  </si>
  <si>
    <t>AAAACTgvMTYvMjAyNADAb3yJRCXeCI0nQItEJd4IHUNJUS5DT1AuSVFfUFJJQ0VEQVRFLjgvOS8yMDI0AQAAAE+GBAAFAAAACDgvOS8yMDI0AMBvfIlEJd4IjSdAi0Ql3ggdQ0lRLkNPUC5JUV9QUklDRURBVEUuOC8yLzIwMjQBAAAAT4YEAAUAAAAIOC8yLzIwMjQAwG98iUQl3giNJ0CLRCXeCB5DSVEuQ09QLklRX1BSSUNFREFURS43LzI2LzIwMjQBAAAAT4YEAAUAAAAJNy8yNi8yMDI0AMBvfIlEJd4IjSdAi0Ql3ggeQ0lRLkNPUC5JUV9QUklDRURBVEUuNy8xOS8yMDI0AQAAAE+GBAAFAAAACTcvMTkvMjAyNADAb3yJRCXeCI0nQItEJd4IHkNJUS5DT1AuSVFfUFJJQ0VEQVRFLjcvMTIvMjAyNAEAAABPhgQABQAAAAk3LzEyLzIwMjQAwG98iUQl3giNJ0CLRCXeCB1DSVEuQ09QLklRX1BSSUNFREFURS43LzUvMjAyNAEAAABPhgQABQAAAAg3LzUvMjAyNADAb3yJRCXeCI0nQItEJd4IHkNJUS5DT1AuSVFfUFJJQ0VEQVRFLjYvMjgvMjAyNAEAAABPhgQABQAAAAk2LzI4LzIwMjQA2vzZikQl3ggE8JSLRCXeCB5DSVEuQ09QLklRX1BSSUNFREFURS42LzIxLzIwMjQBAAAAT4YEAAUAAAAJNi8yMS8yMDI0AMBvfIlEJd4IjSdAi0Ql3ggeQ0lRLkNPUC5JUV9QUklDRURBVEUuNi8xNC8yMDI0AQAAAE+GBAAFAAAACTYvMTQvMjAyNADAb3yJRCXeCI0nQItEJd4IHUNJUS5DT1AuSVFfUFJJQ0VEQVRFLjYvNy8y</t>
  </si>
  <si>
    <t>MDI0AQAAAE+GBAAFAAAACDYvNy8yMDI0AMBvfIlEJd4IjSdAi0Ql3ggeQ0lRLkNPUC5JUV9QUklDRURBVEUuNS8zMS8yMDI0AQAAAE+GBAAFAAAACTUvMzEvMjAyNADa/NmKRCXeCB8XlYtEJd4IHkNJUS5DT1AuSVFfUFJJQ0VEQVRFLjUvMjQvMjAyNAEAAABPhgQABQAAAAk1LzI0LzIwMjQAwG98iUQl3gh/AECLRCXeCB5DSVEuQ09QLklRX1BSSUNFREFURS41LzE3LzIwMjQBAAAAT4YEAAUAAAAJNS8xNy8yMDI0AMBvfIlEJd4IfwBAi0Ql3ggeQ0lRLkNPUC5JUV9QUklDRURBVEUuNS8xMC8yMDI0AQAAAE+GBAAFAAAACTUvMTAvMjAyNADAb3yJRCXeCI0nQItEJd4IHUNJUS5DT1AuSVFfUFJJQ0VEQVRFLjUvMy8yMDI0AQAAAE+GBAAFAAAACDUvMy8yMDI0AMBvfIlEJd4IjSdAi0Ql3ggeQ0lRLkNPUC5JUV9QUklDRURBVEUuNC8yNi8yMDI0AQAAAE+GBAAFAAAACTQvMjYvMjAyNADAb3yJRCXeCH8AQItEJd4IHkNJUS5DT1AuSVFfUFJJQ0VEQVRFLjQvMTkvMjAyNAEAAABPhgQABQAAAAk0LzE5LzIwMjQAwG98iUQl3gh/AECLRCXeCB5DSVEuQ09QLklRX1BSSUNFREFURS40LzEyLzIwMjQBAAAAT4YEAAUAAAAJNC8xMi8yMDI0AMBvfIlEJd4IfwBAi0Ql3ggdQ0lRLkNPUC5JUV9QUklDRURBVEUuNC81LzIwMjQBAAAAT4YEAAUAAAAINC81LzIwMjQAwG98iUQl3gh/AECLRCXeCB5DSVEuQ09QLklRX1BS</t>
  </si>
  <si>
    <t>SUNFREFURS4zLzI4LzIwMjQBAAAAT4YEAAUAAAAJMy8yOC8yMDI0ANr82YpEJd4IBPCUi0Ql3ggeQ0lRLkNPUC5JUV9QUklDRURBVEUuMy8yMi8yMDI0AQAAAE+GBAAFAAAACTMvMjIvMjAyNADAb3yJRCXeCH8AQItEJd4IHkNJUS5DT1AuSVFfUFJJQ0VEQVRFLjMvMTUvMjAyNAEAAABPhgQABQAAAAkzLzE1LzIwMjQAwG98iUQl3gh/AECLRCXeCB1DSVEuQ09QLklRX1BSSUNFREFURS4zLzgvMjAyNAEAAABPhgQABQAAAAgzLzgvMjAyNADAb3yJRCXeCH8AQItEJd4IHUNJUS5DT1AuSVFfUFJJQ0VEQVRFLjMvMS8yMDI0AQAAAE+GBAAFAAAACDMvMS8yMDI0AMBvfIlEJd4IfwBAi0Ql3ggeQ0lRLkNPUC5JUV9QUklDRURBVEUuMi8yMy8yMDI0AQAAAE+GBAAFAAAACTIvMjMvMjAyNADAb3yJRCXeCH8AQItEJd4IHkNJUS5DT1AuSVFfUFJJQ0VEQVRFLjIvMTYvMjAyNAEAAABPhgQABQAAAAkyLzE2LzIwMjQAwG98iUQl3gh/AECLRCXeCB1DSVEuQ09QLklRX1BSSUNFREFURS4yLzkvMjAyNAEAAABPhgQABQAAAAgyLzkvMjAyNADAb3yJRCXeCH8AQItEJd4IHUNJUS5DT1AuSVFfUFJJQ0VEQVRFLjIvMi8yMDI0AQAAAE+GBAAFAAAACDIvMi8yMDI0AMBvfIlEJd4IfwBAi0Ql3ggeQ0lRLkNPUC5JUV9QUklDRURBVEUuMS8yNi8yMDI0AQAAAE+GBAAFAAAACTEvMjYvMjAyNADAb3yJRCXeCH8AQItEJd4IHkNJ</t>
  </si>
  <si>
    <t>US5DT1AuSVFfUFJJQ0VEQVRFLjEvMTkvMjAyNAEAAABPhgQABQAAAAkxLzE5LzIwMjQAwG98iUQl3gh/AECLRCXeCB5DSVEuQ09QLklRX1BSSUNFREFURS4xLzEyLzIwMjQBAAAAT4YEAAUAAAAJMS8xMi8yMDI0AMBvfIlEJd4IfwBAi0Ql3ggdQ0lRLkNPUC5JUV9QUklDRURBVEUuMS81LzIwMjQBAAAAT4YEAAUAAAAIMS81LzIwMjQAwG98iUQl3ghu2T+LRCXeCB9DSVEuQ09QLklRX1BSSUNFREFURS4xMi8yOS8yMDIzAQAAAE+GBAAFAAAACjEyLzI5LzIwMjMA2vzZikQl3ggE8JSLRCXeCB9DSVEuQ09QLklRX1BSSUNFREFURS4xMi8yMi8yMDIzAQAAAE+GBAAFAAAACjEyLzIyLzIwMjMAwG98iUQl3ghu2T+LRCXeCB9DSVEuQ09QLklRX1BSSUNFREFURS4xMi8xNS8yMDIzAQAAAE+GBAAFAAAACjEyLzE1LzIwMjMAwG98iUQl3ghu2T+LRCXeCB5DSVEuQ09QLklRX1BSSUNFREFURS4xMi84LzIwMjMBAAAAT4YEAAUAAAAJMTIvOC8yMDIzAMBvfIlEJd4Ibtk/i0Ql3ggeQ0lRLkNPUC5JUV9QUklDRURBVEUuMTIvMS8yMDIzAQAAAE+GBAAFAAAACTEyLzEvMjAyMwDAb3yJRCXeCG7ZP4tEJd4IH0NJUS5DT1AuSVFfUFJJQ0VEQVRFLjExLzI0LzIwMjMBAAAAT4YEAAUAAAAKMTEvMjQvMjAyMwDAb3yJRCXeCG7ZP4tEJd4IH0NJUS5DT1AuSVFfUFJJQ0VEQVRFLjExLzE3LzIwMjMBAAAAT4YEAAUAAAAKMTEv</t>
  </si>
  <si>
    <t>MTcvMjAyMwDAb3yJRCXeCG7ZP4tEJd4IH0NJUS5DT1AuSVFfUFJJQ0VEQVRFLjExLzEwLzIwMjMBAAAAT4YEAAUAAAAKMTEvMTAvMjAyMwDAb3yJRCXeCG7ZP4tEJd4IHkNJUS5DT1AuSVFfUFJJQ0VEQVRFLjExLzMvMjAyMwEAAABPhgQABQAAAAkxMS8zLzIwMjMAwG98iUQl3ghu2T+LRCXeCB9DSVEuQ09QLklRX1BSSUNFREFURS4xMC8yNy8yMDIzAQAAAE+GBAAFAAAACjEwLzI3LzIwMjMAwG98iUQl3ghu2T+LRCXeCB9DSVEuQ09QLklRX1BSSUNFREFURS4xMC8yMC8yMDIzAQAAAE+GBAAFAAAACjEwLzIwLzIwMjMAwG98iUQl3ghu2T+LRCXeCB9DSVEuQ09QLklRX1BSSUNFREFURS4xMC8xMy8yMDIzAQAAAE+GBAAFAAAACjEwLzEzLzIwMjMAwG98iUQl3ghu2T+LRCXeCB5DSVEuQ09QLklRX1BSSUNFREFURS4xMC82LzIwMjMBAAAAT4YEAAUAAAAJMTAvNi8yMDIzAMBvfIlEJd4Ibtk/i0Ql3ggeQ0lRLkNPUC5JUV9QUklDRURBVEUuOS8yOS8yMDIzAQAAAE+GBAAFAAAACTkvMjkvMjAyMwDa/NmKRCXeCATwlItEJd4IHkNJUS5DT1AuSVFfUFJJQ0VEQVRFLjkvMjIvMjAyMwEAAABPhgQABQAAAAk5LzIyLzIwMjMAwG98iUQl3ghu2T+LRCXeCB5DSVEuQ09QLklRX1BSSUNFREFURS45LzE1LzIwMjMBAAAAT4YEAAUAAAAJOS8xNS8yMDIzAMBvfIlEJd4Ibtk/i0Ql3ggdQ0lRLkNPUC5JUV9QUklDRURB</t>
  </si>
  <si>
    <t>VEUuOS84LzIwMjMBAAAAT4YEAAUAAAAIOS84LzIwMjMAwG98iUQl3ghu2T+LRCXeCB1DSVEuQ09QLklRX1BSSUNFREFURS45LzEvMjAyMwEAAABPhgQABQAAAAg5LzEvMjAyMwDAb3yJRCXeCF+yP4tEJd4IHkNJUS5DT1AuSVFfUFJJQ0VEQVRFLjgvMjUvMjAyMwEAAABPhgQABQAAAAk4LzI1LzIwMjMAwG98iUQl3ghfsj+LRCXeCB5DSVEuQ09QLklRX1BSSUNFREFURS44LzE4LzIwMjMBAAAAT4YEAAUAAAAJOC8xOC8yMDIzAMBvfIlEJd4IX7I/i0Ql3ggeQ0lRLkNPUC5JUV9QUklDRURBVEUuOC8xMS8yMDIzAQAAAE+GBAAFAAAACTgvMTEvMjAyMwDAb3yJRCXeCF+yP4tEJd4IHUNJUS5DT1AuSVFfUFJJQ0VEQVRFLjgvNC8yMDIzAQAAAE+GBAAFAAAACDgvNC8yMDIzAMBvfIlEJd4IX7I/i0Ql3ggeQ0lRLkNPUC5JUV9QUklDRURBVEUuNy8yOC8yMDIzAQAAAE+GBAAFAAAACTcvMjgvMjAyMwDAb3yJRCXeCF+yP4tEJd4IHkNJUS5DT1AuSVFfUFJJQ0VEQVRFLjcvMjEvMjAyMwEAAABPhgQABQAAAAk3LzIxLzIwMjMAwG98iUQl3ghfsj+LRCXeCB5DSVEuQ09QLklRX1BSSUNFREFURS43LzE0LzIwMjMBAAAAT4YEAAUAAAAJNy8xNC8yMDIzAMBvfIlEJd4IX7I/i0Ql3ggdQ0lRLkNPUC5JUV9QUklDRURBVEUuNy83LzIwMjMBAAAAT4YEAAUAAAAINy83LzIwMjMAwG98iUQl3ghfsj+LRCXeCB5DSVEuQ09Q</t>
  </si>
  <si>
    <t>LklRX1BSSUNFREFURS42LzMwLzIwMjMBAAAAT4YEAAUAAAAJNi8zMC8yMDIzANr82YpEJd4IHxeVi0Ql3ggeQ0lRLkNPUC5JUV9QUklDRURBVEUuNi8yMy8yMDIzAQAAAE+GBAAFAAAACTYvMjMvMjAyMwDAb3yJRCXeCF+yP4tEJd4IHkNJUS5DT1AuSVFfUFJJQ0VEQVRFLjYvMTYvMjAyMwEAAABPhgQABQAAAAk2LzE2LzIwMjMAwG98iUQl3ghfsj+LRCXeCB1DSVEuQ09QLklRX1BSSUNFREFURS42LzkvMjAyMwEAAABPhgQABQAAAAg2LzkvMjAyMwDAb3yJRCXeCF+yP4tEJd4IHUNJUS5DT1AuSVFfUFJJQ0VEQVRFLjYvMi8yMDIzAQAAAE+GBAAFAAAACDYvMi8yMDIzAMBvfIlEJd4IX7I/i0Ql3ggeQ0lRLkNPUC5JUV9QUklDRURBVEUuNS8yNi8yMDIzAQAAAE+GBAAFAAAACTUvMjYvMjAyMwDAb3yJRCXeCF+yP4tEJd4IHkNJUS5DT1AuSVFfUFJJQ0VEQVRFLjUvMTkvMjAyMwEAAABPhgQABQAAAAk1LzE5LzIwMjMAwG98iUQl3ghfsj+LRCXeCB5DSVEuQ09QLklRX1BSSUNFREFURS41LzEyLzIwMjMBAAAAT4YEAAUAAAAJNS8xMi8yMDIzAMBvfIlEJd4IX7I/i0Ql3ggdQ0lRLkNPUC5JUV9QUklDRURBVEUuNS81LzIwMjMBAAAAT4YEAAUAAAAINS81LzIwMjMAwG98iUQl3ghfsj+LRCXeCB5DSVEuQ09QLklRX1BSSUNFREFURS40LzI4LzIwMjMBAAAAT4YEAAUAAAAJNC8yOC8yMDIzANr82YpEJd4IHxeV</t>
  </si>
  <si>
    <t>i0Ql3ggeQ0lRLkNPUC5JUV9QUklDRURBVEUuNC8yMS8yMDIzAQAAAE+GBAAFAAAACTQvMjEvMjAyMwDAb3yJRCXeCF+yP4tEJd4IHkNJUS5DT1AuSVFfUFJJQ0VEQVRFLjQvMTQvMjAyMwEAAABPhgQABQAAAAk0LzE0LzIwMjMAwG98iUQl3ghfsj+LRCXeCB1DSVEuQ09QLklRX1BSSUNFREFURS40LzYvMjAyMwEAAABPhgQABQAAAAg0LzYvMjAyMwDAb3yJRCXeCF+yP4tEJd4IHkNJUS5DT1AuSVFfUFJJQ0VEQVRFLjMvMzEvMjAyMwEAAABPhgQABQAAAAkzLzMxLzIwMjMA2vzZikQl3ggfF5WLRCXeCB5DSVEuQ09QLklRX1BSSUNFREFURS4zLzI0LzIwMjMBAAAAT4YEAAUAAAAJMy8yNC8yMDIzAMBvfIlEJd4IX7I/i0Ql3ggeQ0lRLkNPUC5JUV9QUklDRURBVEUuMy8xNy8yMDIzAQAAAE+GBAAFAAAACTMvMTcvMjAyMwDAb3yJRCXeCF+yP4tEJd4IHkNJUS5DT1AuSVFfUFJJQ0VEQVRFLjMvMTAvMjAyMwEAAABPhgQABQAAAAkzLzEwLzIwMjMAwG98iUQl3ghfsj+LRCXeCB1DSVEuQ09QLklRX1BSSUNFREFURS4zLzMvMjAyMwEAAABPhgQABQAAAAgzLzMvMjAyMwDAb3yJRCXeCF+yP4tEJd4IHkNJUS5DT1AuSVFfUFJJQ0VEQVRFLjIvMjQvMjAyMwEAAABPhgQABQAAAAkyLzI0LzIwMjMAwG98iUQl3ghfsj+LRCXeCB5DSVEuQ09QLklRX1BSSUNFREFURS4yLzE3LzIwMjMBAAAAT4YEAAUAAAAJMi8xNy8y</t>
  </si>
  <si>
    <t>MDIzAMBvfIlEJd4IT4s/i0Ql3ggeQ0lRLkNPUC5JUV9QUklDRURBVEUuMi8xMC8yMDIzAQAAAE+GBAAFAAAACTIvMTAvMjAyMwDAb3yJRCXeCE+LP4tEJd4IHUNJUS5DT1AuSVFfUFJJQ0VEQVRFLjIvMy8yMDIzAQAAAE+GBAAFAAAACDIvMy8yMDIzAMBvfIlEJd4IT4s/i0Ql3ggeQ0lRLkNPUC5JUV9QUklDRURBVEUuMS8yNy8yMDIzAQAAAE+GBAAFAAAACTEvMjcvMjAyMwDAb3yJRCXeCF+yP4tEJd4IHkNJUS5DT1AuSVFfUFJJQ0VEQVRFLjEvMjAvMjAyMwEAAABPhgQABQAAAAkxLzIwLzIwMjMAwG98iUQl3ghfsj+LRCXeCB5DSVEuQ09QLklRX1BSSUNFREFURS4xLzEzLzIwMjMBAAAAT4YEAAUAAAAJMS8xMy8yMDIzAMBvfIlEJd4IX7I/i0Ql3ggdQ0lRLkNPUC5JUV9QUklDRURBVEUuMS82LzIwMjMBAAAAT4YEAAUAAAAIMS82LzIwMjMAwG98iUQl3ghPiz+LRCXeCB9DSVEuQ09QLklRX1BSSUNFREFURS4xMi8zMC8yMDIyAQAAAE+GBAAFAAAACjEyLzMwLzIwMjIA2vzZikQl3ggE8JSLRCXeCB9DSVEuQ09QLklRX1BSSUNFREFURS4xMi8yMy8yMDIyAQAAAE+GBAAFAAAACjEyLzIzLzIwMjIAwG98iUQl3ghPiz+LRCXeCB9DSVEuQ09QLklRX1BSSUNFREFURS4xMi8xNi8yMDIyAQAAAE+GBAAFAAAACjEyLzE2LzIwMjIAyJZ8iUQl3ghPiz+LRCXeCB5DSVEuQ09QLklRX1BSSUNFREFURS4xMi85LzIw</t>
  </si>
  <si>
    <t>MjIBAAAAT4YEAAUAAAAJMTIvOS8yMDIyAMiWfIlEJd4IT4s/i0Ql3ggeQ0lRLkNPUC5JUV9QUklDRURBVEUuMTIvMi8yMDIyAQAAAE+GBAAFAAAACTEyLzIvMjAyMgDIlnyJRCXeCE+LP4tEJd4IH0NJUS5DT1AuSVFfUFJJQ0VEQVRFLjExLzI1LzIwMjIBAAAAT4YEAAUAAAAKMTEvMjUvMjAyMgDIlnyJRCXeCE+LP4tEJd4IH0NJUS5DT1AuSVFfUFJJQ0VEQVRFLjExLzE4LzIwMjIBAAAAT4YEAAUAAAAKMTEvMTgvMjAyMgDIlnyJRCXeCE+LP4tEJd4IH0NJUS5DT1AuSVFfUFJJQ0VEQVRFLjExLzExLzIwMjIBAAAAT4YEAAUAAAAKMTEvMTEvMjAyMgDIlnyJRCXeCE+LP4tEJd4IHkNJUS5DT1AuSVFfUFJJQ0VEQVRFLjExLzQvMjAyMgEAAABPhgQABQAAAAkxMS80LzIwMjIAyJZ8iUQl3ghPiz+LRCXeCB9DSVEuQ09QLklRX1BSSUNFREFURS4xMC8yOC8yMDIyAQAAAE+GBAAFAAAACjEwLzI4LzIwMjIAyJZ8iUQl3ghPiz+LRCXeCB9DSVEuQ09QLklRX1BSSUNFREFURS4xMC8yMS8yMDIyAQAAAE+GBAAFAAAACjEwLzIxLzIwMjIAyJZ8iUQl3ghPiz+LRCXeCB9DSVEuQ09QLklRX1BSSUNFREFURS4xMC8xNC8yMDIyAQAAAE+GBAAFAAAACjEwLzE0LzIwMjIAyJZ8iUQl3ghPiz+LRCXeCB5DSVEuQ09QLklRX1BSSUNFREFURS4xMC83LzIwMjIBAAAAT4YEAAUAAAAJMTAvNy8yMDIyAMiWfIlEJd4IT4s/i0Ql</t>
  </si>
  <si>
    <t>3ggeQ0lRLkNPUC5JUV9QUklDRURBVEUuOS8zMC8yMDIyAQAAAE+GBAAFAAAACTkvMzAvMjAyMgDa/NmKRCXeCATwlItEJd4IHkNJUS5DT1AuSVFfUFJJQ0VEQVRFLjkvMjMvMjAyMgEAAABPhgQABQAAAAk5LzIzLzIwMjIAyJZ8iUQl3ghPiz+LRCXeCB5DSVEuQ09QLklRX1BSSUNFREFURS45LzE2LzIwMjIBAAAAT4YEAAUAAAAJOS8xNi8yMDIyAMiWfIlEJd4IT4s/i0Ql3ggdQ0lRLkNPUC5JUV9QUklDRURBVEUuOS85LzIwMjIBAAAAT4YEAAUAAAAIOS85LzIwMjIAyJZ8iUQl3ghPiz+LRCXeCB1DSVEuQ09QLklRX1BSSUNFREFURS45LzIvMjAyMgEAAABPhgQABQAAAAg5LzIvMjAyMgDIlnyJRCXeCE+LP4tEJd4IHkNJUS5DT1AuSVFfUFJJQ0VEQVRFLjgvMjYvMjAyMgEAAABPhgQABQAAAAk4LzI2LzIwMjIAyJZ8iUQl3ghPiz+LRCXeCB5DSVEuQ09QLklRX1BSSUNFREFURS44LzE5LzIwMjIBAAAAT4YEAAUAAAAJOC8xOS8yMDIyAMiWfIlEJd4IT4s/i0Ql3ggeQ0lRLkNPUC5JUV9QUklDRURBVEUuOC8xMi8yMDIyAQAAAE+GBAAFAAAACTgvMTIvMjAyMgDIlnyJRCXeCE+LP4tEJd4IHUNJUS5DT1AuSVFfUFJJQ0VEQVRFLjgvNS8yMDIyAQAAAE+GBAAFAAAACDgvNS8yMDIyAMiWfIlEJd4IT4s/i0Ql3ggeQ0lRLkNPUC5JUV9QUklDRURBVEUuNy8yOS8yMDIyAQAAAE+GBAAFAAAACTcvMjkvMjAyMgDa</t>
  </si>
  <si>
    <t>/NmKRCXeCB8XlYtEJd4IHkNJUS5DT1AuSVFfUFJJQ0VEQVRFLjcvMjIvMjAyMgEAAABPhgQABQAAAAk3LzIyLzIwMjIAyJZ8iUQl3ghWZD+LRCXeCB5DSVEuQ09QLklRX1BSSUNFREFURS43LzE1LzIwMjIBAAAAT4YEAAUAAAAJNy8xNS8yMDIyAMiWfIlEJd4IT4s/i0Ql3ggdQ0lRLkNPUC5JUV9QUklDRURBVEUuNy84LzIwMjIBAAAAT4YEAAUAAAAINy84LzIwMjIAyJZ8iUQl3ghPiz+LRCXeCB1DSVEuQ09QLklRX1BSSUNFREFURS43LzEvMjAyMgEAAABPhgQABQAAAAg3LzEvMjAyMgDIlnyJRCXeCE+LP4tEJd4IHkNJUS5DT1AuSVFfUFJJQ0VEQVRFLjYvMjQvMjAyMgEAAABPhgQABQAAAAk2LzI0LzIwMjIAyJZ8iUQl3ghPiz+LRCXeCB5DSVEuQ09QLklRX1BSSUNFREFURS42LzE3LzIwMjIBAAAAT4YEAAUAAAAJNi8xNy8yMDIyAMiWfIlEJd4IT4s/i0Ql3ggeQ0lRLkNPUC5JUV9QUklDRURBVEUuNi8xMC8yMDIyAQAAAE+GBAAFAAAACTYvMTAvMjAyMgDIlnyJRCXeCFZkP4tEJd4IHUNJUS5DT1AuSVFfUFJJQ0VEQVRFLjYvMy8yMDIyAQAAAE+GBAAFAAAACDYvMy8yMDIyAMiWfIlEJd4IVmQ/i0Ql3ggeQ0lRLkNPUC5JUV9QUklDRURBVEUuNS8yNy8yMDIyAQAAAE+GBAAFAAAACTUvMjcvMjAyMgDIlnyJRCXeCFZkP4tEJd4IHkNJUS5DT1AuSVFfUFJJQ0VEQVRFLjUvMjAvMjAyMgEAAABPhgQABQAA</t>
  </si>
  <si>
    <t>AAk1LzIwLzIwMjIAyJZ8iUQl3ghWZD+LRCXeCB5DSVEuQ09QLklRX1BSSUNFREFURS41LzEzLzIwMjIBAAAAT4YEAAUAAAAJNS8xMy8yMDIyAMiWfIlEJd4IVmQ/i0Ql3ggdQ0lRLkNPUC5JUV9QUklDRURBVEUuNS82LzIwMjIBAAAAT4YEAAUAAAAINS82LzIwMjIAyJZ8iUQl3ghWZD+LRCXeCB5DSVEuQ09QLklRX1BSSUNFREFURS40LzI5LzIwMjIBAAAAT4YEAAUAAAAJNC8yOS8yMDIyANr82YpEJd4IBPCUi0Ql3ggeQ0lRLkNPUC5JUV9QUklDRURBVEUuNC8yMi8yMDIyAQAAAE+GBAAFAAAACTQvMjIvMjAyMgDIlnyJRCXeCFZkP4tEJd4IHkNJUS5DT1AuSVFfUFJJQ0VEQVRFLjQvMTQvMjAyMgEAAABPhgQABQAAAAk0LzE0LzIwMjIAyJZ8iUQl3ghWZD+LRCXeCB1DSVEuQ09QLklRX1BSSUNFREFURS40LzgvMjAyMgEAAABPhgQABQAAAAg0LzgvMjAyMgDIlnyJRCXeCFZkP4tEJd4IHUNJUS5DT1AuSVFfUFJJQ0VEQVRFLjQvMS8yMDIyAQAAAE+GBAAFAAAACDQvMS8yMDIyAMiWfIlEJd4IVmQ/i0Ql3ggeQ0lRLkNPUC5JUV9QUklDRURBVEUuMy8yNS8yMDIyAQAAAE+GBAAFAAAACTMvMjUvMjAyMgDIlnyJRCXeCFZkP4tEJd4IHkNJUS5DT1AuSVFfUFJJQ0VEQVRFLjMvMTgvMjAyMgEAAABPhgQABQAAAAkzLzE4LzIwMjIAyJZ8iUQl3ghWZD+LRCXeCB5DSVEuQ09QLklRX1BSSUNFREFURS4zLzExLzIw</t>
  </si>
  <si>
    <t>MjIBAAAAT4YEAAUAAAAJMy8xMS8yMDIyAMiWfIlEJd4IVmQ/i0Ql3ggdQ0lRLkNPUC5JUV9QUklDRURBVEUuMy80LzIwMjIBAAAAT4YEAAUAAAAIMy80LzIwMjIAyJZ8iUQl3ghWZD+LRCXeCB5DSVEuQ09QLklRX1BSSUNFREFURS4yLzI1LzIwMjIBAAAAT4YEAAUAAAAJMi8yNS8yMDIyAMiWfIlEJd4IVmQ/i0Ql3ggeQ0lRLkNPUC5JUV9QUklDRURBVEUuMi8xOC8yMDIyAQAAAE+GBAAFAAAACTIvMTgvMjAyMgDIlnyJRCXeCFZkP4tEJd4IHkNJUS5DT1AuSVFfUFJJQ0VEQVRFLjIvMTEvMjAyMgEAAABPhgQABQAAAAkyLzExLzIwMjIAyJZ8iUQl3ghWZD+LRCXeCB1DSVEuQ09QLklRX1BSSUNFREFURS4yLzQvMjAyMgEAAABPhgQABQAAAAgyLzQvMjAyMgDIlnyJRCXeCFZkP4tEJd4IHkNJUS5DT1AuSVFfUFJJQ0VEQVRFLjEvMjgvMjAyMgEAAABPhgQABQAAAAkxLzI4LzIwMjIAyJZ8iUQl3ghWZD+LRCXeCB5DSVEuQ09QLklRX1BSSUNFREFURS4xLzIxLzIwMjIBAAAAT4YEAAUAAAAJMS8yMS8yMDIyAMiWfIlEJd4IVmQ/i0Ql3ggeQ0lRLkNPUC5JUV9QUklDRURBVEUuMS8xNC8yMDIyAQAAAE+GBAAFAAAACTEvMTQvMjAyMgDIlnyJRCXeCFZkP4tEJd4IHUNJUS5DT1AuSVFfUFJJQ0VEQVRFLjEvNy8yMDIyAQAAAE+GBAAFAAAACDEvNy8yMDIyAMiWfIlEJd4IVmQ/i0Ql3ggfQ0lRLkNPUC5JUV9QUklD</t>
  </si>
  <si>
    <t>RURBVEUuMTIvMzEvMjAyMQEAAABPhgQABQAAAAoxMi8zMS8yMDIxANr82YpEJd4IBPCUi0Ql3ggfQ0lRLkNPUC5JUV9QUklDRURBVEUuMTIvMjMvMjAyMQEAAABPhgQABQAAAAoxMi8yMy8yMDIxAMiWfIlEJd4IVmQ/i0Ql3ggfQ0lRLkNPUC5JUV9QUklDRURBVEUuMTIvMTcvMjAyMQEAAABPhgQABQAAAAoxMi8xNy8yMDIxAMiWfIlEJd4IVmQ/i0Ql3ggfQ0lRLkNPUC5JUV9QUklDRURBVEUuMTIvMTAvMjAyMQEAAABPhgQABQAAAAoxMi8xMC8yMDIxAMiWfIlEJd4IVmQ/i0Ql3ggeQ0lRLkNPUC5JUV9QUklDRURBVEUuMTIvMy8yMDIxAQAAAE+GBAAFAAAACTEyLzMvMjAyMQDIlnyJRCXeCFZkP4tEJd4IH0NJUS5DT1AuSVFfUFJJQ0VEQVRFLjExLzI2LzIwMjEBAAAAT4YEAAUAAAAKMTEvMjYvMjAyMQDIlnyJRCXeCFZkP4tEJd4IH0NJUS5DT1AuSVFfUFJJQ0VEQVRFLjExLzE5LzIwMjEBAAAAT4YEAAUAAAAKMTEvMTkvMjAyMQDIlnyJRCXeCFZkP4tEJd4IH0NJUS5DT1AuSVFfUFJJQ0VEQVRFLjExLzEyLzIwMjEBAAAAT4YEAAUAAAAKMTEvMTIvMjAyMQDIlnyJRCXeCC89P4tEJd4IHkNJUS5DT1AuSVFfUFJJQ0VEQVRFLjExLzUvMjAyMQEAAABPhgQABQAAAAkxMS81LzIwMjEAyJZ8iUQl3ggvPT+LRCXeCB9DSVEuQ09QLklRX1BSSUNFREFURS4xMC8yOS8yMDIxAQAAAE+GBAAFAAAACjEwLzI5LzIw</t>
  </si>
  <si>
    <t>MjEA2vzZikQl3ggE8JSLRCXeCB9DSVEuQ09QLklRX1BSSUNFREFURS4xMC8yMi8yMDIxAQAAAE+GBAAFAAAACjEwLzIyLzIwMjEAyJZ8iUQl3ghWZD+LRCXeCB9DSVEuQ09QLklRX1BSSUNFREFURS4xMC8xNS8yMDIxAQAAAE+GBAAFAAAACjEwLzE1LzIwMjEAyJZ8iUQl3ghWZD+LRCXeCB5DSVEuQ09QLklRX1BSSUNFREFURS4xMC84LzIwMjEBAAAAT4YEAAUAAAAJMTAvOC8yMDIxAMiWfIlEJd4IVmQ/i0Ql3ggeQ0lRLkNPUC5JUV9QUklDRURBVEUuMTAvMS8yMDIxAQAAAE+GBAAFAAAACTEwLzEvMjAyMQDIlnyJRCXeCC89P4tEJd4IHkNJUS5DT1AuSVFfUFJJQ0VEQVRFLjkvMjQvMjAyMQEAAABPhgQABQAAAAk5LzI0LzIwMjEAyJZ8iUQl3ggvPT+LRCXeCB5DSVEuQ09QLklRX1BSSUNFREFURS45LzE3LzIwMjEBAAAAT4YEAAUAAAAJOS8xNy8yMDIxAMiWfIlEJd4ILz0/i0Ql3ggeQ0lRLkNPUC5JUV9QUklDRURBVEUuOS8xMC8yMDIxAQAAAE+GBAAFAAAACTkvMTAvMjAyMQDIlnyJRCXeCC89P4tEJd4IHUNJUS5DT1AuSVFfUFJJQ0VEQVRFLjkvMy8yMDIxAQAAAE+GBAAFAAAACDkvMy8yMDIxAMiWfIlEJd4ILz0/i0Ql3ggeQ0lRLkNPUC5JUV9QUklDRURBVEUuOC8yNy8yMDIxAQAAAE+GBAAFAAAACTgvMjcvMjAyMQDIlnyJRCXeCC89P4tEJd4IHkNJUS5DT1AuSVFfUFJJQ0VEQVRFLjgvMjAvMjAy</t>
  </si>
  <si>
    <t>MQEAAABPhgQABQAAAAk4LzIwLzIwMjEAyJZ8iUQl3ggvPT+LRCXeCB5DSVEuQ09QLklRX1BSSUNFREFURS44LzEzLzIwMjEBAAAAT4YEAAUAAAAJOC8xMy8yMDIxAMiWfIlEJd4ILz0/i0Ql3ggdQ0lRLkNPUC5JUV9QUklDRURBVEUuOC82LzIwMjEBAAAAT4YEAAUAAAAIOC82LzIwMjEAyJZ8iUQl3ggvPT+LRCXeCB5DSVEuQ09QLklRX1BSSUNFREFURS43LzMwLzIwMjEBAAAAT4YEAAUAAAAJNy8zMC8yMDIxANr82YpEJd4IBPCUi0Ql3ggeQ0lRLkNPUC5JUV9QUklDRURBVEUuNy8yMy8yMDIxAQAAAE+GBAAFAAAACTcvMjMvMjAyMQDIlnyJRCXeCC89P4tEJd4IHkNJUS5DT1AuSVFfUFJJQ0VEQVRFLjcvMTYvMjAyMQEAAABPhgQABQAAAAk3LzE2LzIwMjEAyJZ8iUQl3ggvPT+LRCXeCB1DSVEuQ09QLklRX1BSSUNFREFURS43LzkvMjAyMQEAAABPhgQABQAAAAg3LzkvMjAyMQDIlnyJRCXeCC89P4tEJd4IHUNJUS5DT1AuSVFfUFJJQ0VEQVRFLjcvMi8yMDIxAQAAAE+GBAAFAAAACDcvMi8yMDIxAMiWfIlEJd4ILz0/i0Ql3ggeQ0lRLkNPUC5JUV9QUklDRURBVEUuNi8yNS8yMDIxAQAAAE+GBAAFAAAACTYvMjUvMjAyMQDIlnyJRCXeCC89P4tEJd4IHkNJUS5DT1AuSVFfUFJJQ0VEQVRFLjYvMTgvMjAyMQEAAABPhgQABQAAAAk2LzE4LzIwMjEAyJZ8iUQl3ggvPT+LRCXeCB5DSVEuQ09QLklRX1BSSUNF</t>
  </si>
  <si>
    <t>REFURS42LzExLzIwMjEBAAAAT4YEAAUAAAAJNi8xMS8yMDIxAMiWfIlEJd4ILz0/i0Ql3ggdQ0lRLkNPUC5JUV9QUklDRURBVEUuNi80LzIwMjEBAAAAT4YEAAUAAAAINi80LzIwMjEAyJZ8iUQl3ggvPT+LRCXeCB5DSVEuQ09QLklRX1BSSUNFREFURS41LzI4LzIwMjEBAAAAT4YEAAUAAAAJNS8yOC8yMDIxANr82YpEJd4IHxeVi0Ql3ggeQ0lRLkNPUC5JUV9QUklDRURBVEUuNS8yMS8yMDIxAQAAAE+GBAAFAAAACTUvMjEvMjAyMQDIlnyJRCXeCC89P4tEJd4IHkNJUS5DT1AuSVFfUFJJQ0VEQVRFLjUvMTQvMjAyMQEAAABPhgQABQAAAAk1LzE0LzIwMjEAyJZ8iUQl3ggvPT+LRCXeCB1DSVEuQ09QLklRX1BSSUNFREFURS41LzcvMjAyMQEAAABPhgQABQAAAAg1LzcvMjAyMQDIlnyJRCXeCC89P4tEJd4IHkNJUS5DT1AuSVFfUFJJQ0VEQVRFLjQvMzAvMjAyMQEAAABPhgQABQAAAAk0LzMwLzIwMjEA2vzZikQl3gj3yJSLRCXeCB5DSVEuQ09QLklRX1BSSUNFREFURS40LzIzLzIwMjEBAAAAT4YEAAUAAAAJNC8yMy8yMDIxAMiWfIlEJd4ILz0/i0Ql3ggeQ0lRLkNPUC5JUV9QUklDRURBVEUuNC8xNi8yMDIxAQAAAE+GBAAFAAAACTQvMTYvMjAyMQDIlnyJRCXeCC89P4tEJd4IHUNJUS5DT1AuSVFfUFJJQ0VEQVRFLjQvOS8yMDIxAQAAAE+GBAAFAAAACDQvOS8yMDIxAMiWfIlEJd4ILz0/i0Ql3ggdQ0lR</t>
  </si>
  <si>
    <t>LkNPUC5JUV9QUklDRURBVEUuNC8xLzIwMjEBAAAAT4YEAAUAAAAINC8xLzIwMjEAyJZ8iUQl3ggvPT+LRCXeCB5DSVEuQ09QLklRX1BSSUNFREFURS4zLzI2LzIwMjEBAAAAT4YEAAUAAAAJMy8yNi8yMDIxAMiWfIlEJd4ILz0/i0Ql3ggeQ0lRLkNPUC5JUV9QUklDRURBVEUuMy8xOS8yMDIxAQAAAE+GBAAFAAAACTMvMTkvMjAyMQDIlnyJRCXeCC89P4tEJd4IHkNJUS5DT1AuSVFfUFJJQ0VEQVRFLjMvMTIvMjAyMQEAAABPhgQABQAAAAkzLzEyLzIwMjEAyJZ8iUQl3ggvPT+LRCXeCB1DSVEuQ09QLklRX1BSSUNFREFURS4zLzUvMjAyMQEAAABPhgQABQAAAAgzLzUvMjAyMQDIlnyJRCXeCCcWP4tEJd4IHkNJUS5DT1AuSVFfUFJJQ0VEQVRFLjIvMjYvMjAyMQEAAABPhgQABQAAAAkyLzI2LzIwMjEA2vzZikQl3ggE8JSLRCXeCB5DSVEuQ09QLklRX1BSSUNFREFURS4yLzE5LzIwMjEBAAAAT4YEAAUAAAAJMi8xOS8yMDIxAMiWfIlEJd4IJxY/i0Ql3ggeQ0lRLkNPUC5JUV9QUklDRURBVEUuMi8xMi8yMDIxAQAAAE+GBAAFAAAACTIvMTIvMjAyMQDIlnyJRCXeCCcWP4tEJd4IHUNJUS5DT1AuSVFfUFJJQ0VEQVRFLjIvNS8yMDIxAQAAAE+GBAAFAAAACDIvNS8yMDIxAMiWfIlEJd4ILz0/i0Ql3ggeQ0lRLkNPUC5JUV9QUklDRURBVEUuMS8yOS8yMDIxAQAAAE+GBAAFAAAACTEvMjkvMjAyMQDa/NmKRCXe</t>
  </si>
  <si>
    <t>CPfIlItEJd4IHkNJUS5DT1AuSVFfUFJJQ0VEQVRFLjEvMjIvMjAyMQEAAABPhgQABQAAAAkxLzIyLzIwMjEA2718iUQl3ggnFj+LRCXeCB5DSVEuQ09QLklRX1BSSUNFREFURS4xLzE1LzIwMjEBAAAAT4YEAAUAAAAJMS8xNS8yMDIxANu9fIlEJd4IJxY/i0Ql3ggdQ0lRLkNPUC5JUV9QUklDRURBVEUuMS84LzIwMjEBAAAAT4YEAAUAAAAIMS84LzIwMjEA2718iUQl3ggnFj+LRCXeCB9DSVEuQ09QLklRX1BSSUNFREFURS4xMi8zMS8yMDIwAQAAAE+GBAAFAAAACjEyLzMxLzIwMjAA2vzZikQl3ggE8JSLRCXeCB9DSVEuQ09QLklRX1BSSUNFREFURS4xMi8yNC8yMDIwAQAAAE+GBAAFAAAACjEyLzI0LzIwMjAA2718iUQl3ggnFj+LRCXeCB9DSVEuQ09QLklRX1BSSUNFREFURS4xMi8xOC8yMDIwAQAAAE+GBAAFAAAACjEyLzE4LzIwMjAA2718iUQl3ggnFj+LRCXeCB9DSVEuQ09QLklRX1BSSUNFREFURS4xMi8xMS8yMDIwAQAAAE+GBAAFAAAACjEyLzExLzIwMjAA2718iUQl3ggnFj+LRCXeCB5DSVEuQ09QLklRX1BSSUNFREFURS4xMi80LzIwMjABAAAAT4YEAAUAAAAJMTIvNC8yMDIwANu9fIlEJd4IJxY/i0Ql3ggfQ0lRLkNPUC5JUV9QUklDRURBVEUuMTEvMjcvMjAyMAEAAABPhgQABQAAAAoxMS8yNy8yMDIwANu9fIlEJd4IJxY/i0Ql3ggfQ0lRLkNPUC5JUV9QUklDRURBVEUuMTEvMjAvMjAyMAEA</t>
  </si>
  <si>
    <t>AABPhgQABQAAAAoxMS8yMC8yMDIwANu9fIlEJd4IJxY/i0Ql3ggfQ0lRLkNPUC5JUV9QUklDRURBVEUuMTEvMTMvMjAyMAEAAABPhgQABQAAAAoxMS8xMy8yMDIwANu9fIlEJd4IJxY/i0Ql3ghIQ0lRUkFOR0VWLl5DTC5JUV9DTE9TRVBSSUNFLjExLzEyLzIwMjAuMTEvMTIvMjAyNS4uLkRFU0MuVy5JUV9DTE9TRVBSSUNFBAAAAFOANQMFAQAAAgAAAAU1OS43NQIAAAAFNjAuOTgCAAAABDYxLjUCAAAABTU3LjE1AgAAAAU1OC40OAIAAAAFNjAuNTMCAAAABTY1LjE0AgAAAAQ2Mi40AgAAAAU2Mi4xOQIAAAAFNjEuMTgCAAAABTY0LjAxAgAAAAU2My42NgIAAAAFNjEuOTgCAAAABTYzLjg4AgAAAAU2Ny4zMwIAAAAFNjUuMTYCAAAABTY2LjA1AgAAAAU2Ny4wNAIAAAACNjcCAAAABTY1LjUyAgAAAAU3My44NAIAAAAFNzEuMjkCAAAABTY0LjU4AgAAAAU2MC43OQIAAAAFNjEuNTMCAAAABTYxLjk3AgAAAAU2MC41OAIAAAAFNTguMjkCAAAABTYzLjAyAgAAAAU2NC4wMQIAAAAENjAuOQIAAAAFNjEuOTkCAAAABTY5LjM2AgAAAAU2OC4yOAIAAAAFNjYuOTECAAAABTY3LjA0AgAAAAU2OS43NgIAAAAENzAuNAIAAAAFNzAuNzECAAAAAjcxAgAAAAU3Mi41MwIAAAAFNzQuNjYCAAAABTc3LjM5AgAAAAU3NS43NQIAAAAFNzMuOTYCAAAABDcwLjYCAAAABTY5LjQ2AgAAAAU3MC44MgIAAAAENjcuMgIAAAACNjgC</t>
  </si>
  <si>
    <t>QVRFIgxJUV9QUklDRURBVEUCAAAACyIzLzMxLzIwMjEiCTMvMzEvMjAyMQAAAAADAAAAAAAAAAUiQ09QIgNDT1ABAAAADiJJUV9QUklDRURBVEUiDElRX1BSSUNFREFURQIAAAALIjIvMjYvMjAyMSIJMi8yNi8yMDIxAAAAAAMAAAAAAAAABSJDT1AiA0NPUAEAAAAOIklRX1BSSUNFREFURSIMSVFfUFJJQ0VEQVRFAgAAAAsiMS8yOS8yMDIxIgkxLzI5LzIwMjEAAAAAAwAAAAAAAAAFIkNPUCIDQ09QAQAAAA4iSVFfUFJJQ0VEQVRFIgxJUV9QUklDRURBVEUCAAAADCIxMi8zMS8yMDIwIgoxMi8zMS8yMDIwAAAAAAMAAAAAAAAABSJDT1AiA0NPUAEAAAAOIklRX1BSSUNFREFURSIMSVFfUFJJQ0VEQVRFAgAAAAwiMTEvMzAvMjAyMCIKMTEvMzAvMjAyME3VURA+Jd4ITdVRED4l3ggeQ0lRLkNPUC5JUV9QUklDRURBVEUuOS8zMC8yMDI1AQAAAE+GBAAFAAAACTkvMzAvMjAyNQDa/NmKRCXeCCE+lYtEJd4IHkNJUS5DT1AuSVFfUFJJQ0VEQVRFLjcvMzEvMjAyNQEAAABPhgQABQAAAAk3LzMxLzIwMjUA2vzZikQl3ggfF5WLRCXeCB5DSVEuQ09QLklRX1BSSUNFREFURS42LzMwLzIwMjUBAAAAT4YEAAUAAAAJNi8zMC8yMDI1ANr82YpEJd4IBPCUi0Ql3ggeQ0lRLkNPUC5JUV9QUklDRURBVEUuNC8zMC8yMDI1AQAAAE+GBAAFAAAACTQvMzAvMjAyNQDa/NmKRCXeCB8XlYtEJd4IHkNJUS5DT1AuSVFfUFJJQ0VE</t>
  </si>
  <si>
    <t>QVRFLjMvMzEvMjAyNQEAAABPhgQABQAAAAkzLzMxLzIwMjUA2vzZikQl3ggfF5WLRCXeCB9DSVEuQ09QLklRX1BSSUNFREFURS4xMi8zMS8yMDI0AQAAAE+GBAAFAAAACjEyLzMxLzIwMjQA2vzZikQl3ggfF5WLRCXeCB9DSVEuQ09QLklRX1BSSUNFREFURS4xMC8zMS8yMDI0AQAAAE+GBAAFAAAACjEwLzMxLzIwMjQA2vzZikQl3ggE8JSLRCXeCB5DSVEuQ09QLklRX1BSSUNFREFURS45LzMwLzIwMjQBAAAAT4YEAAUAAAAJOS8zMC8yMDI0ANr82YpEJd4IBPCUi0Ql3ggeQ0lRLkNPUC5JUV9QUklDRURBVEUuNy8zMS8yMDI0AQAAAE+GBAAFAAAACTcvMzEvMjAyNADa/NmKRCXeCATwlItEJd4IHkNJUS5DT1AuSVFfUFJJQ0VEQVRFLjQvMzAvMjAyNAEAAABPhgQABQAAAAk0LzMwLzIwMjQA2vzZikQl3ggE8JSLRCXeCB5DSVEuQ09QLklRX1BSSUNFREFURS4yLzI5LzIwMjQBAAAAT4YEAAUAAAAJMi8yOS8yMDI0ANr82YpEJd4IBPCUi0Ql3ggeQ0lRLkNPUC5JUV9QUklDRURBVEUuMS8zMS8yMDI0AQAAAE+GBAAFAAAACTEvMzEvMjAyNADa/NmKRCXeCB8XlYtEJd4IH0NJUS5DT1AuSVFfUFJJQ0VEQVRFLjExLzMwLzIwMjMBAAAAT4YEAAUAAAAKMTEvMzAvMjAyMwDa/NmKRCXeCATwlItEJd4IH0NJUS5DT1AuSVFfUFJJQ0VEQVRFLjEwLzMxLzIwMjMBAAAAT4YEAAUAAAAKMTAvMzEvMjAyMwDa/NmKRCXe</t>
  </si>
  <si>
    <t>CATwlItEJd4IHkNJUS5DT1AuSVFfUFJJQ0VEQVRFLjgvMzEvMjAyMwEAAABPhgQABQAAAAk4LzMxLzIwMjMA2vzZikQl3ggE8JSLRCXeCB5DSVEuQ09QLklRX1BSSUNFREFURS43LzMxLzIwMjMBAAAAT4YEAAUAAAAJNy8zMS8yMDIzANr82YpEJd4IBPCUi0Ql3ggeQ0lRLkNPUC5JUV9QUklDRURBVEUuNS8zMS8yMDIzAQAAAE+GBAAFAAAACTUvMzEvMjAyMwDa/NmKRCXeCATwlItEJd4IHkNJUS5DT1AuSVFfUFJJQ0VEQVRFLjIvMjgvMjAyMwEAAABPhgQABQAAAAkyLzI4LzIwMjMA2vzZikQl3ggE8JSLRCXeCB5DSVEuQ09QLklRX1BSSUNFREFURS4xLzMxLzIwMjMBAAAAT4YEAAUAAAAJMS8zMS8yMDIzANr82YpEJd4I98iUi0Ql3ggfQ0lRLkNPUC5JUV9QUklDRURBVEUuMTEvMzAvMjAyMgEAAABPhgQABQAAAAoxMS8zMC8yMDIyANr82YpEJd4IBPCUi0Ql3ggfQ0lRLkNPUC5JUV9QUklDRURBVEUuMTAvMzEvMjAyMgEAAABPhgQABQAAAAoxMC8zMS8yMDIyANr82YpEJd4IBPCUi0Ql3ggeQ0lRLkNPUC5JUV9QUklDRURBVEUuOC8zMS8yMDIyAQAAAE+GBAAFAAAACTgvMzEvMjAyMgDa/NmKRCXeCATwlItEJd4IHkNJUS5DT1AuSVFfUFJJQ0VEQVRFLjYvMzAvMjAyMgEAAABPhgQABQAAAAk2LzMwLzIwMjIA2vzZikQl3ggfF5WLRCXeCB5DSVEuQ09QLklRX1BSSUNFREFURS41LzMxLzIwMjIBAAAAT4YE</t>
  </si>
  <si>
    <t>AAUAAAAJNS8zMS8yMDIyANr82YpEJd4IBPCUi0Ql3ggeQ0lRLkNPUC5JUV9QUklDRURBVEUuMy8zMS8yMDIyAQAAAE+GBAAFAAAACTMvMzEvMjAyMgDa/NmKRCXeCPfIlItEJd4IHkNJUS5DT1AuSVFfUFJJQ0VEQVRFLjIvMjgvMjAyMgEAAABPhgQABQAAAAkyLzI4LzIwMjIA2vzZikQl3ggE8JSLRCXeCB5DSVEuQ09QLklRX1BSSUNFREFURS4xLzMxLzIwMjIBAAAAT4YEAAUAAAAJMS8zMS8yMDIyANr82YpEJd4IHxeVi0Ql3ggfQ0lRLkNPUC5JUV9QUklDRURBVEUuMTEvMzAvMjAyMQEAAABPhgQABQAAAAoxMS8zMC8yMDIxANr82YpEJd4IHxeVi0Ql3ggeQ0lRLkNPUC5JUV9QUklDRURBVEUuOS8zMC8yMDIxAQAAAE+GBAAFAAAACTkvMzAvMjAyMQDa/NmKRCXeCATwlItEJd4IHkNJUS5DT1AuSVFfUFJJQ0VEQVRFLjgvMzEvMjAyMQEAAABPhgQABQAAAAk4LzMxLzIwMjEA2vzZikQl3ggfF5WLRCXeCB5DSVEuQ09QLklRX1BSSUNFREFURS42LzMwLzIwMjEBAAAAT4YEAAUAAAAJNi8zMC8yMDIxANr82YpEJd4IBPCUi0Ql3ggeQ0lRLkNPUC5JUV9QUklDRURBVEUuMy8zMS8yMDIxAQAAAE+GBAAFAAAACTMvMzEvMjAyMQDa/NmKRCXeCATwlItEJd4IH0NJUS5DT1AuSVFfUFJJQ0VEQVRFLjExLzMwLzIwMjABAAAAT4YEAAUAAAAKMTEvMzAvMjAyMADa/NmKRCXeCATwlItEJd4INENJUS4uSVFfTklfMVlS</t>
  </si>
  <si>
    <t>UV9QUklDRURBVEUCAAAACyIxLzI5LzIwMjEiCTEvMjkvMjAyMQAAAAADAAAAAAAAAAUiQ09QIgNDT1ABAAAADiJJUV9QUklDRURBVEUiDElRX1BSSUNFREFURQIAAAAMIjEyLzMxLzIwMjAiCjEyLzMxLzIwMjAAAAAAAwAAAAAAAAAFIkNPUCIDQ09QAQAAAA4iSVFfUFJJQ0VEQVRFIgxJUV9QUklDRURBVEUCAAAADCIxMS8zMC8yMDIwIgoxMS8zMC8yMDIwk4fZikQl3gghPpWLRCXeCFBDSVFSQU5HRVYuQ09QLklRX0NMT1NFUFJJQ0VfQURKLjExLzEyLzIwMjAuMTEvMTIvMjAyNS4uLkRFU0MuTS5JUV9DTE9TRVBSSUNFX0FESgQAAABPhgQAPAAAAAIAAAAFODguODYCAAAABTk0LjU5AgAAAAU5OC45NwIAAAAJOTQuNTU5OTE4AgAAAAk4OS4wMDU3MzgCAAAACTg0LjY1MTY1NwIAAAAJODcuNjQ0ODk3AgAAAAoxMDMuMjgxNzIyAgAAAAk5Ny41MDg4ODICAAAACDk2LjQxMTgxAgAAAAk5Ni43NDM0OTECAAAACjEwNS42ODkxMTgCAAAACjEwNi4xMTgyMDMCAAAACjEwMS45OTEyNzYCAAAACjExMC4yMzU0NDICAAAACjEwNi45NTI2OTQCAAAACjExMC4wMTEyMzMCAAAACjExMi4wMzEwMjMCAAAACjEyMC4wNTgxNTMCAAAACjEyMS42NDQ2NTYCAAAACjEwNy41NTcyNzICAAAACjEwNi4xNTk2MjQCAAAACjExMC4xNDUyMzYCAAAACjEwOS42NzA3NTkCAAAACjExMi4xNzAzMDMCAAAACjExMy4xMTQ0OTgCAAAA</t>
  </si>
  <si>
    <t>CjExMS44MjYxODYCAAAACjExMC4xMTYyMTICAAAACTk2LjkxNzYwNwIAAAAJOTIuMzMxMjM1AgAAAAk5NS4xNzg1ODICAAAACTkxLjc3NDM5MgIAAAAJOTUuMDE1NjUyAgAAAAkxMTEuNTQ1NTQCAAAACjEwOC4wMDMzOTQCAAAACjExMi4zNDU2OTUCAAAACjExNC4yNTU4MzcCAAAACTkyLjczNDg5MQIAAAAJOTcuNzcxNjYzAgAAAAk4Ni42NDQ1NTcCAAAACTc5Ljg2ODA4NwIAAAAJOTkuMTUyNDI1AgAAAAk4My45MTUxMzcCAAAACTg3Ljg1MDg1NQIAAAAJODMuMDg3MDI5AgAAAAk3Ny4yMzI5ODECAAAABzYyLjkwNTQCAAAACTYwLjk0OTY5MwIAAAAJNjQuNzM4OTUxAgAAAAk1OC41NDY5MDICAAAACTQ3Ljk3MjY5NAIAAAAJNDguNDMwNTY0AgAAAAk1Mi4yMTI2NjECAAAACTQ3Ljc4ODczMQIAAAAJNDMuNTA2Mzc3AgAAAAk0NS4wNjMyMTUCAAAACTQ0LjI0NjUxMwIAAAAJMzMuNzQ0ODQxAgAAAAkzMy43MTExMjECAAAACTMzLjM0ODYzNtr82YpEJd4IIT6Vi0Ql3ghQQ0lRUkFOR0VWLlhPTS5JUV9DTE9TRVBSSUNFX0FESi4xMS8xMi8yMDIwLjExLzEyLzIwMjUuLi5ERVNDLk0uSVFfQ0xPU0VQUklDRV9BREoEAAAAQjMGADwAAAACAAAACjExMy4zNjg0MTECAAAACjExMS43NzIzNzECAAAACjExMy4yOTkwMTgCAAAACjEwOS42NTE2NDUCAAAACjEwNS44ODAwMzcCAAAACjEwMC40Nzc5OTQCAAAACjEw</t>
  </si>
  <si>
    <t>NDcuNTc3MzECAAAACTQ2LjQwNTMzMwIAAAAJNDUuMTkxNzk1AgAAAAkzNi42NDgxODcCAAAACTMzLjY4OTUyNAIAAAAJMzEuMTY0MDM22vzZikQl3gghPpWLRCXeCFBDSVFSQU5HRVYuQ1ZYLklRX0NMT1NFUFJJQ0VfQURKLjExLzEyLzIwMjAuMTEvMTIvMjAyNS4uLkRFU0MuTS5JUV9DTE9TRVBSSUNFX0FESgQAAADKgAEAPAAAAAIAAAAGMTU3LjcyAgAAAAYxNTUuMjkCAAAABTE2MC42AgAAAAoxNDkuOTcwNTE1AgAAAAoxNDEuNjEzNTQ2AgAAAAoxMzUuMTk0OTk3AgAAAAoxMzIuOTQyNzU0AgAAAAoxNjMuNDU3MjQ5AgAAAAoxNTQuOTg1ODg1AgAAAAkxNDQuMTcyODICAAAACjEzOS45NjkxMDgCAAAACTE1Ni40ODQzOAIAAAAKMTQyLjM2MzAzMwIAAAAKMTQwLjg4MDI4NAIAAAAKMTQxLjUzMDc4MQIAAAAKMTUxLjgwODUyOAIAAAAKMTQ3Ljk3NzEyOQIAAAAKMTUzLjUzOTc1MgIAAAAKMTUxLjA0MDE2MgIAAAAJMTQ3LjczNDA4AgAAAAoxNDIuMzY3NTUxAgAAAAoxMzYuNTg3NjYxAgAAAAoxMzguMTkwNDMzAgAAAAoxMzMuMDM5MzI4AgAAAAoxMzMuNjEyMDk4AgAAAAoxNTQuNTk4NzI0AgAAAAoxNDcuNzA0MDM1AgAAAAoxNDguNjIyODI1AgAAAAoxNDIuODkyNTkxAgAAAAoxMzYuNzgwOTQ4AgAAAAoxNTEuNjA2MTczAgAAAAoxNDYuNzMxODk3AgAAAAoxNDQuNTgyNTM5AgAAAAoxNTUuMTI3MDc2</t>
  </si>
  <si>
    <t>AgAAAAoxNjAuMDAzMjExAgAAAAoxNjMuNDA4NDgzAgAAAAoxNjAuMDIyMjgzAgAAAAoxMjcuMDg5MDA4AgAAAAoxMzkuODE4MjU0AgAAAAoxNDMuNTczNTYxAgAAAAoxMjYuOTE3Njk2AgAAAAoxNTMuMTExMjM2AgAAAAoxMzYuMjIwMTI3AgAAAAoxNDEuNTc2MDczAgAAAAoxMjUuMjAzOTIxAgAAAAoxMTMuMDAxMzA2AgAAAAoxMDAuOTcyMzg0AgAAAAk5Ny4xMTc2MjMCAAAACTk3LjM4NTk3NAIAAAAJODYuMjk0MDYxAgAAAAk4Mi4zMTMyMjECAAAACTg1LjQ0ODI0NgIAAAAJODcuOTA3MzY5AgAAAAk4Ny4xMTAwNDICAAAACTg1LjQ1OTY1OAIAAAAJODYuODg1NzgyAgAAAAk4Mi45MTQxOTMCAAAACTY5LjY1ODI0MgIAAAAJNjkuMDQ1MDU0AgAAAAk3MS4yNzcwNjHa/NmKRCXeCCE+lYtEJd4IUENJUVJBTkdFVi5FT0cuSVFfQ0xPU0VQUklDRV9BREouMTEvMTIvMjAyMC4xMS8xMi8yMDI1Li4uREVTQy5NLklRX0NMT1NFUFJJQ0VfQURKBAAAAFwdBAA8AAAAAgAAAAYxMDUuODQCAAAACjExMS4wNTM2ODQCAAAACjEyMy42MzI5MDECAAAACjExOC44Nzg1NTECAAAACjExNy41MDAxMzkCAAAACjEwNi42NTQ4NzkCAAAACjEwOC4zODM4MzMCAAAACjEyNC44MzUxMDcCAAAACjEyMy41Njk2MjMCAAAACjEyMi40NTAxNTYCAAAACjExOC40ODI2MzECAAAACTEyOC44MDU2NAIAAAAKMTE3Ljg4MzM1NQIAAAAK</t>
  </si>
  <si>
    <t>MTE3Ljk3MTk0NAIAAAAKMTIzLjYyNDM4NgIAAAAKMTIxLjY4NTg1OAIAAAAKMTE5Ljk1NzU4NQIAAAAKMTE4LjY5OTU4OQIAAAAKMTI1LjkyMzUzOAIAAAAKMTIxLjAxNTU1MgIAAAAKMTA4LjM0OTgxMwIAAAAKMTA3LjcxNTU3OQIAAAAKMTEzLjU5NTU2NQIAAAAKMTE0LjEyMzI4OAIAAAAKMTE3LjA3MjExNAIAAAAKMTE2LjgyMDQ4MwIAAAAKMTE4LjUzNDYzNgIAAAAKMTIyLjEzODA0NQIAAAAKMTA0Ljc1NjY0MQIAAAAJOTguMjExNjM5AgAAAAoxMDkuMzYxMDI2AgAAAAoxMDQuMjIyNzkxAgAAAAoxMDEuODE3OTQ2AgAAAAoxMTkuMTQxOTUxAgAAAAoxMTUuOTQ0NjA2AgAAAAoxMjUuNTU4NjU1AgAAAAoxMjAuNzcyNjg4AgAAAAg5OC4yNjAwMQIAAAAKMTA1LjM3NDM4NAIAAAAJOTYuNjE3Nzk5AgAAAAk5NS4yMTYyMzgCAAAACjExNi40NzkyMTYCAAAACTk5LjI5OTg5MwIAAAAJMTAwLjc5MDAzAgAAAAk5Ni4zMTQwMTkCAAAACTkzLjQzMDk2OAIAAAAJNzMuOTA0Nzc3AgAAAAk3MC43Mzc3NjMCAAAACTc1LjE3NzE2OAIAAAAJNjQuOTY3OTcyAgAAAAg1NC42NDg1MwIAAAAJNTguOTcwNTU1AgAAAAk2Ni4zMzYxODgCAAAACTYzLjg3MTYzNwIAAAAJNTguNTQ1MDI1AgAAAAk1Ny4zNDE2NDcCAAAACTUxLjA0MDYyOAIAAAAJNDAuMjg4NTc1AgAAAAkzOS4xODIzMjcCAAAACTM2LjgzMzExNtr82YpE</t>
  </si>
  <si>
    <t>Jd4IIT6Vi0Ql3ghPQ0lRUkFOR0VWLkJQLklRX0NMT1NFUFJJQ0VfQURKLjExLzEyLzIwMjAuMTEvMTIvMjAyNS4uLkRFU0MuTS5JUV9DTE9TRVBSSUNFX0FESgQAAADiBAYAPAAAAAIAAAAJMzQuNjU0MjE5AgAAAAkzMy45OTMyOTMCAAAACTM0Ljc1Mjg2NQIAAAAJMzEuMjYyMTE1AgAAAAkyOS4xMDM0MjQCAAAACTI4LjI5NjM0NgIAAAAJMjYuMjgwNDA3AgAAAAgzMi4zMzg0OQIAAAAJMzEuNjk3MjcyAgAAAAkyOS4zMTgyNjYCAAAACTI3LjkwMjM4MQIAAAAHMjcuNjY2NAIAAAAJMjcuMjc4OTk5AgAAAAkyOS4xNjUxMTUCAAAACTMxLjU1Mjk1NgIAAAAJMzIuNDE1MzY4AgAAAAkzMy4wNjU2OTECAAAACTM0LjQxMjEzMwIAAAAJMzUuMTA1NzQ5AgAAAAkzNC4xMTg3NjcCAAAACTMxLjY4MzAwNgIAAAAIMzEuMzk5MzcCAAAACDMxLjY2Nzc0AgAAAAkzMi40NjM5MDcCAAAACTMyLjMxOTAyNQIAAAAIMzQuMjA5NzUCAAAACTMyLjg0OTEzNQIAAAAJMzIuNTc1NDA2AgAAAAkzMC44MjAwMDICAAAACTI5LjQ0MDEzMwIAAAAJMzQuODAzMDk3AgAAAAkzMi43ODEyNjkCAAAACTM0LjIxNTU1NwIAAAAJMzEuMDAzOTEyAgAAAAkyOS44OTE0MzQCAAAACTMwLjcyMTUxMwIAAAAJMjguMTc5Mzk5AgAAAAkyNC4xNzQzMzQCAAAACTI2LjExMzM2MQIAAAAJMjQuNTkwMTAyAgAAAAkyMy43MjgwMjUCAAAACTI3LjA5</t>
  </si>
  <si>
    <t>MjYzNAIAAAAHMjMuNzgxMQIAAAAJMjQuMzQ0MTYyAgAAAAkyNC4xODY4MzYCAAAACTI1LjM0ODQ3OAIAAAAHMjEuODMxNQIAAAAJMjEuMjgyMjI4AgAAAAkyMy4zMzIyODMCAAAACTIyLjE0OTA1NQIAAAAIMTkuODIzMTICAAAACTE5LjM1MzcwOQIAAAAJMjEuMTQ2NjA4AgAAAAkyMC45OTQ1MzICAAAACTE5LjkwNDk4OAIAAAAJMTkuMjY0MTY3AgAAAAkxOS4zMTE2MzYCAAAACDE3LjM0Nzk0AgAAAAgxNi4wMjA2OQIAAAAJMTUuMjcxMTg02vzZikQl3gghPpWLRCXeCFBDSVFSQU5HRVYuRFZOLklRX0NMT1NFUFJJQ0VfQURKLjExLzEyLzIwMjAuMTEvMTIvMjAyNS4uLkRFU0MuTS5JUV9DTE9TRVBSSUNFX0FESgQAAAAOEQQAPAAAAAIAAAAFMzIuNDkCAAAABTM1LjA2AgAAAAgzNS44NTA4MgIAAAAJMzIuOTkwNjk5AgAAAAkzMS41OTA0MzECAAAACTI5Ljg0MTA0NAIAAAAJMjkuOTg4OTY3AgAAAAkzNi44ODIxODkCAAAACTM1LjQ2NDgyOQIAAAAIMzMuMzg5MDMCAAAACTMyLjA0NzU5NAIAAAAJMzYuOTE5MjM2AgAAAAkzNy42Mjk0MDgCAAAACTM4LjA1NzQ1NwIAAAAJNDMuMDg0NjQ0AgAAAAg0NS4yNDk0NgIAAAAJNDUuNjA1NDUyAgAAAAk0Ni44NjA2NjYCAAAACTQ4Ljg2NTcwNwIAAAAJNDcuOTEwOTI2AgAAAAk0MS42NzcyNDUCAAAACTM5Ljc0NzU2OAIAAAAJNDIuODUwMTg2AgAAAAg0MS43OTcz</t>
  </si>
  <si>
    <t>MgIAAAAJNDMuMjg0NDM5AgAAAAk0NC4zMzQ3MTYCAAAACTQ3LjAyNjE2MgIAAAAJNDkuNzA0NjkyAgAAAAk0NC40OTQ5MDQCAAAACTQxLjgyNjc3MwIAAAAINDguNDc3MzICAAAACDQ1LjkxODcyAgAAAAk0OC4wNTA3NDICAAAACTU2LjM1NjI0OAIAAAAJNTQuODE0NTYxAgAAAAk1OS43NjMzNTYCAAAACTY3LjQ2NDkwOQIAAAAJNTIuNDQ1NTcyAgAAAAg2MC4yMDk1MgIAAAAJNTMuNTg0OTM4AgAAAAk0Ni45ODU5MzMCAAAACTYyLjgxNjgyOQIAAAAINDguNzg1NzgCAAAACTQ5LjU5MDkwOQIAAAAJNDkuMTE4NjAxAgAAAAk0MS43MTE2MzECAAAACTM2LjMzMzc0MgIAAAAJMzQuMDQzNDQ0AgAAAAkzMi40NDA4MjgCAAAACTI4Ljc0MTg2MQIAAAAJMjMuNTA1ODg0AgAAAAkyMC41NTQ3MjMCAAAACTIzLjIxOTUxOAIAAAAJMjAuODgzMDQxAgAAAAkxOC4zODI3MzcCAAAACDE3LjE3OTc2AgAAAAkxNi43Mjk4MTkCAAAACTEyLjc4NDI1MwIAAAAJMTIuMjc5NDA3AgAAAAkxMC43ODk3NTfa/NmKRCXeCCE+lYtEJd4ISENJUVJBTkdFVi5eQ0wuSVFfQ0xPU0VQUklDRS4xMS8xMi8yMDIwLjExLzEyLzIwMjUuLi5ERVNDLk0uSVFfQ0xPU0VQUklDRQQAAABTgDUDPAAAAAIAAAAFNjAuOTgCAAAABTYxLjk2AgAAAAU2NC4wMQIAAAAFNjkuMjYCAAAABTY1LjExAgAAAAU2MC43OQIAAAAFNTguMjECAAAABTcxLjQ4</t>
  </si>
  <si>
    <t>AgAAAAU2OS43NgIAAAAFNzIuNTMCAAAABTcxLjcyAgAAAAI2OAIAAAAFNjkuMjYCAAAABTY4LjE3AgAAAAU3My41NQIAAAAFNzcuOTECAAAABTgxLjU0AgAAAAU3Ni45OQIAAAAFODEuOTMCAAAABTgzLjE3AgAAAAU3OC4yNgIAAAAFNzUuODUCAAAABTcxLjY1AgAAAAU3NS45NgIAAAAFODEuMDICAAAABTkwLjc5AgAAAAU4My42MwIAAAAEODEuOAIAAAAFNzAuNjQCAAAABTY4LjA5AgAAAAU3Ni43OAIAAAAFNzUuNjcCAAAABTc3LjA1AgAAAAU3OC44NwIAAAAFODAuMjYCAAAABTgwLjU1AgAAAAU4Ni41MwIAAAAFNzguNzICAAAABTg5LjU1AgAAAAU5OC42MgIAAAAGMTA1Ljc2AgAAAAYxMTQuNjcCAAAABjEwNC42OQIAAAAGMTAwLjI4AgAAAAU5NS43MgIAAAAFODguMTUCAAAABTc1LjIxAgAAAAU2Ni4xOAIAAAAFODMuNTcCAAAABTc1LjAzAgAAAAQ2OC41AgAAAAU3My45NQIAAAAFNzMuNDcCAAAABTY2LjMyAgAAAAU2My41OAIAAAAFNTkuMTYCAAAABDYxLjUCAAAABDUyLjICAAAABTQ4LjUyAgAAAAU0NS4zNNr82YpEJd4IIT6Vi0Ql3ghIQ0lRUkFOR0VWLl5IRy5JUV9DTE9TRVBSSUNFLjExLzEyLzIwMjAuMTEvMTIvMjAyNS4uLkRFU0MuTS5JUV9DTE9TRVBSSUNFBAAAAGaBNQM8AAAAAgAAAAU1LjA4OQIAAAAGNC44NTY1AgAAAAY0LjUxODUCAAAABjQuMzU0NQIAAAAGNS4wODI1AgAAAAY0LjY3</t>
  </si>
  <si>
    <t>NzUCAAAABTQuNjA5AgAAAAU1LjAzNAIAAAAFNC41NDgCAAAABTQuMjc5AgAAAAY0LjAyNjUCAAAABjQuMDgwNQIAAAAENC4zNAIAAAAFNC41NTMCAAAABTQuMTY3AgAAAAY0LjE3NjUCAAAABjQuMzkxNQIAAAAFNC42MDICAAAABjQuNTY0NQIAAAAFNC4wMDcCAAAABTMuODQ3AgAAAAUzLjkwNgIAAAAGMy44OTA1AgAAAAUzLjgyOQIAAAAFMy42NDkCAAAABjMuNzM3NQIAAAAGMy43NzI1AgAAAAU0LjAwOAIAAAAGMy43NTk1AgAAAAUzLjYzNwIAAAAGMy44OTA1AgAAAAY0LjA5NDUCAAAABjQuMDg5NQIAAAAFNC4yMjYCAAAABjMuODEwNQIAAAAGMy43Mjk1AgAAAAUzLjM3NQIAAAAGMy40MTI1AgAAAAYzLjUxODUCAAAABjMuNTczNQIAAAAEMy43MQIAAAAFNC4yOTYCAAAABjQuNDA4NQIAAAAFNC43NTECAAAABjQuNDU0NQIAAAAGNC4zMjQ1AgAAAAY0LjQ2MzUCAAAABTQuMjc4AgAAAAU0LjM2OAIAAAAFNC4wODkCAAAABDQuMzYCAAAABjQuNDgyNQIAAAAFNC4yODkCAAAABjQuNjc3NQIAAAAFNC40NjgCAAAABjMuOTk1NQIAAAAGNC4wOTI1AgAAAAUzLjU1NgIAAAAFMy41MTkCAAAABjMuNDIwNdr82YpEJd4IIT6Vi0Ql3ghOQ0lRUkFOR0VWLl5TUDUwMC0xMC5JUV9DTE9TRVBSSUNFLjExLzEyLzIwMjAuMTEvMTIvMjAyNS4uLkRFU0MuTS5JUV9DTE9TRVBSSUNFBAAAAE7DKAA8AAAAAgAAABA2NzQu</t>
  </si>
  <si>
    <t>NQIAAAAQNjkwLjU4OTk1NDg5MDk1MQIAAAAQNjcyLjM0MzU4NzUxMjg5OAIAAAAQNjk0LjI5NTAwMDEwMjk0MgIAAAAQNjg5LjgzMjY2ODUyMzI1OQIAAAAQNTUyLjU2MTEyNzE2Mzk4OAIAAAAQNjExLjc5OTMwODA0MTgzNQIAAAAQNTk4LjczNTI3MzQxOTA3MwIAAAAQNTQ2LjI0MDE4MjUxNzYyNgIAAAAQNjU4LjAwNDYzNjUxODExNQIAAAAQNTcyLjQxMDY4ODg5NzUxNAIAAAAQNTgxLjkyNzI5NzIzNjE4NwIAAAAQNTM0Ljk0NTk2MzcxODc2OAIAAAAQNTAyLjkyNjgyOTE4MDI3NQIAAAAQNDIyLjczNjQ3ODk4OTU0MwIAAAAQNDEwLjY5OTI2MzkyMjYyNgIAAAAQNDM2LjE5NDQzMDA3ODc1NwIAAAAQMzk1Ljg4MDA3NzYwMzkxOAIAAAAQMzYyLjI1NjQxNTk0MzU3MwIAAAAQMzcyLjk4Njc4NDM2NjUzMwIAAAAQNDA3LjM2NjcxODI4MjM4NwIAAAAQMzg5LjgxNjU4NzkzOTgxMQIAAAAQMzcxLjYwMDY4MjQ5MzY4OQIAAAAQMzY5Ljg4NjY4Mzg3NjE2NwIAAAAQMzYwLjE5MDA2NjEzMzM1MgIAAAAQMjk2LjUxNTMzMjIxNTcxNAIAAAAQMjg2LjE0MTQwNDU0OTQ5NwIAAAAQMjc0LjQxODA5ODM5NjExN9r82YpEJd4IIT6Vi0Ql3ghQQ0lRUkFOR0VWLklRVDQ2MTU2NTE2LklRX0NMT1NFUFJJQ0UuMTEvMTIvMjAyMC4xMS8xMi8yMDI1Li4uREVTQy5NLklRX0NMT1NFUFJJQ0UEAAAAm7goADwAAAACAAAA</t>
  </si>
  <si>
    <t>Njg1AgAAABA3NTg1LjAwOTg5MDYxNDIxAgAAABA3MTM4Ljc2NTE2OTM2MDQ1AgAAABA3NTc4LjQ4MjE3NjQxNDY4AgAAABA3MTgxLjczMjkzMDAwMDY1AgAAABA2NjQ1Ljg2ODA3NTQwODYxAgAAABA3MzIzLjE3MDEzMjg2OTQzAgAAABA3NjM4LjQ4MjE0MDUyNjI0AgAAABA2OTk1LjczMzkyNDg0MDgxAgAAABA3NjI4LjU3MjI1NDI0NjQ2AgAAABA3NjE4LjY2Nzk1MjM3NDg2AgAAABA4MzQ4LjU3Mzc1MDMxNDc3AgAAAA84MDUyLjg1MDc3NDIzMjkCAAAAEDgzMDUuMDUyNTcxMjQzODQCAAAAEDg3NjAuNTkzMzk1ODczMTkCAAAAEDgzODcuNzE2NTA2NTE2MDYCAAAADzg0NDkuODI0OTQ0Nzg0OQIAAAAQNzg5OC42MTA4OTE2OTY0MgIAAAAQODI4Ni42NTY3MDM5OTY4NAIAAAAQODA0NS40NDkzMTA3NzI5MwIAAAAPNzg2MS4wODEwNzg3NDc3AgAAABA3Njg0LjMwMjU0Mzk4OTk0AgAAABA3NjM0LjQxNTU3ODA1ODc2AgAAABA3MjQ5LjU2NjIyNDMzMTM2AgAAABA2OTQ4LjA5ODA5MzU4MTU3AgAAABA2NzY0LjU3ODg4MTMwMjM3AgAAABA2ODM1LjcyNTQzODY3NTA1AgAAAA82NTg1LjE2MTMzNDk3MzTa/NmKRCXeCCE+lYtEJd4IO0NJUVJBTkdFLkNPUC5JUV9QUklDRURBVEUuLjExLzEyLzIwMjUuLi5ERVNDLk0uSVFfUFJJQ0VEQVRFBQAAAAEAAAAIAAAAEihJbnZhbGlkIEVuZCBEYXRlKbhAkTI/Jd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</si>
</sst>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yyyy\-mm\-dd;@"/>
    <numFmt numFmtId="165" formatCode="_(* #,##0.0_);_(* \(#,##0.0\);_(* &quot;-&quot;??_);_(@_)"/>
    <numFmt numFmtId="166" formatCode="_(* #,##0_);_(* \(#,##0\);_(* &quot;-&quot;??_);_(@_)"/>
    <numFmt numFmtId="167" formatCode="#,##0.0000"/>
    <numFmt numFmtId="168" formatCode="yyyy\-mm;@"/>
    <numFmt numFmtId="169" formatCode="#,##0.00_ "/>
    <numFmt numFmtId="170" formatCode="0.0%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9"/>
      <name val="Aptos Narrow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D2DCE7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FE0C9"/>
        <bgColor indexed="64"/>
      </patternFill>
    </fill>
    <fill>
      <patternFill patternType="solid">
        <fgColor rgb="FFF2DA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7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 applyAlignment="1">
      <alignment vertical="center"/>
    </xf>
    <xf numFmtId="14" fontId="0" fillId="0" borderId="0" xfId="0" applyNumberFormat="1"/>
    <xf numFmtId="0" fontId="0" fillId="0" borderId="0" xfId="0" applyAlignment="1">
      <alignment horizontal="center"/>
    </xf>
    <xf numFmtId="166" fontId="0" fillId="0" borderId="0" xfId="1" applyNumberFormat="1" applyFont="1"/>
    <xf numFmtId="0" fontId="0" fillId="0" borderId="0" xfId="0" applyAlignment="1">
      <alignment horizontal="right"/>
    </xf>
    <xf numFmtId="168" fontId="0" fillId="0" borderId="0" xfId="0" applyNumberFormat="1"/>
    <xf numFmtId="169" fontId="0" fillId="0" borderId="0" xfId="0" applyNumberFormat="1"/>
    <xf numFmtId="164" fontId="0" fillId="0" borderId="0" xfId="0" applyNumberFormat="1"/>
    <xf numFmtId="166" fontId="0" fillId="0" borderId="0" xfId="1" applyNumberFormat="1" applyFont="1" applyAlignment="1">
      <alignment wrapText="1"/>
    </xf>
    <xf numFmtId="166" fontId="0" fillId="0" borderId="0" xfId="1" applyNumberFormat="1" applyFont="1" applyAlignment="1">
      <alignment horizontal="center"/>
    </xf>
    <xf numFmtId="14" fontId="0" fillId="2" borderId="0" xfId="0" applyNumberFormat="1" applyFill="1"/>
    <xf numFmtId="43" fontId="0" fillId="2" borderId="0" xfId="1" applyFont="1" applyFill="1"/>
    <xf numFmtId="0" fontId="0" fillId="2" borderId="0" xfId="0" applyFill="1"/>
    <xf numFmtId="0" fontId="0" fillId="2" borderId="0" xfId="0" applyFill="1" applyAlignment="1">
      <alignment wrapText="1"/>
    </xf>
    <xf numFmtId="43" fontId="0" fillId="2" borderId="0" xfId="1" applyFont="1" applyFill="1" applyAlignment="1">
      <alignment wrapText="1"/>
    </xf>
    <xf numFmtId="167" fontId="0" fillId="2" borderId="0" xfId="0" applyNumberFormat="1" applyFill="1" applyAlignment="1">
      <alignment horizontal="right"/>
    </xf>
    <xf numFmtId="43" fontId="0" fillId="2" borderId="0" xfId="1" applyFont="1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wrapText="1"/>
    </xf>
    <xf numFmtId="165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5" fontId="0" fillId="3" borderId="0" xfId="1" applyNumberFormat="1" applyFont="1" applyFill="1" applyAlignment="1">
      <alignment horizontal="right"/>
    </xf>
    <xf numFmtId="165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5" fontId="0" fillId="2" borderId="0" xfId="1" applyNumberFormat="1" applyFont="1" applyFill="1" applyAlignment="1">
      <alignment horizontal="right"/>
    </xf>
    <xf numFmtId="43" fontId="0" fillId="3" borderId="0" xfId="1" applyFont="1" applyFill="1" applyAlignment="1">
      <alignment horizontal="right"/>
    </xf>
    <xf numFmtId="43" fontId="0" fillId="2" borderId="0" xfId="1" applyFont="1" applyFill="1" applyAlignment="1">
      <alignment horizontal="right"/>
    </xf>
    <xf numFmtId="0" fontId="0" fillId="4" borderId="0" xfId="0" applyFill="1"/>
    <xf numFmtId="43" fontId="0" fillId="4" borderId="0" xfId="1" applyFont="1" applyFill="1"/>
    <xf numFmtId="166" fontId="0" fillId="4" borderId="0" xfId="1" applyNumberFormat="1" applyFont="1" applyFill="1"/>
    <xf numFmtId="0" fontId="0" fillId="4" borderId="0" xfId="0" applyFill="1" applyAlignment="1">
      <alignment wrapText="1"/>
    </xf>
    <xf numFmtId="43" fontId="0" fillId="4" borderId="0" xfId="1" applyFont="1" applyFill="1" applyAlignment="1">
      <alignment wrapText="1"/>
    </xf>
    <xf numFmtId="166" fontId="0" fillId="4" borderId="0" xfId="1" applyNumberFormat="1" applyFont="1" applyFill="1" applyAlignment="1">
      <alignment wrapText="1"/>
    </xf>
    <xf numFmtId="0" fontId="0" fillId="4" borderId="0" xfId="0" quotePrefix="1" applyFill="1" applyAlignment="1">
      <alignment horizontal="center"/>
    </xf>
    <xf numFmtId="43" fontId="0" fillId="4" borderId="0" xfId="1" applyFont="1" applyFill="1" applyAlignment="1">
      <alignment horizontal="center"/>
    </xf>
    <xf numFmtId="166" fontId="0" fillId="4" borderId="0" xfId="1" applyNumberFormat="1" applyFont="1" applyFill="1" applyAlignment="1">
      <alignment horizontal="center"/>
    </xf>
    <xf numFmtId="166" fontId="0" fillId="2" borderId="0" xfId="1" applyNumberFormat="1" applyFont="1" applyFill="1"/>
    <xf numFmtId="0" fontId="0" fillId="5" borderId="0" xfId="0" applyFill="1"/>
    <xf numFmtId="166" fontId="0" fillId="5" borderId="0" xfId="1" applyNumberFormat="1" applyFont="1" applyFill="1"/>
    <xf numFmtId="43" fontId="0" fillId="5" borderId="0" xfId="1" applyFont="1" applyFill="1"/>
    <xf numFmtId="9" fontId="0" fillId="5" borderId="0" xfId="2" applyFont="1" applyFill="1"/>
    <xf numFmtId="9" fontId="0" fillId="2" borderId="0" xfId="2" applyFont="1" applyFill="1"/>
    <xf numFmtId="166" fontId="0" fillId="0" borderId="0" xfId="1" applyNumberFormat="1" applyFont="1" applyAlignment="1">
      <alignment horizontal="right"/>
    </xf>
    <xf numFmtId="166" fontId="0" fillId="0" borderId="0" xfId="0" applyNumberFormat="1" applyAlignment="1">
      <alignment horizontal="center"/>
    </xf>
    <xf numFmtId="9" fontId="0" fillId="0" borderId="0" xfId="2" applyFont="1"/>
    <xf numFmtId="170" fontId="0" fillId="0" borderId="0" xfId="2" applyNumberFormat="1" applyFont="1"/>
    <xf numFmtId="43" fontId="0" fillId="0" borderId="0" xfId="1" applyFont="1" applyFill="1"/>
    <xf numFmtId="166" fontId="0" fillId="0" borderId="0" xfId="1" applyNumberFormat="1" applyFont="1" applyFill="1"/>
    <xf numFmtId="170" fontId="0" fillId="0" borderId="0" xfId="2" applyNumberFormat="1" applyFont="1" applyFill="1"/>
    <xf numFmtId="43" fontId="0" fillId="0" borderId="0" xfId="1" applyFont="1" applyFill="1" applyAlignment="1">
      <alignment wrapText="1"/>
    </xf>
    <xf numFmtId="166" fontId="0" fillId="0" borderId="0" xfId="1" applyNumberFormat="1" applyFont="1" applyFill="1" applyAlignment="1">
      <alignment wrapText="1"/>
    </xf>
    <xf numFmtId="167" fontId="0" fillId="0" borderId="0" xfId="0" applyNumberFormat="1" applyAlignment="1">
      <alignment horizontal="right"/>
    </xf>
    <xf numFmtId="43" fontId="0" fillId="0" borderId="0" xfId="1" applyFont="1" applyFill="1" applyAlignment="1">
      <alignment horizontal="center"/>
    </xf>
    <xf numFmtId="0" fontId="0" fillId="0" borderId="0" xfId="0" quotePrefix="1" applyAlignment="1">
      <alignment horizontal="center"/>
    </xf>
    <xf numFmtId="166" fontId="0" fillId="0" borderId="0" xfId="1" applyNumberFormat="1" applyFont="1" applyFill="1" applyAlignment="1">
      <alignment horizontal="center"/>
    </xf>
    <xf numFmtId="9" fontId="0" fillId="0" borderId="0" xfId="2" applyFont="1" applyFill="1"/>
    <xf numFmtId="10" fontId="0" fillId="0" borderId="0" xfId="0" applyNumberFormat="1"/>
    <xf numFmtId="10" fontId="0" fillId="0" borderId="0" xfId="2" applyNumberFormat="1" applyFont="1" applyFill="1"/>
    <xf numFmtId="170" fontId="0" fillId="0" borderId="0" xfId="2" applyNumberFormat="1" applyFont="1" applyFill="1" applyAlignment="1">
      <alignment wrapText="1"/>
    </xf>
    <xf numFmtId="170" fontId="0" fillId="0" borderId="0" xfId="2" applyNumberFormat="1" applyFont="1" applyAlignment="1">
      <alignment wrapText="1"/>
    </xf>
    <xf numFmtId="170" fontId="0" fillId="0" borderId="0" xfId="0" applyNumberFormat="1" applyAlignment="1">
      <alignment wrapText="1"/>
    </xf>
    <xf numFmtId="9" fontId="0" fillId="0" borderId="0" xfId="0" applyNumberFormat="1"/>
    <xf numFmtId="0" fontId="0" fillId="0" borderId="1" xfId="0" applyBorder="1"/>
    <xf numFmtId="0" fontId="3" fillId="0" borderId="2" xfId="0" applyFont="1" applyBorder="1" applyAlignment="1">
      <alignment horizontal="center"/>
    </xf>
    <xf numFmtId="14" fontId="0" fillId="0" borderId="0" xfId="0" applyNumberFormat="1" applyAlignment="1">
      <alignment wrapText="1"/>
    </xf>
    <xf numFmtId="10" fontId="0" fillId="0" borderId="0" xfId="2" applyNumberFormat="1" applyFont="1" applyFill="1" applyAlignment="1">
      <alignment wrapText="1"/>
    </xf>
    <xf numFmtId="10" fontId="0" fillId="0" borderId="0" xfId="2" applyNumberFormat="1" applyFont="1"/>
    <xf numFmtId="2" fontId="0" fillId="4" borderId="0" xfId="2" quotePrefix="1" applyNumberFormat="1" applyFont="1" applyFill="1"/>
    <xf numFmtId="10" fontId="0" fillId="0" borderId="0" xfId="0" applyNumberFormat="1" applyAlignment="1">
      <alignment wrapText="1"/>
    </xf>
    <xf numFmtId="10" fontId="0" fillId="0" borderId="0" xfId="2" applyNumberFormat="1" applyFont="1" applyFill="1" applyBorder="1" applyAlignment="1"/>
    <xf numFmtId="0" fontId="0" fillId="6" borderId="0" xfId="0" applyFill="1"/>
    <xf numFmtId="0" fontId="0" fillId="7" borderId="0" xfId="0" applyFill="1"/>
    <xf numFmtId="43" fontId="0" fillId="0" borderId="0" xfId="1" applyFont="1" applyFill="1" applyBorder="1" applyAlignment="1"/>
    <xf numFmtId="43" fontId="0" fillId="0" borderId="1" xfId="1" applyFont="1" applyFill="1" applyBorder="1" applyAlignme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8" borderId="0" xfId="0" applyFont="1" applyFill="1"/>
    <xf numFmtId="0" fontId="0" fillId="8" borderId="0" xfId="0" applyFill="1"/>
    <xf numFmtId="0" fontId="2" fillId="8" borderId="0" xfId="0" applyFont="1" applyFill="1"/>
    <xf numFmtId="0" fontId="0" fillId="9" borderId="0" xfId="0" applyFill="1"/>
    <xf numFmtId="0" fontId="6" fillId="10" borderId="0" xfId="0" applyFont="1" applyFill="1"/>
    <xf numFmtId="0" fontId="0" fillId="10" borderId="0" xfId="0" applyFill="1"/>
    <xf numFmtId="0" fontId="2" fillId="10" borderId="0" xfId="0" applyFont="1" applyFill="1"/>
    <xf numFmtId="0" fontId="6" fillId="11" borderId="0" xfId="0" applyFont="1" applyFill="1"/>
    <xf numFmtId="0" fontId="0" fillId="11" borderId="0" xfId="0" applyFill="1"/>
    <xf numFmtId="0" fontId="2" fillId="11" borderId="0" xfId="0" applyFont="1" applyFill="1"/>
    <xf numFmtId="0" fontId="0" fillId="12" borderId="0" xfId="0" applyFill="1"/>
    <xf numFmtId="0" fontId="0" fillId="13" borderId="0" xfId="0" applyFill="1"/>
    <xf numFmtId="0" fontId="0" fillId="6" borderId="0" xfId="0" quotePrefix="1" applyFill="1"/>
    <xf numFmtId="43" fontId="0" fillId="6" borderId="0" xfId="1" applyFont="1" applyFill="1"/>
    <xf numFmtId="43" fontId="0" fillId="0" borderId="0" xfId="1" applyFont="1"/>
    <xf numFmtId="14" fontId="0" fillId="5" borderId="0" xfId="1" applyNumberFormat="1" applyFont="1" applyFill="1"/>
    <xf numFmtId="14" fontId="0" fillId="5" borderId="0" xfId="0" applyNumberFormat="1" applyFill="1"/>
    <xf numFmtId="0" fontId="0" fillId="2" borderId="0" xfId="0" quotePrefix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Histogram-</a:t>
            </a:r>
            <a:r>
              <a:rPr lang="en-US" altLang="zh-CN"/>
              <a:t>COP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'1-W'!$Y$21:$Y$42</c:f>
              <c:strCache>
                <c:ptCount val="22"/>
                <c:pt idx="0">
                  <c:v>-10%</c:v>
                </c:pt>
                <c:pt idx="1">
                  <c:v>-9%</c:v>
                </c:pt>
                <c:pt idx="2">
                  <c:v>-8%</c:v>
                </c:pt>
                <c:pt idx="3">
                  <c:v>-7%</c:v>
                </c:pt>
                <c:pt idx="4">
                  <c:v>-6%</c:v>
                </c:pt>
                <c:pt idx="5">
                  <c:v>-5%</c:v>
                </c:pt>
                <c:pt idx="6">
                  <c:v>-4%</c:v>
                </c:pt>
                <c:pt idx="7">
                  <c:v>-3%</c:v>
                </c:pt>
                <c:pt idx="8">
                  <c:v>-2%</c:v>
                </c:pt>
                <c:pt idx="9">
                  <c:v>-1%</c:v>
                </c:pt>
                <c:pt idx="10">
                  <c:v>0%</c:v>
                </c:pt>
                <c:pt idx="11">
                  <c:v>1%</c:v>
                </c:pt>
                <c:pt idx="12">
                  <c:v>2%</c:v>
                </c:pt>
                <c:pt idx="13">
                  <c:v>3%</c:v>
                </c:pt>
                <c:pt idx="14">
                  <c:v>4%</c:v>
                </c:pt>
                <c:pt idx="15">
                  <c:v>5%</c:v>
                </c:pt>
                <c:pt idx="16">
                  <c:v>6%</c:v>
                </c:pt>
                <c:pt idx="17">
                  <c:v>7%</c:v>
                </c:pt>
                <c:pt idx="18">
                  <c:v>8%</c:v>
                </c:pt>
                <c:pt idx="19">
                  <c:v>9%</c:v>
                </c:pt>
                <c:pt idx="20">
                  <c:v>10%</c:v>
                </c:pt>
                <c:pt idx="21">
                  <c:v>More</c:v>
                </c:pt>
              </c:strCache>
            </c:strRef>
          </c:cat>
          <c:val>
            <c:numRef>
              <c:f>'1-W'!$Z$21:$Z$42</c:f>
              <c:numCache>
                <c:formatCode>General</c:formatCode>
                <c:ptCount val="22"/>
                <c:pt idx="0">
                  <c:v>6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7</c:v>
                </c:pt>
                <c:pt idx="5">
                  <c:v>8</c:v>
                </c:pt>
                <c:pt idx="6">
                  <c:v>19</c:v>
                </c:pt>
                <c:pt idx="7">
                  <c:v>17</c:v>
                </c:pt>
                <c:pt idx="8">
                  <c:v>9</c:v>
                </c:pt>
                <c:pt idx="9">
                  <c:v>19</c:v>
                </c:pt>
                <c:pt idx="10">
                  <c:v>23</c:v>
                </c:pt>
                <c:pt idx="11">
                  <c:v>29</c:v>
                </c:pt>
                <c:pt idx="12">
                  <c:v>24</c:v>
                </c:pt>
                <c:pt idx="13">
                  <c:v>26</c:v>
                </c:pt>
                <c:pt idx="14">
                  <c:v>18</c:v>
                </c:pt>
                <c:pt idx="15">
                  <c:v>9</c:v>
                </c:pt>
                <c:pt idx="16">
                  <c:v>3</c:v>
                </c:pt>
                <c:pt idx="17">
                  <c:v>8</c:v>
                </c:pt>
                <c:pt idx="18">
                  <c:v>11</c:v>
                </c:pt>
                <c:pt idx="19">
                  <c:v>1</c:v>
                </c:pt>
                <c:pt idx="20">
                  <c:v>4</c:v>
                </c:pt>
                <c:pt idx="2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C4-46AD-BDDE-BD42BC135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2089631"/>
        <c:axId val="1322085791"/>
      </c:barChart>
      <c:catAx>
        <c:axId val="13220896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22085791"/>
        <c:crosses val="autoZero"/>
        <c:auto val="1"/>
        <c:lblAlgn val="ctr"/>
        <c:lblOffset val="100"/>
        <c:noMultiLvlLbl val="0"/>
      </c:catAx>
      <c:valAx>
        <c:axId val="132208579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2208963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Histogram-Peers</a:t>
            </a:r>
            <a:r>
              <a:rPr lang="en-US" baseline="0"/>
              <a:t> Average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'1-W'!$Y$50:$Y$71</c:f>
              <c:strCache>
                <c:ptCount val="22"/>
                <c:pt idx="0">
                  <c:v>-10%</c:v>
                </c:pt>
                <c:pt idx="1">
                  <c:v>-9%</c:v>
                </c:pt>
                <c:pt idx="2">
                  <c:v>-8%</c:v>
                </c:pt>
                <c:pt idx="3">
                  <c:v>-7%</c:v>
                </c:pt>
                <c:pt idx="4">
                  <c:v>-6%</c:v>
                </c:pt>
                <c:pt idx="5">
                  <c:v>-5%</c:v>
                </c:pt>
                <c:pt idx="6">
                  <c:v>-4%</c:v>
                </c:pt>
                <c:pt idx="7">
                  <c:v>-3%</c:v>
                </c:pt>
                <c:pt idx="8">
                  <c:v>-2%</c:v>
                </c:pt>
                <c:pt idx="9">
                  <c:v>-1%</c:v>
                </c:pt>
                <c:pt idx="10">
                  <c:v>0%</c:v>
                </c:pt>
                <c:pt idx="11">
                  <c:v>1%</c:v>
                </c:pt>
                <c:pt idx="12">
                  <c:v>2%</c:v>
                </c:pt>
                <c:pt idx="13">
                  <c:v>3%</c:v>
                </c:pt>
                <c:pt idx="14">
                  <c:v>4%</c:v>
                </c:pt>
                <c:pt idx="15">
                  <c:v>5%</c:v>
                </c:pt>
                <c:pt idx="16">
                  <c:v>6%</c:v>
                </c:pt>
                <c:pt idx="17">
                  <c:v>7%</c:v>
                </c:pt>
                <c:pt idx="18">
                  <c:v>8%</c:v>
                </c:pt>
                <c:pt idx="19">
                  <c:v>9%</c:v>
                </c:pt>
                <c:pt idx="20">
                  <c:v>10%</c:v>
                </c:pt>
                <c:pt idx="21">
                  <c:v>More</c:v>
                </c:pt>
              </c:strCache>
            </c:strRef>
          </c:cat>
          <c:val>
            <c:numRef>
              <c:f>'1-W'!$Z$50:$Z$71</c:f>
              <c:numCache>
                <c:formatCode>General</c:formatCode>
                <c:ptCount val="22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  <c:pt idx="5">
                  <c:v>9</c:v>
                </c:pt>
                <c:pt idx="6">
                  <c:v>8</c:v>
                </c:pt>
                <c:pt idx="7">
                  <c:v>20</c:v>
                </c:pt>
                <c:pt idx="8">
                  <c:v>17</c:v>
                </c:pt>
                <c:pt idx="9">
                  <c:v>18</c:v>
                </c:pt>
                <c:pt idx="10">
                  <c:v>28</c:v>
                </c:pt>
                <c:pt idx="11">
                  <c:v>21</c:v>
                </c:pt>
                <c:pt idx="12">
                  <c:v>43</c:v>
                </c:pt>
                <c:pt idx="13">
                  <c:v>21</c:v>
                </c:pt>
                <c:pt idx="14">
                  <c:v>14</c:v>
                </c:pt>
                <c:pt idx="15">
                  <c:v>16</c:v>
                </c:pt>
                <c:pt idx="16">
                  <c:v>8</c:v>
                </c:pt>
                <c:pt idx="17">
                  <c:v>6</c:v>
                </c:pt>
                <c:pt idx="18">
                  <c:v>6</c:v>
                </c:pt>
                <c:pt idx="19">
                  <c:v>3</c:v>
                </c:pt>
                <c:pt idx="20">
                  <c:v>2</c:v>
                </c:pt>
                <c:pt idx="2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0D-400A-9FF0-E2D70E105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1836751"/>
        <c:axId val="2090385039"/>
      </c:barChart>
      <c:catAx>
        <c:axId val="2718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90385039"/>
        <c:crosses val="autoZero"/>
        <c:auto val="1"/>
        <c:lblAlgn val="ctr"/>
        <c:lblOffset val="100"/>
        <c:noMultiLvlLbl val="0"/>
      </c:catAx>
      <c:valAx>
        <c:axId val="20903850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7183675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Histogram-</a:t>
            </a:r>
            <a:r>
              <a:rPr lang="en-US" altLang="zh-CN"/>
              <a:t>Oil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'1-W'!$Y$75:$Y$96</c:f>
              <c:strCache>
                <c:ptCount val="22"/>
                <c:pt idx="0">
                  <c:v>-10%</c:v>
                </c:pt>
                <c:pt idx="1">
                  <c:v>-9%</c:v>
                </c:pt>
                <c:pt idx="2">
                  <c:v>-8%</c:v>
                </c:pt>
                <c:pt idx="3">
                  <c:v>-7%</c:v>
                </c:pt>
                <c:pt idx="4">
                  <c:v>-6%</c:v>
                </c:pt>
                <c:pt idx="5">
                  <c:v>-5%</c:v>
                </c:pt>
                <c:pt idx="6">
                  <c:v>-4%</c:v>
                </c:pt>
                <c:pt idx="7">
                  <c:v>-3%</c:v>
                </c:pt>
                <c:pt idx="8">
                  <c:v>-2%</c:v>
                </c:pt>
                <c:pt idx="9">
                  <c:v>-1%</c:v>
                </c:pt>
                <c:pt idx="10">
                  <c:v>0%</c:v>
                </c:pt>
                <c:pt idx="11">
                  <c:v>1%</c:v>
                </c:pt>
                <c:pt idx="12">
                  <c:v>2%</c:v>
                </c:pt>
                <c:pt idx="13">
                  <c:v>3%</c:v>
                </c:pt>
                <c:pt idx="14">
                  <c:v>4%</c:v>
                </c:pt>
                <c:pt idx="15">
                  <c:v>5%</c:v>
                </c:pt>
                <c:pt idx="16">
                  <c:v>6%</c:v>
                </c:pt>
                <c:pt idx="17">
                  <c:v>7%</c:v>
                </c:pt>
                <c:pt idx="18">
                  <c:v>8%</c:v>
                </c:pt>
                <c:pt idx="19">
                  <c:v>9%</c:v>
                </c:pt>
                <c:pt idx="20">
                  <c:v>10%</c:v>
                </c:pt>
                <c:pt idx="21">
                  <c:v>More</c:v>
                </c:pt>
              </c:strCache>
            </c:strRef>
          </c:cat>
          <c:val>
            <c:numRef>
              <c:f>'1-W'!$Z$75:$Z$96</c:f>
              <c:numCache>
                <c:formatCode>General</c:formatCode>
                <c:ptCount val="22"/>
                <c:pt idx="0">
                  <c:v>9</c:v>
                </c:pt>
                <c:pt idx="1">
                  <c:v>2</c:v>
                </c:pt>
                <c:pt idx="2">
                  <c:v>4</c:v>
                </c:pt>
                <c:pt idx="3">
                  <c:v>9</c:v>
                </c:pt>
                <c:pt idx="4">
                  <c:v>5</c:v>
                </c:pt>
                <c:pt idx="5">
                  <c:v>3</c:v>
                </c:pt>
                <c:pt idx="6">
                  <c:v>10</c:v>
                </c:pt>
                <c:pt idx="7">
                  <c:v>13</c:v>
                </c:pt>
                <c:pt idx="8">
                  <c:v>17</c:v>
                </c:pt>
                <c:pt idx="9">
                  <c:v>28</c:v>
                </c:pt>
                <c:pt idx="10">
                  <c:v>22</c:v>
                </c:pt>
                <c:pt idx="11">
                  <c:v>22</c:v>
                </c:pt>
                <c:pt idx="12">
                  <c:v>18</c:v>
                </c:pt>
                <c:pt idx="13">
                  <c:v>30</c:v>
                </c:pt>
                <c:pt idx="14">
                  <c:v>16</c:v>
                </c:pt>
                <c:pt idx="15">
                  <c:v>20</c:v>
                </c:pt>
                <c:pt idx="16">
                  <c:v>5</c:v>
                </c:pt>
                <c:pt idx="17">
                  <c:v>10</c:v>
                </c:pt>
                <c:pt idx="18">
                  <c:v>5</c:v>
                </c:pt>
                <c:pt idx="19">
                  <c:v>5</c:v>
                </c:pt>
                <c:pt idx="20">
                  <c:v>2</c:v>
                </c:pt>
                <c:pt idx="2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BC-4DDC-A55B-C4223E894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7162223"/>
        <c:axId val="547161743"/>
      </c:barChart>
      <c:catAx>
        <c:axId val="5471622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47161743"/>
        <c:crosses val="autoZero"/>
        <c:auto val="1"/>
        <c:lblAlgn val="ctr"/>
        <c:lblOffset val="100"/>
        <c:noMultiLvlLbl val="0"/>
      </c:catAx>
      <c:valAx>
        <c:axId val="5471617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4716222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Histogram-SPX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'1-W'!$Y$100:$Y$121</c:f>
              <c:strCache>
                <c:ptCount val="22"/>
                <c:pt idx="0">
                  <c:v>-10%</c:v>
                </c:pt>
                <c:pt idx="1">
                  <c:v>-9%</c:v>
                </c:pt>
                <c:pt idx="2">
                  <c:v>-8%</c:v>
                </c:pt>
                <c:pt idx="3">
                  <c:v>-7%</c:v>
                </c:pt>
                <c:pt idx="4">
                  <c:v>-6%</c:v>
                </c:pt>
                <c:pt idx="5">
                  <c:v>-5%</c:v>
                </c:pt>
                <c:pt idx="6">
                  <c:v>-4%</c:v>
                </c:pt>
                <c:pt idx="7">
                  <c:v>-3%</c:v>
                </c:pt>
                <c:pt idx="8">
                  <c:v>-2%</c:v>
                </c:pt>
                <c:pt idx="9">
                  <c:v>-1%</c:v>
                </c:pt>
                <c:pt idx="10">
                  <c:v>0%</c:v>
                </c:pt>
                <c:pt idx="11">
                  <c:v>1%</c:v>
                </c:pt>
                <c:pt idx="12">
                  <c:v>2%</c:v>
                </c:pt>
                <c:pt idx="13">
                  <c:v>3%</c:v>
                </c:pt>
                <c:pt idx="14">
                  <c:v>4%</c:v>
                </c:pt>
                <c:pt idx="15">
                  <c:v>5%</c:v>
                </c:pt>
                <c:pt idx="16">
                  <c:v>6%</c:v>
                </c:pt>
                <c:pt idx="17">
                  <c:v>7%</c:v>
                </c:pt>
                <c:pt idx="18">
                  <c:v>8%</c:v>
                </c:pt>
                <c:pt idx="19">
                  <c:v>9%</c:v>
                </c:pt>
                <c:pt idx="20">
                  <c:v>10%</c:v>
                </c:pt>
                <c:pt idx="21">
                  <c:v>More</c:v>
                </c:pt>
              </c:strCache>
            </c:strRef>
          </c:cat>
          <c:val>
            <c:numRef>
              <c:f>'1-W'!$Z$100:$Z$121</c:f>
              <c:numCache>
                <c:formatCode>General</c:formatCode>
                <c:ptCount val="2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5</c:v>
                </c:pt>
                <c:pt idx="7">
                  <c:v>8</c:v>
                </c:pt>
                <c:pt idx="8">
                  <c:v>22</c:v>
                </c:pt>
                <c:pt idx="9">
                  <c:v>27</c:v>
                </c:pt>
                <c:pt idx="10">
                  <c:v>48</c:v>
                </c:pt>
                <c:pt idx="11">
                  <c:v>45</c:v>
                </c:pt>
                <c:pt idx="12">
                  <c:v>58</c:v>
                </c:pt>
                <c:pt idx="13">
                  <c:v>21</c:v>
                </c:pt>
                <c:pt idx="14">
                  <c:v>7</c:v>
                </c:pt>
                <c:pt idx="15">
                  <c:v>6</c:v>
                </c:pt>
                <c:pt idx="16">
                  <c:v>4</c:v>
                </c:pt>
                <c:pt idx="17">
                  <c:v>3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CF-4FC8-A3FC-3293DEB68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1681391"/>
        <c:axId val="291680911"/>
      </c:barChart>
      <c:catAx>
        <c:axId val="2916813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1680911"/>
        <c:crosses val="autoZero"/>
        <c:auto val="1"/>
        <c:lblAlgn val="ctr"/>
        <c:lblOffset val="100"/>
        <c:noMultiLvlLbl val="0"/>
      </c:catAx>
      <c:valAx>
        <c:axId val="2916809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168139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752475</xdr:colOff>
      <xdr:row>20</xdr:row>
      <xdr:rowOff>0</xdr:rowOff>
    </xdr:from>
    <xdr:to>
      <xdr:col>33</xdr:col>
      <xdr:colOff>752475</xdr:colOff>
      <xdr:row>41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6CFFB1-EC1E-CEE5-A6B7-76798CC56E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4762</xdr:colOff>
      <xdr:row>48</xdr:row>
      <xdr:rowOff>19050</xdr:rowOff>
    </xdr:from>
    <xdr:to>
      <xdr:col>34</xdr:col>
      <xdr:colOff>4762</xdr:colOff>
      <xdr:row>67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CB090D-DD71-7C5F-288B-4158E2DF7F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0</xdr:colOff>
      <xdr:row>73</xdr:row>
      <xdr:rowOff>0</xdr:rowOff>
    </xdr:from>
    <xdr:to>
      <xdr:col>34</xdr:col>
      <xdr:colOff>0</xdr:colOff>
      <xdr:row>93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A8AB78B-4E25-4693-8A39-66629C596A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0</xdr:colOff>
      <xdr:row>97</xdr:row>
      <xdr:rowOff>185737</xdr:rowOff>
    </xdr:from>
    <xdr:to>
      <xdr:col>34</xdr:col>
      <xdr:colOff>0</xdr:colOff>
      <xdr:row>118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09CCBC3-3073-4AD2-BA86-BD3648096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55</xdr:row>
      <xdr:rowOff>0</xdr:rowOff>
    </xdr:from>
    <xdr:to>
      <xdr:col>18</xdr:col>
      <xdr:colOff>546100</xdr:colOff>
      <xdr:row>90</xdr:row>
      <xdr:rowOff>15875</xdr:rowOff>
    </xdr:to>
    <xdr:pic>
      <xdr:nvPicPr>
        <xdr:cNvPr id="59" name="COP_CAPM_plot">
          <a:extLst>
            <a:ext uri="{FF2B5EF4-FFF2-40B4-BE49-F238E27FC236}">
              <a16:creationId xmlns:a16="http://schemas.microsoft.com/office/drawing/2014/main" id="{7BB954F3-2E48-7B07-FBF2-C94E983B20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2275" y="10096500"/>
          <a:ext cx="5080000" cy="635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84</xdr:row>
      <xdr:rowOff>0</xdr:rowOff>
    </xdr:from>
    <xdr:to>
      <xdr:col>18</xdr:col>
      <xdr:colOff>546100</xdr:colOff>
      <xdr:row>119</xdr:row>
      <xdr:rowOff>15875</xdr:rowOff>
    </xdr:to>
    <xdr:pic>
      <xdr:nvPicPr>
        <xdr:cNvPr id="61" name="COP_FF3_plot">
          <a:extLst>
            <a:ext uri="{FF2B5EF4-FFF2-40B4-BE49-F238E27FC236}">
              <a16:creationId xmlns:a16="http://schemas.microsoft.com/office/drawing/2014/main" id="{25E45D8F-711B-D969-72EC-D017CE7AD1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2275" y="15344775"/>
          <a:ext cx="5080000" cy="635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122</xdr:row>
      <xdr:rowOff>0</xdr:rowOff>
    </xdr:from>
    <xdr:to>
      <xdr:col>18</xdr:col>
      <xdr:colOff>546100</xdr:colOff>
      <xdr:row>157</xdr:row>
      <xdr:rowOff>15875</xdr:rowOff>
    </xdr:to>
    <xdr:pic>
      <xdr:nvPicPr>
        <xdr:cNvPr id="63" name="COP_FF3_COVID_plot">
          <a:extLst>
            <a:ext uri="{FF2B5EF4-FFF2-40B4-BE49-F238E27FC236}">
              <a16:creationId xmlns:a16="http://schemas.microsoft.com/office/drawing/2014/main" id="{8CC748FA-5760-548C-7617-49EEB1EDC6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2275" y="22221825"/>
          <a:ext cx="5080000" cy="635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166</xdr:row>
      <xdr:rowOff>0</xdr:rowOff>
    </xdr:from>
    <xdr:to>
      <xdr:col>18</xdr:col>
      <xdr:colOff>546100</xdr:colOff>
      <xdr:row>201</xdr:row>
      <xdr:rowOff>15875</xdr:rowOff>
    </xdr:to>
    <xdr:pic>
      <xdr:nvPicPr>
        <xdr:cNvPr id="65" name="^SP500-10_CAPM_plot">
          <a:extLst>
            <a:ext uri="{FF2B5EF4-FFF2-40B4-BE49-F238E27FC236}">
              <a16:creationId xmlns:a16="http://schemas.microsoft.com/office/drawing/2014/main" id="{5ADB997D-9B21-4E55-DF8A-ACA5A2D134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2275" y="30222825"/>
          <a:ext cx="5080000" cy="635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195</xdr:row>
      <xdr:rowOff>0</xdr:rowOff>
    </xdr:from>
    <xdr:to>
      <xdr:col>18</xdr:col>
      <xdr:colOff>546100</xdr:colOff>
      <xdr:row>230</xdr:row>
      <xdr:rowOff>15875</xdr:rowOff>
    </xdr:to>
    <xdr:pic>
      <xdr:nvPicPr>
        <xdr:cNvPr id="67" name="^SP500-10_FF3_plot">
          <a:extLst>
            <a:ext uri="{FF2B5EF4-FFF2-40B4-BE49-F238E27FC236}">
              <a16:creationId xmlns:a16="http://schemas.microsoft.com/office/drawing/2014/main" id="{0AE81674-956B-2D05-B918-8481E4B4A2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2275" y="35471100"/>
          <a:ext cx="5080000" cy="635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233</xdr:row>
      <xdr:rowOff>0</xdr:rowOff>
    </xdr:from>
    <xdr:to>
      <xdr:col>18</xdr:col>
      <xdr:colOff>546100</xdr:colOff>
      <xdr:row>268</xdr:row>
      <xdr:rowOff>15875</xdr:rowOff>
    </xdr:to>
    <xdr:pic>
      <xdr:nvPicPr>
        <xdr:cNvPr id="69" name="^SP500-10_FF3_COVID_plot">
          <a:extLst>
            <a:ext uri="{FF2B5EF4-FFF2-40B4-BE49-F238E27FC236}">
              <a16:creationId xmlns:a16="http://schemas.microsoft.com/office/drawing/2014/main" id="{7AA7C963-C335-008A-7537-258E8A8918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2275" y="42348150"/>
          <a:ext cx="5080000" cy="635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277</xdr:row>
      <xdr:rowOff>0</xdr:rowOff>
    </xdr:from>
    <xdr:to>
      <xdr:col>18</xdr:col>
      <xdr:colOff>546100</xdr:colOff>
      <xdr:row>312</xdr:row>
      <xdr:rowOff>15875</xdr:rowOff>
    </xdr:to>
    <xdr:pic>
      <xdr:nvPicPr>
        <xdr:cNvPr id="71" name="Peers Average_CAPM_plot">
          <a:extLst>
            <a:ext uri="{FF2B5EF4-FFF2-40B4-BE49-F238E27FC236}">
              <a16:creationId xmlns:a16="http://schemas.microsoft.com/office/drawing/2014/main" id="{8F2546ED-991F-B830-D55D-A7E536C830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2275" y="50349150"/>
          <a:ext cx="5080000" cy="635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306</xdr:row>
      <xdr:rowOff>0</xdr:rowOff>
    </xdr:from>
    <xdr:to>
      <xdr:col>18</xdr:col>
      <xdr:colOff>546100</xdr:colOff>
      <xdr:row>341</xdr:row>
      <xdr:rowOff>15875</xdr:rowOff>
    </xdr:to>
    <xdr:pic>
      <xdr:nvPicPr>
        <xdr:cNvPr id="73" name="Peers Average_FF3_plot">
          <a:extLst>
            <a:ext uri="{FF2B5EF4-FFF2-40B4-BE49-F238E27FC236}">
              <a16:creationId xmlns:a16="http://schemas.microsoft.com/office/drawing/2014/main" id="{07FBFEFD-4B68-9D6B-65DB-CCEAB4BAF6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2275" y="55597425"/>
          <a:ext cx="5080000" cy="635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344</xdr:row>
      <xdr:rowOff>0</xdr:rowOff>
    </xdr:from>
    <xdr:to>
      <xdr:col>18</xdr:col>
      <xdr:colOff>546100</xdr:colOff>
      <xdr:row>379</xdr:row>
      <xdr:rowOff>15875</xdr:rowOff>
    </xdr:to>
    <xdr:pic>
      <xdr:nvPicPr>
        <xdr:cNvPr id="75" name="Peers Average_FF3_COVID_plot">
          <a:extLst>
            <a:ext uri="{FF2B5EF4-FFF2-40B4-BE49-F238E27FC236}">
              <a16:creationId xmlns:a16="http://schemas.microsoft.com/office/drawing/2014/main" id="{32052AF2-F1E2-8913-0A04-36FEC90F77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2275" y="62474475"/>
          <a:ext cx="5080000" cy="635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iFinD\ThsFunc.xla" TargetMode="External"/><Relationship Id="rId1" Type="http://schemas.openxmlformats.org/officeDocument/2006/relationships/externalLinkPath" Target="file:///C:\iFinD\Ths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thsiFinD"/>
      <definedName name="thsMEDB"/>
    </definedNames>
    <sheetDataSet>
      <sheetData sheetId="0"/>
      <sheetData sheetId="1"/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872DF-760A-475F-86C5-C035941ADA01}">
  <dimension ref="A1:IV8"/>
  <sheetViews>
    <sheetView workbookViewId="0"/>
  </sheetViews>
  <sheetFormatPr defaultRowHeight="14.25" x14ac:dyDescent="0.45"/>
  <sheetData>
    <row r="1" spans="1:256" x14ac:dyDescent="0.45">
      <c r="A1">
        <v>1996</v>
      </c>
      <c r="B1" t="s">
        <v>1423</v>
      </c>
      <c r="C1" t="s">
        <v>1424</v>
      </c>
      <c r="D1" t="s">
        <v>1425</v>
      </c>
      <c r="E1" t="s">
        <v>1426</v>
      </c>
      <c r="F1" t="s">
        <v>1427</v>
      </c>
      <c r="G1" t="s">
        <v>1428</v>
      </c>
      <c r="H1" t="s">
        <v>1429</v>
      </c>
      <c r="I1" t="s">
        <v>1430</v>
      </c>
      <c r="J1" t="s">
        <v>1431</v>
      </c>
      <c r="K1" t="s">
        <v>1432</v>
      </c>
      <c r="L1" t="s">
        <v>1433</v>
      </c>
      <c r="M1" t="s">
        <v>1434</v>
      </c>
      <c r="N1" t="s">
        <v>1435</v>
      </c>
      <c r="O1" t="s">
        <v>1436</v>
      </c>
      <c r="P1" t="s">
        <v>1437</v>
      </c>
      <c r="Q1" t="s">
        <v>1438</v>
      </c>
      <c r="R1" t="s">
        <v>1439</v>
      </c>
      <c r="S1" t="s">
        <v>1440</v>
      </c>
      <c r="T1" t="s">
        <v>1441</v>
      </c>
      <c r="U1" t="s">
        <v>1442</v>
      </c>
      <c r="V1" t="s">
        <v>1443</v>
      </c>
      <c r="W1" t="s">
        <v>1444</v>
      </c>
      <c r="X1" t="s">
        <v>1445</v>
      </c>
      <c r="Y1" t="s">
        <v>1446</v>
      </c>
      <c r="Z1" t="s">
        <v>1447</v>
      </c>
      <c r="AA1" t="s">
        <v>1448</v>
      </c>
      <c r="AB1" t="s">
        <v>1449</v>
      </c>
      <c r="AC1" t="s">
        <v>1450</v>
      </c>
      <c r="AD1" t="s">
        <v>1451</v>
      </c>
      <c r="AE1" t="s">
        <v>1452</v>
      </c>
      <c r="AF1" t="s">
        <v>1453</v>
      </c>
      <c r="AG1" t="s">
        <v>1454</v>
      </c>
      <c r="AH1" t="s">
        <v>1455</v>
      </c>
      <c r="AI1" t="s">
        <v>1456</v>
      </c>
      <c r="AJ1" t="s">
        <v>1457</v>
      </c>
      <c r="AK1" t="s">
        <v>1458</v>
      </c>
      <c r="AL1" t="s">
        <v>1459</v>
      </c>
      <c r="AM1" t="s">
        <v>1460</v>
      </c>
      <c r="AN1" t="s">
        <v>1461</v>
      </c>
      <c r="AO1" t="s">
        <v>1462</v>
      </c>
      <c r="AP1" t="s">
        <v>1463</v>
      </c>
      <c r="AQ1" t="s">
        <v>1464</v>
      </c>
      <c r="AR1" t="s">
        <v>1465</v>
      </c>
      <c r="AS1" t="s">
        <v>1466</v>
      </c>
      <c r="AT1" t="s">
        <v>1467</v>
      </c>
      <c r="AU1" t="s">
        <v>1468</v>
      </c>
      <c r="AV1" t="s">
        <v>1469</v>
      </c>
      <c r="AW1" t="s">
        <v>1470</v>
      </c>
      <c r="AX1" t="s">
        <v>1471</v>
      </c>
      <c r="AY1" t="s">
        <v>1472</v>
      </c>
      <c r="AZ1" t="s">
        <v>1473</v>
      </c>
      <c r="BA1" t="s">
        <v>1474</v>
      </c>
      <c r="BB1" t="s">
        <v>1475</v>
      </c>
      <c r="BC1" t="s">
        <v>1476</v>
      </c>
      <c r="BD1" t="s">
        <v>1477</v>
      </c>
      <c r="BE1" t="s">
        <v>1478</v>
      </c>
      <c r="BF1" t="s">
        <v>1479</v>
      </c>
      <c r="BG1" t="s">
        <v>1480</v>
      </c>
      <c r="BH1" t="s">
        <v>1481</v>
      </c>
      <c r="BI1" t="s">
        <v>1482</v>
      </c>
      <c r="BJ1" t="s">
        <v>1483</v>
      </c>
      <c r="BK1" t="s">
        <v>1484</v>
      </c>
      <c r="BL1" t="s">
        <v>1485</v>
      </c>
      <c r="BM1" t="s">
        <v>1486</v>
      </c>
      <c r="BN1" t="s">
        <v>1487</v>
      </c>
      <c r="BO1" t="s">
        <v>1488</v>
      </c>
      <c r="BP1" t="s">
        <v>1489</v>
      </c>
      <c r="BQ1" t="s">
        <v>1490</v>
      </c>
      <c r="BR1" t="s">
        <v>1491</v>
      </c>
      <c r="BS1" t="s">
        <v>1492</v>
      </c>
      <c r="BT1" t="s">
        <v>1493</v>
      </c>
      <c r="BU1" t="s">
        <v>1494</v>
      </c>
      <c r="BV1" t="s">
        <v>1495</v>
      </c>
      <c r="BW1" t="s">
        <v>1496</v>
      </c>
      <c r="BX1" t="s">
        <v>1497</v>
      </c>
      <c r="BY1" t="s">
        <v>1498</v>
      </c>
      <c r="BZ1" t="s">
        <v>1499</v>
      </c>
      <c r="CA1" t="s">
        <v>1500</v>
      </c>
      <c r="CB1" t="s">
        <v>1501</v>
      </c>
      <c r="CC1" t="s">
        <v>1502</v>
      </c>
      <c r="CD1" t="s">
        <v>1503</v>
      </c>
      <c r="CE1" t="s">
        <v>1504</v>
      </c>
      <c r="CF1" t="s">
        <v>1505</v>
      </c>
      <c r="CG1" t="s">
        <v>1506</v>
      </c>
      <c r="CH1" t="s">
        <v>1507</v>
      </c>
      <c r="CI1" t="s">
        <v>1508</v>
      </c>
      <c r="CJ1" t="s">
        <v>1509</v>
      </c>
      <c r="CK1" t="s">
        <v>1510</v>
      </c>
      <c r="CL1" t="s">
        <v>1511</v>
      </c>
      <c r="CM1" t="s">
        <v>1512</v>
      </c>
      <c r="CN1" t="s">
        <v>1513</v>
      </c>
      <c r="CO1" t="s">
        <v>1514</v>
      </c>
      <c r="CP1" t="s">
        <v>1515</v>
      </c>
      <c r="CQ1" t="s">
        <v>1516</v>
      </c>
      <c r="CR1" t="s">
        <v>1517</v>
      </c>
      <c r="CS1" t="s">
        <v>1518</v>
      </c>
      <c r="CT1" t="s">
        <v>1519</v>
      </c>
      <c r="CU1" t="s">
        <v>1520</v>
      </c>
      <c r="CV1" t="s">
        <v>1521</v>
      </c>
      <c r="CW1" t="s">
        <v>1522</v>
      </c>
      <c r="CX1" t="s">
        <v>1523</v>
      </c>
      <c r="CY1" t="s">
        <v>1524</v>
      </c>
      <c r="CZ1" t="s">
        <v>1525</v>
      </c>
      <c r="DA1" t="s">
        <v>1526</v>
      </c>
      <c r="DB1" t="s">
        <v>1527</v>
      </c>
      <c r="DC1" t="s">
        <v>1528</v>
      </c>
      <c r="DD1" t="s">
        <v>1529</v>
      </c>
      <c r="DE1" t="s">
        <v>1530</v>
      </c>
      <c r="DF1" t="s">
        <v>1531</v>
      </c>
      <c r="DG1" t="s">
        <v>1532</v>
      </c>
      <c r="DH1" t="s">
        <v>1533</v>
      </c>
      <c r="DI1" t="s">
        <v>1534</v>
      </c>
      <c r="DJ1" t="s">
        <v>1535</v>
      </c>
      <c r="DK1" t="s">
        <v>1536</v>
      </c>
      <c r="DL1" t="s">
        <v>1537</v>
      </c>
      <c r="DM1" t="s">
        <v>1538</v>
      </c>
      <c r="DN1" t="s">
        <v>1539</v>
      </c>
      <c r="DO1" t="s">
        <v>1540</v>
      </c>
      <c r="DP1" t="s">
        <v>1541</v>
      </c>
      <c r="DQ1" t="s">
        <v>1542</v>
      </c>
      <c r="DR1" t="s">
        <v>1543</v>
      </c>
      <c r="DS1" t="s">
        <v>1544</v>
      </c>
      <c r="DT1" t="s">
        <v>1545</v>
      </c>
      <c r="DU1" t="s">
        <v>1546</v>
      </c>
      <c r="DV1" t="s">
        <v>1547</v>
      </c>
      <c r="DW1" t="s">
        <v>1548</v>
      </c>
      <c r="DX1" t="s">
        <v>1549</v>
      </c>
      <c r="DY1" t="s">
        <v>1550</v>
      </c>
      <c r="DZ1" t="s">
        <v>1551</v>
      </c>
      <c r="EA1" t="s">
        <v>1552</v>
      </c>
      <c r="EB1" t="s">
        <v>1553</v>
      </c>
      <c r="EC1" t="s">
        <v>1554</v>
      </c>
      <c r="ED1" t="s">
        <v>1555</v>
      </c>
      <c r="EE1" t="s">
        <v>1556</v>
      </c>
      <c r="EF1" t="s">
        <v>1557</v>
      </c>
      <c r="EG1" t="s">
        <v>1558</v>
      </c>
      <c r="EH1" t="s">
        <v>1559</v>
      </c>
      <c r="EI1" t="s">
        <v>1560</v>
      </c>
      <c r="EJ1" t="s">
        <v>1561</v>
      </c>
      <c r="EK1" t="s">
        <v>1562</v>
      </c>
      <c r="EL1" t="s">
        <v>1563</v>
      </c>
      <c r="EM1" t="s">
        <v>1564</v>
      </c>
      <c r="EN1" t="s">
        <v>1565</v>
      </c>
      <c r="EO1" t="s">
        <v>1566</v>
      </c>
      <c r="EP1" t="s">
        <v>1567</v>
      </c>
      <c r="EQ1" t="s">
        <v>1568</v>
      </c>
      <c r="ER1" t="s">
        <v>1569</v>
      </c>
      <c r="ES1" t="s">
        <v>1570</v>
      </c>
      <c r="ET1" t="s">
        <v>1571</v>
      </c>
      <c r="EU1" t="s">
        <v>1572</v>
      </c>
      <c r="EV1" t="s">
        <v>1573</v>
      </c>
      <c r="EW1" t="s">
        <v>1574</v>
      </c>
      <c r="EX1" t="s">
        <v>1575</v>
      </c>
      <c r="EY1" t="s">
        <v>1576</v>
      </c>
      <c r="EZ1" t="s">
        <v>1577</v>
      </c>
      <c r="FA1" t="s">
        <v>1578</v>
      </c>
      <c r="FB1" t="s">
        <v>1579</v>
      </c>
      <c r="FC1" t="s">
        <v>1580</v>
      </c>
      <c r="FD1" t="s">
        <v>1581</v>
      </c>
      <c r="FE1" t="s">
        <v>1582</v>
      </c>
      <c r="FF1" t="s">
        <v>1583</v>
      </c>
      <c r="FG1" t="s">
        <v>1584</v>
      </c>
      <c r="FH1" t="s">
        <v>1585</v>
      </c>
      <c r="FI1" t="s">
        <v>1586</v>
      </c>
      <c r="FJ1" t="s">
        <v>1587</v>
      </c>
      <c r="FK1" t="s">
        <v>1588</v>
      </c>
      <c r="FL1" t="s">
        <v>1589</v>
      </c>
      <c r="FM1" t="s">
        <v>1590</v>
      </c>
      <c r="FN1" t="s">
        <v>1591</v>
      </c>
      <c r="FO1" t="s">
        <v>1592</v>
      </c>
      <c r="FP1" t="s">
        <v>1593</v>
      </c>
      <c r="FQ1" t="s">
        <v>1594</v>
      </c>
      <c r="FR1" t="s">
        <v>1595</v>
      </c>
      <c r="FS1" t="s">
        <v>1596</v>
      </c>
      <c r="FT1" t="s">
        <v>1597</v>
      </c>
      <c r="FU1" t="s">
        <v>1598</v>
      </c>
      <c r="FV1" t="s">
        <v>1599</v>
      </c>
      <c r="FW1" t="s">
        <v>1600</v>
      </c>
      <c r="FX1" t="s">
        <v>1601</v>
      </c>
      <c r="FY1" t="s">
        <v>1602</v>
      </c>
      <c r="FZ1" t="s">
        <v>1603</v>
      </c>
      <c r="GA1" t="s">
        <v>1604</v>
      </c>
      <c r="GB1" t="s">
        <v>1605</v>
      </c>
      <c r="GC1" t="s">
        <v>1606</v>
      </c>
      <c r="GD1" t="s">
        <v>1607</v>
      </c>
      <c r="GE1" t="s">
        <v>1608</v>
      </c>
      <c r="GF1" t="s">
        <v>1609</v>
      </c>
      <c r="GG1" t="s">
        <v>1610</v>
      </c>
      <c r="GH1" t="s">
        <v>1611</v>
      </c>
      <c r="GI1" t="s">
        <v>1612</v>
      </c>
      <c r="GJ1" t="s">
        <v>1613</v>
      </c>
      <c r="GK1" t="s">
        <v>1614</v>
      </c>
      <c r="GL1" t="s">
        <v>1615</v>
      </c>
      <c r="GM1" t="s">
        <v>1616</v>
      </c>
      <c r="GN1" t="s">
        <v>1617</v>
      </c>
      <c r="GO1" t="s">
        <v>1618</v>
      </c>
      <c r="GP1" t="s">
        <v>1619</v>
      </c>
      <c r="GQ1" t="s">
        <v>1620</v>
      </c>
      <c r="GR1" t="s">
        <v>1621</v>
      </c>
      <c r="GS1" t="s">
        <v>1622</v>
      </c>
      <c r="GT1" t="s">
        <v>1623</v>
      </c>
      <c r="GU1" t="s">
        <v>1624</v>
      </c>
      <c r="GV1" t="s">
        <v>1625</v>
      </c>
      <c r="GW1" t="s">
        <v>1626</v>
      </c>
      <c r="GX1" t="s">
        <v>1627</v>
      </c>
      <c r="GY1" t="s">
        <v>1628</v>
      </c>
      <c r="GZ1" t="s">
        <v>1629</v>
      </c>
      <c r="HA1" t="s">
        <v>1630</v>
      </c>
      <c r="HB1" t="s">
        <v>1631</v>
      </c>
      <c r="HC1" t="s">
        <v>1632</v>
      </c>
      <c r="HD1" t="s">
        <v>1633</v>
      </c>
      <c r="HE1" t="s">
        <v>1634</v>
      </c>
      <c r="HF1" t="s">
        <v>1635</v>
      </c>
      <c r="HG1" t="s">
        <v>1636</v>
      </c>
      <c r="HH1" t="s">
        <v>1637</v>
      </c>
      <c r="HI1" t="s">
        <v>1638</v>
      </c>
      <c r="HJ1" t="s">
        <v>1639</v>
      </c>
      <c r="HK1" t="s">
        <v>1640</v>
      </c>
      <c r="HL1" t="s">
        <v>1641</v>
      </c>
      <c r="HM1" t="s">
        <v>1642</v>
      </c>
      <c r="HN1" t="s">
        <v>1643</v>
      </c>
      <c r="HO1" t="s">
        <v>1644</v>
      </c>
      <c r="HP1" t="s">
        <v>1645</v>
      </c>
      <c r="HQ1" t="s">
        <v>1646</v>
      </c>
      <c r="HR1" t="s">
        <v>1647</v>
      </c>
      <c r="HS1" t="s">
        <v>1648</v>
      </c>
      <c r="HT1" t="s">
        <v>1649</v>
      </c>
      <c r="HU1" t="s">
        <v>1650</v>
      </c>
      <c r="HV1" t="s">
        <v>1651</v>
      </c>
      <c r="HW1" t="s">
        <v>1652</v>
      </c>
      <c r="HX1" t="s">
        <v>1653</v>
      </c>
      <c r="HY1" t="s">
        <v>1654</v>
      </c>
      <c r="HZ1" t="s">
        <v>1655</v>
      </c>
      <c r="IA1" t="s">
        <v>1656</v>
      </c>
      <c r="IB1" t="s">
        <v>1657</v>
      </c>
      <c r="IC1" t="s">
        <v>1658</v>
      </c>
      <c r="ID1" t="s">
        <v>1659</v>
      </c>
      <c r="IE1" t="s">
        <v>1660</v>
      </c>
      <c r="IF1" t="s">
        <v>1661</v>
      </c>
      <c r="IG1" t="s">
        <v>1662</v>
      </c>
      <c r="IH1" t="s">
        <v>1663</v>
      </c>
      <c r="II1" t="s">
        <v>1664</v>
      </c>
      <c r="IJ1" t="s">
        <v>1665</v>
      </c>
      <c r="IK1" t="s">
        <v>1666</v>
      </c>
      <c r="IL1" t="s">
        <v>1667</v>
      </c>
      <c r="IM1" t="s">
        <v>1668</v>
      </c>
      <c r="IN1" t="s">
        <v>1669</v>
      </c>
      <c r="IO1" t="s">
        <v>1670</v>
      </c>
      <c r="IP1" t="s">
        <v>1671</v>
      </c>
      <c r="IQ1" t="s">
        <v>1672</v>
      </c>
      <c r="IR1" t="s">
        <v>1673</v>
      </c>
      <c r="IS1" t="s">
        <v>1674</v>
      </c>
      <c r="IT1" t="s">
        <v>1675</v>
      </c>
      <c r="IU1" t="s">
        <v>1676</v>
      </c>
      <c r="IV1" t="s">
        <v>1677</v>
      </c>
    </row>
    <row r="2" spans="1:256" x14ac:dyDescent="0.45">
      <c r="A2" t="s">
        <v>1678</v>
      </c>
      <c r="B2" t="s">
        <v>1679</v>
      </c>
      <c r="C2" t="s">
        <v>1680</v>
      </c>
      <c r="D2" t="s">
        <v>1681</v>
      </c>
      <c r="E2" t="s">
        <v>1682</v>
      </c>
      <c r="F2" t="s">
        <v>1683</v>
      </c>
      <c r="G2" t="s">
        <v>1684</v>
      </c>
      <c r="H2" t="s">
        <v>1685</v>
      </c>
      <c r="I2" t="s">
        <v>1686</v>
      </c>
      <c r="J2" t="s">
        <v>1687</v>
      </c>
      <c r="K2" t="s">
        <v>1688</v>
      </c>
      <c r="L2" t="s">
        <v>1689</v>
      </c>
      <c r="M2" t="s">
        <v>1690</v>
      </c>
      <c r="N2" t="s">
        <v>1691</v>
      </c>
      <c r="O2" t="s">
        <v>1692</v>
      </c>
      <c r="P2" t="s">
        <v>1693</v>
      </c>
      <c r="Q2" t="s">
        <v>1694</v>
      </c>
      <c r="R2" t="s">
        <v>1695</v>
      </c>
      <c r="S2" t="s">
        <v>1696</v>
      </c>
      <c r="T2" t="s">
        <v>1697</v>
      </c>
      <c r="U2" t="s">
        <v>1698</v>
      </c>
      <c r="V2" t="s">
        <v>1699</v>
      </c>
      <c r="W2" t="s">
        <v>1700</v>
      </c>
      <c r="X2" t="s">
        <v>1701</v>
      </c>
      <c r="Y2" t="s">
        <v>1702</v>
      </c>
      <c r="Z2" t="s">
        <v>1703</v>
      </c>
      <c r="AA2" t="s">
        <v>1704</v>
      </c>
      <c r="AB2" t="s">
        <v>1705</v>
      </c>
      <c r="AC2" t="s">
        <v>1706</v>
      </c>
      <c r="AD2" t="s">
        <v>1707</v>
      </c>
      <c r="AE2" t="s">
        <v>1708</v>
      </c>
      <c r="AF2" t="s">
        <v>1709</v>
      </c>
      <c r="AG2" t="s">
        <v>1710</v>
      </c>
      <c r="AH2" t="s">
        <v>1711</v>
      </c>
      <c r="AI2" t="s">
        <v>1712</v>
      </c>
      <c r="AJ2" t="s">
        <v>1713</v>
      </c>
      <c r="AK2" t="s">
        <v>1714</v>
      </c>
      <c r="AL2" t="s">
        <v>1715</v>
      </c>
      <c r="AM2" t="s">
        <v>1716</v>
      </c>
      <c r="AN2" t="s">
        <v>1717</v>
      </c>
      <c r="AO2" t="s">
        <v>1718</v>
      </c>
      <c r="AP2" t="s">
        <v>1719</v>
      </c>
      <c r="AQ2" t="s">
        <v>1720</v>
      </c>
      <c r="AR2" t="s">
        <v>1721</v>
      </c>
      <c r="AS2" t="s">
        <v>1722</v>
      </c>
      <c r="AT2" t="s">
        <v>1723</v>
      </c>
      <c r="AU2" t="s">
        <v>1724</v>
      </c>
      <c r="AV2" t="s">
        <v>1725</v>
      </c>
      <c r="AW2" t="s">
        <v>1726</v>
      </c>
      <c r="AX2" t="s">
        <v>1727</v>
      </c>
      <c r="AY2" t="s">
        <v>1728</v>
      </c>
      <c r="AZ2" t="s">
        <v>1729</v>
      </c>
      <c r="BA2" t="s">
        <v>1730</v>
      </c>
      <c r="BB2" t="s">
        <v>1731</v>
      </c>
      <c r="BC2" t="s">
        <v>1732</v>
      </c>
      <c r="BD2" t="s">
        <v>1733</v>
      </c>
      <c r="BE2" t="s">
        <v>1734</v>
      </c>
      <c r="BF2" t="s">
        <v>1735</v>
      </c>
      <c r="BG2" t="s">
        <v>1736</v>
      </c>
      <c r="BH2" t="s">
        <v>1737</v>
      </c>
      <c r="BI2" t="s">
        <v>1738</v>
      </c>
      <c r="BJ2" t="s">
        <v>1739</v>
      </c>
      <c r="BK2" t="s">
        <v>1740</v>
      </c>
      <c r="BL2" t="s">
        <v>1741</v>
      </c>
      <c r="BM2" t="s">
        <v>1742</v>
      </c>
      <c r="BN2" t="s">
        <v>1743</v>
      </c>
      <c r="BO2" t="s">
        <v>1744</v>
      </c>
      <c r="BP2" t="s">
        <v>1745</v>
      </c>
      <c r="BQ2" t="s">
        <v>1746</v>
      </c>
      <c r="BR2" t="s">
        <v>1747</v>
      </c>
      <c r="BS2" t="s">
        <v>1748</v>
      </c>
      <c r="BT2" t="s">
        <v>1749</v>
      </c>
      <c r="BU2" t="s">
        <v>1750</v>
      </c>
      <c r="BV2" t="s">
        <v>1751</v>
      </c>
      <c r="BW2" t="s">
        <v>1752</v>
      </c>
      <c r="BX2" t="s">
        <v>1753</v>
      </c>
      <c r="BY2" t="s">
        <v>1754</v>
      </c>
      <c r="BZ2" t="s">
        <v>1755</v>
      </c>
      <c r="CA2" t="s">
        <v>1756</v>
      </c>
      <c r="CB2" t="s">
        <v>1757</v>
      </c>
      <c r="CC2" t="s">
        <v>1758</v>
      </c>
      <c r="CD2" t="s">
        <v>1759</v>
      </c>
      <c r="CE2" t="s">
        <v>1760</v>
      </c>
      <c r="CF2" t="s">
        <v>1761</v>
      </c>
      <c r="CG2" t="s">
        <v>1762</v>
      </c>
      <c r="CH2" t="s">
        <v>1763</v>
      </c>
      <c r="CI2" t="s">
        <v>1764</v>
      </c>
      <c r="CJ2" t="s">
        <v>1765</v>
      </c>
      <c r="CK2" t="s">
        <v>1766</v>
      </c>
      <c r="CL2" t="s">
        <v>1767</v>
      </c>
      <c r="CM2" t="s">
        <v>1768</v>
      </c>
      <c r="CN2" t="s">
        <v>1769</v>
      </c>
      <c r="CO2" t="s">
        <v>1770</v>
      </c>
      <c r="CP2" t="s">
        <v>1771</v>
      </c>
      <c r="CQ2" t="s">
        <v>1772</v>
      </c>
      <c r="CR2" t="s">
        <v>1773</v>
      </c>
      <c r="CS2" t="s">
        <v>1774</v>
      </c>
      <c r="CT2" t="s">
        <v>1775</v>
      </c>
      <c r="CU2" t="s">
        <v>1776</v>
      </c>
      <c r="CV2" t="s">
        <v>1777</v>
      </c>
      <c r="CW2" t="s">
        <v>1778</v>
      </c>
      <c r="CX2" t="s">
        <v>1779</v>
      </c>
      <c r="CY2" t="s">
        <v>1780</v>
      </c>
      <c r="CZ2" t="s">
        <v>1781</v>
      </c>
      <c r="DA2" t="s">
        <v>1782</v>
      </c>
      <c r="DB2" t="s">
        <v>1783</v>
      </c>
      <c r="DC2" t="s">
        <v>1784</v>
      </c>
      <c r="DD2" t="s">
        <v>1785</v>
      </c>
      <c r="DE2" t="s">
        <v>1786</v>
      </c>
      <c r="DF2" t="s">
        <v>1787</v>
      </c>
      <c r="DG2" t="s">
        <v>1788</v>
      </c>
      <c r="DH2" t="s">
        <v>1789</v>
      </c>
      <c r="DI2" t="s">
        <v>1790</v>
      </c>
      <c r="DJ2" t="s">
        <v>1791</v>
      </c>
      <c r="DK2" t="s">
        <v>1792</v>
      </c>
      <c r="DL2" t="s">
        <v>1793</v>
      </c>
      <c r="DM2" t="s">
        <v>1794</v>
      </c>
      <c r="DN2" t="s">
        <v>1795</v>
      </c>
      <c r="DO2" t="s">
        <v>1796</v>
      </c>
      <c r="DP2" t="s">
        <v>1797</v>
      </c>
      <c r="DQ2" t="s">
        <v>1798</v>
      </c>
      <c r="DR2" t="s">
        <v>1799</v>
      </c>
      <c r="DS2" t="s">
        <v>1800</v>
      </c>
      <c r="DT2" t="s">
        <v>1801</v>
      </c>
      <c r="DU2" t="s">
        <v>1802</v>
      </c>
      <c r="DV2" t="s">
        <v>1803</v>
      </c>
      <c r="DW2" t="s">
        <v>1804</v>
      </c>
      <c r="DX2" t="s">
        <v>1805</v>
      </c>
      <c r="DY2" t="s">
        <v>1806</v>
      </c>
      <c r="DZ2" t="s">
        <v>1807</v>
      </c>
      <c r="EA2" t="s">
        <v>1808</v>
      </c>
      <c r="EB2" t="s">
        <v>1809</v>
      </c>
      <c r="EC2" t="s">
        <v>1810</v>
      </c>
      <c r="ED2" t="s">
        <v>1811</v>
      </c>
      <c r="EE2" t="s">
        <v>1812</v>
      </c>
      <c r="EF2" t="s">
        <v>1813</v>
      </c>
      <c r="EG2" t="s">
        <v>1814</v>
      </c>
      <c r="EH2" t="s">
        <v>1815</v>
      </c>
      <c r="EI2" t="s">
        <v>1816</v>
      </c>
      <c r="EJ2" t="s">
        <v>1817</v>
      </c>
      <c r="EK2" t="s">
        <v>1818</v>
      </c>
      <c r="EL2" t="s">
        <v>1819</v>
      </c>
      <c r="EM2" t="s">
        <v>1820</v>
      </c>
      <c r="EN2" t="s">
        <v>1821</v>
      </c>
      <c r="EO2" t="s">
        <v>1822</v>
      </c>
      <c r="EP2" t="s">
        <v>1823</v>
      </c>
      <c r="EQ2" t="s">
        <v>1824</v>
      </c>
      <c r="ER2" t="s">
        <v>1825</v>
      </c>
      <c r="ES2" t="s">
        <v>1826</v>
      </c>
      <c r="ET2" t="s">
        <v>1827</v>
      </c>
      <c r="EU2" t="s">
        <v>1828</v>
      </c>
      <c r="EV2" t="s">
        <v>1829</v>
      </c>
      <c r="EW2" t="s">
        <v>1830</v>
      </c>
      <c r="EX2" t="s">
        <v>1831</v>
      </c>
      <c r="EY2" t="s">
        <v>1832</v>
      </c>
      <c r="EZ2" t="s">
        <v>1833</v>
      </c>
      <c r="FA2" t="s">
        <v>1834</v>
      </c>
      <c r="FB2" t="s">
        <v>1835</v>
      </c>
      <c r="FC2" t="s">
        <v>1836</v>
      </c>
      <c r="FD2" t="s">
        <v>1837</v>
      </c>
      <c r="FE2" t="s">
        <v>1838</v>
      </c>
      <c r="FF2" t="s">
        <v>1839</v>
      </c>
      <c r="FG2" t="s">
        <v>1840</v>
      </c>
      <c r="FH2" t="s">
        <v>1841</v>
      </c>
      <c r="FI2" t="s">
        <v>1842</v>
      </c>
      <c r="FJ2" t="s">
        <v>1843</v>
      </c>
      <c r="FK2" t="s">
        <v>1844</v>
      </c>
      <c r="FL2" t="s">
        <v>1845</v>
      </c>
      <c r="FM2" t="s">
        <v>1846</v>
      </c>
      <c r="FN2" t="s">
        <v>1847</v>
      </c>
      <c r="FO2" t="s">
        <v>1848</v>
      </c>
      <c r="FP2" t="s">
        <v>1849</v>
      </c>
      <c r="FQ2" t="s">
        <v>1850</v>
      </c>
      <c r="FR2" t="s">
        <v>1851</v>
      </c>
      <c r="FS2" t="s">
        <v>1852</v>
      </c>
      <c r="FT2" t="s">
        <v>1853</v>
      </c>
      <c r="FU2" t="s">
        <v>1854</v>
      </c>
      <c r="FV2" t="s">
        <v>1855</v>
      </c>
      <c r="FW2" t="s">
        <v>1856</v>
      </c>
      <c r="FX2" t="s">
        <v>1857</v>
      </c>
      <c r="FY2" t="s">
        <v>1858</v>
      </c>
      <c r="FZ2" t="s">
        <v>1859</v>
      </c>
      <c r="GA2" t="s">
        <v>1860</v>
      </c>
      <c r="GB2" t="s">
        <v>1861</v>
      </c>
      <c r="GC2" t="s">
        <v>1862</v>
      </c>
      <c r="GD2" t="s">
        <v>1863</v>
      </c>
      <c r="GE2" t="s">
        <v>1864</v>
      </c>
      <c r="GF2" t="s">
        <v>1865</v>
      </c>
      <c r="GG2" t="s">
        <v>1866</v>
      </c>
      <c r="GH2" t="s">
        <v>1867</v>
      </c>
      <c r="GI2" t="s">
        <v>1868</v>
      </c>
      <c r="GJ2" t="s">
        <v>1869</v>
      </c>
      <c r="GK2" t="s">
        <v>1870</v>
      </c>
      <c r="GL2" t="s">
        <v>1871</v>
      </c>
      <c r="GM2" t="s">
        <v>1872</v>
      </c>
      <c r="GN2" t="s">
        <v>1873</v>
      </c>
      <c r="GO2" t="s">
        <v>1874</v>
      </c>
      <c r="GP2" t="s">
        <v>1875</v>
      </c>
      <c r="GQ2" t="s">
        <v>1876</v>
      </c>
      <c r="GR2" t="s">
        <v>1877</v>
      </c>
      <c r="GS2" t="s">
        <v>1878</v>
      </c>
      <c r="GT2" t="s">
        <v>1879</v>
      </c>
      <c r="GU2" t="s">
        <v>1880</v>
      </c>
      <c r="GV2" t="s">
        <v>1881</v>
      </c>
      <c r="GW2" t="s">
        <v>1882</v>
      </c>
      <c r="GX2" t="s">
        <v>1883</v>
      </c>
      <c r="GY2" t="s">
        <v>1884</v>
      </c>
      <c r="GZ2" t="s">
        <v>1885</v>
      </c>
      <c r="HA2" t="s">
        <v>1886</v>
      </c>
      <c r="HB2" t="s">
        <v>1887</v>
      </c>
      <c r="HC2" t="s">
        <v>1888</v>
      </c>
      <c r="HD2" t="s">
        <v>1889</v>
      </c>
      <c r="HE2" t="s">
        <v>1890</v>
      </c>
      <c r="HF2" t="s">
        <v>1891</v>
      </c>
      <c r="HG2" t="s">
        <v>1892</v>
      </c>
      <c r="HH2" t="s">
        <v>1893</v>
      </c>
      <c r="HI2" t="s">
        <v>1894</v>
      </c>
      <c r="HJ2" t="s">
        <v>1895</v>
      </c>
      <c r="HK2" t="s">
        <v>1896</v>
      </c>
      <c r="HL2" t="s">
        <v>1897</v>
      </c>
      <c r="HM2" t="s">
        <v>1898</v>
      </c>
      <c r="HN2" t="s">
        <v>1899</v>
      </c>
      <c r="HO2" t="s">
        <v>1900</v>
      </c>
      <c r="HP2" t="s">
        <v>1901</v>
      </c>
      <c r="HQ2" t="s">
        <v>1902</v>
      </c>
      <c r="HR2" t="s">
        <v>1903</v>
      </c>
      <c r="HS2" t="s">
        <v>1904</v>
      </c>
      <c r="HT2" t="s">
        <v>1905</v>
      </c>
      <c r="HU2" t="s">
        <v>1906</v>
      </c>
      <c r="HV2" t="s">
        <v>1907</v>
      </c>
      <c r="HW2" t="s">
        <v>1908</v>
      </c>
      <c r="HX2" t="s">
        <v>1909</v>
      </c>
      <c r="HY2" t="s">
        <v>1910</v>
      </c>
      <c r="HZ2" t="s">
        <v>1911</v>
      </c>
      <c r="IA2" t="s">
        <v>1912</v>
      </c>
      <c r="IB2" t="s">
        <v>1913</v>
      </c>
      <c r="IC2" t="s">
        <v>1914</v>
      </c>
      <c r="ID2" t="s">
        <v>1915</v>
      </c>
      <c r="IE2" t="s">
        <v>1916</v>
      </c>
      <c r="IF2" t="s">
        <v>1917</v>
      </c>
      <c r="IG2" t="s">
        <v>1918</v>
      </c>
      <c r="IH2" t="s">
        <v>1919</v>
      </c>
      <c r="II2" t="s">
        <v>1920</v>
      </c>
      <c r="IJ2" t="s">
        <v>1921</v>
      </c>
      <c r="IK2" t="s">
        <v>1922</v>
      </c>
      <c r="IL2" t="s">
        <v>1923</v>
      </c>
      <c r="IM2" t="s">
        <v>1924</v>
      </c>
      <c r="IN2" t="s">
        <v>1925</v>
      </c>
      <c r="IO2" t="s">
        <v>1926</v>
      </c>
      <c r="IP2" t="s">
        <v>1927</v>
      </c>
      <c r="IQ2" t="s">
        <v>1928</v>
      </c>
      <c r="IR2" t="s">
        <v>1929</v>
      </c>
      <c r="IS2" t="s">
        <v>1930</v>
      </c>
      <c r="IT2" t="s">
        <v>1931</v>
      </c>
      <c r="IU2" t="s">
        <v>1932</v>
      </c>
      <c r="IV2" t="s">
        <v>1933</v>
      </c>
    </row>
    <row r="3" spans="1:256" x14ac:dyDescent="0.45">
      <c r="A3" t="s">
        <v>1934</v>
      </c>
      <c r="B3" t="s">
        <v>1935</v>
      </c>
      <c r="C3" t="s">
        <v>1936</v>
      </c>
      <c r="D3" t="s">
        <v>1937</v>
      </c>
      <c r="E3" t="s">
        <v>1938</v>
      </c>
      <c r="F3" t="s">
        <v>1939</v>
      </c>
      <c r="G3" t="s">
        <v>1940</v>
      </c>
      <c r="H3" t="s">
        <v>1941</v>
      </c>
      <c r="I3" t="s">
        <v>1942</v>
      </c>
      <c r="J3" t="s">
        <v>1943</v>
      </c>
      <c r="K3" t="s">
        <v>1944</v>
      </c>
      <c r="L3" t="s">
        <v>1945</v>
      </c>
      <c r="M3" t="s">
        <v>1946</v>
      </c>
      <c r="N3" t="s">
        <v>1947</v>
      </c>
      <c r="O3" t="s">
        <v>1948</v>
      </c>
      <c r="P3" t="s">
        <v>1949</v>
      </c>
      <c r="Q3" t="s">
        <v>1950</v>
      </c>
      <c r="R3" t="s">
        <v>1951</v>
      </c>
      <c r="S3" t="s">
        <v>1952</v>
      </c>
      <c r="T3" t="s">
        <v>1953</v>
      </c>
      <c r="U3" t="s">
        <v>1954</v>
      </c>
      <c r="V3" t="s">
        <v>1955</v>
      </c>
      <c r="W3" t="s">
        <v>1956</v>
      </c>
      <c r="X3" t="s">
        <v>1957</v>
      </c>
      <c r="Y3" t="s">
        <v>1958</v>
      </c>
      <c r="Z3" t="s">
        <v>1959</v>
      </c>
      <c r="AA3" t="s">
        <v>1960</v>
      </c>
      <c r="AB3" t="s">
        <v>1961</v>
      </c>
      <c r="AC3" t="s">
        <v>1962</v>
      </c>
      <c r="AD3" t="s">
        <v>1963</v>
      </c>
      <c r="AE3" t="s">
        <v>1964</v>
      </c>
      <c r="AF3" t="s">
        <v>1965</v>
      </c>
      <c r="AG3" t="s">
        <v>1966</v>
      </c>
      <c r="AH3" t="s">
        <v>1967</v>
      </c>
      <c r="AI3" t="s">
        <v>1968</v>
      </c>
      <c r="AJ3" t="s">
        <v>1969</v>
      </c>
      <c r="AK3" t="s">
        <v>1970</v>
      </c>
      <c r="AL3" t="s">
        <v>1971</v>
      </c>
      <c r="AM3" t="s">
        <v>1972</v>
      </c>
      <c r="AN3" t="s">
        <v>1973</v>
      </c>
      <c r="AO3" t="s">
        <v>1974</v>
      </c>
      <c r="AP3" t="s">
        <v>1975</v>
      </c>
      <c r="AQ3" t="s">
        <v>1976</v>
      </c>
      <c r="AR3" t="s">
        <v>1977</v>
      </c>
      <c r="AS3" t="s">
        <v>1978</v>
      </c>
      <c r="AT3" t="s">
        <v>1979</v>
      </c>
      <c r="AU3" t="s">
        <v>1980</v>
      </c>
      <c r="AV3" t="s">
        <v>1981</v>
      </c>
      <c r="AW3" t="s">
        <v>1982</v>
      </c>
      <c r="AX3" t="s">
        <v>1983</v>
      </c>
      <c r="AY3" t="s">
        <v>1984</v>
      </c>
      <c r="AZ3" t="s">
        <v>1985</v>
      </c>
      <c r="BA3" t="s">
        <v>1986</v>
      </c>
      <c r="BB3" t="s">
        <v>1987</v>
      </c>
      <c r="BC3" t="s">
        <v>1988</v>
      </c>
      <c r="BD3" t="s">
        <v>1989</v>
      </c>
      <c r="BE3" t="s">
        <v>1990</v>
      </c>
      <c r="BF3" t="s">
        <v>1991</v>
      </c>
      <c r="BG3" t="s">
        <v>1992</v>
      </c>
      <c r="BH3" t="s">
        <v>1993</v>
      </c>
      <c r="BI3" t="s">
        <v>1994</v>
      </c>
      <c r="BJ3" t="s">
        <v>1995</v>
      </c>
      <c r="BK3" t="s">
        <v>1996</v>
      </c>
      <c r="BL3" t="s">
        <v>1997</v>
      </c>
      <c r="BM3" t="s">
        <v>1998</v>
      </c>
      <c r="BN3" t="s">
        <v>1999</v>
      </c>
      <c r="BO3" t="s">
        <v>2000</v>
      </c>
      <c r="BP3" t="s">
        <v>2001</v>
      </c>
      <c r="BQ3" t="s">
        <v>2002</v>
      </c>
      <c r="BR3" t="s">
        <v>2003</v>
      </c>
      <c r="BS3" t="s">
        <v>2004</v>
      </c>
      <c r="BT3" t="s">
        <v>2005</v>
      </c>
      <c r="BU3" t="s">
        <v>2006</v>
      </c>
      <c r="BV3" t="s">
        <v>2007</v>
      </c>
      <c r="BW3" t="s">
        <v>2008</v>
      </c>
      <c r="BX3" t="s">
        <v>2009</v>
      </c>
      <c r="BY3" t="s">
        <v>2010</v>
      </c>
      <c r="BZ3" t="s">
        <v>2011</v>
      </c>
      <c r="CA3" t="s">
        <v>2012</v>
      </c>
      <c r="CB3" t="s">
        <v>2013</v>
      </c>
      <c r="CC3" t="s">
        <v>2014</v>
      </c>
      <c r="CD3" t="s">
        <v>2015</v>
      </c>
      <c r="CE3" t="s">
        <v>2016</v>
      </c>
      <c r="CF3" t="s">
        <v>2017</v>
      </c>
      <c r="CG3" t="s">
        <v>2018</v>
      </c>
      <c r="CH3" t="s">
        <v>2019</v>
      </c>
      <c r="CI3" t="s">
        <v>2020</v>
      </c>
      <c r="CJ3" t="s">
        <v>2021</v>
      </c>
      <c r="CK3" t="s">
        <v>2022</v>
      </c>
      <c r="CL3" t="s">
        <v>2023</v>
      </c>
      <c r="CM3" t="s">
        <v>2024</v>
      </c>
      <c r="CN3" t="s">
        <v>2025</v>
      </c>
      <c r="CO3" t="s">
        <v>2026</v>
      </c>
      <c r="CP3" t="s">
        <v>2027</v>
      </c>
      <c r="CQ3" t="s">
        <v>2028</v>
      </c>
      <c r="CR3" t="s">
        <v>2029</v>
      </c>
      <c r="CS3" t="s">
        <v>2030</v>
      </c>
      <c r="CT3" t="s">
        <v>2031</v>
      </c>
      <c r="CU3" t="s">
        <v>2032</v>
      </c>
      <c r="CV3" t="s">
        <v>2033</v>
      </c>
      <c r="CW3" t="s">
        <v>2034</v>
      </c>
      <c r="CX3" t="s">
        <v>2035</v>
      </c>
      <c r="CY3" t="s">
        <v>2036</v>
      </c>
      <c r="CZ3" t="s">
        <v>2037</v>
      </c>
      <c r="DA3" t="s">
        <v>2038</v>
      </c>
      <c r="DB3" t="s">
        <v>2039</v>
      </c>
      <c r="DC3" t="s">
        <v>2040</v>
      </c>
      <c r="DD3" t="s">
        <v>2041</v>
      </c>
      <c r="DE3" t="s">
        <v>2042</v>
      </c>
      <c r="DF3" t="s">
        <v>2043</v>
      </c>
      <c r="DG3" t="s">
        <v>2044</v>
      </c>
      <c r="DH3" t="s">
        <v>2045</v>
      </c>
      <c r="DI3" t="s">
        <v>2046</v>
      </c>
      <c r="DJ3" t="s">
        <v>2047</v>
      </c>
      <c r="DK3" t="s">
        <v>2048</v>
      </c>
      <c r="DL3" t="s">
        <v>2049</v>
      </c>
      <c r="DM3" t="s">
        <v>2050</v>
      </c>
      <c r="DN3" t="s">
        <v>2051</v>
      </c>
      <c r="DO3" t="s">
        <v>2052</v>
      </c>
      <c r="DP3" t="s">
        <v>2053</v>
      </c>
      <c r="DQ3" t="s">
        <v>2054</v>
      </c>
      <c r="DR3" t="s">
        <v>2055</v>
      </c>
      <c r="DS3" t="s">
        <v>2056</v>
      </c>
      <c r="DT3" t="s">
        <v>2057</v>
      </c>
      <c r="DU3" t="s">
        <v>2058</v>
      </c>
      <c r="DV3" t="s">
        <v>2059</v>
      </c>
      <c r="DW3" t="s">
        <v>2060</v>
      </c>
      <c r="DX3" t="s">
        <v>2061</v>
      </c>
      <c r="DY3" t="s">
        <v>2062</v>
      </c>
      <c r="DZ3" t="s">
        <v>2063</v>
      </c>
      <c r="EA3" t="s">
        <v>2064</v>
      </c>
      <c r="EB3" t="s">
        <v>2065</v>
      </c>
      <c r="EC3" t="s">
        <v>2066</v>
      </c>
      <c r="ED3" t="s">
        <v>2067</v>
      </c>
      <c r="EE3" t="s">
        <v>2068</v>
      </c>
      <c r="EF3" t="s">
        <v>2069</v>
      </c>
      <c r="EG3" t="s">
        <v>2070</v>
      </c>
      <c r="EH3" t="s">
        <v>2071</v>
      </c>
      <c r="EI3" t="s">
        <v>2072</v>
      </c>
      <c r="EJ3" t="s">
        <v>2073</v>
      </c>
      <c r="EK3" t="s">
        <v>2074</v>
      </c>
      <c r="EL3" t="s">
        <v>2075</v>
      </c>
      <c r="EM3" t="s">
        <v>2076</v>
      </c>
      <c r="EN3" t="s">
        <v>2077</v>
      </c>
      <c r="EO3" t="s">
        <v>2078</v>
      </c>
      <c r="EP3" t="s">
        <v>2079</v>
      </c>
      <c r="EQ3" t="s">
        <v>2080</v>
      </c>
      <c r="ER3" t="s">
        <v>2081</v>
      </c>
      <c r="ES3" t="s">
        <v>2082</v>
      </c>
      <c r="ET3" t="s">
        <v>2083</v>
      </c>
      <c r="EU3" t="s">
        <v>2084</v>
      </c>
      <c r="EV3" t="s">
        <v>2085</v>
      </c>
      <c r="EW3" t="s">
        <v>2086</v>
      </c>
      <c r="EX3" t="s">
        <v>2087</v>
      </c>
      <c r="EY3" t="s">
        <v>2088</v>
      </c>
      <c r="EZ3" t="s">
        <v>2089</v>
      </c>
      <c r="FA3" t="s">
        <v>2090</v>
      </c>
      <c r="FB3" t="s">
        <v>2091</v>
      </c>
      <c r="FC3" t="s">
        <v>2092</v>
      </c>
      <c r="FD3" t="s">
        <v>2093</v>
      </c>
      <c r="FE3" t="s">
        <v>2094</v>
      </c>
      <c r="FF3" t="s">
        <v>2095</v>
      </c>
      <c r="FG3" t="s">
        <v>2096</v>
      </c>
      <c r="FH3" t="s">
        <v>2097</v>
      </c>
      <c r="FI3" t="s">
        <v>2098</v>
      </c>
      <c r="FJ3" t="s">
        <v>2099</v>
      </c>
      <c r="FK3" t="s">
        <v>2100</v>
      </c>
      <c r="FL3" t="s">
        <v>2101</v>
      </c>
      <c r="FM3" t="s">
        <v>2102</v>
      </c>
      <c r="FN3" t="s">
        <v>2103</v>
      </c>
      <c r="FO3" t="s">
        <v>2104</v>
      </c>
      <c r="FP3" t="s">
        <v>2105</v>
      </c>
      <c r="FQ3" t="s">
        <v>2106</v>
      </c>
      <c r="FR3" t="s">
        <v>2107</v>
      </c>
      <c r="FS3" t="s">
        <v>2108</v>
      </c>
      <c r="FT3" t="s">
        <v>2109</v>
      </c>
      <c r="FU3" t="s">
        <v>2110</v>
      </c>
      <c r="FV3" t="s">
        <v>2111</v>
      </c>
      <c r="FW3" t="s">
        <v>2112</v>
      </c>
      <c r="FX3" t="s">
        <v>2113</v>
      </c>
      <c r="FY3" t="s">
        <v>2114</v>
      </c>
      <c r="FZ3" t="s">
        <v>2115</v>
      </c>
      <c r="GA3" t="s">
        <v>2116</v>
      </c>
      <c r="GB3" t="s">
        <v>2117</v>
      </c>
      <c r="GC3" t="s">
        <v>2118</v>
      </c>
      <c r="GD3" t="s">
        <v>2119</v>
      </c>
      <c r="GE3" t="s">
        <v>2120</v>
      </c>
      <c r="GF3" t="s">
        <v>2121</v>
      </c>
      <c r="GG3" t="s">
        <v>2122</v>
      </c>
      <c r="GH3" t="s">
        <v>2123</v>
      </c>
      <c r="GI3" t="s">
        <v>2124</v>
      </c>
      <c r="GJ3" t="s">
        <v>2125</v>
      </c>
      <c r="GK3" t="s">
        <v>2126</v>
      </c>
      <c r="GL3" t="s">
        <v>2127</v>
      </c>
      <c r="GM3" t="s">
        <v>2128</v>
      </c>
      <c r="GN3" t="s">
        <v>2129</v>
      </c>
      <c r="GO3" t="s">
        <v>2130</v>
      </c>
      <c r="GP3" t="s">
        <v>2131</v>
      </c>
      <c r="GQ3" t="s">
        <v>2132</v>
      </c>
      <c r="GR3" t="s">
        <v>2133</v>
      </c>
      <c r="GS3" t="s">
        <v>2134</v>
      </c>
      <c r="GT3" t="s">
        <v>2135</v>
      </c>
      <c r="GU3" t="s">
        <v>2136</v>
      </c>
      <c r="GV3" t="s">
        <v>2137</v>
      </c>
      <c r="GW3" t="s">
        <v>2138</v>
      </c>
      <c r="GX3" t="s">
        <v>2139</v>
      </c>
      <c r="GY3" t="s">
        <v>2140</v>
      </c>
      <c r="GZ3" t="s">
        <v>2141</v>
      </c>
      <c r="HA3" t="s">
        <v>2142</v>
      </c>
      <c r="HB3" t="s">
        <v>2143</v>
      </c>
      <c r="HC3" t="s">
        <v>2144</v>
      </c>
      <c r="HD3" t="s">
        <v>2145</v>
      </c>
      <c r="HE3" t="s">
        <v>2146</v>
      </c>
      <c r="HF3" t="s">
        <v>2147</v>
      </c>
      <c r="HG3" t="s">
        <v>2148</v>
      </c>
      <c r="HH3" t="s">
        <v>2149</v>
      </c>
      <c r="HI3" t="s">
        <v>2150</v>
      </c>
      <c r="HJ3" t="s">
        <v>2151</v>
      </c>
      <c r="HK3" t="s">
        <v>2152</v>
      </c>
      <c r="HL3" t="s">
        <v>2153</v>
      </c>
      <c r="HM3" t="s">
        <v>2154</v>
      </c>
      <c r="HN3" t="s">
        <v>2155</v>
      </c>
      <c r="HO3" t="s">
        <v>2156</v>
      </c>
      <c r="HP3" t="s">
        <v>2157</v>
      </c>
      <c r="HQ3" t="s">
        <v>2158</v>
      </c>
      <c r="HR3" t="s">
        <v>2159</v>
      </c>
      <c r="HS3" t="s">
        <v>2160</v>
      </c>
      <c r="HT3" t="s">
        <v>2161</v>
      </c>
      <c r="HU3" t="s">
        <v>2162</v>
      </c>
      <c r="HV3" t="s">
        <v>2163</v>
      </c>
      <c r="HW3" t="s">
        <v>2164</v>
      </c>
      <c r="HX3" t="s">
        <v>2165</v>
      </c>
      <c r="HY3" t="s">
        <v>2166</v>
      </c>
      <c r="HZ3" t="s">
        <v>2167</v>
      </c>
      <c r="IA3" t="s">
        <v>2168</v>
      </c>
      <c r="IB3" t="s">
        <v>2169</v>
      </c>
      <c r="IC3" t="s">
        <v>2170</v>
      </c>
      <c r="ID3" t="s">
        <v>2171</v>
      </c>
      <c r="IE3" t="s">
        <v>2172</v>
      </c>
      <c r="IF3" t="s">
        <v>2173</v>
      </c>
      <c r="IG3" t="s">
        <v>2174</v>
      </c>
      <c r="IH3" t="s">
        <v>2175</v>
      </c>
      <c r="II3" t="s">
        <v>2176</v>
      </c>
      <c r="IJ3" t="s">
        <v>2177</v>
      </c>
      <c r="IK3" t="s">
        <v>2178</v>
      </c>
      <c r="IL3" t="s">
        <v>2179</v>
      </c>
      <c r="IM3" t="s">
        <v>2180</v>
      </c>
      <c r="IN3" t="s">
        <v>2181</v>
      </c>
      <c r="IO3" t="s">
        <v>2182</v>
      </c>
      <c r="IP3" t="s">
        <v>2183</v>
      </c>
      <c r="IQ3" t="s">
        <v>2184</v>
      </c>
      <c r="IR3" t="s">
        <v>2185</v>
      </c>
      <c r="IS3" t="s">
        <v>2186</v>
      </c>
      <c r="IT3" t="s">
        <v>2187</v>
      </c>
      <c r="IU3" t="s">
        <v>2188</v>
      </c>
      <c r="IV3" t="s">
        <v>2189</v>
      </c>
    </row>
    <row r="4" spans="1:256" x14ac:dyDescent="0.45">
      <c r="A4" t="s">
        <v>2190</v>
      </c>
      <c r="B4" t="s">
        <v>2191</v>
      </c>
      <c r="C4" t="s">
        <v>2192</v>
      </c>
      <c r="D4" t="s">
        <v>2193</v>
      </c>
      <c r="E4" t="s">
        <v>2194</v>
      </c>
      <c r="F4" t="s">
        <v>2195</v>
      </c>
      <c r="G4" t="s">
        <v>2196</v>
      </c>
      <c r="H4" t="s">
        <v>2197</v>
      </c>
      <c r="I4" t="s">
        <v>2198</v>
      </c>
      <c r="J4" t="s">
        <v>2199</v>
      </c>
      <c r="K4" t="s">
        <v>2200</v>
      </c>
      <c r="L4" t="s">
        <v>2201</v>
      </c>
      <c r="M4" t="s">
        <v>2202</v>
      </c>
      <c r="N4" t="s">
        <v>2203</v>
      </c>
      <c r="O4" t="s">
        <v>2204</v>
      </c>
      <c r="P4" t="s">
        <v>2205</v>
      </c>
      <c r="Q4" t="s">
        <v>2206</v>
      </c>
      <c r="R4" t="s">
        <v>2207</v>
      </c>
      <c r="S4" t="s">
        <v>2208</v>
      </c>
      <c r="T4" t="s">
        <v>2209</v>
      </c>
      <c r="U4" t="s">
        <v>2210</v>
      </c>
      <c r="V4" t="s">
        <v>2211</v>
      </c>
      <c r="W4" t="s">
        <v>2212</v>
      </c>
      <c r="X4" t="s">
        <v>2213</v>
      </c>
      <c r="Y4" t="s">
        <v>2214</v>
      </c>
      <c r="Z4" t="s">
        <v>2215</v>
      </c>
      <c r="AA4" t="s">
        <v>2216</v>
      </c>
      <c r="AB4" t="s">
        <v>2217</v>
      </c>
      <c r="AC4" t="s">
        <v>2218</v>
      </c>
      <c r="AD4" t="s">
        <v>2219</v>
      </c>
      <c r="AE4" t="s">
        <v>2220</v>
      </c>
      <c r="AF4" t="s">
        <v>2221</v>
      </c>
      <c r="AG4" t="s">
        <v>2222</v>
      </c>
      <c r="AH4" t="s">
        <v>2223</v>
      </c>
      <c r="AI4" t="s">
        <v>2224</v>
      </c>
      <c r="AJ4" t="s">
        <v>2225</v>
      </c>
      <c r="AK4" t="s">
        <v>2226</v>
      </c>
      <c r="AL4" t="s">
        <v>2227</v>
      </c>
      <c r="AM4" t="s">
        <v>2228</v>
      </c>
      <c r="AN4" t="s">
        <v>2229</v>
      </c>
      <c r="AO4" t="s">
        <v>2230</v>
      </c>
      <c r="AP4" t="s">
        <v>2231</v>
      </c>
      <c r="AQ4" t="s">
        <v>2232</v>
      </c>
      <c r="AR4" t="s">
        <v>2233</v>
      </c>
      <c r="AS4" t="s">
        <v>2234</v>
      </c>
      <c r="AT4" t="s">
        <v>2235</v>
      </c>
      <c r="AU4" t="s">
        <v>2236</v>
      </c>
      <c r="AV4" t="s">
        <v>2237</v>
      </c>
      <c r="AW4" t="s">
        <v>2238</v>
      </c>
      <c r="AX4" t="s">
        <v>2239</v>
      </c>
      <c r="AY4" t="s">
        <v>2240</v>
      </c>
      <c r="AZ4" t="s">
        <v>2241</v>
      </c>
      <c r="BA4" t="s">
        <v>2242</v>
      </c>
      <c r="BB4" t="s">
        <v>2243</v>
      </c>
      <c r="BC4" t="s">
        <v>2244</v>
      </c>
      <c r="BD4" t="s">
        <v>2245</v>
      </c>
      <c r="BE4" t="s">
        <v>2246</v>
      </c>
      <c r="BF4" t="s">
        <v>2247</v>
      </c>
      <c r="BG4" t="s">
        <v>2248</v>
      </c>
      <c r="BH4" t="s">
        <v>2249</v>
      </c>
      <c r="BI4" t="s">
        <v>2250</v>
      </c>
      <c r="BJ4" t="s">
        <v>2251</v>
      </c>
      <c r="BK4" t="s">
        <v>2252</v>
      </c>
      <c r="BL4" t="s">
        <v>2253</v>
      </c>
      <c r="BM4" t="s">
        <v>2254</v>
      </c>
      <c r="BN4" t="s">
        <v>2255</v>
      </c>
      <c r="BO4" t="s">
        <v>2256</v>
      </c>
      <c r="BP4" t="s">
        <v>2257</v>
      </c>
      <c r="BQ4" t="s">
        <v>2258</v>
      </c>
      <c r="BR4" t="s">
        <v>2259</v>
      </c>
      <c r="BS4" t="s">
        <v>2260</v>
      </c>
      <c r="BT4" t="s">
        <v>2261</v>
      </c>
      <c r="BU4" t="s">
        <v>2262</v>
      </c>
      <c r="BV4" t="s">
        <v>2263</v>
      </c>
      <c r="BW4" t="s">
        <v>2264</v>
      </c>
      <c r="BX4" t="s">
        <v>2265</v>
      </c>
      <c r="BY4" t="s">
        <v>2266</v>
      </c>
      <c r="BZ4" t="s">
        <v>2267</v>
      </c>
      <c r="CA4" t="s">
        <v>2268</v>
      </c>
      <c r="CB4" t="s">
        <v>2269</v>
      </c>
      <c r="CC4" t="s">
        <v>2270</v>
      </c>
      <c r="CD4" t="s">
        <v>2271</v>
      </c>
      <c r="CE4" t="s">
        <v>2272</v>
      </c>
      <c r="CF4" t="s">
        <v>2273</v>
      </c>
      <c r="CG4" t="s">
        <v>2274</v>
      </c>
      <c r="CH4" t="s">
        <v>2275</v>
      </c>
      <c r="CI4" t="s">
        <v>2276</v>
      </c>
      <c r="CJ4" t="s">
        <v>2277</v>
      </c>
      <c r="CK4" t="s">
        <v>2278</v>
      </c>
      <c r="CL4" t="s">
        <v>2279</v>
      </c>
      <c r="CM4" t="s">
        <v>2280</v>
      </c>
      <c r="CN4" t="s">
        <v>2281</v>
      </c>
      <c r="CO4" t="s">
        <v>2282</v>
      </c>
      <c r="CP4" t="s">
        <v>2283</v>
      </c>
      <c r="CQ4" t="s">
        <v>2284</v>
      </c>
      <c r="CR4" t="s">
        <v>2285</v>
      </c>
      <c r="CS4" t="s">
        <v>2286</v>
      </c>
      <c r="CT4" t="s">
        <v>2287</v>
      </c>
      <c r="CU4" t="s">
        <v>2288</v>
      </c>
      <c r="CV4" t="s">
        <v>2289</v>
      </c>
      <c r="CW4" t="s">
        <v>2290</v>
      </c>
      <c r="CX4" t="s">
        <v>2291</v>
      </c>
      <c r="CY4" t="s">
        <v>2292</v>
      </c>
      <c r="CZ4" t="s">
        <v>2293</v>
      </c>
      <c r="DA4" t="s">
        <v>2294</v>
      </c>
      <c r="DB4" t="s">
        <v>2295</v>
      </c>
      <c r="DC4" t="s">
        <v>2296</v>
      </c>
      <c r="DD4" t="s">
        <v>2297</v>
      </c>
      <c r="DE4" t="s">
        <v>2298</v>
      </c>
      <c r="DF4" t="s">
        <v>2299</v>
      </c>
      <c r="DG4" t="s">
        <v>2300</v>
      </c>
      <c r="DH4" t="s">
        <v>2301</v>
      </c>
      <c r="DI4" t="s">
        <v>2302</v>
      </c>
      <c r="DJ4" t="s">
        <v>2303</v>
      </c>
      <c r="DK4" t="s">
        <v>2304</v>
      </c>
      <c r="DL4" t="s">
        <v>2305</v>
      </c>
      <c r="DM4" t="s">
        <v>2306</v>
      </c>
      <c r="DN4" t="s">
        <v>2307</v>
      </c>
      <c r="DO4" t="s">
        <v>2308</v>
      </c>
      <c r="DP4" t="s">
        <v>2309</v>
      </c>
      <c r="DQ4" t="s">
        <v>2310</v>
      </c>
      <c r="DR4" t="s">
        <v>2311</v>
      </c>
      <c r="DS4" t="s">
        <v>2312</v>
      </c>
      <c r="DT4" t="s">
        <v>2313</v>
      </c>
      <c r="DU4" t="s">
        <v>2314</v>
      </c>
      <c r="DV4" t="s">
        <v>2315</v>
      </c>
      <c r="DW4" t="s">
        <v>2316</v>
      </c>
      <c r="DX4" t="s">
        <v>2317</v>
      </c>
      <c r="DY4" t="s">
        <v>2318</v>
      </c>
      <c r="DZ4" t="s">
        <v>2319</v>
      </c>
      <c r="EA4" t="s">
        <v>2320</v>
      </c>
      <c r="EB4" t="s">
        <v>2321</v>
      </c>
      <c r="EC4" t="s">
        <v>2322</v>
      </c>
      <c r="ED4" t="s">
        <v>2323</v>
      </c>
      <c r="EE4" t="s">
        <v>2324</v>
      </c>
      <c r="EF4" t="s">
        <v>2325</v>
      </c>
      <c r="EG4" t="s">
        <v>2326</v>
      </c>
      <c r="EH4" t="s">
        <v>2327</v>
      </c>
      <c r="EI4" t="s">
        <v>2328</v>
      </c>
      <c r="EJ4" t="s">
        <v>2329</v>
      </c>
      <c r="EK4" t="s">
        <v>2330</v>
      </c>
      <c r="EL4" t="s">
        <v>2331</v>
      </c>
      <c r="EM4" t="s">
        <v>2332</v>
      </c>
      <c r="EN4" t="s">
        <v>2333</v>
      </c>
      <c r="EO4" t="s">
        <v>2334</v>
      </c>
      <c r="EP4" t="s">
        <v>2335</v>
      </c>
      <c r="EQ4" t="s">
        <v>2336</v>
      </c>
      <c r="ER4" t="s">
        <v>2337</v>
      </c>
      <c r="ES4" t="s">
        <v>2338</v>
      </c>
      <c r="ET4" t="s">
        <v>2339</v>
      </c>
      <c r="EU4" t="s">
        <v>2340</v>
      </c>
      <c r="EV4" t="s">
        <v>2341</v>
      </c>
      <c r="EW4" t="s">
        <v>2342</v>
      </c>
      <c r="EX4" t="s">
        <v>2343</v>
      </c>
      <c r="EY4" t="s">
        <v>2344</v>
      </c>
      <c r="EZ4" t="s">
        <v>2345</v>
      </c>
      <c r="FA4" t="s">
        <v>2346</v>
      </c>
      <c r="FB4" t="s">
        <v>2347</v>
      </c>
      <c r="FC4" t="s">
        <v>2348</v>
      </c>
      <c r="FD4" t="s">
        <v>2349</v>
      </c>
      <c r="FE4" t="s">
        <v>2350</v>
      </c>
      <c r="FF4" t="s">
        <v>2351</v>
      </c>
      <c r="FG4" t="s">
        <v>2352</v>
      </c>
      <c r="FH4" t="s">
        <v>2353</v>
      </c>
      <c r="FI4" t="s">
        <v>2354</v>
      </c>
      <c r="FJ4" t="s">
        <v>2355</v>
      </c>
      <c r="FK4" t="s">
        <v>2356</v>
      </c>
      <c r="FL4" t="s">
        <v>2357</v>
      </c>
      <c r="FM4" t="s">
        <v>2358</v>
      </c>
      <c r="FN4" t="s">
        <v>2359</v>
      </c>
      <c r="FO4" t="s">
        <v>2360</v>
      </c>
      <c r="FP4" t="s">
        <v>2361</v>
      </c>
      <c r="FQ4" t="s">
        <v>2362</v>
      </c>
      <c r="FR4" t="s">
        <v>2363</v>
      </c>
      <c r="FS4" t="s">
        <v>2364</v>
      </c>
      <c r="FT4" t="s">
        <v>2365</v>
      </c>
      <c r="FU4" t="s">
        <v>2366</v>
      </c>
      <c r="FV4" t="s">
        <v>2367</v>
      </c>
      <c r="FW4" t="s">
        <v>2368</v>
      </c>
      <c r="FX4" t="s">
        <v>2369</v>
      </c>
      <c r="FY4" t="s">
        <v>2370</v>
      </c>
      <c r="FZ4" t="s">
        <v>2371</v>
      </c>
      <c r="GA4" t="s">
        <v>2372</v>
      </c>
      <c r="GB4" t="s">
        <v>2373</v>
      </c>
      <c r="GC4" t="s">
        <v>2374</v>
      </c>
      <c r="GD4" t="s">
        <v>2375</v>
      </c>
      <c r="GE4" t="s">
        <v>2376</v>
      </c>
      <c r="GF4" t="s">
        <v>2377</v>
      </c>
      <c r="GG4" t="s">
        <v>2378</v>
      </c>
      <c r="GH4" t="s">
        <v>2379</v>
      </c>
      <c r="GI4" t="s">
        <v>2380</v>
      </c>
      <c r="GJ4" t="s">
        <v>2381</v>
      </c>
      <c r="GK4" t="s">
        <v>2382</v>
      </c>
      <c r="GL4" t="s">
        <v>2383</v>
      </c>
      <c r="GM4" t="s">
        <v>2384</v>
      </c>
      <c r="GN4" t="s">
        <v>2385</v>
      </c>
      <c r="GO4" t="s">
        <v>2386</v>
      </c>
      <c r="GP4" t="s">
        <v>2387</v>
      </c>
      <c r="GQ4" t="s">
        <v>2388</v>
      </c>
      <c r="GR4" t="s">
        <v>2389</v>
      </c>
      <c r="GS4" t="s">
        <v>2390</v>
      </c>
      <c r="GT4" t="s">
        <v>2391</v>
      </c>
      <c r="GU4" t="s">
        <v>2392</v>
      </c>
      <c r="GV4" t="s">
        <v>2393</v>
      </c>
      <c r="GW4" t="s">
        <v>2394</v>
      </c>
      <c r="GX4" t="s">
        <v>2395</v>
      </c>
      <c r="GY4" t="s">
        <v>2396</v>
      </c>
      <c r="GZ4" t="s">
        <v>2397</v>
      </c>
      <c r="HA4" t="s">
        <v>2398</v>
      </c>
      <c r="HB4" t="s">
        <v>2399</v>
      </c>
      <c r="HC4" t="s">
        <v>2400</v>
      </c>
      <c r="HD4" t="s">
        <v>2401</v>
      </c>
      <c r="HE4" t="s">
        <v>2402</v>
      </c>
      <c r="HF4" t="s">
        <v>2403</v>
      </c>
      <c r="HG4" t="s">
        <v>2404</v>
      </c>
      <c r="HH4" t="s">
        <v>2405</v>
      </c>
      <c r="HI4" t="s">
        <v>2406</v>
      </c>
      <c r="HJ4" t="s">
        <v>2407</v>
      </c>
      <c r="HK4" t="s">
        <v>2408</v>
      </c>
      <c r="HL4" t="s">
        <v>2409</v>
      </c>
      <c r="HM4" t="s">
        <v>2410</v>
      </c>
      <c r="HN4" t="s">
        <v>2411</v>
      </c>
      <c r="HO4" t="s">
        <v>2412</v>
      </c>
      <c r="HP4" t="s">
        <v>2413</v>
      </c>
      <c r="HQ4" t="s">
        <v>2414</v>
      </c>
      <c r="HR4" t="s">
        <v>2415</v>
      </c>
      <c r="HS4" t="s">
        <v>2416</v>
      </c>
      <c r="HT4" t="s">
        <v>2417</v>
      </c>
      <c r="HU4" t="s">
        <v>2418</v>
      </c>
      <c r="HV4" t="s">
        <v>2419</v>
      </c>
      <c r="HW4" t="s">
        <v>2420</v>
      </c>
      <c r="HX4" t="s">
        <v>2421</v>
      </c>
      <c r="HY4" t="s">
        <v>2422</v>
      </c>
      <c r="HZ4" t="s">
        <v>2423</v>
      </c>
      <c r="IA4" t="s">
        <v>2424</v>
      </c>
      <c r="IB4" t="s">
        <v>2425</v>
      </c>
      <c r="IC4" t="s">
        <v>2426</v>
      </c>
      <c r="ID4" t="s">
        <v>2427</v>
      </c>
      <c r="IE4" t="s">
        <v>2428</v>
      </c>
      <c r="IF4" t="s">
        <v>2429</v>
      </c>
      <c r="IG4" t="s">
        <v>2430</v>
      </c>
      <c r="IH4" t="s">
        <v>2431</v>
      </c>
      <c r="II4" t="s">
        <v>2432</v>
      </c>
      <c r="IJ4" t="s">
        <v>2433</v>
      </c>
      <c r="IK4" t="s">
        <v>2434</v>
      </c>
      <c r="IL4" t="s">
        <v>2435</v>
      </c>
      <c r="IM4" t="s">
        <v>2436</v>
      </c>
      <c r="IN4" t="s">
        <v>2437</v>
      </c>
      <c r="IO4" t="s">
        <v>2438</v>
      </c>
      <c r="IP4" t="s">
        <v>2439</v>
      </c>
      <c r="IQ4" t="s">
        <v>2440</v>
      </c>
      <c r="IR4" t="s">
        <v>2441</v>
      </c>
      <c r="IS4" t="s">
        <v>2442</v>
      </c>
      <c r="IT4" t="s">
        <v>2443</v>
      </c>
      <c r="IU4" t="s">
        <v>2444</v>
      </c>
      <c r="IV4" t="s">
        <v>2445</v>
      </c>
    </row>
    <row r="5" spans="1:256" x14ac:dyDescent="0.45">
      <c r="A5" t="s">
        <v>2446</v>
      </c>
      <c r="B5" t="s">
        <v>2447</v>
      </c>
      <c r="C5" t="s">
        <v>2448</v>
      </c>
      <c r="D5" t="s">
        <v>2449</v>
      </c>
      <c r="E5" t="s">
        <v>2450</v>
      </c>
      <c r="F5" t="s">
        <v>2451</v>
      </c>
      <c r="G5" t="s">
        <v>2452</v>
      </c>
      <c r="H5" t="s">
        <v>2453</v>
      </c>
      <c r="I5" t="s">
        <v>2454</v>
      </c>
      <c r="J5" t="s">
        <v>2455</v>
      </c>
      <c r="K5" t="s">
        <v>2456</v>
      </c>
      <c r="L5" t="s">
        <v>2457</v>
      </c>
      <c r="M5" t="s">
        <v>2458</v>
      </c>
      <c r="N5" t="s">
        <v>2459</v>
      </c>
      <c r="O5" t="s">
        <v>2460</v>
      </c>
      <c r="P5" t="s">
        <v>2461</v>
      </c>
      <c r="Q5" t="s">
        <v>2462</v>
      </c>
      <c r="R5" t="s">
        <v>2463</v>
      </c>
      <c r="S5" t="s">
        <v>2464</v>
      </c>
      <c r="T5" t="s">
        <v>2465</v>
      </c>
      <c r="U5" t="s">
        <v>2466</v>
      </c>
      <c r="V5" t="s">
        <v>2467</v>
      </c>
      <c r="W5" t="s">
        <v>2468</v>
      </c>
      <c r="X5" t="s">
        <v>2469</v>
      </c>
      <c r="Y5" t="s">
        <v>2470</v>
      </c>
      <c r="Z5" t="s">
        <v>2471</v>
      </c>
      <c r="AA5" t="s">
        <v>2472</v>
      </c>
      <c r="AB5" t="s">
        <v>2473</v>
      </c>
      <c r="AC5" t="s">
        <v>2474</v>
      </c>
      <c r="AD5" t="s">
        <v>2475</v>
      </c>
      <c r="AE5" t="s">
        <v>2476</v>
      </c>
      <c r="AF5" t="s">
        <v>2477</v>
      </c>
      <c r="AG5" t="s">
        <v>2478</v>
      </c>
      <c r="AH5" t="s">
        <v>2479</v>
      </c>
      <c r="AI5" t="s">
        <v>524</v>
      </c>
      <c r="AJ5" t="s">
        <v>525</v>
      </c>
      <c r="AK5" t="s">
        <v>526</v>
      </c>
      <c r="AL5" t="s">
        <v>527</v>
      </c>
      <c r="AM5" t="s">
        <v>528</v>
      </c>
      <c r="AN5" t="s">
        <v>529</v>
      </c>
      <c r="AO5" t="s">
        <v>530</v>
      </c>
      <c r="AP5" t="s">
        <v>531</v>
      </c>
      <c r="AQ5" t="s">
        <v>532</v>
      </c>
      <c r="AR5" t="s">
        <v>533</v>
      </c>
      <c r="AS5" t="s">
        <v>534</v>
      </c>
      <c r="AT5" t="s">
        <v>535</v>
      </c>
      <c r="AU5" t="s">
        <v>536</v>
      </c>
      <c r="AV5" t="s">
        <v>537</v>
      </c>
      <c r="AW5" t="s">
        <v>538</v>
      </c>
      <c r="AX5" t="s">
        <v>539</v>
      </c>
      <c r="AY5" t="s">
        <v>1260</v>
      </c>
      <c r="AZ5" t="s">
        <v>1261</v>
      </c>
      <c r="BA5" t="s">
        <v>1262</v>
      </c>
      <c r="BB5" t="s">
        <v>1263</v>
      </c>
      <c r="BC5" t="s">
        <v>642</v>
      </c>
      <c r="BD5" t="s">
        <v>779</v>
      </c>
      <c r="BE5" t="s">
        <v>1332</v>
      </c>
      <c r="BF5" t="s">
        <v>1333</v>
      </c>
      <c r="BG5" t="s">
        <v>1334</v>
      </c>
      <c r="BH5" t="s">
        <v>1335</v>
      </c>
      <c r="BI5" t="s">
        <v>1336</v>
      </c>
      <c r="BJ5" t="s">
        <v>776</v>
      </c>
      <c r="BK5" t="s">
        <v>777</v>
      </c>
      <c r="BL5" t="s">
        <v>1337</v>
      </c>
      <c r="BM5" t="s">
        <v>1338</v>
      </c>
      <c r="BN5" t="s">
        <v>780</v>
      </c>
      <c r="BO5" t="s">
        <v>1339</v>
      </c>
      <c r="BP5" t="s">
        <v>1340</v>
      </c>
      <c r="BQ5" t="s">
        <v>1341</v>
      </c>
      <c r="BR5" t="s">
        <v>778</v>
      </c>
      <c r="BS5" t="s">
        <v>781</v>
      </c>
      <c r="BT5" t="s">
        <v>540</v>
      </c>
      <c r="BU5" t="s">
        <v>541</v>
      </c>
      <c r="BV5" t="s">
        <v>1342</v>
      </c>
      <c r="BW5" t="s">
        <v>1343</v>
      </c>
      <c r="BX5" t="s">
        <v>1264</v>
      </c>
      <c r="BY5" t="s">
        <v>1265</v>
      </c>
      <c r="BZ5" t="s">
        <v>1266</v>
      </c>
      <c r="CA5" t="s">
        <v>1267</v>
      </c>
      <c r="CB5" t="s">
        <v>1268</v>
      </c>
      <c r="CC5" t="s">
        <v>1269</v>
      </c>
      <c r="CD5" t="s">
        <v>1270</v>
      </c>
      <c r="CE5" t="s">
        <v>1271</v>
      </c>
      <c r="CF5" t="s">
        <v>1272</v>
      </c>
      <c r="CG5" t="s">
        <v>1273</v>
      </c>
      <c r="CH5" t="s">
        <v>1274</v>
      </c>
      <c r="CI5" t="s">
        <v>1275</v>
      </c>
      <c r="CJ5" t="s">
        <v>1276</v>
      </c>
      <c r="CK5" t="s">
        <v>2480</v>
      </c>
      <c r="CL5" t="s">
        <v>542</v>
      </c>
      <c r="CM5" t="s">
        <v>543</v>
      </c>
      <c r="CN5" t="s">
        <v>544</v>
      </c>
      <c r="CO5" t="s">
        <v>545</v>
      </c>
      <c r="CP5" t="s">
        <v>546</v>
      </c>
      <c r="CQ5" t="s">
        <v>547</v>
      </c>
      <c r="CR5" t="s">
        <v>548</v>
      </c>
      <c r="CS5" t="s">
        <v>549</v>
      </c>
      <c r="CT5" t="s">
        <v>550</v>
      </c>
      <c r="CU5" t="s">
        <v>551</v>
      </c>
      <c r="CV5" t="s">
        <v>552</v>
      </c>
      <c r="CW5" t="s">
        <v>553</v>
      </c>
      <c r="CX5" t="s">
        <v>554</v>
      </c>
      <c r="CY5" t="s">
        <v>555</v>
      </c>
      <c r="CZ5" t="s">
        <v>556</v>
      </c>
      <c r="DA5" t="s">
        <v>557</v>
      </c>
      <c r="DB5" t="s">
        <v>558</v>
      </c>
      <c r="DC5" t="s">
        <v>559</v>
      </c>
      <c r="DD5" t="s">
        <v>560</v>
      </c>
      <c r="DE5" t="s">
        <v>561</v>
      </c>
      <c r="DF5" t="s">
        <v>562</v>
      </c>
      <c r="DG5" t="s">
        <v>563</v>
      </c>
      <c r="DH5" t="s">
        <v>564</v>
      </c>
      <c r="DI5" t="s">
        <v>565</v>
      </c>
      <c r="DJ5" t="s">
        <v>566</v>
      </c>
      <c r="DK5" t="s">
        <v>567</v>
      </c>
      <c r="DL5" t="s">
        <v>568</v>
      </c>
      <c r="DM5" t="s">
        <v>569</v>
      </c>
      <c r="DN5" t="s">
        <v>570</v>
      </c>
      <c r="DO5" t="s">
        <v>571</v>
      </c>
      <c r="DP5" t="s">
        <v>572</v>
      </c>
      <c r="DQ5" t="s">
        <v>573</v>
      </c>
      <c r="DR5" t="s">
        <v>574</v>
      </c>
      <c r="DS5" t="s">
        <v>575</v>
      </c>
      <c r="DT5" t="s">
        <v>576</v>
      </c>
      <c r="DU5" t="s">
        <v>577</v>
      </c>
      <c r="DV5" t="s">
        <v>578</v>
      </c>
      <c r="DW5" t="s">
        <v>579</v>
      </c>
      <c r="DX5" t="s">
        <v>580</v>
      </c>
      <c r="DY5" t="s">
        <v>581</v>
      </c>
      <c r="DZ5" t="s">
        <v>582</v>
      </c>
      <c r="EA5" t="s">
        <v>583</v>
      </c>
      <c r="EB5" t="s">
        <v>584</v>
      </c>
      <c r="EC5" t="s">
        <v>585</v>
      </c>
      <c r="ED5" t="s">
        <v>586</v>
      </c>
      <c r="EE5" t="s">
        <v>2481</v>
      </c>
      <c r="EF5" t="s">
        <v>2482</v>
      </c>
      <c r="EG5" t="s">
        <v>2483</v>
      </c>
      <c r="EH5" t="s">
        <v>1277</v>
      </c>
      <c r="EI5" t="s">
        <v>1278</v>
      </c>
      <c r="EJ5" t="s">
        <v>2484</v>
      </c>
      <c r="EK5" t="s">
        <v>1279</v>
      </c>
      <c r="EL5" t="s">
        <v>2485</v>
      </c>
      <c r="EM5" t="s">
        <v>2486</v>
      </c>
      <c r="EN5" t="s">
        <v>1344</v>
      </c>
      <c r="EO5" t="s">
        <v>1345</v>
      </c>
      <c r="EP5" t="s">
        <v>1346</v>
      </c>
      <c r="EQ5" t="s">
        <v>1347</v>
      </c>
      <c r="ER5" t="s">
        <v>1348</v>
      </c>
      <c r="ES5" t="s">
        <v>1349</v>
      </c>
      <c r="ET5" t="s">
        <v>1350</v>
      </c>
      <c r="EU5" t="s">
        <v>1351</v>
      </c>
      <c r="EV5" t="s">
        <v>1352</v>
      </c>
      <c r="EW5" t="s">
        <v>1353</v>
      </c>
      <c r="EX5" t="s">
        <v>1354</v>
      </c>
      <c r="EY5" t="s">
        <v>1355</v>
      </c>
      <c r="EZ5" t="s">
        <v>1356</v>
      </c>
      <c r="FA5" t="s">
        <v>1357</v>
      </c>
      <c r="FB5" t="s">
        <v>588</v>
      </c>
      <c r="FC5" t="s">
        <v>589</v>
      </c>
      <c r="FD5" t="s">
        <v>590</v>
      </c>
      <c r="FE5" t="s">
        <v>591</v>
      </c>
      <c r="FF5" t="s">
        <v>592</v>
      </c>
      <c r="FG5" t="s">
        <v>769</v>
      </c>
      <c r="FH5" t="s">
        <v>593</v>
      </c>
      <c r="FI5" t="s">
        <v>594</v>
      </c>
      <c r="FJ5" t="s">
        <v>595</v>
      </c>
      <c r="FK5" t="s">
        <v>596</v>
      </c>
      <c r="FL5" t="s">
        <v>597</v>
      </c>
      <c r="FM5" t="s">
        <v>598</v>
      </c>
      <c r="FN5" t="s">
        <v>599</v>
      </c>
      <c r="FO5" t="s">
        <v>643</v>
      </c>
      <c r="FP5" t="s">
        <v>600</v>
      </c>
      <c r="FQ5" t="s">
        <v>601</v>
      </c>
      <c r="FR5" t="s">
        <v>602</v>
      </c>
      <c r="FS5" t="s">
        <v>603</v>
      </c>
      <c r="FT5" t="s">
        <v>604</v>
      </c>
      <c r="FU5" t="s">
        <v>605</v>
      </c>
      <c r="FV5" t="s">
        <v>606</v>
      </c>
      <c r="FW5" t="s">
        <v>640</v>
      </c>
      <c r="FX5" t="s">
        <v>607</v>
      </c>
      <c r="FY5" t="s">
        <v>608</v>
      </c>
      <c r="FZ5" t="s">
        <v>609</v>
      </c>
      <c r="GA5" t="s">
        <v>610</v>
      </c>
      <c r="GB5" t="s">
        <v>770</v>
      </c>
      <c r="GC5" t="s">
        <v>611</v>
      </c>
      <c r="GD5" t="s">
        <v>612</v>
      </c>
      <c r="GE5" t="s">
        <v>613</v>
      </c>
      <c r="GF5" t="s">
        <v>614</v>
      </c>
      <c r="GG5" t="s">
        <v>615</v>
      </c>
      <c r="GH5" t="s">
        <v>771</v>
      </c>
      <c r="GI5" t="s">
        <v>616</v>
      </c>
      <c r="GJ5" t="s">
        <v>617</v>
      </c>
      <c r="GK5" t="s">
        <v>618</v>
      </c>
      <c r="GL5" t="s">
        <v>644</v>
      </c>
      <c r="GM5" t="s">
        <v>619</v>
      </c>
      <c r="GN5" t="s">
        <v>620</v>
      </c>
      <c r="GO5" t="s">
        <v>621</v>
      </c>
      <c r="GP5" t="s">
        <v>645</v>
      </c>
      <c r="GQ5" t="s">
        <v>622</v>
      </c>
      <c r="GR5" t="s">
        <v>623</v>
      </c>
      <c r="GS5" t="s">
        <v>624</v>
      </c>
      <c r="GT5" t="s">
        <v>625</v>
      </c>
      <c r="GU5" t="s">
        <v>626</v>
      </c>
      <c r="GV5" t="s">
        <v>772</v>
      </c>
      <c r="GW5" t="s">
        <v>627</v>
      </c>
      <c r="GX5" t="s">
        <v>628</v>
      </c>
      <c r="GY5" t="s">
        <v>629</v>
      </c>
      <c r="GZ5" t="s">
        <v>630</v>
      </c>
      <c r="HA5" t="s">
        <v>773</v>
      </c>
      <c r="HB5" t="s">
        <v>631</v>
      </c>
      <c r="HC5" t="s">
        <v>632</v>
      </c>
      <c r="HD5" t="s">
        <v>633</v>
      </c>
      <c r="HE5" t="s">
        <v>634</v>
      </c>
      <c r="HF5" t="s">
        <v>635</v>
      </c>
      <c r="HG5" t="s">
        <v>774</v>
      </c>
      <c r="HH5" t="s">
        <v>636</v>
      </c>
      <c r="HI5" t="s">
        <v>637</v>
      </c>
      <c r="HJ5" t="s">
        <v>638</v>
      </c>
      <c r="HK5" t="s">
        <v>639</v>
      </c>
      <c r="HL5" t="s">
        <v>775</v>
      </c>
      <c r="HM5" t="s">
        <v>646</v>
      </c>
      <c r="HN5" t="s">
        <v>647</v>
      </c>
      <c r="HO5" t="s">
        <v>648</v>
      </c>
      <c r="HP5" t="s">
        <v>649</v>
      </c>
      <c r="HQ5" t="s">
        <v>650</v>
      </c>
      <c r="HR5" t="s">
        <v>651</v>
      </c>
      <c r="HS5" t="s">
        <v>652</v>
      </c>
      <c r="HT5" t="s">
        <v>653</v>
      </c>
      <c r="HU5" t="s">
        <v>654</v>
      </c>
      <c r="HV5" t="s">
        <v>655</v>
      </c>
      <c r="HW5" t="s">
        <v>656</v>
      </c>
      <c r="HX5" t="s">
        <v>657</v>
      </c>
      <c r="HY5" t="s">
        <v>658</v>
      </c>
      <c r="HZ5" t="s">
        <v>659</v>
      </c>
      <c r="IA5" t="s">
        <v>660</v>
      </c>
      <c r="IB5" t="s">
        <v>661</v>
      </c>
      <c r="IC5" t="s">
        <v>662</v>
      </c>
      <c r="ID5" t="s">
        <v>663</v>
      </c>
      <c r="IE5" t="s">
        <v>664</v>
      </c>
      <c r="IF5" t="s">
        <v>665</v>
      </c>
      <c r="IG5" t="s">
        <v>666</v>
      </c>
      <c r="IH5" t="s">
        <v>667</v>
      </c>
      <c r="II5" t="s">
        <v>668</v>
      </c>
      <c r="IJ5" t="s">
        <v>669</v>
      </c>
      <c r="IK5" t="s">
        <v>670</v>
      </c>
      <c r="IL5" t="s">
        <v>671</v>
      </c>
      <c r="IM5" t="s">
        <v>672</v>
      </c>
      <c r="IN5" t="s">
        <v>673</v>
      </c>
      <c r="IO5" t="s">
        <v>674</v>
      </c>
      <c r="IP5" t="s">
        <v>675</v>
      </c>
      <c r="IQ5" t="s">
        <v>676</v>
      </c>
      <c r="IR5" t="s">
        <v>677</v>
      </c>
      <c r="IS5" t="s">
        <v>678</v>
      </c>
      <c r="IT5" t="s">
        <v>679</v>
      </c>
      <c r="IU5" t="s">
        <v>680</v>
      </c>
      <c r="IV5" t="s">
        <v>681</v>
      </c>
    </row>
    <row r="6" spans="1:256" x14ac:dyDescent="0.45">
      <c r="A6" t="s">
        <v>682</v>
      </c>
      <c r="B6" t="s">
        <v>683</v>
      </c>
      <c r="C6" t="s">
        <v>684</v>
      </c>
      <c r="D6" t="s">
        <v>685</v>
      </c>
      <c r="E6" t="s">
        <v>686</v>
      </c>
      <c r="F6" t="s">
        <v>687</v>
      </c>
      <c r="G6" t="s">
        <v>688</v>
      </c>
      <c r="H6" t="s">
        <v>689</v>
      </c>
      <c r="I6" t="s">
        <v>690</v>
      </c>
      <c r="J6" t="s">
        <v>691</v>
      </c>
      <c r="K6" t="s">
        <v>692</v>
      </c>
      <c r="L6" t="s">
        <v>693</v>
      </c>
      <c r="M6" t="s">
        <v>694</v>
      </c>
      <c r="N6" t="s">
        <v>695</v>
      </c>
      <c r="O6" t="s">
        <v>696</v>
      </c>
      <c r="P6" t="s">
        <v>697</v>
      </c>
      <c r="Q6" t="s">
        <v>698</v>
      </c>
      <c r="R6" t="s">
        <v>699</v>
      </c>
      <c r="S6" t="s">
        <v>700</v>
      </c>
      <c r="T6" t="s">
        <v>701</v>
      </c>
      <c r="U6" t="s">
        <v>702</v>
      </c>
      <c r="V6" t="s">
        <v>703</v>
      </c>
      <c r="W6" t="s">
        <v>704</v>
      </c>
      <c r="X6" t="s">
        <v>705</v>
      </c>
      <c r="Y6" t="s">
        <v>706</v>
      </c>
      <c r="Z6" t="s">
        <v>707</v>
      </c>
      <c r="AA6" t="s">
        <v>708</v>
      </c>
      <c r="AB6" t="s">
        <v>709</v>
      </c>
      <c r="AC6" t="s">
        <v>710</v>
      </c>
      <c r="AD6" t="s">
        <v>711</v>
      </c>
      <c r="AE6" t="s">
        <v>712</v>
      </c>
      <c r="AF6" t="s">
        <v>713</v>
      </c>
      <c r="AG6" t="s">
        <v>714</v>
      </c>
      <c r="AH6" t="s">
        <v>715</v>
      </c>
      <c r="AI6" t="s">
        <v>716</v>
      </c>
      <c r="AJ6" t="s">
        <v>717</v>
      </c>
      <c r="AK6" t="s">
        <v>718</v>
      </c>
      <c r="AL6" t="s">
        <v>719</v>
      </c>
      <c r="AM6" t="s">
        <v>720</v>
      </c>
      <c r="AN6" t="s">
        <v>721</v>
      </c>
      <c r="AO6" t="s">
        <v>722</v>
      </c>
      <c r="AP6" t="s">
        <v>723</v>
      </c>
      <c r="AQ6" t="s">
        <v>724</v>
      </c>
      <c r="AR6" t="s">
        <v>725</v>
      </c>
      <c r="AS6" t="s">
        <v>726</v>
      </c>
      <c r="AT6" t="s">
        <v>727</v>
      </c>
      <c r="AU6" t="s">
        <v>728</v>
      </c>
      <c r="AV6" t="s">
        <v>729</v>
      </c>
      <c r="AW6" t="s">
        <v>730</v>
      </c>
      <c r="AX6" t="s">
        <v>731</v>
      </c>
      <c r="AY6" t="s">
        <v>732</v>
      </c>
      <c r="AZ6" t="s">
        <v>733</v>
      </c>
      <c r="BA6" t="s">
        <v>734</v>
      </c>
      <c r="BB6" t="s">
        <v>735</v>
      </c>
      <c r="BC6" t="s">
        <v>736</v>
      </c>
      <c r="BD6" t="s">
        <v>737</v>
      </c>
      <c r="BE6" t="s">
        <v>738</v>
      </c>
      <c r="BF6" t="s">
        <v>739</v>
      </c>
      <c r="BG6" t="s">
        <v>740</v>
      </c>
      <c r="BH6" t="s">
        <v>741</v>
      </c>
      <c r="BI6" t="s">
        <v>742</v>
      </c>
      <c r="BJ6" t="s">
        <v>743</v>
      </c>
      <c r="BK6" t="s">
        <v>744</v>
      </c>
      <c r="BL6" t="s">
        <v>745</v>
      </c>
      <c r="BM6" t="s">
        <v>746</v>
      </c>
      <c r="BN6" t="s">
        <v>747</v>
      </c>
      <c r="BO6" t="s">
        <v>748</v>
      </c>
      <c r="BP6" t="s">
        <v>749</v>
      </c>
      <c r="BQ6" t="s">
        <v>750</v>
      </c>
      <c r="BR6" t="s">
        <v>751</v>
      </c>
      <c r="BS6" t="s">
        <v>752</v>
      </c>
      <c r="BT6" t="s">
        <v>753</v>
      </c>
      <c r="BU6" t="s">
        <v>754</v>
      </c>
      <c r="BV6" t="s">
        <v>755</v>
      </c>
      <c r="BW6" t="s">
        <v>756</v>
      </c>
      <c r="BX6" t="s">
        <v>757</v>
      </c>
      <c r="BY6" t="s">
        <v>758</v>
      </c>
      <c r="BZ6" t="s">
        <v>759</v>
      </c>
      <c r="CA6" t="s">
        <v>760</v>
      </c>
      <c r="CB6" t="s">
        <v>761</v>
      </c>
      <c r="CC6" t="s">
        <v>762</v>
      </c>
      <c r="CD6" t="s">
        <v>763</v>
      </c>
      <c r="CE6" t="s">
        <v>764</v>
      </c>
      <c r="CF6" t="s">
        <v>765</v>
      </c>
      <c r="CG6" t="s">
        <v>766</v>
      </c>
      <c r="CH6" t="s">
        <v>767</v>
      </c>
      <c r="CI6" t="s">
        <v>768</v>
      </c>
      <c r="CJ6" t="s">
        <v>782</v>
      </c>
      <c r="CK6" t="s">
        <v>1358</v>
      </c>
      <c r="CL6" t="s">
        <v>1359</v>
      </c>
      <c r="CM6" t="s">
        <v>1360</v>
      </c>
      <c r="CN6" t="s">
        <v>1361</v>
      </c>
      <c r="CO6" t="s">
        <v>1362</v>
      </c>
      <c r="CP6" t="s">
        <v>783</v>
      </c>
      <c r="CQ6" t="s">
        <v>784</v>
      </c>
      <c r="CR6" t="s">
        <v>785</v>
      </c>
      <c r="CS6" t="s">
        <v>786</v>
      </c>
      <c r="CT6" t="s">
        <v>787</v>
      </c>
      <c r="CU6" t="s">
        <v>1363</v>
      </c>
      <c r="CV6" t="s">
        <v>1364</v>
      </c>
      <c r="CW6" t="s">
        <v>1365</v>
      </c>
      <c r="CX6" t="s">
        <v>1366</v>
      </c>
      <c r="CY6" t="s">
        <v>1367</v>
      </c>
      <c r="CZ6" t="s">
        <v>1368</v>
      </c>
      <c r="DA6" t="s">
        <v>1369</v>
      </c>
      <c r="DB6" t="s">
        <v>788</v>
      </c>
      <c r="DC6" t="s">
        <v>789</v>
      </c>
      <c r="DD6" t="s">
        <v>790</v>
      </c>
      <c r="DE6" t="s">
        <v>791</v>
      </c>
      <c r="DF6" t="s">
        <v>792</v>
      </c>
      <c r="DG6" t="s">
        <v>1370</v>
      </c>
      <c r="DH6" t="s">
        <v>1371</v>
      </c>
      <c r="DI6" t="s">
        <v>793</v>
      </c>
      <c r="DJ6" t="s">
        <v>794</v>
      </c>
      <c r="DK6" t="s">
        <v>795</v>
      </c>
      <c r="DL6" t="s">
        <v>796</v>
      </c>
      <c r="DM6" t="s">
        <v>797</v>
      </c>
      <c r="DN6" t="s">
        <v>798</v>
      </c>
      <c r="DO6" t="s">
        <v>799</v>
      </c>
      <c r="DP6" t="s">
        <v>800</v>
      </c>
      <c r="DQ6" t="s">
        <v>801</v>
      </c>
      <c r="DR6" t="s">
        <v>802</v>
      </c>
      <c r="DS6" t="s">
        <v>803</v>
      </c>
      <c r="DT6" t="s">
        <v>804</v>
      </c>
      <c r="DU6" t="s">
        <v>805</v>
      </c>
      <c r="DV6" t="s">
        <v>806</v>
      </c>
      <c r="DW6" t="s">
        <v>807</v>
      </c>
      <c r="DX6" t="s">
        <v>1280</v>
      </c>
      <c r="DY6" t="s">
        <v>808</v>
      </c>
      <c r="DZ6" t="s">
        <v>809</v>
      </c>
      <c r="EA6" t="s">
        <v>810</v>
      </c>
      <c r="EB6" t="s">
        <v>811</v>
      </c>
      <c r="EC6" t="s">
        <v>812</v>
      </c>
      <c r="ED6" t="s">
        <v>1281</v>
      </c>
      <c r="EE6" t="s">
        <v>813</v>
      </c>
      <c r="EF6" t="s">
        <v>814</v>
      </c>
      <c r="EG6" t="s">
        <v>815</v>
      </c>
      <c r="EH6" t="s">
        <v>816</v>
      </c>
      <c r="EI6" t="s">
        <v>817</v>
      </c>
      <c r="EJ6" t="s">
        <v>1282</v>
      </c>
      <c r="EK6" t="s">
        <v>818</v>
      </c>
      <c r="EL6" t="s">
        <v>819</v>
      </c>
      <c r="EM6" t="s">
        <v>820</v>
      </c>
      <c r="EN6" t="s">
        <v>821</v>
      </c>
      <c r="EO6" t="s">
        <v>1283</v>
      </c>
      <c r="EP6" t="s">
        <v>822</v>
      </c>
      <c r="EQ6" t="s">
        <v>823</v>
      </c>
      <c r="ER6" t="s">
        <v>824</v>
      </c>
      <c r="ES6" t="s">
        <v>1284</v>
      </c>
      <c r="ET6" t="s">
        <v>825</v>
      </c>
      <c r="EU6" t="s">
        <v>826</v>
      </c>
      <c r="EV6" t="s">
        <v>827</v>
      </c>
      <c r="EW6" t="s">
        <v>828</v>
      </c>
      <c r="EX6" t="s">
        <v>829</v>
      </c>
      <c r="EY6" t="s">
        <v>1285</v>
      </c>
      <c r="EZ6" t="s">
        <v>830</v>
      </c>
      <c r="FA6" t="s">
        <v>831</v>
      </c>
      <c r="FB6" t="s">
        <v>832</v>
      </c>
      <c r="FC6" t="s">
        <v>833</v>
      </c>
      <c r="FD6" t="s">
        <v>834</v>
      </c>
      <c r="FE6" t="s">
        <v>835</v>
      </c>
      <c r="FF6" t="s">
        <v>836</v>
      </c>
      <c r="FG6" t="s">
        <v>837</v>
      </c>
      <c r="FH6" t="s">
        <v>838</v>
      </c>
      <c r="FI6" t="s">
        <v>839</v>
      </c>
      <c r="FJ6" t="s">
        <v>840</v>
      </c>
      <c r="FK6" t="s">
        <v>841</v>
      </c>
      <c r="FL6" t="s">
        <v>842</v>
      </c>
      <c r="FM6" t="s">
        <v>843</v>
      </c>
      <c r="FN6" t="s">
        <v>844</v>
      </c>
      <c r="FO6" t="s">
        <v>845</v>
      </c>
      <c r="FP6" t="s">
        <v>846</v>
      </c>
      <c r="FQ6" t="s">
        <v>847</v>
      </c>
      <c r="FR6" t="s">
        <v>848</v>
      </c>
      <c r="FS6" t="s">
        <v>849</v>
      </c>
      <c r="FT6" t="s">
        <v>850</v>
      </c>
      <c r="FU6" t="s">
        <v>851</v>
      </c>
      <c r="FV6" t="s">
        <v>852</v>
      </c>
      <c r="FW6" t="s">
        <v>853</v>
      </c>
      <c r="FX6" t="s">
        <v>854</v>
      </c>
      <c r="FY6" t="s">
        <v>855</v>
      </c>
      <c r="FZ6" t="s">
        <v>856</v>
      </c>
      <c r="GA6" t="s">
        <v>857</v>
      </c>
      <c r="GB6" t="s">
        <v>858</v>
      </c>
      <c r="GC6" t="s">
        <v>859</v>
      </c>
      <c r="GD6" t="s">
        <v>2487</v>
      </c>
      <c r="GE6" t="s">
        <v>2488</v>
      </c>
      <c r="GF6" t="s">
        <v>2489</v>
      </c>
      <c r="GG6" t="s">
        <v>2490</v>
      </c>
      <c r="GH6" t="s">
        <v>2491</v>
      </c>
      <c r="GI6" t="s">
        <v>2492</v>
      </c>
      <c r="GJ6" t="s">
        <v>2493</v>
      </c>
      <c r="GK6" t="s">
        <v>2494</v>
      </c>
      <c r="GL6" t="s">
        <v>2495</v>
      </c>
      <c r="GM6" t="s">
        <v>2496</v>
      </c>
      <c r="GN6" t="s">
        <v>2497</v>
      </c>
      <c r="GO6" t="s">
        <v>2498</v>
      </c>
      <c r="GP6" t="s">
        <v>2499</v>
      </c>
      <c r="GQ6" t="s">
        <v>2500</v>
      </c>
      <c r="GR6" t="s">
        <v>2501</v>
      </c>
      <c r="GS6" t="s">
        <v>2502</v>
      </c>
      <c r="GT6" t="s">
        <v>2503</v>
      </c>
      <c r="GU6" t="s">
        <v>2504</v>
      </c>
      <c r="GV6" t="s">
        <v>2505</v>
      </c>
      <c r="GW6" t="s">
        <v>2506</v>
      </c>
      <c r="GX6" t="s">
        <v>2507</v>
      </c>
      <c r="GY6" t="s">
        <v>2508</v>
      </c>
      <c r="GZ6" t="s">
        <v>2509</v>
      </c>
      <c r="HA6" t="s">
        <v>2510</v>
      </c>
      <c r="HB6" t="s">
        <v>2511</v>
      </c>
      <c r="HC6" t="s">
        <v>2512</v>
      </c>
      <c r="HD6" t="s">
        <v>2513</v>
      </c>
      <c r="HE6" t="s">
        <v>2514</v>
      </c>
      <c r="HF6" t="s">
        <v>860</v>
      </c>
      <c r="HG6" t="s">
        <v>861</v>
      </c>
      <c r="HH6" t="s">
        <v>862</v>
      </c>
      <c r="HI6" t="s">
        <v>1286</v>
      </c>
      <c r="HJ6" t="s">
        <v>863</v>
      </c>
      <c r="HK6" t="s">
        <v>864</v>
      </c>
      <c r="HL6" t="s">
        <v>865</v>
      </c>
      <c r="HM6" t="s">
        <v>866</v>
      </c>
      <c r="HN6" t="s">
        <v>1287</v>
      </c>
      <c r="HO6" t="s">
        <v>867</v>
      </c>
      <c r="HP6" t="s">
        <v>868</v>
      </c>
      <c r="HQ6" t="s">
        <v>869</v>
      </c>
      <c r="HR6" t="s">
        <v>870</v>
      </c>
      <c r="HS6" t="s">
        <v>871</v>
      </c>
      <c r="HT6" t="s">
        <v>872</v>
      </c>
      <c r="HU6" t="s">
        <v>873</v>
      </c>
      <c r="HV6" t="s">
        <v>1288</v>
      </c>
      <c r="HW6" t="s">
        <v>874</v>
      </c>
      <c r="HX6" t="s">
        <v>875</v>
      </c>
      <c r="HY6" t="s">
        <v>876</v>
      </c>
      <c r="HZ6" t="s">
        <v>877</v>
      </c>
      <c r="IA6" t="s">
        <v>878</v>
      </c>
      <c r="IB6" t="s">
        <v>879</v>
      </c>
      <c r="IC6" t="s">
        <v>880</v>
      </c>
      <c r="ID6" t="s">
        <v>1289</v>
      </c>
      <c r="IE6" t="s">
        <v>881</v>
      </c>
      <c r="IF6" t="s">
        <v>882</v>
      </c>
      <c r="IG6" t="s">
        <v>883</v>
      </c>
      <c r="IH6" t="s">
        <v>884</v>
      </c>
      <c r="II6" t="s">
        <v>885</v>
      </c>
      <c r="IJ6" t="s">
        <v>886</v>
      </c>
      <c r="IK6" t="s">
        <v>887</v>
      </c>
      <c r="IL6" t="s">
        <v>888</v>
      </c>
      <c r="IM6" t="s">
        <v>889</v>
      </c>
      <c r="IN6" t="s">
        <v>890</v>
      </c>
      <c r="IO6" t="s">
        <v>891</v>
      </c>
      <c r="IP6" t="s">
        <v>892</v>
      </c>
      <c r="IQ6" t="s">
        <v>893</v>
      </c>
      <c r="IR6" t="s">
        <v>894</v>
      </c>
      <c r="IS6" t="s">
        <v>895</v>
      </c>
      <c r="IT6" t="s">
        <v>896</v>
      </c>
      <c r="IU6" t="s">
        <v>897</v>
      </c>
      <c r="IV6" t="s">
        <v>898</v>
      </c>
    </row>
    <row r="7" spans="1:256" x14ac:dyDescent="0.45">
      <c r="A7" t="s">
        <v>899</v>
      </c>
      <c r="B7" t="s">
        <v>900</v>
      </c>
      <c r="C7" t="s">
        <v>901</v>
      </c>
      <c r="D7" t="s">
        <v>902</v>
      </c>
      <c r="E7" t="s">
        <v>903</v>
      </c>
      <c r="F7" t="s">
        <v>904</v>
      </c>
      <c r="G7" t="s">
        <v>905</v>
      </c>
      <c r="H7" t="s">
        <v>906</v>
      </c>
      <c r="I7" t="s">
        <v>907</v>
      </c>
      <c r="J7" t="s">
        <v>908</v>
      </c>
      <c r="K7" t="s">
        <v>909</v>
      </c>
      <c r="L7" t="s">
        <v>910</v>
      </c>
      <c r="M7" t="s">
        <v>911</v>
      </c>
      <c r="N7" t="s">
        <v>912</v>
      </c>
      <c r="O7" t="s">
        <v>913</v>
      </c>
      <c r="P7" t="s">
        <v>914</v>
      </c>
      <c r="Q7" t="s">
        <v>915</v>
      </c>
      <c r="R7" t="s">
        <v>916</v>
      </c>
      <c r="S7" t="s">
        <v>917</v>
      </c>
      <c r="T7" t="s">
        <v>918</v>
      </c>
      <c r="U7" t="s">
        <v>919</v>
      </c>
      <c r="V7" t="s">
        <v>920</v>
      </c>
      <c r="W7" t="s">
        <v>921</v>
      </c>
      <c r="X7" t="s">
        <v>922</v>
      </c>
      <c r="Y7" t="s">
        <v>923</v>
      </c>
      <c r="Z7" t="s">
        <v>924</v>
      </c>
      <c r="AA7" t="s">
        <v>925</v>
      </c>
      <c r="AB7" t="s">
        <v>926</v>
      </c>
      <c r="AC7" t="s">
        <v>927</v>
      </c>
      <c r="AD7" t="s">
        <v>928</v>
      </c>
      <c r="AE7" t="s">
        <v>929</v>
      </c>
      <c r="AF7" t="s">
        <v>930</v>
      </c>
      <c r="AG7" t="s">
        <v>931</v>
      </c>
      <c r="AH7" t="s">
        <v>932</v>
      </c>
      <c r="AI7" t="s">
        <v>933</v>
      </c>
      <c r="AJ7" t="s">
        <v>934</v>
      </c>
      <c r="AK7" t="s">
        <v>935</v>
      </c>
      <c r="AL7" t="s">
        <v>936</v>
      </c>
      <c r="AM7" t="s">
        <v>937</v>
      </c>
      <c r="AN7" t="s">
        <v>938</v>
      </c>
      <c r="AO7" t="s">
        <v>939</v>
      </c>
      <c r="AP7" t="s">
        <v>940</v>
      </c>
      <c r="AQ7" t="s">
        <v>941</v>
      </c>
      <c r="AR7" t="s">
        <v>942</v>
      </c>
      <c r="AS7" t="s">
        <v>943</v>
      </c>
      <c r="AT7" t="s">
        <v>944</v>
      </c>
      <c r="AU7" t="s">
        <v>945</v>
      </c>
      <c r="AV7" t="s">
        <v>946</v>
      </c>
      <c r="AW7" t="s">
        <v>947</v>
      </c>
      <c r="AX7" t="s">
        <v>948</v>
      </c>
      <c r="AY7" t="s">
        <v>949</v>
      </c>
      <c r="AZ7" t="s">
        <v>950</v>
      </c>
      <c r="BA7" t="s">
        <v>951</v>
      </c>
      <c r="BB7" t="s">
        <v>952</v>
      </c>
      <c r="BC7" t="s">
        <v>953</v>
      </c>
      <c r="BD7" t="s">
        <v>954</v>
      </c>
      <c r="BE7" t="s">
        <v>955</v>
      </c>
      <c r="BF7" t="s">
        <v>956</v>
      </c>
      <c r="BG7" t="s">
        <v>957</v>
      </c>
      <c r="BH7" t="s">
        <v>958</v>
      </c>
      <c r="BI7" t="s">
        <v>959</v>
      </c>
      <c r="BJ7" t="s">
        <v>960</v>
      </c>
      <c r="BK7" t="s">
        <v>961</v>
      </c>
      <c r="BL7" t="s">
        <v>962</v>
      </c>
      <c r="BM7" t="s">
        <v>963</v>
      </c>
      <c r="BN7" t="s">
        <v>964</v>
      </c>
      <c r="BO7" t="s">
        <v>965</v>
      </c>
      <c r="BP7" t="s">
        <v>966</v>
      </c>
      <c r="BQ7" t="s">
        <v>967</v>
      </c>
      <c r="BR7" t="s">
        <v>968</v>
      </c>
      <c r="BS7" t="s">
        <v>969</v>
      </c>
      <c r="BT7" t="s">
        <v>970</v>
      </c>
      <c r="BU7" t="s">
        <v>971</v>
      </c>
      <c r="BV7" t="s">
        <v>972</v>
      </c>
      <c r="BW7" t="s">
        <v>973</v>
      </c>
      <c r="BX7" t="s">
        <v>974</v>
      </c>
      <c r="BY7" t="s">
        <v>975</v>
      </c>
      <c r="BZ7" t="s">
        <v>976</v>
      </c>
      <c r="CA7" t="s">
        <v>977</v>
      </c>
      <c r="CB7" t="s">
        <v>978</v>
      </c>
      <c r="CC7" t="s">
        <v>979</v>
      </c>
      <c r="CD7" t="s">
        <v>980</v>
      </c>
      <c r="CE7" t="s">
        <v>981</v>
      </c>
      <c r="CF7" t="s">
        <v>982</v>
      </c>
      <c r="CG7" t="s">
        <v>983</v>
      </c>
      <c r="CH7" t="s">
        <v>984</v>
      </c>
      <c r="CI7" t="s">
        <v>985</v>
      </c>
      <c r="CJ7" t="s">
        <v>986</v>
      </c>
      <c r="CK7" t="s">
        <v>987</v>
      </c>
      <c r="CL7" t="s">
        <v>988</v>
      </c>
      <c r="CM7" t="s">
        <v>989</v>
      </c>
      <c r="CN7" t="s">
        <v>990</v>
      </c>
      <c r="CO7" t="s">
        <v>991</v>
      </c>
      <c r="CP7" t="s">
        <v>992</v>
      </c>
      <c r="CQ7" t="s">
        <v>993</v>
      </c>
      <c r="CR7" t="s">
        <v>994</v>
      </c>
      <c r="CS7" t="s">
        <v>995</v>
      </c>
      <c r="CT7" t="s">
        <v>996</v>
      </c>
      <c r="CU7" t="s">
        <v>997</v>
      </c>
      <c r="CV7" t="s">
        <v>998</v>
      </c>
      <c r="CW7" t="s">
        <v>999</v>
      </c>
      <c r="CX7" t="s">
        <v>1000</v>
      </c>
      <c r="CY7" t="s">
        <v>1001</v>
      </c>
      <c r="CZ7" t="s">
        <v>1002</v>
      </c>
      <c r="DA7" t="s">
        <v>1003</v>
      </c>
      <c r="DB7" t="s">
        <v>1004</v>
      </c>
      <c r="DC7" t="s">
        <v>1005</v>
      </c>
      <c r="DD7" t="s">
        <v>1006</v>
      </c>
      <c r="DE7" t="s">
        <v>1007</v>
      </c>
      <c r="DF7" t="s">
        <v>1008</v>
      </c>
      <c r="DG7" t="s">
        <v>1009</v>
      </c>
      <c r="DH7" t="s">
        <v>1010</v>
      </c>
      <c r="DI7" t="s">
        <v>1011</v>
      </c>
      <c r="DJ7" t="s">
        <v>1012</v>
      </c>
      <c r="DK7" t="s">
        <v>1013</v>
      </c>
      <c r="DL7" t="s">
        <v>1014</v>
      </c>
      <c r="DM7" t="s">
        <v>1015</v>
      </c>
      <c r="DN7" t="s">
        <v>1016</v>
      </c>
      <c r="DO7" t="s">
        <v>1017</v>
      </c>
      <c r="DP7" t="s">
        <v>1018</v>
      </c>
      <c r="DQ7" t="s">
        <v>1019</v>
      </c>
      <c r="DR7" t="s">
        <v>1020</v>
      </c>
      <c r="DS7" t="s">
        <v>1021</v>
      </c>
      <c r="DT7" t="s">
        <v>1022</v>
      </c>
      <c r="DU7" t="s">
        <v>1023</v>
      </c>
      <c r="DV7" t="s">
        <v>1024</v>
      </c>
      <c r="DW7" t="s">
        <v>1025</v>
      </c>
      <c r="DX7" t="s">
        <v>1026</v>
      </c>
      <c r="DY7" t="s">
        <v>1027</v>
      </c>
      <c r="DZ7" t="s">
        <v>1028</v>
      </c>
      <c r="EA7" t="s">
        <v>1029</v>
      </c>
      <c r="EB7" t="s">
        <v>1030</v>
      </c>
      <c r="EC7" t="s">
        <v>1031</v>
      </c>
      <c r="ED7" t="s">
        <v>1032</v>
      </c>
      <c r="EE7" t="s">
        <v>1033</v>
      </c>
      <c r="EF7" t="s">
        <v>1034</v>
      </c>
      <c r="EG7" t="s">
        <v>1035</v>
      </c>
      <c r="EH7" t="s">
        <v>1036</v>
      </c>
      <c r="EI7" t="s">
        <v>1037</v>
      </c>
      <c r="EJ7" t="s">
        <v>1038</v>
      </c>
      <c r="EK7" t="s">
        <v>1039</v>
      </c>
      <c r="EL7" t="s">
        <v>1040</v>
      </c>
      <c r="EM7" t="s">
        <v>1041</v>
      </c>
      <c r="EN7" t="s">
        <v>1042</v>
      </c>
      <c r="EO7" t="s">
        <v>1043</v>
      </c>
      <c r="EP7" t="s">
        <v>1044</v>
      </c>
      <c r="EQ7" t="s">
        <v>1045</v>
      </c>
      <c r="ER7" t="s">
        <v>1046</v>
      </c>
      <c r="ES7" t="s">
        <v>1047</v>
      </c>
      <c r="ET7" t="s">
        <v>1048</v>
      </c>
      <c r="EU7" t="s">
        <v>1049</v>
      </c>
      <c r="EV7" t="s">
        <v>1050</v>
      </c>
      <c r="EW7" t="s">
        <v>1051</v>
      </c>
      <c r="EX7" t="s">
        <v>1052</v>
      </c>
      <c r="EY7" t="s">
        <v>1053</v>
      </c>
      <c r="EZ7" t="s">
        <v>1054</v>
      </c>
      <c r="FA7" t="s">
        <v>1055</v>
      </c>
      <c r="FB7" t="s">
        <v>1056</v>
      </c>
      <c r="FC7" t="s">
        <v>1057</v>
      </c>
      <c r="FD7" t="s">
        <v>1058</v>
      </c>
      <c r="FE7" t="s">
        <v>1059</v>
      </c>
      <c r="FF7" t="s">
        <v>1060</v>
      </c>
      <c r="FG7" t="s">
        <v>1061</v>
      </c>
      <c r="FH7" t="s">
        <v>1062</v>
      </c>
      <c r="FI7" t="s">
        <v>1063</v>
      </c>
      <c r="FJ7" t="s">
        <v>1064</v>
      </c>
      <c r="FK7" t="s">
        <v>1065</v>
      </c>
      <c r="FL7" t="s">
        <v>1066</v>
      </c>
      <c r="FM7" t="s">
        <v>1067</v>
      </c>
      <c r="FN7" t="s">
        <v>1068</v>
      </c>
      <c r="FO7" t="s">
        <v>1069</v>
      </c>
      <c r="FP7" t="s">
        <v>1070</v>
      </c>
      <c r="FQ7" t="s">
        <v>1071</v>
      </c>
      <c r="FR7" t="s">
        <v>1072</v>
      </c>
      <c r="FS7" t="s">
        <v>1073</v>
      </c>
      <c r="FT7" t="s">
        <v>1074</v>
      </c>
      <c r="FU7" t="s">
        <v>1075</v>
      </c>
      <c r="FV7" t="s">
        <v>1076</v>
      </c>
      <c r="FW7" t="s">
        <v>1077</v>
      </c>
      <c r="FX7" t="s">
        <v>1078</v>
      </c>
      <c r="FY7" t="s">
        <v>1079</v>
      </c>
      <c r="FZ7" t="s">
        <v>1080</v>
      </c>
      <c r="GA7" t="s">
        <v>1081</v>
      </c>
      <c r="GB7" t="s">
        <v>1082</v>
      </c>
      <c r="GC7" t="s">
        <v>1083</v>
      </c>
      <c r="GD7" t="s">
        <v>1084</v>
      </c>
      <c r="GE7" t="s">
        <v>1085</v>
      </c>
      <c r="GF7" t="s">
        <v>1086</v>
      </c>
      <c r="GG7" t="s">
        <v>1087</v>
      </c>
      <c r="GH7" t="s">
        <v>1088</v>
      </c>
      <c r="GI7" t="s">
        <v>1089</v>
      </c>
      <c r="GJ7" t="s">
        <v>1090</v>
      </c>
      <c r="GK7" t="s">
        <v>1091</v>
      </c>
      <c r="GL7" t="s">
        <v>1092</v>
      </c>
      <c r="GM7" t="s">
        <v>1093</v>
      </c>
      <c r="GN7" t="s">
        <v>1094</v>
      </c>
      <c r="GO7" t="s">
        <v>1095</v>
      </c>
      <c r="GP7" t="s">
        <v>1096</v>
      </c>
      <c r="GQ7" t="s">
        <v>1097</v>
      </c>
      <c r="GR7" t="s">
        <v>1098</v>
      </c>
      <c r="GS7" t="s">
        <v>1099</v>
      </c>
      <c r="GT7" t="s">
        <v>1100</v>
      </c>
      <c r="GU7" t="s">
        <v>1101</v>
      </c>
      <c r="GV7" t="s">
        <v>1102</v>
      </c>
      <c r="GW7" t="s">
        <v>1103</v>
      </c>
      <c r="GX7" t="s">
        <v>1104</v>
      </c>
      <c r="GY7" t="s">
        <v>1105</v>
      </c>
      <c r="GZ7" t="s">
        <v>1106</v>
      </c>
      <c r="HA7" t="s">
        <v>1107</v>
      </c>
      <c r="HB7" t="s">
        <v>1108</v>
      </c>
      <c r="HC7" t="s">
        <v>1109</v>
      </c>
      <c r="HD7" t="s">
        <v>1110</v>
      </c>
      <c r="HE7" t="s">
        <v>1111</v>
      </c>
      <c r="HF7" t="s">
        <v>1112</v>
      </c>
      <c r="HG7" t="s">
        <v>1113</v>
      </c>
      <c r="HH7" t="s">
        <v>1114</v>
      </c>
      <c r="HI7" t="s">
        <v>1115</v>
      </c>
      <c r="HJ7" t="s">
        <v>1116</v>
      </c>
      <c r="HK7" t="s">
        <v>1117</v>
      </c>
      <c r="HL7" t="s">
        <v>1118</v>
      </c>
      <c r="HM7" t="s">
        <v>1119</v>
      </c>
      <c r="HN7" t="s">
        <v>1120</v>
      </c>
      <c r="HO7" t="s">
        <v>1121</v>
      </c>
      <c r="HP7" t="s">
        <v>1122</v>
      </c>
      <c r="HQ7" t="s">
        <v>1123</v>
      </c>
      <c r="HR7" t="s">
        <v>1124</v>
      </c>
      <c r="HS7" t="s">
        <v>1125</v>
      </c>
      <c r="HT7" t="s">
        <v>1126</v>
      </c>
      <c r="HU7" t="s">
        <v>1127</v>
      </c>
      <c r="HV7" t="s">
        <v>1128</v>
      </c>
      <c r="HW7" t="s">
        <v>1129</v>
      </c>
      <c r="HX7" t="s">
        <v>1130</v>
      </c>
      <c r="HY7" t="s">
        <v>1131</v>
      </c>
      <c r="HZ7" t="s">
        <v>1132</v>
      </c>
      <c r="IA7" t="s">
        <v>1133</v>
      </c>
      <c r="IB7" t="s">
        <v>1134</v>
      </c>
      <c r="IC7" t="s">
        <v>1135</v>
      </c>
      <c r="ID7" t="s">
        <v>1136</v>
      </c>
      <c r="IE7" t="s">
        <v>1137</v>
      </c>
      <c r="IF7" t="s">
        <v>1138</v>
      </c>
      <c r="IG7" t="s">
        <v>1139</v>
      </c>
      <c r="IH7" t="s">
        <v>1140</v>
      </c>
      <c r="II7" t="s">
        <v>1141</v>
      </c>
      <c r="IJ7" t="s">
        <v>1142</v>
      </c>
      <c r="IK7" t="s">
        <v>1143</v>
      </c>
      <c r="IL7" t="s">
        <v>1144</v>
      </c>
      <c r="IM7" t="s">
        <v>1145</v>
      </c>
      <c r="IN7" t="s">
        <v>1146</v>
      </c>
      <c r="IO7" t="s">
        <v>1147</v>
      </c>
      <c r="IP7" t="s">
        <v>1148</v>
      </c>
      <c r="IQ7" t="s">
        <v>1149</v>
      </c>
      <c r="IR7" t="s">
        <v>1150</v>
      </c>
      <c r="IS7" t="s">
        <v>1151</v>
      </c>
      <c r="IT7" t="s">
        <v>1152</v>
      </c>
      <c r="IU7" t="s">
        <v>1153</v>
      </c>
      <c r="IV7" t="s">
        <v>1154</v>
      </c>
    </row>
    <row r="8" spans="1:256" x14ac:dyDescent="0.45">
      <c r="A8" t="s">
        <v>1155</v>
      </c>
      <c r="B8" t="s">
        <v>1156</v>
      </c>
      <c r="C8" t="s">
        <v>1157</v>
      </c>
      <c r="D8" t="s">
        <v>1158</v>
      </c>
      <c r="E8" t="s">
        <v>1159</v>
      </c>
      <c r="F8" t="s">
        <v>1160</v>
      </c>
      <c r="G8" t="s">
        <v>1161</v>
      </c>
      <c r="H8" t="s">
        <v>1162</v>
      </c>
      <c r="I8" t="s">
        <v>1163</v>
      </c>
      <c r="J8" t="s">
        <v>1164</v>
      </c>
      <c r="K8" t="s">
        <v>1165</v>
      </c>
      <c r="L8" t="s">
        <v>1166</v>
      </c>
      <c r="M8" t="s">
        <v>1167</v>
      </c>
      <c r="N8" t="s">
        <v>1168</v>
      </c>
      <c r="O8" t="s">
        <v>1169</v>
      </c>
      <c r="P8" t="s">
        <v>1170</v>
      </c>
      <c r="Q8" t="s">
        <v>1171</v>
      </c>
      <c r="R8" t="s">
        <v>1172</v>
      </c>
      <c r="S8" t="s">
        <v>1173</v>
      </c>
      <c r="T8" t="s">
        <v>1174</v>
      </c>
      <c r="U8" t="s">
        <v>1175</v>
      </c>
      <c r="V8" t="s">
        <v>1176</v>
      </c>
      <c r="W8" t="s">
        <v>1177</v>
      </c>
      <c r="X8" t="s">
        <v>1178</v>
      </c>
      <c r="Y8" t="s">
        <v>1179</v>
      </c>
      <c r="Z8" t="s">
        <v>1180</v>
      </c>
      <c r="AA8" t="s">
        <v>1181</v>
      </c>
      <c r="AB8" t="s">
        <v>1182</v>
      </c>
      <c r="AC8" t="s">
        <v>1183</v>
      </c>
      <c r="AD8" t="s">
        <v>1184</v>
      </c>
      <c r="AE8" t="s">
        <v>1185</v>
      </c>
      <c r="AF8" t="s">
        <v>1186</v>
      </c>
      <c r="AG8" t="s">
        <v>1187</v>
      </c>
      <c r="AH8" t="s">
        <v>1188</v>
      </c>
      <c r="AI8" t="s">
        <v>1189</v>
      </c>
      <c r="AJ8" t="s">
        <v>1190</v>
      </c>
      <c r="AK8" t="s">
        <v>1191</v>
      </c>
      <c r="AL8" t="s">
        <v>1192</v>
      </c>
      <c r="AM8" t="s">
        <v>1193</v>
      </c>
      <c r="AN8" t="s">
        <v>1194</v>
      </c>
      <c r="AO8" t="s">
        <v>1195</v>
      </c>
      <c r="AP8" t="s">
        <v>1196</v>
      </c>
      <c r="AQ8" t="s">
        <v>1197</v>
      </c>
      <c r="AR8" t="s">
        <v>1198</v>
      </c>
      <c r="AS8" t="s">
        <v>1199</v>
      </c>
      <c r="AT8" t="s">
        <v>1200</v>
      </c>
      <c r="AU8" t="s">
        <v>1201</v>
      </c>
      <c r="AV8" t="s">
        <v>1202</v>
      </c>
      <c r="AW8" t="s">
        <v>1203</v>
      </c>
      <c r="AX8" t="s">
        <v>1204</v>
      </c>
      <c r="AY8" t="s">
        <v>1205</v>
      </c>
      <c r="AZ8" t="s">
        <v>1206</v>
      </c>
      <c r="BA8" t="s">
        <v>1207</v>
      </c>
      <c r="BB8" t="s">
        <v>1208</v>
      </c>
      <c r="BC8" t="s">
        <v>1209</v>
      </c>
      <c r="BD8" t="s">
        <v>1210</v>
      </c>
      <c r="BE8" t="s">
        <v>1211</v>
      </c>
      <c r="BF8" t="s">
        <v>1212</v>
      </c>
      <c r="BG8" t="s">
        <v>1213</v>
      </c>
      <c r="BH8" t="s">
        <v>1214</v>
      </c>
      <c r="BI8" t="s">
        <v>1215</v>
      </c>
      <c r="BJ8" t="s">
        <v>1216</v>
      </c>
      <c r="BK8" t="s">
        <v>1217</v>
      </c>
      <c r="BL8" t="s">
        <v>1218</v>
      </c>
      <c r="BM8" t="s">
        <v>1219</v>
      </c>
      <c r="BN8" t="s">
        <v>1220</v>
      </c>
      <c r="BO8" t="s">
        <v>1221</v>
      </c>
      <c r="BP8" t="s">
        <v>1222</v>
      </c>
      <c r="BQ8" t="s">
        <v>1223</v>
      </c>
      <c r="BR8" t="s">
        <v>1224</v>
      </c>
      <c r="BS8" t="s">
        <v>1225</v>
      </c>
      <c r="BT8" t="s">
        <v>1226</v>
      </c>
      <c r="BU8" t="s">
        <v>1227</v>
      </c>
      <c r="BV8" t="s">
        <v>1228</v>
      </c>
      <c r="BW8" t="s">
        <v>1229</v>
      </c>
      <c r="BX8" t="s">
        <v>1230</v>
      </c>
      <c r="BY8" t="s">
        <v>1231</v>
      </c>
      <c r="BZ8" t="s">
        <v>1232</v>
      </c>
      <c r="CA8" t="s">
        <v>1233</v>
      </c>
      <c r="CB8" t="s">
        <v>1234</v>
      </c>
      <c r="CC8" t="s">
        <v>1235</v>
      </c>
      <c r="CD8" t="s">
        <v>1236</v>
      </c>
      <c r="CE8" t="s">
        <v>1237</v>
      </c>
      <c r="CF8" t="s">
        <v>1238</v>
      </c>
      <c r="CG8" t="s">
        <v>1239</v>
      </c>
      <c r="CH8" t="s">
        <v>1240</v>
      </c>
      <c r="CI8" t="s">
        <v>1241</v>
      </c>
      <c r="CJ8" t="s">
        <v>1242</v>
      </c>
      <c r="CK8" t="s">
        <v>1243</v>
      </c>
      <c r="CL8" t="s">
        <v>1244</v>
      </c>
      <c r="CM8" t="s">
        <v>1245</v>
      </c>
      <c r="CN8" t="s">
        <v>1246</v>
      </c>
      <c r="CO8" t="s">
        <v>1247</v>
      </c>
      <c r="CP8" t="s">
        <v>1248</v>
      </c>
      <c r="CQ8" t="s">
        <v>1249</v>
      </c>
      <c r="CR8" t="s">
        <v>1250</v>
      </c>
      <c r="CS8" t="s">
        <v>1251</v>
      </c>
      <c r="CT8" t="s">
        <v>1252</v>
      </c>
      <c r="CU8" t="s">
        <v>1253</v>
      </c>
      <c r="CV8" t="s">
        <v>1254</v>
      </c>
      <c r="CW8" t="s">
        <v>1255</v>
      </c>
      <c r="CX8" t="s">
        <v>1256</v>
      </c>
      <c r="CY8" t="s">
        <v>1257</v>
      </c>
      <c r="CZ8" t="s">
        <v>1258</v>
      </c>
      <c r="DA8" t="s">
        <v>1259</v>
      </c>
      <c r="DB8" t="s">
        <v>1290</v>
      </c>
      <c r="DC8" t="s">
        <v>1291</v>
      </c>
      <c r="DD8" t="s">
        <v>1292</v>
      </c>
      <c r="DE8" t="s">
        <v>1293</v>
      </c>
      <c r="DF8" t="s">
        <v>1294</v>
      </c>
      <c r="DG8" t="s">
        <v>1295</v>
      </c>
      <c r="DH8" t="s">
        <v>1296</v>
      </c>
      <c r="DI8" t="s">
        <v>2515</v>
      </c>
      <c r="DJ8" t="s">
        <v>2516</v>
      </c>
      <c r="DK8" t="s">
        <v>2517</v>
      </c>
      <c r="DL8" t="s">
        <v>2518</v>
      </c>
      <c r="DM8" t="s">
        <v>1297</v>
      </c>
      <c r="DN8" t="s">
        <v>1298</v>
      </c>
      <c r="DO8" t="s">
        <v>1299</v>
      </c>
      <c r="DP8" t="s">
        <v>1300</v>
      </c>
      <c r="DQ8" t="s">
        <v>1301</v>
      </c>
      <c r="DR8" t="s">
        <v>1302</v>
      </c>
      <c r="DS8" t="s">
        <v>1303</v>
      </c>
      <c r="DT8" t="s">
        <v>1304</v>
      </c>
      <c r="DU8" t="s">
        <v>1305</v>
      </c>
      <c r="DV8" t="s">
        <v>1306</v>
      </c>
      <c r="DW8" t="s">
        <v>1307</v>
      </c>
      <c r="DX8" t="s">
        <v>1308</v>
      </c>
      <c r="DY8" t="s">
        <v>1309</v>
      </c>
      <c r="DZ8" t="s">
        <v>1310</v>
      </c>
      <c r="EA8" t="s">
        <v>1311</v>
      </c>
      <c r="EB8" t="s">
        <v>1312</v>
      </c>
      <c r="EC8" t="s">
        <v>1313</v>
      </c>
      <c r="ED8" t="s">
        <v>1314</v>
      </c>
      <c r="EE8" t="s">
        <v>1315</v>
      </c>
      <c r="EF8" t="s">
        <v>1316</v>
      </c>
      <c r="EG8" t="s">
        <v>1317</v>
      </c>
      <c r="EH8" t="s">
        <v>1318</v>
      </c>
      <c r="EI8" t="s">
        <v>1319</v>
      </c>
      <c r="EJ8" t="s">
        <v>1320</v>
      </c>
      <c r="EK8" t="s">
        <v>1321</v>
      </c>
      <c r="EL8" t="s">
        <v>1322</v>
      </c>
      <c r="EM8" t="s">
        <v>1323</v>
      </c>
      <c r="EN8" t="s">
        <v>1324</v>
      </c>
      <c r="EO8" t="s">
        <v>1325</v>
      </c>
      <c r="EP8" t="s">
        <v>1326</v>
      </c>
      <c r="EQ8" t="s">
        <v>1327</v>
      </c>
      <c r="ER8" t="s">
        <v>1328</v>
      </c>
      <c r="ES8" t="s">
        <v>2519</v>
      </c>
      <c r="ET8" t="s">
        <v>2520</v>
      </c>
      <c r="EU8" t="s">
        <v>1329</v>
      </c>
      <c r="EV8" t="s">
        <v>2521</v>
      </c>
      <c r="EW8" t="s">
        <v>2522</v>
      </c>
      <c r="EX8" t="s">
        <v>2523</v>
      </c>
      <c r="EY8" t="s">
        <v>2524</v>
      </c>
      <c r="EZ8" t="s">
        <v>2525</v>
      </c>
      <c r="FA8" t="s">
        <v>2526</v>
      </c>
      <c r="FB8" t="s">
        <v>2527</v>
      </c>
      <c r="FC8" t="s">
        <v>2528</v>
      </c>
      <c r="FD8" t="s">
        <v>1330</v>
      </c>
      <c r="FE8" t="s">
        <v>2529</v>
      </c>
      <c r="FF8" t="s">
        <v>1331</v>
      </c>
      <c r="FG8" t="s">
        <v>2530</v>
      </c>
      <c r="FH8" t="s">
        <v>1372</v>
      </c>
      <c r="FI8" t="s">
        <v>1373</v>
      </c>
      <c r="FJ8" t="s">
        <v>1374</v>
      </c>
      <c r="FK8" t="s">
        <v>1375</v>
      </c>
      <c r="FL8" t="s">
        <v>1376</v>
      </c>
      <c r="FM8" t="s">
        <v>1377</v>
      </c>
      <c r="FN8" t="s">
        <v>1378</v>
      </c>
      <c r="FO8" t="s">
        <v>1379</v>
      </c>
      <c r="FP8" t="s">
        <v>1380</v>
      </c>
      <c r="FQ8" t="s">
        <v>1381</v>
      </c>
      <c r="FR8" t="s">
        <v>1382</v>
      </c>
      <c r="FS8" t="s">
        <v>1383</v>
      </c>
      <c r="FT8" t="s">
        <v>1384</v>
      </c>
      <c r="FU8" t="s">
        <v>1385</v>
      </c>
      <c r="FV8" t="s">
        <v>1386</v>
      </c>
      <c r="FW8" t="s">
        <v>1387</v>
      </c>
      <c r="FX8" t="s">
        <v>1388</v>
      </c>
      <c r="FY8" t="s">
        <v>1389</v>
      </c>
      <c r="FZ8" t="s">
        <v>1390</v>
      </c>
      <c r="GA8" t="s">
        <v>1391</v>
      </c>
      <c r="GB8" t="s">
        <v>1392</v>
      </c>
      <c r="GC8" t="s">
        <v>1393</v>
      </c>
      <c r="GD8" t="s">
        <v>1394</v>
      </c>
      <c r="GE8" t="s">
        <v>1395</v>
      </c>
      <c r="GF8" t="s">
        <v>1396</v>
      </c>
      <c r="GG8" t="s">
        <v>1397</v>
      </c>
      <c r="GH8" t="s">
        <v>1398</v>
      </c>
      <c r="GI8" t="s">
        <v>1399</v>
      </c>
      <c r="GJ8" t="s">
        <v>1400</v>
      </c>
      <c r="GK8" t="s">
        <v>1401</v>
      </c>
      <c r="GL8" t="s">
        <v>1402</v>
      </c>
      <c r="GM8" t="s">
        <v>1403</v>
      </c>
      <c r="GN8" t="s">
        <v>1404</v>
      </c>
      <c r="GO8" t="s">
        <v>1405</v>
      </c>
      <c r="GP8" t="s">
        <v>1406</v>
      </c>
      <c r="GQ8" t="s">
        <v>1407</v>
      </c>
      <c r="GR8" t="s">
        <v>1408</v>
      </c>
      <c r="GS8" t="s">
        <v>1409</v>
      </c>
      <c r="GT8" t="s">
        <v>1410</v>
      </c>
      <c r="GU8" t="s">
        <v>1411</v>
      </c>
      <c r="GV8" t="s">
        <v>1412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8C289-15E2-49B3-8A26-670E69D4AB29}">
  <dimension ref="A1:AU3781"/>
  <sheetViews>
    <sheetView tabSelected="1" workbookViewId="0">
      <pane xSplit="1" ySplit="8" topLeftCell="T9" activePane="bottomRight" state="frozen"/>
      <selection pane="topRight" activeCell="B1" sqref="B1"/>
      <selection pane="bottomLeft" activeCell="A9" sqref="A9"/>
      <selection pane="bottomRight" activeCell="AF1" sqref="AF1:AI1048576"/>
    </sheetView>
  </sheetViews>
  <sheetFormatPr defaultRowHeight="14.25" x14ac:dyDescent="0.45"/>
  <cols>
    <col min="1" max="1" width="19" customWidth="1"/>
    <col min="2" max="2" width="13.796875" style="14" customWidth="1"/>
    <col min="3" max="6" width="13.796875" style="13" customWidth="1"/>
    <col min="7" max="7" width="10.6640625" style="13" customWidth="1"/>
    <col min="8" max="13" width="9.06640625" style="19"/>
    <col min="14" max="19" width="9.06640625" style="14"/>
    <col min="20" max="25" width="9.06640625" style="19"/>
    <col min="26" max="31" width="9.06640625" style="14"/>
    <col min="32" max="32" width="11.6640625" style="29" bestFit="1" customWidth="1"/>
    <col min="33" max="33" width="12.9296875" style="30" bestFit="1" customWidth="1"/>
    <col min="34" max="34" width="12.9296875" style="31" bestFit="1" customWidth="1"/>
    <col min="35" max="35" width="12.73046875" style="31" customWidth="1"/>
    <col min="36" max="36" width="11" style="5" bestFit="1" customWidth="1"/>
    <col min="42" max="42" width="11" bestFit="1" customWidth="1"/>
  </cols>
  <sheetData>
    <row r="1" spans="1:47" x14ac:dyDescent="0.45">
      <c r="A1" t="s">
        <v>0</v>
      </c>
      <c r="B1" s="12">
        <v>45973</v>
      </c>
    </row>
    <row r="2" spans="1:47" x14ac:dyDescent="0.45">
      <c r="A2" t="s">
        <v>1</v>
      </c>
      <c r="B2" s="14">
        <v>5</v>
      </c>
    </row>
    <row r="3" spans="1:47" x14ac:dyDescent="0.45">
      <c r="A3" t="s">
        <v>5</v>
      </c>
      <c r="B3" s="12">
        <f>EDATE(B1,-B2*12)</f>
        <v>44147</v>
      </c>
    </row>
    <row r="4" spans="1:47" x14ac:dyDescent="0.45">
      <c r="A4" t="s">
        <v>2</v>
      </c>
      <c r="B4" s="14" t="s">
        <v>451</v>
      </c>
    </row>
    <row r="5" spans="1:47" s="1" customFormat="1" ht="42.75" x14ac:dyDescent="0.45">
      <c r="B5" s="15" t="str" cm="1">
        <f t="array" ref="B5">_xll.ciqfunctions.udf.CIQ(B6,"IQ_company_name")</f>
        <v>ConocoPhillips</v>
      </c>
      <c r="C5" s="16" t="str" cm="1">
        <f t="array" ref="C5">_xll.ciqfunctions.udf.CIQ(C6,"IQ_company_name")</f>
        <v>Exxon Mobil Corporation</v>
      </c>
      <c r="D5" s="16" t="str" cm="1">
        <f t="array" ref="D5">_xll.ciqfunctions.udf.CIQ(D6,"IQ_company_name")</f>
        <v>Chevron Corporation</v>
      </c>
      <c r="E5" s="16" t="str" cm="1">
        <f t="array" ref="E5">_xll.ciqfunctions.udf.CIQ(E6,"IQ_company_name")</f>
        <v>EOG Resources, Inc.</v>
      </c>
      <c r="F5" s="16" t="str" cm="1">
        <f t="array" ref="F5">_xll.ciqfunctions.udf.CIQ(F6,"IQ_company_name")</f>
        <v>BP p.l.c.</v>
      </c>
      <c r="G5" s="16" t="str" cm="1">
        <f t="array" ref="G5">_xll.ciqfunctions.udf.CIQ(G6,"IQ_company_name")</f>
        <v>Devon Energy Corporation</v>
      </c>
      <c r="H5" s="20" t="s">
        <v>11</v>
      </c>
      <c r="I5" s="20"/>
      <c r="J5" s="20"/>
      <c r="K5" s="20"/>
      <c r="L5" s="20"/>
      <c r="M5" s="20"/>
      <c r="N5" s="15" t="s">
        <v>12</v>
      </c>
      <c r="O5" s="15"/>
      <c r="P5" s="15"/>
      <c r="Q5" s="15"/>
      <c r="R5" s="15"/>
      <c r="S5" s="15"/>
      <c r="T5" s="20" t="s">
        <v>387</v>
      </c>
      <c r="U5" s="20"/>
      <c r="V5" s="20"/>
      <c r="W5" s="20"/>
      <c r="X5" s="20"/>
      <c r="Y5" s="20"/>
      <c r="Z5" s="15" t="s">
        <v>388</v>
      </c>
      <c r="AA5" s="15"/>
      <c r="AB5" s="15"/>
      <c r="AC5" s="15"/>
      <c r="AD5" s="15"/>
      <c r="AE5" s="15"/>
      <c r="AF5" s="32" t="s">
        <v>13</v>
      </c>
      <c r="AG5" s="33" t="s">
        <v>28</v>
      </c>
      <c r="AH5" s="34" t="s">
        <v>385</v>
      </c>
      <c r="AI5" s="34" t="s">
        <v>386</v>
      </c>
      <c r="AJ5" s="10" t="s">
        <v>390</v>
      </c>
      <c r="AP5" s="1" t="s">
        <v>391</v>
      </c>
    </row>
    <row r="6" spans="1:47" s="4" customFormat="1" x14ac:dyDescent="0.45">
      <c r="B6" s="17" t="s">
        <v>3</v>
      </c>
      <c r="C6" s="18" t="s">
        <v>7</v>
      </c>
      <c r="D6" s="18" t="s">
        <v>8</v>
      </c>
      <c r="E6" s="18" t="s">
        <v>9</v>
      </c>
      <c r="F6" s="18" t="s">
        <v>10</v>
      </c>
      <c r="G6" s="18" t="s">
        <v>389</v>
      </c>
      <c r="H6" s="21" t="str" cm="1">
        <f t="array" ref="H6:M6">B6:G6</f>
        <v>COP</v>
      </c>
      <c r="I6" s="22" t="str">
        <v>XOM</v>
      </c>
      <c r="J6" s="22" t="str">
        <v>CVX</v>
      </c>
      <c r="K6" s="22" t="str">
        <v>EOG</v>
      </c>
      <c r="L6" s="22" t="str">
        <v>BP</v>
      </c>
      <c r="M6" s="22" t="str">
        <v>DVN</v>
      </c>
      <c r="N6" s="24" t="str" cm="1">
        <f t="array" ref="N6:S6">_xlfn.ANCHORARRAY(H6)</f>
        <v>COP</v>
      </c>
      <c r="O6" s="25" t="str">
        <v>XOM</v>
      </c>
      <c r="P6" s="25" t="str">
        <v>CVX</v>
      </c>
      <c r="Q6" s="25" t="str">
        <v>EOG</v>
      </c>
      <c r="R6" s="25" t="str">
        <v>BP</v>
      </c>
      <c r="S6" s="25" t="str">
        <v>DVN</v>
      </c>
      <c r="T6" s="21" t="str" cm="1">
        <f t="array" ref="T6:Y6">_xlfn.ANCHORARRAY(N6)</f>
        <v>COP</v>
      </c>
      <c r="U6" s="22" t="str">
        <v>XOM</v>
      </c>
      <c r="V6" s="22" t="str">
        <v>CVX</v>
      </c>
      <c r="W6" s="22" t="str">
        <v>EOG</v>
      </c>
      <c r="X6" s="22" t="str">
        <v>BP</v>
      </c>
      <c r="Y6" s="22" t="str">
        <v>DVN</v>
      </c>
      <c r="Z6" s="24" t="str" cm="1">
        <f t="array" ref="Z6:AE6">_xlfn.ANCHORARRAY(T6)</f>
        <v>COP</v>
      </c>
      <c r="AA6" s="25" t="str">
        <v>XOM</v>
      </c>
      <c r="AB6" s="25" t="str">
        <v>CVX</v>
      </c>
      <c r="AC6" s="25" t="str">
        <v>EOG</v>
      </c>
      <c r="AD6" s="25" t="str">
        <v>BP</v>
      </c>
      <c r="AE6" s="25" t="str">
        <v>DVN</v>
      </c>
      <c r="AF6" s="35" t="s">
        <v>14</v>
      </c>
      <c r="AG6" s="36" t="s">
        <v>27</v>
      </c>
      <c r="AH6" s="34" t="s">
        <v>383</v>
      </c>
      <c r="AI6" s="37" t="s">
        <v>641</v>
      </c>
      <c r="AJ6" s="11" t="str" cm="1">
        <f t="array" ref="AJ6:AO6">_xlfn.ANCHORARRAY(Z6)</f>
        <v>COP</v>
      </c>
      <c r="AK6" s="4" t="str">
        <v>XOM</v>
      </c>
      <c r="AL6" s="4" t="str">
        <v>CVX</v>
      </c>
      <c r="AM6" s="4" t="str">
        <v>EOG</v>
      </c>
      <c r="AN6" s="4" t="str">
        <v>BP</v>
      </c>
      <c r="AO6" s="4" t="str">
        <v>DVN</v>
      </c>
      <c r="AP6" s="45" t="str" cm="1">
        <f t="array" ref="AP6:AU6">_xlfn.ANCHORARRAY(AJ6)</f>
        <v>COP</v>
      </c>
      <c r="AQ6" s="4" t="str">
        <v>XOM</v>
      </c>
      <c r="AR6" s="4" t="str">
        <v>CVX</v>
      </c>
      <c r="AS6" s="4" t="str">
        <v>EOG</v>
      </c>
      <c r="AT6" s="4" t="str">
        <v>BP</v>
      </c>
      <c r="AU6" s="4" t="str">
        <v>DVN</v>
      </c>
    </row>
    <row r="7" spans="1:47" x14ac:dyDescent="0.45">
      <c r="A7" s="2" t="s">
        <v>4</v>
      </c>
      <c r="B7" s="96" t="s">
        <v>6</v>
      </c>
      <c r="AF7" s="29" t="s">
        <v>15</v>
      </c>
      <c r="AG7" s="30" t="s">
        <v>15</v>
      </c>
      <c r="AH7" s="31" t="s">
        <v>15</v>
      </c>
      <c r="AI7" s="31" t="s">
        <v>15</v>
      </c>
    </row>
    <row r="8" spans="1:47" x14ac:dyDescent="0.45">
      <c r="A8" t="str">
        <f>_xll.ciqfunctions.udf.CIQRANGE($B$6,$A$7,$B$3,$B$1,,,"DESC",$B$4,$A$7)</f>
        <v>IQ_PRICEDATE</v>
      </c>
      <c r="B8" s="14" t="str">
        <f>_xll.ciqfunctions.udf.CIQRANGEV(B$6,$B$7,$B$3,$B$1,,,"DESC",$B$4,$B$7)</f>
        <v>IQ_CLOSEPRICE_ADJ</v>
      </c>
      <c r="C8" s="14" t="str">
        <f>_xll.ciqfunctions.udf.CIQRANGEV(C$6,$B$7,$B$3,$B$1,,,"DESC",$B$4,$B$7)</f>
        <v>IQ_CLOSEPRICE_ADJ</v>
      </c>
      <c r="D8" s="14" t="str">
        <f>_xll.ciqfunctions.udf.CIQRANGEV(D$6,$B$7,$B$3,$B$1,,,"DESC",$B$4,$B$7)</f>
        <v>IQ_CLOSEPRICE_ADJ</v>
      </c>
      <c r="E8" s="14" t="str">
        <f>_xll.ciqfunctions.udf.CIQRANGEV(E$6,$B$7,$B$3,$B$1,,,"DESC",$B$4,$B$7)</f>
        <v>IQ_CLOSEPRICE_ADJ</v>
      </c>
      <c r="F8" s="14" t="str">
        <f>_xll.ciqfunctions.udf.CIQRANGEV(F$6,$B$7,$B$3,$B$1,,,"DESC",$B$4,$B$7)</f>
        <v>IQ_CLOSEPRICE_ADJ</v>
      </c>
      <c r="G8" s="14" t="str">
        <f>_xll.ciqfunctions.udf.CIQRANGEV(G$6,$B$7,$B$3,$B$1,,,"DESC",$B$4,$B$7)</f>
        <v>IQ_CLOSEPRICE_ADJ</v>
      </c>
      <c r="AF8" s="29" t="str">
        <f>_xll.ciqfunctions.udf.CIQRANGEV(AF$6,$AF$7,$B$3,$B$1,,,"DESC",$B$4,$AF$7)</f>
        <v>IQ_Closeprice</v>
      </c>
      <c r="AG8" s="30" t="str">
        <f>_xll.ciqfunctions.udf.CIQRANGEV(AG$6,$AG$7,$B$3,$B$1,,,"DESC",$B$4,$AG$7)</f>
        <v>IQ_Closeprice</v>
      </c>
      <c r="AH8" s="31" t="str">
        <f>_xll.ciqfunctions.udf.CIQRANGEV(AH$6,$AH$7,$B$3,$B$1,,,"DESC",$B$4,$AG$7)</f>
        <v>IQ_Closeprice</v>
      </c>
      <c r="AI8" s="31" t="str">
        <f>_xll.ciqfunctions.udf.CIQRANGEV(AI$6,$AI$7,$B$3,$B$1,,,"DESC",$B$4,$AI$7)</f>
        <v>IQ_Closeprice</v>
      </c>
    </row>
    <row r="9" spans="1:47" x14ac:dyDescent="0.45">
      <c r="A9" s="3">
        <f>_xll.ciqfunctions.udf.CIQ("COP", "IQ_PRICEDATE", "10/31/2025")</f>
        <v>45961</v>
      </c>
      <c r="B9" s="13">
        <v>88.86</v>
      </c>
      <c r="C9" s="13">
        <v>113.36841</v>
      </c>
      <c r="D9" s="13">
        <v>157.72</v>
      </c>
      <c r="E9" s="13">
        <v>105.84</v>
      </c>
      <c r="F9" s="13">
        <v>34.654220000000002</v>
      </c>
      <c r="G9" s="13">
        <v>32.49</v>
      </c>
      <c r="H9" s="23">
        <f>[1]!thsiFinD("ths_pe_ttm_uss",B$6,$A9,100)</f>
        <v>12.413059427425001</v>
      </c>
      <c r="I9" s="23">
        <f>[1]!thsiFinD("ths_pe_ttm_uss",C$6,$A9,100)</f>
        <v>16.101060315062</v>
      </c>
      <c r="J9" s="23">
        <f>[1]!thsiFinD("ths_pe_ttm_uss",D$6,$A9,100)</f>
        <v>24.872542784997002</v>
      </c>
      <c r="K9" s="23">
        <f>[1]!thsiFinD("ths_pe_ttm_uss",E$6,$A9,100)</f>
        <v>10.384922366886</v>
      </c>
      <c r="L9" s="23">
        <f>[1]!thsiFinD("ths_pe_ttm_uss",F$6,$A9,100)</f>
        <v>60.486286777351999</v>
      </c>
      <c r="M9" s="23">
        <f>[1]!thsiFinD("ths_pe_ttm_uss",G$6,$A9,100)</f>
        <v>7.4957620448693998</v>
      </c>
      <c r="N9" s="26">
        <f>[1]!thsiFinD("ths_ev2_to_ebitda_usk",N$6,$A9)</f>
        <v>5.5016081687508001</v>
      </c>
      <c r="O9" s="26">
        <f>[1]!thsiFinD("ths_ev2_to_ebitda_usk",O$6,$A9)</f>
        <v>7.0835762657314998</v>
      </c>
      <c r="P9" s="26">
        <f>[1]!thsiFinD("ths_ev2_to_ebitda_usk",P$6,$A9)</f>
        <v>7.9742034982326002</v>
      </c>
      <c r="Q9" s="26">
        <f>[1]!thsiFinD("ths_ev2_to_ebitda_usk",Q$6,$A9)</f>
        <v>4.9416415828691003</v>
      </c>
      <c r="R9" s="26">
        <f>[1]!thsiFinD("ths_ev2_to_ebitda_usk",R$6,$A9)</f>
        <v>4.8598349175070004</v>
      </c>
      <c r="S9" s="26">
        <f>[1]!thsiFinD("ths_ev2_to_ebitda_usk",S$6,$A9)</f>
        <v>3.7508836289222001</v>
      </c>
      <c r="T9" s="27">
        <f>[1]!thsiFinD("ths_pb_mrq_usk",T$6,$A9)</f>
        <v>1.6913254731759</v>
      </c>
      <c r="U9" s="27">
        <f>[1]!thsiFinD("ths_pb_mrq_usk",U$6,$A9)</f>
        <v>1.8509103803602001</v>
      </c>
      <c r="V9" s="27">
        <f>[1]!thsiFinD("ths_pb_mrq_usk",V$6,$A9)</f>
        <v>1.6728171503760001</v>
      </c>
      <c r="W9" s="27">
        <f>[1]!thsiFinD("ths_pb_mrq_usk",W$6,$A9)</f>
        <v>1.8962727650282001</v>
      </c>
      <c r="X9" s="27">
        <f>[1]!thsiFinD("ths_pb_mrq_usk",X$6,$A9)</f>
        <v>1.5764402054807001</v>
      </c>
      <c r="Y9" s="27">
        <f>[1]!thsiFinD("ths_pb_mrq_usk",Y$6,$A9)</f>
        <v>1.3277509446254001</v>
      </c>
      <c r="Z9" s="28">
        <f>[1]!thsiFinD("ths_ps_ttm_uss",Z$6,$A9,100)</f>
        <v>1.7682113316425001</v>
      </c>
      <c r="AA9" s="28">
        <f>[1]!thsiFinD("ths_ps_ttm_uss",AA$6,$A9,100)</f>
        <v>1.4467268014286001</v>
      </c>
      <c r="AB9" s="28">
        <f>[1]!thsiFinD("ths_ps_ttm_uss",AB$6,$A9,100)</f>
        <v>1.6337385087189999</v>
      </c>
      <c r="AC9" s="28">
        <f>[1]!thsiFinD("ths_ps_ttm_uss",AC$6,$A9,100)</f>
        <v>2.5434527963540998</v>
      </c>
      <c r="AD9" s="28">
        <f>[1]!thsiFinD("ths_ps_ttm_uss",AD$6,$A9,100)</f>
        <v>0.47600084671982001</v>
      </c>
      <c r="AE9" s="28">
        <f>[1]!thsiFinD("ths_ps_ttm_uss",AE$6,$A9,100)</f>
        <v>1.1666271894677001</v>
      </c>
      <c r="AF9" s="29">
        <v>60.98</v>
      </c>
      <c r="AG9" s="30">
        <v>5.0890000000000004</v>
      </c>
      <c r="AH9" s="31">
        <v>674.73685999999998</v>
      </c>
      <c r="AI9" s="31">
        <v>13085.09786</v>
      </c>
      <c r="AJ9" s="44">
        <f>[1]!thsiFinD("ths_right_value_usk",AJ$6,$A9,"USD")/1000000</f>
        <v>109805.923695</v>
      </c>
      <c r="AK9" s="44">
        <f>[1]!thsiFinD("ths_right_value_usk",AK$6,$A9,"USD")/1000000</f>
        <v>482275.05961703998</v>
      </c>
      <c r="AL9" s="44">
        <f>[1]!thsiFinD("ths_right_value_usk",AL$6,$A9,"USD")/1000000</f>
        <v>317572.62627884001</v>
      </c>
      <c r="AM9" s="44">
        <f>[1]!thsiFinD("ths_right_value_usk",AM$6,$A9,"USD")/1000000</f>
        <v>57428.620688880001</v>
      </c>
      <c r="AN9" s="44">
        <f>[1]!thsiFinD("ths_right_value_usk",AN$6,$A9,"USD")/1000000</f>
        <v>91818.183328020008</v>
      </c>
      <c r="AO9" s="44">
        <f>[1]!thsiFinD("ths_right_value_usk",AO$6,$A9,"USD")/1000000</f>
        <v>20380.976999999999</v>
      </c>
      <c r="AP9" s="44">
        <f>[1]!thsiFinD("ths_ev2_usk",AP$6,$A9,"USD")/1000000</f>
        <v>128027.923695</v>
      </c>
      <c r="AQ9" s="44">
        <f>[1]!thsiFinD("ths_ev2_usk",AQ$6,$A9,"USD")/1000000</f>
        <v>519304.05961703998</v>
      </c>
      <c r="AR9" s="44">
        <f>[1]!thsiFinD("ths_ev2_usk",AR$6,$A9,"USD")/1000000</f>
        <v>357148.62627884001</v>
      </c>
      <c r="AS9" s="44">
        <f>[1]!thsiFinD("ths_ev2_usk",AS$6,$A9,"USD")/1000000</f>
        <v>61592.620688880001</v>
      </c>
      <c r="AT9" s="44">
        <f>[1]!thsiFinD("ths_ev2_usk",AT$6,$A9,"USD")/1000000</f>
        <v>136498.18332802001</v>
      </c>
      <c r="AU9" s="44">
        <f>[1]!thsiFinD("ths_ev2_usk",AU$6,$A9,"USD")/1000000</f>
        <v>27493.976999999999</v>
      </c>
    </row>
    <row r="10" spans="1:47" x14ac:dyDescent="0.45">
      <c r="A10" s="3">
        <f>_xll.ciqfunctions.udf.CIQ("COP", "IQ_PRICEDATE", "9/30/2025")</f>
        <v>45930</v>
      </c>
      <c r="B10" s="13">
        <v>94.59</v>
      </c>
      <c r="C10" s="13">
        <v>111.77237</v>
      </c>
      <c r="D10" s="13">
        <v>155.29</v>
      </c>
      <c r="E10" s="13">
        <v>111.05368</v>
      </c>
      <c r="F10" s="13">
        <v>33.993290000000002</v>
      </c>
      <c r="G10" s="13">
        <v>35.06</v>
      </c>
      <c r="H10" s="23">
        <f>[1]!thsiFinD("ths_pe_ttm_uss",B$6,$A10,100)</f>
        <v>13.213496412785</v>
      </c>
      <c r="I10" s="23">
        <f>[1]!thsiFinD("ths_pe_ttm_uss",C$6,$A10,100)</f>
        <v>15.874383967499</v>
      </c>
      <c r="J10" s="23">
        <f>[1]!thsiFinD("ths_pe_ttm_uss",D$6,$A10,100)</f>
        <v>24.489330263010999</v>
      </c>
      <c r="K10" s="23">
        <f>[1]!thsiFinD("ths_pe_ttm_uss",E$6,$A10,100)</f>
        <v>11.025176410662</v>
      </c>
      <c r="L10" s="23">
        <f>[1]!thsiFinD("ths_pe_ttm_uss",F$6,$A10,100)</f>
        <v>59.656110716261999</v>
      </c>
      <c r="M10" s="23">
        <f>[1]!thsiFinD("ths_pe_ttm_uss",G$6,$A10,100)</f>
        <v>8.1106068407503003</v>
      </c>
      <c r="N10" s="26">
        <f>[1]!thsiFinD("ths_ev2_to_ebitda_usk",N$6,$A10)</f>
        <v>5.8058781001030999</v>
      </c>
      <c r="O10" s="26">
        <f>[1]!thsiFinD("ths_ev2_to_ebitda_usk",O$6,$A10)</f>
        <v>6.9909621063482996</v>
      </c>
      <c r="P10" s="26">
        <f>[1]!thsiFinD("ths_ev2_to_ebitda_usk",P$6,$A10)</f>
        <v>7.8649586674584997</v>
      </c>
      <c r="Q10" s="26">
        <f>[1]!thsiFinD("ths_ev2_to_ebitda_usk",Q$6,$A10)</f>
        <v>5.2257080833569001</v>
      </c>
      <c r="R10" s="26">
        <f>[1]!thsiFinD("ths_ev2_to_ebitda_usk",R$6,$A10)</f>
        <v>4.8149669265953996</v>
      </c>
      <c r="S10" s="26">
        <f>[1]!thsiFinD("ths_ev2_to_ebitda_usk",S$6,$A10)</f>
        <v>3.9789549795362</v>
      </c>
      <c r="T10" s="27">
        <f>[1]!thsiFinD("ths_pb_mrq_usk",T$6,$A10)</f>
        <v>1.8003879868074</v>
      </c>
      <c r="U10" s="27">
        <f>[1]!thsiFinD("ths_pb_mrq_usk",U$6,$A10)</f>
        <v>1.8248526179225</v>
      </c>
      <c r="V10" s="27">
        <f>[1]!thsiFinD("ths_pb_mrq_usk",V$6,$A10)</f>
        <v>1.6470439721145</v>
      </c>
      <c r="W10" s="27">
        <f>[1]!thsiFinD("ths_pb_mrq_usk",W$6,$A10)</f>
        <v>2.0131822866421998</v>
      </c>
      <c r="X10" s="27">
        <f>[1]!thsiFinD("ths_pb_mrq_usk",X$6,$A10)</f>
        <v>1.5548035173973001</v>
      </c>
      <c r="Y10" s="27">
        <f>[1]!thsiFinD("ths_pb_mrq_usk",Y$6,$A10)</f>
        <v>1.4366605863191999</v>
      </c>
      <c r="Z10" s="28">
        <f>[1]!thsiFinD("ths_ps_ttm_uss",Z$6,$A10,100)</f>
        <v>1.8822317112319</v>
      </c>
      <c r="AA10" s="28">
        <f>[1]!thsiFinD("ths_ps_ttm_uss",AA$6,$A10,100)</f>
        <v>1.4263592765047</v>
      </c>
      <c r="AB10" s="28">
        <f>[1]!thsiFinD("ths_ps_ttm_uss",AB$6,$A10,100)</f>
        <v>1.6085674170616999</v>
      </c>
      <c r="AC10" s="28">
        <f>[1]!thsiFinD("ths_ps_ttm_uss",AC$6,$A10,100)</f>
        <v>2.7002624363772001</v>
      </c>
      <c r="AD10" s="28">
        <f>[1]!thsiFinD("ths_ps_ttm_uss",AD$6,$A10,100)</f>
        <v>0.46946772112955998</v>
      </c>
      <c r="AE10" s="28">
        <f>[1]!thsiFinD("ths_ps_ttm_uss",AE$6,$A10,100)</f>
        <v>1.2623205495134999</v>
      </c>
      <c r="AF10" s="29">
        <v>61.96</v>
      </c>
      <c r="AG10" s="30">
        <v>4.8564999999999996</v>
      </c>
      <c r="AH10" s="31">
        <v>682.82225000000005</v>
      </c>
      <c r="AI10" s="31">
        <v>12788.46291</v>
      </c>
      <c r="AJ10" s="44">
        <f>[1]!thsiFinD("ths_right_value_usk",AJ$6,$A10,"USD")/1000000</f>
        <v>116886.58926750001</v>
      </c>
      <c r="AK10" s="44">
        <f>[1]!thsiFinD("ths_right_value_usk",AK$6,$A10,"USD")/1000000</f>
        <v>475485.42297850002</v>
      </c>
      <c r="AL10" s="44">
        <f>[1]!thsiFinD("ths_right_value_usk",AL$6,$A10,"USD")/1000000</f>
        <v>312679.76879812998</v>
      </c>
      <c r="AM10" s="44">
        <f>[1]!thsiFinD("ths_right_value_usk",AM$6,$A10,"USD")/1000000</f>
        <v>60969.22555096</v>
      </c>
      <c r="AN10" s="44">
        <f>[1]!thsiFinD("ths_right_value_usk",AN$6,$A10,"USD")/1000000</f>
        <v>90557.976067285999</v>
      </c>
      <c r="AO10" s="44">
        <f>[1]!thsiFinD("ths_right_value_usk",AO$6,$A10,"USD")/1000000</f>
        <v>22052.74</v>
      </c>
      <c r="AP10" s="44">
        <f>[1]!thsiFinD("ths_ev2_usk",AP$6,$A10,"USD")/1000000</f>
        <v>135108.58926750001</v>
      </c>
      <c r="AQ10" s="44">
        <f>[1]!thsiFinD("ths_ev2_usk",AQ$6,$A10,"USD")/1000000</f>
        <v>512514.42297850002</v>
      </c>
      <c r="AR10" s="44">
        <f>[1]!thsiFinD("ths_ev2_usk",AR$6,$A10,"USD")/1000000</f>
        <v>352255.76879812998</v>
      </c>
      <c r="AS10" s="44">
        <f>[1]!thsiFinD("ths_ev2_usk",AS$6,$A10,"USD")/1000000</f>
        <v>65133.22555096</v>
      </c>
      <c r="AT10" s="44">
        <f>[1]!thsiFinD("ths_ev2_usk",AT$6,$A10,"USD")/1000000</f>
        <v>135237.97606729</v>
      </c>
      <c r="AU10" s="44">
        <f>[1]!thsiFinD("ths_ev2_usk",AU$6,$A10,"USD")/1000000</f>
        <v>29165.74</v>
      </c>
    </row>
    <row r="11" spans="1:47" x14ac:dyDescent="0.45">
      <c r="A11" s="3">
        <f>_xll.ciqfunctions.udf.CIQ("COP", "IQ_PRICEDATE", "8/29/2025")</f>
        <v>45898</v>
      </c>
      <c r="B11" s="13">
        <v>98.97</v>
      </c>
      <c r="C11" s="13">
        <v>113.29902</v>
      </c>
      <c r="D11" s="13">
        <v>160.6</v>
      </c>
      <c r="E11" s="13">
        <v>123.63290000000001</v>
      </c>
      <c r="F11" s="13">
        <v>34.752870000000001</v>
      </c>
      <c r="G11" s="13">
        <v>35.850819999999999</v>
      </c>
      <c r="H11" s="23">
        <f>[1]!thsiFinD("ths_pe_ttm_uss",B$6,$A11,100)</f>
        <v>13.457574362512</v>
      </c>
      <c r="I11" s="23">
        <f>[1]!thsiFinD("ths_pe_ttm_uss",C$6,$A11,100)</f>
        <v>15.710027471548999</v>
      </c>
      <c r="J11" s="23">
        <f>[1]!thsiFinD("ths_pe_ttm_uss",D$6,$A11,100)</f>
        <v>20.232958179177999</v>
      </c>
      <c r="K11" s="23">
        <f>[1]!thsiFinD("ths_pe_ttm_uss",E$6,$A11,100)</f>
        <v>11.889549578702001</v>
      </c>
      <c r="L11" s="23">
        <f>[1]!thsiFinD("ths_pe_ttm_uss",F$6,$A11,100)</f>
        <v>164.9247987821</v>
      </c>
      <c r="M11" s="23">
        <f>[1]!thsiFinD("ths_pe_ttm_uss",G$6,$A11,100)</f>
        <v>8.0577637130802007</v>
      </c>
      <c r="N11" s="26">
        <f>[1]!thsiFinD("ths_ev2_to_ebitda_usk",N$6,$A11)</f>
        <v>6.1121490490168</v>
      </c>
      <c r="O11" s="26">
        <f>[1]!thsiFinD("ths_ev2_to_ebitda_usk",O$6,$A11)</f>
        <v>7.0828729935492998</v>
      </c>
      <c r="P11" s="26">
        <f>[1]!thsiFinD("ths_ev2_to_ebitda_usk",P$6,$A11)</f>
        <v>6.7822241311422999</v>
      </c>
      <c r="Q11" s="26">
        <f>[1]!thsiFinD("ths_ev2_to_ebitda_usk",Q$6,$A11)</f>
        <v>5.3891927298716</v>
      </c>
      <c r="R11" s="26">
        <f>[1]!thsiFinD("ths_ev2_to_ebitda_usk",R$6,$A11)</f>
        <v>4.9372187031125003</v>
      </c>
      <c r="S11" s="26">
        <f>[1]!thsiFinD("ths_ev2_to_ebitda_usk",S$6,$A11)</f>
        <v>4.1292332878581002</v>
      </c>
      <c r="T11" s="27">
        <f>[1]!thsiFinD("ths_pb_mrq_usk",T$6,$A11)</f>
        <v>1.8850701598193</v>
      </c>
      <c r="U11" s="27">
        <f>[1]!thsiFinD("ths_pb_mrq_usk",U$6,$A11)</f>
        <v>1.8555197664450001</v>
      </c>
      <c r="V11" s="27">
        <f>[1]!thsiFinD("ths_pb_mrq_usk",V$6,$A11)</f>
        <v>1.8953759084369</v>
      </c>
      <c r="W11" s="27">
        <f>[1]!thsiFinD("ths_pb_mrq_usk",W$6,$A11)</f>
        <v>2.3309015043820001</v>
      </c>
      <c r="X11" s="27">
        <f>[1]!thsiFinD("ths_pb_mrq_usk",X$6,$A11)</f>
        <v>1.5673980708021999</v>
      </c>
      <c r="Y11" s="27">
        <f>[1]!thsiFinD("ths_pb_mrq_usk",Y$6,$A11)</f>
        <v>1.5216653386454</v>
      </c>
      <c r="Z11" s="28">
        <f>[1]!thsiFinD("ths_ps_ttm_uss",Z$6,$A11,100)</f>
        <v>2.0539001781208999</v>
      </c>
      <c r="AA11" s="28">
        <f>[1]!thsiFinD("ths_ps_ttm_uss",AA$6,$A11,100)</f>
        <v>1.4412251079044001</v>
      </c>
      <c r="AB11" s="28">
        <f>[1]!thsiFinD("ths_ps_ttm_uss",AB$6,$A11,100)</f>
        <v>1.4207726242945999</v>
      </c>
      <c r="AC11" s="28">
        <f>[1]!thsiFinD("ths_ps_ttm_uss",AC$6,$A11,100)</f>
        <v>3.0026390353404002</v>
      </c>
      <c r="AD11" s="28">
        <f>[1]!thsiFinD("ths_ps_ttm_uss",AD$6,$A11,100)</f>
        <v>0.48367059103697002</v>
      </c>
      <c r="AE11" s="28">
        <f>[1]!thsiFinD("ths_ps_ttm_uss",AE$6,$A11,100)</f>
        <v>1.3352141234049999</v>
      </c>
      <c r="AF11" s="29">
        <v>64.010000000000005</v>
      </c>
      <c r="AG11" s="30">
        <v>4.5185000000000004</v>
      </c>
      <c r="AH11" s="31">
        <v>686.39365999999995</v>
      </c>
      <c r="AI11" s="31">
        <v>12342.32646</v>
      </c>
      <c r="AJ11" s="44">
        <f>[1]!thsiFinD("ths_right_value_usk",AJ$6,$A11,"USD")/1000000</f>
        <v>123607.82051967</v>
      </c>
      <c r="AK11" s="44">
        <f>[1]!thsiFinD("ths_right_value_usk",AK$6,$A11,"USD")/1000000</f>
        <v>487246.50203009002</v>
      </c>
      <c r="AL11" s="44">
        <f>[1]!thsiFinD("ths_right_value_usk",AL$6,$A11,"USD")/1000000</f>
        <v>277515.25438559998</v>
      </c>
      <c r="AM11" s="44">
        <f>[1]!thsiFinD("ths_right_value_usk",AM$6,$A11,"USD")/1000000</f>
        <v>68150.898185120008</v>
      </c>
      <c r="AN11" s="44">
        <f>[1]!thsiFinD("ths_right_value_usk",AN$6,$A11,"USD")/1000000</f>
        <v>92852.661714322006</v>
      </c>
      <c r="AO11" s="44">
        <f>[1]!thsiFinD("ths_right_value_usk",AO$6,$A11,"USD")/1000000</f>
        <v>22916.28</v>
      </c>
      <c r="AP11" s="44">
        <f>[1]!thsiFinD("ths_ev2_usk",AP$6,$A11,"USD")/1000000</f>
        <v>142235.82051967</v>
      </c>
      <c r="AQ11" s="44">
        <f>[1]!thsiFinD("ths_ev2_usk",AQ$6,$A11,"USD")/1000000</f>
        <v>519252.50203009002</v>
      </c>
      <c r="AR11" s="44">
        <f>[1]!thsiFinD("ths_ev2_usk",AR$6,$A11,"USD")/1000000</f>
        <v>303762.25438559998</v>
      </c>
      <c r="AS11" s="44">
        <f>[1]!thsiFinD("ths_ev2_usk",AS$6,$A11,"USD")/1000000</f>
        <v>67170.898185120008</v>
      </c>
      <c r="AT11" s="44">
        <f>[1]!thsiFinD("ths_ev2_usk",AT$6,$A11,"USD")/1000000</f>
        <v>138671.66171432001</v>
      </c>
      <c r="AU11" s="44">
        <f>[1]!thsiFinD("ths_ev2_usk",AU$6,$A11,"USD")/1000000</f>
        <v>30267.279999999999</v>
      </c>
    </row>
    <row r="12" spans="1:47" x14ac:dyDescent="0.45">
      <c r="A12" s="3">
        <f>_xll.ciqfunctions.udf.CIQ("COP", "IQ_PRICEDATE", "7/31/2025")</f>
        <v>45869</v>
      </c>
      <c r="B12" s="13">
        <v>94.559920000000005</v>
      </c>
      <c r="C12" s="13">
        <v>109.65165</v>
      </c>
      <c r="D12" s="13">
        <v>149.97051999999999</v>
      </c>
      <c r="E12" s="13">
        <v>118.87855</v>
      </c>
      <c r="F12" s="13">
        <v>31.262119999999999</v>
      </c>
      <c r="G12" s="13">
        <v>32.990699999999997</v>
      </c>
      <c r="H12" s="23">
        <f>[1]!thsiFinD("ths_pe_ttm_uss",B$6,$A12,100)</f>
        <v>12.963980395289999</v>
      </c>
      <c r="I12" s="23">
        <f>[1]!thsiFinD("ths_pe_ttm_uss",C$6,$A12,100)</f>
        <v>15.3457648694</v>
      </c>
      <c r="J12" s="23">
        <f>[1]!thsiFinD("ths_pe_ttm_uss",D$6,$A12,100)</f>
        <v>19.104145568433999</v>
      </c>
      <c r="K12" s="23">
        <f>[1]!thsiFinD("ths_pe_ttm_uss",E$6,$A12,100)</f>
        <v>11.432332482261</v>
      </c>
      <c r="L12" s="23">
        <f>[1]!thsiFinD("ths_pe_ttm_uss",F$6,$A12,100)</f>
        <v>150.50616749488</v>
      </c>
      <c r="M12" s="23">
        <f>[1]!thsiFinD("ths_pe_ttm_uss",G$6,$A12,100)</f>
        <v>7.4149282700421999</v>
      </c>
      <c r="N12" s="26">
        <f>[1]!thsiFinD("ths_ev2_to_ebitda_usk",N$6,$A12)</f>
        <v>5.9173288612753998</v>
      </c>
      <c r="O12" s="26">
        <f>[1]!thsiFinD("ths_ev2_to_ebitda_usk",O$6,$A12)</f>
        <v>6.9287678168957001</v>
      </c>
      <c r="P12" s="26">
        <f>[1]!thsiFinD("ths_ev2_to_ebitda_usk",P$6,$A12)</f>
        <v>6.4365334602267996</v>
      </c>
      <c r="Q12" s="26">
        <f>[1]!thsiFinD("ths_ev2_to_ebitda_usk",Q$6,$A12)</f>
        <v>5.1789256890501001</v>
      </c>
      <c r="R12" s="26">
        <f>[1]!thsiFinD("ths_ev2_to_ebitda_usk",R$6,$A12)</f>
        <v>4.6481992487491004</v>
      </c>
      <c r="S12" s="26">
        <f>[1]!thsiFinD("ths_ev2_to_ebitda_usk",S$6,$A12)</f>
        <v>3.8798166439291002</v>
      </c>
      <c r="T12" s="27">
        <f>[1]!thsiFinD("ths_pb_mrq_usk",T$6,$A12)</f>
        <v>1.8159299690529001</v>
      </c>
      <c r="U12" s="27">
        <f>[1]!thsiFinD("ths_pb_mrq_usk",U$6,$A12)</f>
        <v>1.8124965152325001</v>
      </c>
      <c r="V12" s="27">
        <f>[1]!thsiFinD("ths_pb_mrq_usk",V$6,$A12)</f>
        <v>1.789631399473</v>
      </c>
      <c r="W12" s="27">
        <f>[1]!thsiFinD("ths_pb_mrq_usk",W$6,$A12)</f>
        <v>2.2412658112154999</v>
      </c>
      <c r="X12" s="27">
        <f>[1]!thsiFinD("ths_pb_mrq_usk",X$6,$A12)</f>
        <v>1.4303675270023</v>
      </c>
      <c r="Y12" s="27">
        <f>[1]!thsiFinD("ths_pb_mrq_usk",Y$6,$A12)</f>
        <v>1.4002693227092</v>
      </c>
      <c r="Z12" s="28">
        <f>[1]!thsiFinD("ths_ps_ttm_uss",Z$6,$A12,100)</f>
        <v>1.9785676768924001</v>
      </c>
      <c r="AA12" s="28">
        <f>[1]!thsiFinD("ths_ps_ttm_uss",AA$6,$A12,100)</f>
        <v>1.4078079538581001</v>
      </c>
      <c r="AB12" s="28">
        <f>[1]!thsiFinD("ths_ps_ttm_uss",AB$6,$A12,100)</f>
        <v>1.3415066049068001</v>
      </c>
      <c r="AC12" s="28">
        <f>[1]!thsiFinD("ths_ps_ttm_uss",AC$6,$A12,100)</f>
        <v>2.8871714230215</v>
      </c>
      <c r="AD12" s="28">
        <f>[1]!thsiFinD("ths_ps_ttm_uss",AD$6,$A12,100)</f>
        <v>0.44138545279133001</v>
      </c>
      <c r="AE12" s="28">
        <f>[1]!thsiFinD("ths_ps_ttm_uss",AE$6,$A12,100)</f>
        <v>1.2286928858591</v>
      </c>
      <c r="AF12" s="29">
        <v>69.260000000000005</v>
      </c>
      <c r="AG12" s="30">
        <v>4.3544999999999998</v>
      </c>
      <c r="AH12" s="31">
        <v>666.90745000000004</v>
      </c>
      <c r="AI12" s="31">
        <v>12101.39049</v>
      </c>
      <c r="AJ12" s="44">
        <f>[1]!thsiFinD("ths_right_value_usk",AJ$6,$A12,"USD")/1000000</f>
        <v>119074.15993074</v>
      </c>
      <c r="AK12" s="44">
        <f>[1]!thsiFinD("ths_right_value_usk",AK$6,$A12,"USD")/1000000</f>
        <v>475948.89742444002</v>
      </c>
      <c r="AL12" s="44">
        <f>[1]!thsiFinD("ths_right_value_usk",AL$6,$A12,"USD")/1000000</f>
        <v>262032.46061664002</v>
      </c>
      <c r="AM12" s="44">
        <f>[1]!thsiFinD("ths_right_value_usk",AM$6,$A12,"USD")/1000000</f>
        <v>65530.129788320002</v>
      </c>
      <c r="AN12" s="44">
        <f>[1]!thsiFinD("ths_right_value_usk",AN$6,$A12,"USD")/1000000</f>
        <v>84734.972299615998</v>
      </c>
      <c r="AO12" s="44">
        <f>[1]!thsiFinD("ths_right_value_usk",AO$6,$A12,"USD")/1000000</f>
        <v>21088.056</v>
      </c>
      <c r="AP12" s="44">
        <f>[1]!thsiFinD("ths_ev2_usk",AP$6,$A12,"USD")/1000000</f>
        <v>137702.15993073999</v>
      </c>
      <c r="AQ12" s="44">
        <f>[1]!thsiFinD("ths_ev2_usk",AQ$6,$A12,"USD")/1000000</f>
        <v>507954.89742444002</v>
      </c>
      <c r="AR12" s="44">
        <f>[1]!thsiFinD("ths_ev2_usk",AR$6,$A12,"USD")/1000000</f>
        <v>288279.46061663999</v>
      </c>
      <c r="AS12" s="44">
        <f>[1]!thsiFinD("ths_ev2_usk",AS$6,$A12,"USD")/1000000</f>
        <v>64550.129788320002</v>
      </c>
      <c r="AT12" s="44">
        <f>[1]!thsiFinD("ths_ev2_usk",AT$6,$A12,"USD")/1000000</f>
        <v>130553.97229962</v>
      </c>
      <c r="AU12" s="44">
        <f>[1]!thsiFinD("ths_ev2_usk",AU$6,$A12,"USD")/1000000</f>
        <v>28439.056</v>
      </c>
    </row>
    <row r="13" spans="1:47" x14ac:dyDescent="0.45">
      <c r="A13" s="3">
        <f>_xll.ciqfunctions.udf.CIQ("COP", "IQ_PRICEDATE", "6/30/2025")</f>
        <v>45838</v>
      </c>
      <c r="B13" s="13">
        <v>89.005740000000003</v>
      </c>
      <c r="C13" s="13">
        <v>105.88003999999999</v>
      </c>
      <c r="D13" s="13">
        <v>141.61355</v>
      </c>
      <c r="E13" s="13">
        <v>117.50014</v>
      </c>
      <c r="F13" s="13">
        <v>29.10342</v>
      </c>
      <c r="G13" s="13">
        <v>31.590430000000001</v>
      </c>
      <c r="H13" s="23">
        <f>[1]!thsiFinD("ths_pe_ttm_uss",B$6,$A13,100)</f>
        <v>12.202513118034</v>
      </c>
      <c r="I13" s="23">
        <f>[1]!thsiFinD("ths_pe_ttm_uss",C$6,$A13,100)</f>
        <v>14.817927740248001</v>
      </c>
      <c r="J13" s="23">
        <f>[1]!thsiFinD("ths_pe_ttm_uss",D$6,$A13,100)</f>
        <v>18.039584568346001</v>
      </c>
      <c r="K13" s="23">
        <f>[1]!thsiFinD("ths_pe_ttm_uss",E$6,$A13,100)</f>
        <v>11.39320692705</v>
      </c>
      <c r="L13" s="23">
        <f>[1]!thsiFinD("ths_pe_ttm_uss",F$6,$A13,100)</f>
        <v>140.88482946251</v>
      </c>
      <c r="M13" s="23">
        <f>[1]!thsiFinD("ths_pe_ttm_uss",G$6,$A13,100)</f>
        <v>7.1136286919831004</v>
      </c>
      <c r="N13" s="26">
        <f>[1]!thsiFinD("ths_ev2_to_ebitda_usk",N$6,$A13)</f>
        <v>5.6167798113162002</v>
      </c>
      <c r="O13" s="26">
        <f>[1]!thsiFinD("ths_ev2_to_ebitda_usk",O$6,$A13)</f>
        <v>6.7054606929901004</v>
      </c>
      <c r="P13" s="26">
        <f>[1]!thsiFinD("ths_ev2_to_ebitda_usk",P$6,$A13)</f>
        <v>6.1105193788390002</v>
      </c>
      <c r="Q13" s="26">
        <f>[1]!thsiFinD("ths_ev2_to_ebitda_usk",Q$6,$A13)</f>
        <v>5.1609324539352999</v>
      </c>
      <c r="R13" s="26">
        <f>[1]!thsiFinD("ths_ev2_to_ebitda_usk",R$6,$A13)</f>
        <v>4.4553408689926002</v>
      </c>
      <c r="S13" s="26">
        <f>[1]!thsiFinD("ths_ev2_to_ebitda_usk",S$6,$A13)</f>
        <v>3.7629140518417001</v>
      </c>
      <c r="T13" s="27">
        <f>[1]!thsiFinD("ths_pb_mrq_usk",T$6,$A13)</f>
        <v>1.7092674158046</v>
      </c>
      <c r="U13" s="27">
        <f>[1]!thsiFinD("ths_pb_mrq_usk",U$6,$A13)</f>
        <v>1.7501533889472001</v>
      </c>
      <c r="V13" s="27">
        <f>[1]!thsiFinD("ths_pb_mrq_usk",V$6,$A13)</f>
        <v>1.6899058301934999</v>
      </c>
      <c r="W13" s="27">
        <f>[1]!thsiFinD("ths_pb_mrq_usk",W$6,$A13)</f>
        <v>2.2335953931817998</v>
      </c>
      <c r="X13" s="27">
        <f>[1]!thsiFinD("ths_pb_mrq_usk",X$6,$A13)</f>
        <v>1.3389290848649</v>
      </c>
      <c r="Y13" s="27">
        <f>[1]!thsiFinD("ths_pb_mrq_usk",Y$6,$A13)</f>
        <v>1.3433705179283</v>
      </c>
      <c r="Z13" s="28">
        <f>[1]!thsiFinD("ths_ps_ttm_uss",Z$6,$A13,100)</f>
        <v>1.8623522480001</v>
      </c>
      <c r="AA13" s="28">
        <f>[1]!thsiFinD("ths_ps_ttm_uss",AA$6,$A13,100)</f>
        <v>1.3593846061081001</v>
      </c>
      <c r="AB13" s="28">
        <f>[1]!thsiFinD("ths_ps_ttm_uss",AB$6,$A13,100)</f>
        <v>1.2667523790333</v>
      </c>
      <c r="AC13" s="28">
        <f>[1]!thsiFinD("ths_ps_ttm_uss",AC$6,$A13,100)</f>
        <v>2.8772904835815001</v>
      </c>
      <c r="AD13" s="28">
        <f>[1]!thsiFinD("ths_ps_ttm_uss",AD$6,$A13,100)</f>
        <v>0.41316920946683</v>
      </c>
      <c r="AE13" s="28">
        <f>[1]!thsiFinD("ths_ps_ttm_uss",AE$6,$A13,100)</f>
        <v>1.1787659500087</v>
      </c>
      <c r="AF13" s="29">
        <v>65.11</v>
      </c>
      <c r="AG13" s="30">
        <v>5.0824999999999996</v>
      </c>
      <c r="AH13" s="31">
        <v>648.68124</v>
      </c>
      <c r="AI13" s="31">
        <v>11838.45795</v>
      </c>
      <c r="AJ13" s="44">
        <f>[1]!thsiFinD("ths_right_value_usk",AJ$6,$A13,"USD")/1000000</f>
        <v>112080.08298914001</v>
      </c>
      <c r="AK13" s="44">
        <f>[1]!thsiFinD("ths_right_value_usk",AK$6,$A13,"USD")/1000000</f>
        <v>459578.02886379999</v>
      </c>
      <c r="AL13" s="44">
        <f>[1]!thsiFinD("ths_right_value_usk",AL$6,$A13,"USD")/1000000</f>
        <v>247430.94193944</v>
      </c>
      <c r="AM13" s="44">
        <f>[1]!thsiFinD("ths_right_value_usk",AM$6,$A13,"USD")/1000000</f>
        <v>65305.862105849999</v>
      </c>
      <c r="AN13" s="44">
        <f>[1]!thsiFinD("ths_right_value_usk",AN$6,$A13,"USD")/1000000</f>
        <v>79318.158987395</v>
      </c>
      <c r="AO13" s="44">
        <f>[1]!thsiFinD("ths_right_value_usk",AO$6,$A13,"USD")/1000000</f>
        <v>20231.16</v>
      </c>
      <c r="AP13" s="44">
        <f>[1]!thsiFinD("ths_ev2_usk",AP$6,$A13,"USD")/1000000</f>
        <v>130708.08298914001</v>
      </c>
      <c r="AQ13" s="44">
        <f>[1]!thsiFinD("ths_ev2_usk",AQ$6,$A13,"USD")/1000000</f>
        <v>491584.02886379999</v>
      </c>
      <c r="AR13" s="44">
        <f>[1]!thsiFinD("ths_ev2_usk",AR$6,$A13,"USD")/1000000</f>
        <v>273677.94193943997</v>
      </c>
      <c r="AS13" s="44">
        <f>[1]!thsiFinD("ths_ev2_usk",AS$6,$A13,"USD")/1000000</f>
        <v>64325.862105849999</v>
      </c>
      <c r="AT13" s="44">
        <f>[1]!thsiFinD("ths_ev2_usk",AT$6,$A13,"USD")/1000000</f>
        <v>125137.15898739999</v>
      </c>
      <c r="AU13" s="44">
        <f>[1]!thsiFinD("ths_ev2_usk",AU$6,$A13,"USD")/1000000</f>
        <v>27582.16</v>
      </c>
    </row>
    <row r="14" spans="1:47" x14ac:dyDescent="0.45">
      <c r="A14" s="3">
        <f>_xll.ciqfunctions.udf.CIQ("COP", "IQ_PRICEDATE", "5/30/2025")</f>
        <v>45807</v>
      </c>
      <c r="B14" s="13">
        <v>84.651660000000007</v>
      </c>
      <c r="C14" s="13">
        <v>100.47799000000001</v>
      </c>
      <c r="D14" s="13">
        <v>135.19499999999999</v>
      </c>
      <c r="E14" s="13">
        <v>106.65488000000001</v>
      </c>
      <c r="F14" s="13">
        <v>28.29635</v>
      </c>
      <c r="G14" s="13">
        <v>29.84104</v>
      </c>
      <c r="H14" s="23">
        <f>[1]!thsiFinD("ths_pe_ttm_uss",B$6,$A14,100)</f>
        <v>11.290652385948</v>
      </c>
      <c r="I14" s="23">
        <f>[1]!thsiFinD("ths_pe_ttm_uss",C$6,$A14,100)</f>
        <v>13.290207439433001</v>
      </c>
      <c r="J14" s="23">
        <f>[1]!thsiFinD("ths_pe_ttm_uss",D$6,$A14,100)</f>
        <v>15.244702861654</v>
      </c>
      <c r="K14" s="23">
        <f>[1]!thsiFinD("ths_pe_ttm_uss",E$6,$A14,100)</f>
        <v>9.7508796570183005</v>
      </c>
      <c r="L14" s="23">
        <f>[1]!thsiFinD("ths_pe_ttm_uss",F$6,$A14,100)</f>
        <v>-64.707794754603</v>
      </c>
      <c r="M14" s="23">
        <f>[1]!thsiFinD("ths_pe_ttm_uss",G$6,$A14,100)</f>
        <v>6.9666353531732002</v>
      </c>
      <c r="N14" s="26">
        <f>[1]!thsiFinD("ths_ev2_to_ebitda_usk",N$6,$A14)</f>
        <v>5.3810191104421996</v>
      </c>
      <c r="O14" s="26">
        <f>[1]!thsiFinD("ths_ev2_to_ebitda_usk",O$6,$A14)</f>
        <v>6.3902695555687004</v>
      </c>
      <c r="P14" s="26">
        <f>[1]!thsiFinD("ths_ev2_to_ebitda_usk",P$6,$A14)</f>
        <v>5.9080791018465</v>
      </c>
      <c r="Q14" s="26">
        <f>[1]!thsiFinD("ths_ev2_to_ebitda_usk",Q$6,$A14)</f>
        <v>4.6053510651235996</v>
      </c>
      <c r="R14" s="26">
        <f>[1]!thsiFinD("ths_ev2_to_ebitda_usk",R$6,$A14)</f>
        <v>4.3413256927315</v>
      </c>
      <c r="S14" s="26">
        <f>[1]!thsiFinD("ths_ev2_to_ebitda_usk",S$6,$A14)</f>
        <v>3.7249585266029999</v>
      </c>
      <c r="T14" s="27">
        <f>[1]!thsiFinD("ths_pb_mrq_usk",T$6,$A14)</f>
        <v>1.6515940972915</v>
      </c>
      <c r="U14" s="27">
        <f>[1]!thsiFinD("ths_pb_mrq_usk",U$6,$A14)</f>
        <v>1.6781213892672999</v>
      </c>
      <c r="V14" s="27">
        <f>[1]!thsiFinD("ths_pb_mrq_usk",V$6,$A14)</f>
        <v>1.5996090081578</v>
      </c>
      <c r="W14" s="27">
        <f>[1]!thsiFinD("ths_pb_mrq_usk",W$6,$A14)</f>
        <v>2.0075923457006</v>
      </c>
      <c r="X14" s="27">
        <f>[1]!thsiFinD("ths_pb_mrq_usk",X$6,$A14)</f>
        <v>1.3282799060679999</v>
      </c>
      <c r="Y14" s="27">
        <f>[1]!thsiFinD("ths_pb_mrq_usk",Y$6,$A14)</f>
        <v>1.3358505328292001</v>
      </c>
      <c r="Z14" s="28">
        <f>[1]!thsiFinD("ths_ps_ttm_uss",Z$6,$A14,100)</f>
        <v>1.8084980314729999</v>
      </c>
      <c r="AA14" s="28">
        <f>[1]!thsiFinD("ths_ps_ttm_uss",AA$6,$A14,100)</f>
        <v>1.2609716827644</v>
      </c>
      <c r="AB14" s="28">
        <f>[1]!thsiFinD("ths_ps_ttm_uss",AB$6,$A14,100)</f>
        <v>1.1836817965227999</v>
      </c>
      <c r="AC14" s="28">
        <f>[1]!thsiFinD("ths_ps_ttm_uss",AC$6,$A14,100)</f>
        <v>2.5493071620933998</v>
      </c>
      <c r="AD14" s="28">
        <f>[1]!thsiFinD("ths_ps_ttm_uss",AD$6,$A14,100)</f>
        <v>0.40159240673364999</v>
      </c>
      <c r="AE14" s="28">
        <f>[1]!thsiFinD("ths_ps_ttm_uss",AE$6,$A14,100)</f>
        <v>1.1568198380567001</v>
      </c>
      <c r="AF14" s="29">
        <v>60.79</v>
      </c>
      <c r="AG14" s="30">
        <v>4.6775000000000002</v>
      </c>
      <c r="AH14" s="31">
        <v>619.34031000000004</v>
      </c>
      <c r="AI14" s="31">
        <v>11269.579449999999</v>
      </c>
      <c r="AJ14" s="44">
        <f>[1]!thsiFinD("ths_right_value_usk",AJ$6,$A14,"USD")/1000000</f>
        <v>107746.69571910001</v>
      </c>
      <c r="AK14" s="44">
        <f>[1]!thsiFinD("ths_right_value_usk",AK$6,$A14,"USD")/1000000</f>
        <v>440876.05138829997</v>
      </c>
      <c r="AL14" s="44">
        <f>[1]!thsiFinD("ths_right_value_usk",AL$6,$A14,"USD")/1000000</f>
        <v>238732.0468135</v>
      </c>
      <c r="AM14" s="44">
        <f>[1]!thsiFinD("ths_right_value_usk",AM$6,$A14,"USD")/1000000</f>
        <v>59256.095675699995</v>
      </c>
      <c r="AN14" s="44">
        <f>[1]!thsiFinD("ths_right_value_usk",AN$6,$A14,"USD")/1000000</f>
        <v>77325.814731749997</v>
      </c>
      <c r="AO14" s="44">
        <f>[1]!thsiFinD("ths_right_value_usk",AO$6,$A14,"USD")/1000000</f>
        <v>19429.946</v>
      </c>
      <c r="AP14" s="44">
        <f>[1]!thsiFinD("ths_ev2_usk",AP$6,$A14,"USD")/1000000</f>
        <v>125221.69571910001</v>
      </c>
      <c r="AQ14" s="44">
        <f>[1]!thsiFinD("ths_ev2_usk",AQ$6,$A14,"USD")/1000000</f>
        <v>468477.05138829997</v>
      </c>
      <c r="AR14" s="44">
        <f>[1]!thsiFinD("ths_ev2_usk",AR$6,$A14,"USD")/1000000</f>
        <v>264611.0468135</v>
      </c>
      <c r="AS14" s="44">
        <f>[1]!thsiFinD("ths_ev2_usk",AS$6,$A14,"USD")/1000000</f>
        <v>57401.095675699995</v>
      </c>
      <c r="AT14" s="44">
        <f>[1]!thsiFinD("ths_ev2_usk",AT$6,$A14,"USD")/1000000</f>
        <v>121934.81473175</v>
      </c>
      <c r="AU14" s="44">
        <f>[1]!thsiFinD("ths_ev2_usk",AU$6,$A14,"USD")/1000000</f>
        <v>27303.946</v>
      </c>
    </row>
    <row r="15" spans="1:47" x14ac:dyDescent="0.45">
      <c r="A15" s="3">
        <f>_xll.ciqfunctions.udf.CIQ("COP", "IQ_PRICEDATE", "4/30/2025")</f>
        <v>45777</v>
      </c>
      <c r="B15" s="13">
        <v>87.644900000000007</v>
      </c>
      <c r="C15" s="13">
        <v>102.80186</v>
      </c>
      <c r="D15" s="13">
        <v>132.94274999999999</v>
      </c>
      <c r="E15" s="13">
        <v>108.38383</v>
      </c>
      <c r="F15" s="13">
        <v>26.28041</v>
      </c>
      <c r="G15" s="13">
        <v>29.988969999999998</v>
      </c>
      <c r="H15" s="23">
        <f>[1]!thsiFinD("ths_pe_ttm_uss",B$6,$A15,100)</f>
        <v>11.789372473763001</v>
      </c>
      <c r="I15" s="23">
        <f>[1]!thsiFinD("ths_pe_ttm_uss",C$6,$A15,100)</f>
        <v>13.722821229982999</v>
      </c>
      <c r="J15" s="23">
        <f>[1]!thsiFinD("ths_pe_ttm_uss",D$6,$A15,100)</f>
        <v>15.173330441526</v>
      </c>
      <c r="K15" s="23">
        <f>[1]!thsiFinD("ths_pe_ttm_uss",E$6,$A15,100)</f>
        <v>9.9089486281553008</v>
      </c>
      <c r="L15" s="23">
        <f>[1]!thsiFinD("ths_pe_ttm_uss",F$6,$A15,100)</f>
        <v>-61.061032438536003</v>
      </c>
      <c r="M15" s="23">
        <f>[1]!thsiFinD("ths_pe_ttm_uss",G$6,$A15,100)</f>
        <v>7.0011692362854001</v>
      </c>
      <c r="N15" s="26">
        <f>[1]!thsiFinD("ths_ev2_to_ebitda_usk",N$6,$A15)</f>
        <v>5.5855348509785001</v>
      </c>
      <c r="O15" s="26">
        <f>[1]!thsiFinD("ths_ev2_to_ebitda_usk",O$6,$A15)</f>
        <v>6.5860259532979999</v>
      </c>
      <c r="P15" s="26">
        <f>[1]!thsiFinD("ths_ev2_to_ebitda_usk",P$6,$A15)</f>
        <v>5.8831239330690996</v>
      </c>
      <c r="Q15" s="26">
        <f>[1]!thsiFinD("ths_ev2_to_ebitda_usk",Q$6,$A15)</f>
        <v>4.6824198341864998</v>
      </c>
      <c r="R15" s="26">
        <f>[1]!thsiFinD("ths_ev2_to_ebitda_usk",R$6,$A15)</f>
        <v>4.1861691801919001</v>
      </c>
      <c r="S15" s="26">
        <f>[1]!thsiFinD("ths_ev2_to_ebitda_usk",S$6,$A15)</f>
        <v>3.7380983628922002</v>
      </c>
      <c r="T15" s="27">
        <f>[1]!thsiFinD("ths_pb_mrq_usk",T$6,$A15)</f>
        <v>1.7245467598197</v>
      </c>
      <c r="U15" s="27">
        <f>[1]!thsiFinD("ths_pb_mrq_usk",U$6,$A15)</f>
        <v>1.7327464550175999</v>
      </c>
      <c r="V15" s="27">
        <f>[1]!thsiFinD("ths_pb_mrq_usk",V$6,$A15)</f>
        <v>1.5921199828087</v>
      </c>
      <c r="W15" s="27">
        <f>[1]!thsiFinD("ths_pb_mrq_usk",W$6,$A15)</f>
        <v>2.0401369024698002</v>
      </c>
      <c r="X15" s="27">
        <f>[1]!thsiFinD("ths_pb_mrq_usk",X$6,$A15)</f>
        <v>1.2534215196092</v>
      </c>
      <c r="Y15" s="27">
        <f>[1]!thsiFinD("ths_pb_mrq_usk",Y$6,$A15)</f>
        <v>1.3424723960124001</v>
      </c>
      <c r="Z15" s="28">
        <f>[1]!thsiFinD("ths_ps_ttm_uss",Z$6,$A15,100)</f>
        <v>1.8883813071455999</v>
      </c>
      <c r="AA15" s="28">
        <f>[1]!thsiFinD("ths_ps_ttm_uss",AA$6,$A15,100)</f>
        <v>1.3020179750773</v>
      </c>
      <c r="AB15" s="28">
        <f>[1]!thsiFinD("ths_ps_ttm_uss",AB$6,$A15,100)</f>
        <v>1.1781400529253001</v>
      </c>
      <c r="AC15" s="28">
        <f>[1]!thsiFinD("ths_ps_ttm_uss",AC$6,$A15,100)</f>
        <v>2.5906333166967999</v>
      </c>
      <c r="AD15" s="28">
        <f>[1]!thsiFinD("ths_ps_ttm_uss",AD$6,$A15,100)</f>
        <v>0.37895970752253999</v>
      </c>
      <c r="AE15" s="28">
        <f>[1]!thsiFinD("ths_ps_ttm_uss",AE$6,$A15,100)</f>
        <v>1.1625542391045001</v>
      </c>
      <c r="AF15" s="29">
        <v>58.21</v>
      </c>
      <c r="AG15" s="30">
        <v>4.609</v>
      </c>
      <c r="AH15" s="31">
        <v>617.46879000000001</v>
      </c>
      <c r="AI15" s="31">
        <v>10606.48508</v>
      </c>
      <c r="AJ15" s="44">
        <f>[1]!thsiFinD("ths_right_value_usk",AJ$6,$A15,"USD")/1000000</f>
        <v>112505.98151711999</v>
      </c>
      <c r="AK15" s="44">
        <f>[1]!thsiFinD("ths_right_value_usk",AK$6,$A15,"USD")/1000000</f>
        <v>455227.14866223</v>
      </c>
      <c r="AL15" s="44">
        <f>[1]!thsiFinD("ths_right_value_usk",AL$6,$A15,"USD")/1000000</f>
        <v>237614.35471429999</v>
      </c>
      <c r="AM15" s="44">
        <f>[1]!thsiFinD("ths_right_value_usk",AM$6,$A15,"USD")/1000000</f>
        <v>60216.680813300001</v>
      </c>
      <c r="AN15" s="44">
        <f>[1]!thsiFinD("ths_right_value_usk",AN$6,$A15,"USD")/1000000</f>
        <v>72967.933764050002</v>
      </c>
      <c r="AO15" s="44">
        <f>[1]!thsiFinD("ths_right_value_usk",AO$6,$A15,"USD")/1000000</f>
        <v>19526.260999999999</v>
      </c>
      <c r="AP15" s="44">
        <f>[1]!thsiFinD("ths_ev2_usk",AP$6,$A15,"USD")/1000000</f>
        <v>129980.98151711999</v>
      </c>
      <c r="AQ15" s="44">
        <f>[1]!thsiFinD("ths_ev2_usk",AQ$6,$A15,"USD")/1000000</f>
        <v>482828.14866223</v>
      </c>
      <c r="AR15" s="44">
        <f>[1]!thsiFinD("ths_ev2_usk",AR$6,$A15,"USD")/1000000</f>
        <v>263493.35471429996</v>
      </c>
      <c r="AS15" s="44">
        <f>[1]!thsiFinD("ths_ev2_usk",AS$6,$A15,"USD")/1000000</f>
        <v>58361.680813300001</v>
      </c>
      <c r="AT15" s="44">
        <f>[1]!thsiFinD("ths_ev2_usk",AT$6,$A15,"USD")/1000000</f>
        <v>117576.93376405</v>
      </c>
      <c r="AU15" s="44">
        <f>[1]!thsiFinD("ths_ev2_usk",AU$6,$A15,"USD")/1000000</f>
        <v>27400.260999999999</v>
      </c>
    </row>
    <row r="16" spans="1:47" x14ac:dyDescent="0.45">
      <c r="A16" s="3">
        <f>_xll.ciqfunctions.udf.CIQ("COP", "IQ_PRICEDATE", "3/31/2025")</f>
        <v>45747</v>
      </c>
      <c r="B16" s="13">
        <v>103.28172000000001</v>
      </c>
      <c r="C16" s="13">
        <v>115.74576999999999</v>
      </c>
      <c r="D16" s="13">
        <v>163.45724999999999</v>
      </c>
      <c r="E16" s="13">
        <v>124.83511</v>
      </c>
      <c r="F16" s="13">
        <v>32.33849</v>
      </c>
      <c r="G16" s="13">
        <v>36.882190000000001</v>
      </c>
      <c r="H16" s="23">
        <f>[1]!thsiFinD("ths_pe_ttm_uss",B$6,$A16,100)</f>
        <v>13.892727751285999</v>
      </c>
      <c r="I16" s="23">
        <f>[1]!thsiFinD("ths_pe_ttm_uss",C$6,$A16,100)</f>
        <v>15.450678111161</v>
      </c>
      <c r="J16" s="23">
        <f>[1]!thsiFinD("ths_pe_ttm_uss",D$6,$A16,100)</f>
        <v>18.656081504945998</v>
      </c>
      <c r="K16" s="23">
        <f>[1]!thsiFinD("ths_pe_ttm_uss",E$6,$A16,100)</f>
        <v>11.632181227724001</v>
      </c>
      <c r="L16" s="23">
        <f>[1]!thsiFinD("ths_pe_ttm_uss",F$6,$A16,100)</f>
        <v>-75.929793825665001</v>
      </c>
      <c r="M16" s="23">
        <f>[1]!thsiFinD("ths_pe_ttm_uss",G$6,$A16,100)</f>
        <v>8.6359268555038007</v>
      </c>
      <c r="N16" s="26">
        <f>[1]!thsiFinD("ths_ev2_to_ebitda_usk",N$6,$A16)</f>
        <v>6.4480813428954002</v>
      </c>
      <c r="O16" s="26">
        <f>[1]!thsiFinD("ths_ev2_to_ebitda_usk",O$6,$A16)</f>
        <v>7.3678758301145999</v>
      </c>
      <c r="P16" s="26">
        <f>[1]!thsiFinD("ths_ev2_to_ebitda_usk",P$6,$A16)</f>
        <v>7.1008581845013996</v>
      </c>
      <c r="Q16" s="26">
        <f>[1]!thsiFinD("ths_ev2_to_ebitda_usk",Q$6,$A16)</f>
        <v>5.5226063319063003</v>
      </c>
      <c r="R16" s="26">
        <f>[1]!thsiFinD("ths_ev2_to_ebitda_usk",R$6,$A16)</f>
        <v>4.8187810596244001</v>
      </c>
      <c r="S16" s="26">
        <f>[1]!thsiFinD("ths_ev2_to_ebitda_usk",S$6,$A16)</f>
        <v>4.3601091405184</v>
      </c>
      <c r="T16" s="27">
        <f>[1]!thsiFinD("ths_pb_mrq_usk",T$6,$A16)</f>
        <v>2.0322250978037002</v>
      </c>
      <c r="U16" s="27">
        <f>[1]!thsiFinD("ths_pb_mrq_usk",U$6,$A16)</f>
        <v>1.9509186395460001</v>
      </c>
      <c r="V16" s="27">
        <f>[1]!thsiFinD("ths_pb_mrq_usk",V$6,$A16)</f>
        <v>1.9575610166402</v>
      </c>
      <c r="W16" s="27">
        <f>[1]!thsiFinD("ths_pb_mrq_usk",W$6,$A16)</f>
        <v>2.3949303876162</v>
      </c>
      <c r="X16" s="27">
        <f>[1]!thsiFinD("ths_pb_mrq_usk",X$6,$A16)</f>
        <v>1.5586378703370001</v>
      </c>
      <c r="Y16" s="27">
        <f>[1]!thsiFinD("ths_pb_mrq_usk",Y$6,$A16)</f>
        <v>1.6559367480234</v>
      </c>
      <c r="Z16" s="28">
        <f>[1]!thsiFinD("ths_ps_ttm_uss",Z$6,$A16,100)</f>
        <v>2.2252895520245999</v>
      </c>
      <c r="AA16" s="28">
        <f>[1]!thsiFinD("ths_ps_ttm_uss",AA$6,$A16,100)</f>
        <v>1.4659566200506</v>
      </c>
      <c r="AB16" s="28">
        <f>[1]!thsiFinD("ths_ps_ttm_uss",AB$6,$A16,100)</f>
        <v>1.4485598225333001</v>
      </c>
      <c r="AC16" s="28">
        <f>[1]!thsiFinD("ths_ps_ttm_uss",AC$6,$A16,100)</f>
        <v>3.0411618190018999</v>
      </c>
      <c r="AD16" s="28">
        <f>[1]!thsiFinD("ths_ps_ttm_uss",AD$6,$A16,100)</f>
        <v>0.47123887872982001</v>
      </c>
      <c r="AE16" s="28">
        <f>[1]!thsiFinD("ths_ps_ttm_uss",AE$6,$A16,100)</f>
        <v>1.4340080971660001</v>
      </c>
      <c r="AF16" s="29">
        <v>71.48</v>
      </c>
      <c r="AG16" s="30">
        <v>5.0339999999999998</v>
      </c>
      <c r="AH16" s="31">
        <v>715.75121000000001</v>
      </c>
      <c r="AI16" s="31">
        <v>10681.620559999999</v>
      </c>
      <c r="AJ16" s="44">
        <f>[1]!thsiFinD("ths_right_value_usk",AJ$6,$A16,"USD")/1000000</f>
        <v>132578.30093052</v>
      </c>
      <c r="AK16" s="44">
        <f>[1]!thsiFinD("ths_right_value_usk",AK$6,$A16,"USD")/1000000</f>
        <v>512545.34498153004</v>
      </c>
      <c r="AL16" s="44">
        <f>[1]!thsiFinD("ths_right_value_usk",AL$6,$A16,"USD")/1000000</f>
        <v>292154.23636745004</v>
      </c>
      <c r="AM16" s="44">
        <f>[1]!thsiFinD("ths_right_value_usk",AM$6,$A16,"USD")/1000000</f>
        <v>70688.765320880004</v>
      </c>
      <c r="AN16" s="44">
        <f>[1]!thsiFinD("ths_right_value_usk",AN$6,$A16,"USD")/1000000</f>
        <v>90736.103621670001</v>
      </c>
      <c r="AO16" s="44">
        <f>[1]!thsiFinD("ths_right_value_usk",AO$6,$A16,"USD")/1000000</f>
        <v>24085.599999999999</v>
      </c>
      <c r="AP16" s="44">
        <f>[1]!thsiFinD("ths_ev2_usk",AP$6,$A16,"USD")/1000000</f>
        <v>150053.30093052</v>
      </c>
      <c r="AQ16" s="44">
        <f>[1]!thsiFinD("ths_ev2_usk",AQ$6,$A16,"USD")/1000000</f>
        <v>540146.34498152998</v>
      </c>
      <c r="AR16" s="44">
        <f>[1]!thsiFinD("ths_ev2_usk",AR$6,$A16,"USD")/1000000</f>
        <v>318033.23636745004</v>
      </c>
      <c r="AS16" s="44">
        <f>[1]!thsiFinD("ths_ev2_usk",AS$6,$A16,"USD")/1000000</f>
        <v>68833.765320880004</v>
      </c>
      <c r="AT16" s="44">
        <f>[1]!thsiFinD("ths_ev2_usk",AT$6,$A16,"USD")/1000000</f>
        <v>135345.10362166999</v>
      </c>
      <c r="AU16" s="44">
        <f>[1]!thsiFinD("ths_ev2_usk",AU$6,$A16,"USD")/1000000</f>
        <v>31959.599999999999</v>
      </c>
    </row>
    <row r="17" spans="1:47" x14ac:dyDescent="0.45">
      <c r="A17" s="3">
        <f>_xll.ciqfunctions.udf.CIQ("COP", "IQ_PRICEDATE", "2/28/2025")</f>
        <v>45716</v>
      </c>
      <c r="B17" s="13">
        <v>97.508880000000005</v>
      </c>
      <c r="C17" s="13">
        <v>108.34925</v>
      </c>
      <c r="D17" s="13">
        <v>154.98589000000001</v>
      </c>
      <c r="E17" s="13">
        <v>123.56962</v>
      </c>
      <c r="F17" s="13">
        <v>31.69727</v>
      </c>
      <c r="G17" s="13">
        <v>35.464829999999999</v>
      </c>
      <c r="H17" s="23">
        <f>[1]!thsiFinD("ths_pe_ttm_uss",B$6,$A17,100)</f>
        <v>13.632114452904</v>
      </c>
      <c r="I17" s="23">
        <f>[1]!thsiFinD("ths_pe_ttm_uss",C$6,$A17,100)</f>
        <v>14.297355774934999</v>
      </c>
      <c r="J17" s="23">
        <f>[1]!thsiFinD("ths_pe_ttm_uss",D$6,$A17,100)</f>
        <v>15.812589317645999</v>
      </c>
      <c r="K17" s="23">
        <f>[1]!thsiFinD("ths_pe_ttm_uss",E$6,$A17,100)</f>
        <v>10.981634910229999</v>
      </c>
      <c r="L17" s="23">
        <f>[1]!thsiFinD("ths_pe_ttm_uss",F$6,$A17,100)</f>
        <v>231.97250778834999</v>
      </c>
      <c r="M17" s="23">
        <f>[1]!thsiFinD("ths_pe_ttm_uss",G$6,$A17,100)</f>
        <v>8.1310204081633</v>
      </c>
      <c r="N17" s="26">
        <f>[1]!thsiFinD("ths_ev2_to_ebitda_usk",N$6,$A17)</f>
        <v>6.2200119512310996</v>
      </c>
      <c r="O17" s="26">
        <f>[1]!thsiFinD("ths_ev2_to_ebitda_usk",O$6,$A17)</f>
        <v>6.9173376778357998</v>
      </c>
      <c r="P17" s="26">
        <f>[1]!thsiFinD("ths_ev2_to_ebitda_usk",P$6,$A17)</f>
        <v>6.6505568442202998</v>
      </c>
      <c r="Q17" s="26">
        <f>[1]!thsiFinD("ths_ev2_to_ebitda_usk",Q$6,$A17)</f>
        <v>5.4537394359917002</v>
      </c>
      <c r="R17" s="26">
        <f>[1]!thsiFinD("ths_ev2_to_ebitda_usk",R$6,$A17)</f>
        <v>4.5500240491103003</v>
      </c>
      <c r="S17" s="26">
        <f>[1]!thsiFinD("ths_ev2_to_ebitda_usk",S$6,$A17)</f>
        <v>4.3317571623465003</v>
      </c>
      <c r="T17" s="27">
        <f>[1]!thsiFinD("ths_pb_mrq_usk",T$6,$A17)</f>
        <v>1.9450104654161</v>
      </c>
      <c r="U17" s="27">
        <f>[1]!thsiFinD("ths_pb_mrq_usk",U$6,$A17)</f>
        <v>1.8260364517162</v>
      </c>
      <c r="V17" s="27">
        <f>[1]!thsiFinD("ths_pb_mrq_usk",V$6,$A17)</f>
        <v>1.8334414838623001</v>
      </c>
      <c r="W17" s="27">
        <f>[1]!thsiFinD("ths_pb_mrq_usk",W$6,$A17)</f>
        <v>2.3956733443561999</v>
      </c>
      <c r="X17" s="27">
        <f>[1]!thsiFinD("ths_pb_mrq_usk",X$6,$A17)</f>
        <v>1.4917720262526</v>
      </c>
      <c r="Y17" s="27">
        <f>[1]!thsiFinD("ths_pb_mrq_usk",Y$6,$A17)</f>
        <v>1.621604580574</v>
      </c>
      <c r="Z17" s="28">
        <f>[1]!thsiFinD("ths_ps_ttm_uss",Z$6,$A17,100)</f>
        <v>2.2128579375466999</v>
      </c>
      <c r="AA17" s="28">
        <f>[1]!thsiFinD("ths_ps_ttm_uss",AA$6,$A17,100)</f>
        <v>1.3774473804648999</v>
      </c>
      <c r="AB17" s="28">
        <f>[1]!thsiFinD("ths_ps_ttm_uss",AB$6,$A17,100)</f>
        <v>1.3771062958053</v>
      </c>
      <c r="AC17" s="28">
        <f>[1]!thsiFinD("ths_ps_ttm_uss",AC$6,$A17,100)</f>
        <v>2.9671452582581002</v>
      </c>
      <c r="AD17" s="28">
        <f>[1]!thsiFinD("ths_ps_ttm_uss",AD$6,$A17,100)</f>
        <v>0.4541025513534</v>
      </c>
      <c r="AE17" s="28">
        <f>[1]!thsiFinD("ths_ps_ttm_uss",AE$6,$A17,100)</f>
        <v>1.4747038895858999</v>
      </c>
      <c r="AF17" s="29">
        <v>69.760000000000005</v>
      </c>
      <c r="AG17" s="30">
        <v>4.548</v>
      </c>
      <c r="AH17" s="31">
        <v>689.88108</v>
      </c>
      <c r="AI17" s="31">
        <v>11323.72863</v>
      </c>
      <c r="AJ17" s="44">
        <f>[1]!thsiFinD("ths_right_value_usk",AJ$6,$A17,"USD")/1000000</f>
        <v>126028.89811710001</v>
      </c>
      <c r="AK17" s="44">
        <f>[1]!thsiFinD("ths_right_value_usk",AK$6,$A17,"USD")/1000000</f>
        <v>481534.94249982003</v>
      </c>
      <c r="AL17" s="44">
        <f>[1]!thsiFinD("ths_right_value_usk",AL$6,$A17,"USD")/1000000</f>
        <v>279266.13993894</v>
      </c>
      <c r="AM17" s="44">
        <f>[1]!thsiFinD("ths_right_value_usk",AM$6,$A17,"USD")/1000000</f>
        <v>70315.408330199993</v>
      </c>
      <c r="AN17" s="44">
        <f>[1]!thsiFinD("ths_right_value_usk",AN$6,$A17,"USD")/1000000</f>
        <v>88381.525467360989</v>
      </c>
      <c r="AO17" s="44">
        <f>[1]!thsiFinD("ths_right_value_usk",AO$6,$A17,"USD")/1000000</f>
        <v>23506.78</v>
      </c>
      <c r="AP17" s="44">
        <f>[1]!thsiFinD("ths_ev2_usk",AP$6,$A17,"USD")/1000000</f>
        <v>144745.89811710001</v>
      </c>
      <c r="AQ17" s="44">
        <f>[1]!thsiFinD("ths_ev2_usk",AQ$6,$A17,"USD")/1000000</f>
        <v>507116.94249982003</v>
      </c>
      <c r="AR17" s="44">
        <f>[1]!thsiFinD("ths_ev2_usk",AR$6,$A17,"USD")/1000000</f>
        <v>297865.13993894</v>
      </c>
      <c r="AS17" s="44">
        <f>[1]!thsiFinD("ths_ev2_usk",AS$6,$A17,"USD")/1000000</f>
        <v>67975.408330199993</v>
      </c>
      <c r="AT17" s="44">
        <f>[1]!thsiFinD("ths_ev2_usk",AT$6,$A17,"USD")/1000000</f>
        <v>127796.52546736</v>
      </c>
      <c r="AU17" s="44">
        <f>[1]!thsiFinD("ths_ev2_usk",AU$6,$A17,"USD")/1000000</f>
        <v>31751.78</v>
      </c>
    </row>
    <row r="18" spans="1:47" x14ac:dyDescent="0.45">
      <c r="A18" s="3">
        <f>_xll.ciqfunctions.udf.CIQ("COP", "IQ_PRICEDATE", "1/31/2025")</f>
        <v>45688</v>
      </c>
      <c r="B18" s="13">
        <v>96.411810000000003</v>
      </c>
      <c r="C18" s="13">
        <v>103.048</v>
      </c>
      <c r="D18" s="13">
        <v>144.17282</v>
      </c>
      <c r="E18" s="13">
        <v>122.45016</v>
      </c>
      <c r="F18" s="13">
        <v>29.318269999999998</v>
      </c>
      <c r="G18" s="13">
        <v>33.389029999999998</v>
      </c>
      <c r="H18" s="23">
        <f>[1]!thsiFinD("ths_pe_ttm_uss",B$6,$A18,100)</f>
        <v>13.60187513901</v>
      </c>
      <c r="I18" s="23">
        <f>[1]!thsiFinD("ths_pe_ttm_uss",C$6,$A18,100)</f>
        <v>13.763381238949</v>
      </c>
      <c r="J18" s="23">
        <f>[1]!thsiFinD("ths_pe_ttm_uss",D$6,$A18,100)</f>
        <v>14.943601220659</v>
      </c>
      <c r="K18" s="23">
        <f>[1]!thsiFinD("ths_pe_ttm_uss",E$6,$A18,100)</f>
        <v>10.946627256259999</v>
      </c>
      <c r="L18" s="23">
        <f>[1]!thsiFinD("ths_pe_ttm_uss",F$6,$A18,100)</f>
        <v>218.08155236123</v>
      </c>
      <c r="M18" s="23">
        <f>[1]!thsiFinD("ths_pe_ttm_uss",G$6,$A18,100)</f>
        <v>7.6786924939467003</v>
      </c>
      <c r="N18" s="26">
        <f>[1]!thsiFinD("ths_ev2_to_ebitda_usk",N$6,$A18)</f>
        <v>6.2079986102938998</v>
      </c>
      <c r="O18" s="26">
        <f>[1]!thsiFinD("ths_ev2_to_ebitda_usk",O$6,$A18)</f>
        <v>6.6720230269372003</v>
      </c>
      <c r="P18" s="26">
        <f>[1]!thsiFinD("ths_ev2_to_ebitda_usk",P$6,$A18)</f>
        <v>6.3078936580793998</v>
      </c>
      <c r="Q18" s="26">
        <f>[1]!thsiFinD("ths_ev2_to_ebitda_usk",Q$6,$A18)</f>
        <v>5.4357553210710998</v>
      </c>
      <c r="R18" s="26">
        <f>[1]!thsiFinD("ths_ev2_to_ebitda_usk",R$6,$A18)</f>
        <v>4.3615933153997002</v>
      </c>
      <c r="S18" s="26">
        <f>[1]!thsiFinD("ths_ev2_to_ebitda_usk",S$6,$A18)</f>
        <v>4.1533560709413004</v>
      </c>
      <c r="T18" s="27">
        <f>[1]!thsiFinD("ths_pb_mrq_usk",T$6,$A18)</f>
        <v>1.940695963642</v>
      </c>
      <c r="U18" s="27">
        <f>[1]!thsiFinD("ths_pb_mrq_usk",U$6,$A18)</f>
        <v>1.7578380392021</v>
      </c>
      <c r="V18" s="27">
        <f>[1]!thsiFinD("ths_pb_mrq_usk",V$6,$A18)</f>
        <v>1.7326838663721</v>
      </c>
      <c r="W18" s="27">
        <f>[1]!thsiFinD("ths_pb_mrq_usk",W$6,$A18)</f>
        <v>2.3880363299999998</v>
      </c>
      <c r="X18" s="27">
        <f>[1]!thsiFinD("ths_pb_mrq_usk",X$6,$A18)</f>
        <v>1.4024418770825</v>
      </c>
      <c r="Y18" s="27">
        <f>[1]!thsiFinD("ths_pb_mrq_usk",Y$6,$A18)</f>
        <v>1.5313948675497</v>
      </c>
      <c r="Z18" s="28">
        <f>[1]!thsiFinD("ths_ps_ttm_uss",Z$6,$A18,100)</f>
        <v>2.2079492855538998</v>
      </c>
      <c r="AA18" s="28">
        <f>[1]!thsiFinD("ths_ps_ttm_uss",AA$6,$A18,100)</f>
        <v>1.3260027750840999</v>
      </c>
      <c r="AB18" s="28">
        <f>[1]!thsiFinD("ths_ps_ttm_uss",AB$6,$A18,100)</f>
        <v>1.3014267878321999</v>
      </c>
      <c r="AC18" s="28">
        <f>[1]!thsiFinD("ths_ps_ttm_uss",AC$6,$A18,100)</f>
        <v>2.9576864850127</v>
      </c>
      <c r="AD18" s="28">
        <f>[1]!thsiFinD("ths_ps_ttm_uss",AD$6,$A18,100)</f>
        <v>0.42691002599627997</v>
      </c>
      <c r="AE18" s="28">
        <f>[1]!thsiFinD("ths_ps_ttm_uss",AE$6,$A18,100)</f>
        <v>1.3926662484315999</v>
      </c>
      <c r="AF18" s="29">
        <v>72.53</v>
      </c>
      <c r="AG18" s="30">
        <v>4.2789999999999999</v>
      </c>
      <c r="AH18" s="31">
        <v>667.9538</v>
      </c>
      <c r="AI18" s="31">
        <v>11477.5975</v>
      </c>
      <c r="AJ18" s="44">
        <f>[1]!thsiFinD("ths_right_value_usk",AJ$6,$A18,"USD")/1000000</f>
        <v>125749.33566015</v>
      </c>
      <c r="AK18" s="44">
        <f>[1]!thsiFinD("ths_right_value_usk",AK$6,$A18,"USD")/1000000</f>
        <v>463550.68012778996</v>
      </c>
      <c r="AL18" s="44">
        <f>[1]!thsiFinD("ths_right_value_usk",AL$6,$A18,"USD")/1000000</f>
        <v>263918.94115805998</v>
      </c>
      <c r="AM18" s="44">
        <f>[1]!thsiFinD("ths_right_value_usk",AM$6,$A18,"USD")/1000000</f>
        <v>70091.254321829998</v>
      </c>
      <c r="AN18" s="44">
        <f>[1]!thsiFinD("ths_right_value_usk",AN$6,$A18,"USD")/1000000</f>
        <v>83089.071449630006</v>
      </c>
      <c r="AO18" s="44">
        <f>[1]!thsiFinD("ths_right_value_usk",AO$6,$A18,"USD")/1000000</f>
        <v>22199.1</v>
      </c>
      <c r="AP18" s="44">
        <f>[1]!thsiFinD("ths_ev2_usk",AP$6,$A18,"USD")/1000000</f>
        <v>144466.33566014998</v>
      </c>
      <c r="AQ18" s="44">
        <f>[1]!thsiFinD("ths_ev2_usk",AQ$6,$A18,"USD")/1000000</f>
        <v>489132.68012778996</v>
      </c>
      <c r="AR18" s="44">
        <f>[1]!thsiFinD("ths_ev2_usk",AR$6,$A18,"USD")/1000000</f>
        <v>282517.94115805998</v>
      </c>
      <c r="AS18" s="44">
        <f>[1]!thsiFinD("ths_ev2_usk",AS$6,$A18,"USD")/1000000</f>
        <v>67751.254321829998</v>
      </c>
      <c r="AT18" s="44">
        <f>[1]!thsiFinD("ths_ev2_usk",AT$6,$A18,"USD")/1000000</f>
        <v>122504.07144963001</v>
      </c>
      <c r="AU18" s="44">
        <f>[1]!thsiFinD("ths_ev2_usk",AU$6,$A18,"USD")/1000000</f>
        <v>30444.1</v>
      </c>
    </row>
    <row r="19" spans="1:47" x14ac:dyDescent="0.45">
      <c r="A19" s="3">
        <f>_xll.ciqfunctions.udf.CIQ("COP", "IQ_PRICEDATE", "12/31/2024")</f>
        <v>45657</v>
      </c>
      <c r="B19" s="13">
        <v>96.743489999999994</v>
      </c>
      <c r="C19" s="13">
        <v>103.76179999999999</v>
      </c>
      <c r="D19" s="13">
        <v>139.96911</v>
      </c>
      <c r="E19" s="13">
        <v>118.48263</v>
      </c>
      <c r="F19" s="13">
        <v>27.902380000000001</v>
      </c>
      <c r="G19" s="13">
        <v>32.04759</v>
      </c>
      <c r="H19" s="23">
        <f>[1]!thsiFinD("ths_pe_ttm_uss",B$6,$A19,100)</f>
        <v>13.686068471506999</v>
      </c>
      <c r="I19" s="23">
        <f>[1]!thsiFinD("ths_pe_ttm_uss",C$6,$A19,100)</f>
        <v>13.90553756638</v>
      </c>
      <c r="J19" s="23">
        <f>[1]!thsiFinD("ths_pe_ttm_uss",D$6,$A19,100)</f>
        <v>14.507883911792</v>
      </c>
      <c r="K19" s="23">
        <f>[1]!thsiFinD("ths_pe_ttm_uss",E$6,$A19,100)</f>
        <v>10.667283321983</v>
      </c>
      <c r="L19" s="23">
        <f>[1]!thsiFinD("ths_pe_ttm_uss",F$6,$A19,100)</f>
        <v>209.23451710812</v>
      </c>
      <c r="M19" s="23">
        <f>[1]!thsiFinD("ths_pe_ttm_uss",G$6,$A19,100)</f>
        <v>7.3701937046005002</v>
      </c>
      <c r="N19" s="26">
        <f>[1]!thsiFinD("ths_ev2_to_ebitda_usk",N$6,$A19)</f>
        <v>6.2414465652134004</v>
      </c>
      <c r="O19" s="26">
        <f>[1]!thsiFinD("ths_ev2_to_ebitda_usk",O$6,$A19)</f>
        <v>6.7373314405161997</v>
      </c>
      <c r="P19" s="26">
        <f>[1]!thsiFinD("ths_ev2_to_ebitda_usk",P$6,$A19)</f>
        <v>6.1360797036295001</v>
      </c>
      <c r="Q19" s="26">
        <f>[1]!thsiFinD("ths_ev2_to_ebitda_usk",Q$6,$A19)</f>
        <v>5.2922508914200996</v>
      </c>
      <c r="R19" s="26">
        <f>[1]!thsiFinD("ths_ev2_to_ebitda_usk",R$6,$A19)</f>
        <v>4.2415833310141</v>
      </c>
      <c r="S19" s="26">
        <f>[1]!thsiFinD("ths_ev2_to_ebitda_usk",S$6,$A19)</f>
        <v>4.0316821282401003</v>
      </c>
      <c r="T19" s="27">
        <f>[1]!thsiFinD("ths_pb_mrq_usk",T$6,$A19)</f>
        <v>1.9527085471183001</v>
      </c>
      <c r="U19" s="27">
        <f>[1]!thsiFinD("ths_pb_mrq_usk",U$6,$A19)</f>
        <v>1.7759940283107001</v>
      </c>
      <c r="V19" s="27">
        <f>[1]!thsiFinD("ths_pb_mrq_usk",V$6,$A19)</f>
        <v>1.6821632227718</v>
      </c>
      <c r="W19" s="27">
        <f>[1]!thsiFinD("ths_pb_mrq_usk",W$6,$A19)</f>
        <v>2.3270966955354</v>
      </c>
      <c r="X19" s="27">
        <f>[1]!thsiFinD("ths_pb_mrq_usk",X$6,$A19)</f>
        <v>1.3455482398506999</v>
      </c>
      <c r="Y19" s="27">
        <f>[1]!thsiFinD("ths_pb_mrq_usk",Y$6,$A19)</f>
        <v>1.4698696192053</v>
      </c>
      <c r="Z19" s="28">
        <f>[1]!thsiFinD("ths_ps_ttm_uss",Z$6,$A19,100)</f>
        <v>2.2216161224005999</v>
      </c>
      <c r="AA19" s="28">
        <f>[1]!thsiFinD("ths_ps_ttm_uss",AA$6,$A19,100)</f>
        <v>1.3396985146264</v>
      </c>
      <c r="AB19" s="28">
        <f>[1]!thsiFinD("ths_ps_ttm_uss",AB$6,$A19,100)</f>
        <v>1.2634805010362999</v>
      </c>
      <c r="AC19" s="28">
        <f>[1]!thsiFinD("ths_ps_ttm_uss",AC$6,$A19,100)</f>
        <v>2.8822101067879</v>
      </c>
      <c r="AD19" s="28">
        <f>[1]!thsiFinD("ths_ps_ttm_uss",AD$6,$A19,100)</f>
        <v>0.40959133026522998</v>
      </c>
      <c r="AE19" s="28">
        <f>[1]!thsiFinD("ths_ps_ttm_uss",AE$6,$A19,100)</f>
        <v>1.3367145545796999</v>
      </c>
      <c r="AF19" s="29">
        <v>71.72</v>
      </c>
      <c r="AG19" s="30">
        <v>4.0265000000000004</v>
      </c>
      <c r="AH19" s="31">
        <v>654.84631999999999</v>
      </c>
      <c r="AI19" s="31">
        <v>11169.346659999999</v>
      </c>
      <c r="AJ19" s="44">
        <f>[1]!thsiFinD("ths_right_value_usk",AJ$6,$A19,"USD")/1000000</f>
        <v>126527.70301908</v>
      </c>
      <c r="AK19" s="44">
        <f>[1]!thsiFinD("ths_right_value_usk",AK$6,$A19,"USD")/1000000</f>
        <v>468338.50523567997</v>
      </c>
      <c r="AL19" s="44">
        <f>[1]!thsiFinD("ths_right_value_usk",AL$6,$A19,"USD")/1000000</f>
        <v>256223.73776615999</v>
      </c>
      <c r="AM19" s="44">
        <f>[1]!thsiFinD("ths_right_value_usk",AM$6,$A19,"USD")/1000000</f>
        <v>68302.615110660001</v>
      </c>
      <c r="AN19" s="44">
        <f>[1]!thsiFinD("ths_right_value_usk",AN$6,$A19,"USD")/1000000</f>
        <v>79718.351018191999</v>
      </c>
      <c r="AO19" s="44">
        <f>[1]!thsiFinD("ths_right_value_usk",AO$6,$A19,"USD")/1000000</f>
        <v>21307.23</v>
      </c>
      <c r="AP19" s="44">
        <f>[1]!thsiFinD("ths_ev2_usk",AP$6,$A19,"USD")/1000000</f>
        <v>145244.70301907999</v>
      </c>
      <c r="AQ19" s="44">
        <f>[1]!thsiFinD("ths_ev2_usk",AQ$6,$A19,"USD")/1000000</f>
        <v>493920.50523567997</v>
      </c>
      <c r="AR19" s="44">
        <f>[1]!thsiFinD("ths_ev2_usk",AR$6,$A19,"USD")/1000000</f>
        <v>274822.73776615999</v>
      </c>
      <c r="AS19" s="44">
        <f>[1]!thsiFinD("ths_ev2_usk",AS$6,$A19,"USD")/1000000</f>
        <v>65962.615110660001</v>
      </c>
      <c r="AT19" s="44">
        <f>[1]!thsiFinD("ths_ev2_usk",AT$6,$A19,"USD")/1000000</f>
        <v>119133.35101819001</v>
      </c>
      <c r="AU19" s="44">
        <f>[1]!thsiFinD("ths_ev2_usk",AU$6,$A19,"USD")/1000000</f>
        <v>29552.23</v>
      </c>
    </row>
    <row r="20" spans="1:47" x14ac:dyDescent="0.45">
      <c r="A20" s="3">
        <f>_xll.ciqfunctions.udf.CIQ("COP", "IQ_PRICEDATE", "11/29/2024")</f>
        <v>45625</v>
      </c>
      <c r="B20" s="13">
        <v>105.68912</v>
      </c>
      <c r="C20" s="13">
        <v>113.78398</v>
      </c>
      <c r="D20" s="13">
        <v>156.48437999999999</v>
      </c>
      <c r="E20" s="13">
        <v>128.80564000000001</v>
      </c>
      <c r="F20" s="13">
        <v>27.666399999999999</v>
      </c>
      <c r="G20" s="13">
        <v>36.919240000000002</v>
      </c>
      <c r="H20" s="23">
        <f>[1]!thsiFinD("ths_pe_ttm_uss",B$6,$A20,100)</f>
        <v>12.536683879602</v>
      </c>
      <c r="I20" s="23">
        <f>[1]!thsiFinD("ths_pe_ttm_uss",C$6,$A20,100)</f>
        <v>15.384135058355</v>
      </c>
      <c r="J20" s="23">
        <f>[1]!thsiFinD("ths_pe_ttm_uss",D$6,$A20,100)</f>
        <v>17.445177043177999</v>
      </c>
      <c r="K20" s="23">
        <f>[1]!thsiFinD("ths_pe_ttm_uss",E$6,$A20,100)</f>
        <v>10.497498847318999</v>
      </c>
      <c r="L20" s="23">
        <f>[1]!thsiFinD("ths_pe_ttm_uss",F$6,$A20,100)</f>
        <v>28.864675431917998</v>
      </c>
      <c r="M20" s="23">
        <f>[1]!thsiFinD("ths_pe_ttm_uss",G$6,$A20,100)</f>
        <v>7.3235472972973001</v>
      </c>
      <c r="N20" s="26">
        <f>[1]!thsiFinD("ths_ev2_to_ebitda_usk",N$6,$A20)</f>
        <v>5.6101008985470999</v>
      </c>
      <c r="O20" s="26">
        <f>[1]!thsiFinD("ths_ev2_to_ebitda_usk",O$6,$A20)</f>
        <v>7.2957515041342003</v>
      </c>
      <c r="P20" s="26">
        <f>[1]!thsiFinD("ths_ev2_to_ebitda_usk",P$6,$A20)</f>
        <v>6.6717757036292999</v>
      </c>
      <c r="Q20" s="26">
        <f>[1]!thsiFinD("ths_ev2_to_ebitda_usk",Q$6,$A20)</f>
        <v>5.4472309828089003</v>
      </c>
      <c r="R20" s="26">
        <f>[1]!thsiFinD("ths_ev2_to_ebitda_usk",R$6,$A20)</f>
        <v>2.6713039753643</v>
      </c>
      <c r="S20" s="26">
        <f>[1]!thsiFinD("ths_ev2_to_ebitda_usk",S$6,$A20)</f>
        <v>4.4635633953675002</v>
      </c>
      <c r="T20" s="27">
        <f>[1]!thsiFinD("ths_pb_mrq_usk",T$6,$A20)</f>
        <v>2.4997465541291999</v>
      </c>
      <c r="U20" s="27">
        <f>[1]!thsiFinD("ths_pb_mrq_usk",U$6,$A20)</f>
        <v>1.9302337801072</v>
      </c>
      <c r="V20" s="27">
        <f>[1]!thsiFinD("ths_pb_mrq_usk",V$6,$A20)</f>
        <v>1.8629914998351</v>
      </c>
      <c r="W20" s="27">
        <f>[1]!thsiFinD("ths_pb_mrq_usk",W$6,$A20)</f>
        <v>2.5343931077927002</v>
      </c>
      <c r="X20" s="27">
        <f>[1]!thsiFinD("ths_pb_mrq_usk",X$6,$A20)</f>
        <v>1.2071103430093999</v>
      </c>
      <c r="Y20" s="27">
        <f>[1]!thsiFinD("ths_pb_mrq_usk",Y$6,$A20)</f>
        <v>1.7461199831897001</v>
      </c>
      <c r="Z20" s="28">
        <f>[1]!thsiFinD("ths_ps_ttm_uss",Z$6,$A20,100)</f>
        <v>2.1676522063613</v>
      </c>
      <c r="AA20" s="28">
        <f>[1]!thsiFinD("ths_ps_ttm_uss",AA$6,$A20,100)</f>
        <v>1.4791466876648001</v>
      </c>
      <c r="AB20" s="28">
        <f>[1]!thsiFinD("ths_ps_ttm_uss",AB$6,$A20,100)</f>
        <v>1.4715999224117999</v>
      </c>
      <c r="AC20" s="28">
        <f>[1]!thsiFinD("ths_ps_ttm_uss",AC$6,$A20,100)</f>
        <v>3.0630217315022001</v>
      </c>
      <c r="AD20" s="28">
        <f>[1]!thsiFinD("ths_ps_ttm_uss",AD$6,$A20,100)</f>
        <v>0.39297601578856001</v>
      </c>
      <c r="AE20" s="28">
        <f>[1]!thsiFinD("ths_ps_ttm_uss",AE$6,$A20,100)</f>
        <v>1.5896795689325001</v>
      </c>
      <c r="AF20" s="29">
        <v>68</v>
      </c>
      <c r="AG20" s="30">
        <v>4.0804999999999998</v>
      </c>
      <c r="AH20" s="31">
        <v>724.05596000000003</v>
      </c>
      <c r="AI20" s="31">
        <v>11446.16351</v>
      </c>
      <c r="AJ20" s="44">
        <f>[1]!thsiFinD("ths_right_value_usk",AJ$6,$A20,"USD")/1000000</f>
        <v>124689.85786652</v>
      </c>
      <c r="AK20" s="44">
        <f>[1]!thsiFinD("ths_right_value_usk",AK$6,$A20,"USD")/1000000</f>
        <v>518445.35146655998</v>
      </c>
      <c r="AL20" s="44">
        <f>[1]!thsiFinD("ths_right_value_usk",AL$6,$A20,"USD")/1000000</f>
        <v>291002.99825725</v>
      </c>
      <c r="AM20" s="44">
        <f>[1]!thsiFinD("ths_right_value_usk",AM$6,$A20,"USD")/1000000</f>
        <v>74952.141769859998</v>
      </c>
      <c r="AN20" s="44">
        <f>[1]!thsiFinD("ths_right_value_usk",AN$6,$A20,"USD")/1000000</f>
        <v>78252.135095928999</v>
      </c>
      <c r="AO20" s="44">
        <f>[1]!thsiFinD("ths_right_value_usk",AO$6,$A20,"USD")/1000000</f>
        <v>24929.355</v>
      </c>
      <c r="AP20" s="44">
        <f>[1]!thsiFinD("ths_ev2_usk",AP$6,$A20,"USD")/1000000</f>
        <v>137772.85786651997</v>
      </c>
      <c r="AQ20" s="44">
        <f>[1]!thsiFinD("ths_ev2_usk",AQ$6,$A20,"USD")/1000000</f>
        <v>541877.35146656004</v>
      </c>
      <c r="AR20" s="44">
        <f>[1]!thsiFinD("ths_ev2_usk",AR$6,$A20,"USD")/1000000</f>
        <v>312972.99825725</v>
      </c>
      <c r="AS20" s="44">
        <f>[1]!thsiFinD("ths_ev2_usk",AS$6,$A20,"USD")/1000000</f>
        <v>72606.141769859998</v>
      </c>
      <c r="AT20" s="44">
        <f>[1]!thsiFinD("ths_ev2_usk",AT$6,$A20,"USD")/1000000</f>
        <v>116247.13509592999</v>
      </c>
      <c r="AU20" s="44">
        <f>[1]!thsiFinD("ths_ev2_usk",AU$6,$A20,"USD")/1000000</f>
        <v>33338.355000000003</v>
      </c>
    </row>
    <row r="21" spans="1:47" x14ac:dyDescent="0.45">
      <c r="A21" s="3">
        <f>_xll.ciqfunctions.udf.CIQ("COP", "IQ_PRICEDATE", "10/31/2024")</f>
        <v>45596</v>
      </c>
      <c r="B21" s="13">
        <v>106.1182</v>
      </c>
      <c r="C21" s="13">
        <v>111.72767</v>
      </c>
      <c r="D21" s="13">
        <v>142.36303000000001</v>
      </c>
      <c r="E21" s="13">
        <v>117.88336</v>
      </c>
      <c r="F21" s="13">
        <v>27.279</v>
      </c>
      <c r="G21" s="13">
        <v>37.62941</v>
      </c>
      <c r="H21" s="23">
        <f>[1]!thsiFinD("ths_pe_ttm_uss",B$6,$A21,100)</f>
        <v>12.675543217386</v>
      </c>
      <c r="I21" s="23">
        <f>[1]!thsiFinD("ths_pe_ttm_uss",C$6,$A21,100)</f>
        <v>15.230241540477</v>
      </c>
      <c r="J21" s="23">
        <f>[1]!thsiFinD("ths_pe_ttm_uss",D$6,$A21,100)</f>
        <v>16.032799651489999</v>
      </c>
      <c r="K21" s="23">
        <f>[1]!thsiFinD("ths_pe_ttm_uss",E$6,$A21,100)</f>
        <v>9.6073462360728001</v>
      </c>
      <c r="L21" s="23">
        <f>[1]!thsiFinD("ths_pe_ttm_uss",F$6,$A21,100)</f>
        <v>29.076321988722</v>
      </c>
      <c r="M21" s="23">
        <f>[1]!thsiFinD("ths_pe_ttm_uss",G$6,$A21,100)</f>
        <v>7.4644218566392002</v>
      </c>
      <c r="N21" s="26">
        <f>[1]!thsiFinD("ths_ev2_to_ebitda_usk",N$6,$A21)</f>
        <v>5.6663389868931002</v>
      </c>
      <c r="O21" s="26">
        <f>[1]!thsiFinD("ths_ev2_to_ebitda_usk",O$6,$A21)</f>
        <v>7.2259251668045996</v>
      </c>
      <c r="P21" s="26">
        <f>[1]!thsiFinD("ths_ev2_to_ebitda_usk",P$6,$A21)</f>
        <v>6.1695402043594001</v>
      </c>
      <c r="Q21" s="26">
        <f>[1]!thsiFinD("ths_ev2_to_ebitda_usk",Q$6,$A21)</f>
        <v>4.970399289186</v>
      </c>
      <c r="R21" s="26">
        <f>[1]!thsiFinD("ths_ev2_to_ebitda_usk",R$6,$A21)</f>
        <v>2.6844890252412998</v>
      </c>
      <c r="S21" s="26">
        <f>[1]!thsiFinD("ths_ev2_to_ebitda_usk",S$6,$A21)</f>
        <v>4.5277670370866003</v>
      </c>
      <c r="T21" s="27">
        <f>[1]!thsiFinD("ths_pb_mrq_usk",T$6,$A21)</f>
        <v>2.5274343505567001</v>
      </c>
      <c r="U21" s="27">
        <f>[1]!thsiFinD("ths_pb_mrq_usk",U$6,$A21)</f>
        <v>1.9109248969220001</v>
      </c>
      <c r="V21" s="27">
        <f>[1]!thsiFinD("ths_pb_mrq_usk",V$6,$A21)</f>
        <v>1.7121620144844001</v>
      </c>
      <c r="W21" s="27">
        <f>[1]!thsiFinD("ths_pb_mrq_usk",W$6,$A21)</f>
        <v>2.3194850924988</v>
      </c>
      <c r="X21" s="27">
        <f>[1]!thsiFinD("ths_pb_mrq_usk",X$6,$A21)</f>
        <v>1.2159613258788999</v>
      </c>
      <c r="Y21" s="27">
        <f>[1]!thsiFinD("ths_pb_mrq_usk",Y$6,$A21)</f>
        <v>1.7797080619178001</v>
      </c>
      <c r="Z21" s="28">
        <f>[1]!thsiFinD("ths_ps_ttm_uss",Z$6,$A21,100)</f>
        <v>2.1916616456046998</v>
      </c>
      <c r="AA21" s="28">
        <f>[1]!thsiFinD("ths_ps_ttm_uss",AA$6,$A21,100)</f>
        <v>1.4643502050313</v>
      </c>
      <c r="AB21" s="28">
        <f>[1]!thsiFinD("ths_ps_ttm_uss",AB$6,$A21,100)</f>
        <v>1.3524578549579001</v>
      </c>
      <c r="AC21" s="28">
        <f>[1]!thsiFinD("ths_ps_ttm_uss",AC$6,$A21,100)</f>
        <v>2.8032877860875001</v>
      </c>
      <c r="AD21" s="28">
        <f>[1]!thsiFinD("ths_ps_ttm_uss",AD$6,$A21,100)</f>
        <v>0.39585746238042002</v>
      </c>
      <c r="AE21" s="28">
        <f>[1]!thsiFinD("ths_ps_ttm_uss",AE$6,$A21,100)</f>
        <v>1.6202583854099999</v>
      </c>
      <c r="AF21" s="29">
        <v>69.260000000000005</v>
      </c>
      <c r="AG21" s="30">
        <v>4.34</v>
      </c>
      <c r="AH21" s="31">
        <v>681.25207</v>
      </c>
      <c r="AI21" s="31">
        <v>10815.803599999999</v>
      </c>
      <c r="AJ21" s="44">
        <f>[1]!thsiFinD("ths_right_value_usk",AJ$6,$A21,"USD")/1000000</f>
        <v>126070.95284011999</v>
      </c>
      <c r="AK21" s="44">
        <f>[1]!thsiFinD("ths_right_value_usk",AK$6,$A21,"USD")/1000000</f>
        <v>513259.13991408003</v>
      </c>
      <c r="AL21" s="44">
        <f>[1]!thsiFinD("ths_right_value_usk",AL$6,$A21,"USD")/1000000</f>
        <v>267443.13098650001</v>
      </c>
      <c r="AM21" s="44">
        <f>[1]!thsiFinD("ths_right_value_usk",AM$6,$A21,"USD")/1000000</f>
        <v>68596.452125559998</v>
      </c>
      <c r="AN21" s="44">
        <f>[1]!thsiFinD("ths_right_value_usk",AN$6,$A21,"USD")/1000000</f>
        <v>78825.908911425999</v>
      </c>
      <c r="AO21" s="44">
        <f>[1]!thsiFinD("ths_right_value_usk",AO$6,$A21,"USD")/1000000</f>
        <v>25408.892</v>
      </c>
      <c r="AP21" s="44">
        <f>[1]!thsiFinD("ths_ev2_usk",AP$6,$A21,"USD")/1000000</f>
        <v>139153.95284012001</v>
      </c>
      <c r="AQ21" s="44">
        <f>[1]!thsiFinD("ths_ev2_usk",AQ$6,$A21,"USD")/1000000</f>
        <v>536691.13991408003</v>
      </c>
      <c r="AR21" s="44">
        <f>[1]!thsiFinD("ths_ev2_usk",AR$6,$A21,"USD")/1000000</f>
        <v>289413.13098650001</v>
      </c>
      <c r="AS21" s="44">
        <f>[1]!thsiFinD("ths_ev2_usk",AS$6,$A21,"USD")/1000000</f>
        <v>66250.452125559998</v>
      </c>
      <c r="AT21" s="44">
        <f>[1]!thsiFinD("ths_ev2_usk",AT$6,$A21,"USD")/1000000</f>
        <v>116820.90891142999</v>
      </c>
      <c r="AU21" s="44">
        <f>[1]!thsiFinD("ths_ev2_usk",AU$6,$A21,"USD")/1000000</f>
        <v>33817.892</v>
      </c>
    </row>
    <row r="22" spans="1:47" x14ac:dyDescent="0.45">
      <c r="A22" s="3">
        <f>_xll.ciqfunctions.udf.CIQ("COP", "IQ_PRICEDATE", "9/30/2024")</f>
        <v>45565</v>
      </c>
      <c r="B22" s="13">
        <v>101.99128</v>
      </c>
      <c r="C22" s="13">
        <v>112.14863</v>
      </c>
      <c r="D22" s="13">
        <v>140.88028</v>
      </c>
      <c r="E22" s="13">
        <v>117.97194</v>
      </c>
      <c r="F22" s="13">
        <v>29.165120000000002</v>
      </c>
      <c r="G22" s="13">
        <v>38.057459999999999</v>
      </c>
      <c r="H22" s="23">
        <f>[1]!thsiFinD("ths_pe_ttm_uss",B$6,$A22,100)</f>
        <v>12.182592568253</v>
      </c>
      <c r="I22" s="23">
        <f>[1]!thsiFinD("ths_pe_ttm_uss",C$6,$A22,100)</f>
        <v>15.287625564093</v>
      </c>
      <c r="J22" s="23">
        <f>[1]!thsiFinD("ths_pe_ttm_uss",D$6,$A22,100)</f>
        <v>15.865813766125999</v>
      </c>
      <c r="K22" s="23">
        <f>[1]!thsiFinD("ths_pe_ttm_uss",E$6,$A22,100)</f>
        <v>9.7228046969468007</v>
      </c>
      <c r="L22" s="23">
        <f>[1]!thsiFinD("ths_pe_ttm_uss",F$6,$A22,100)</f>
        <v>31.383501604222001</v>
      </c>
      <c r="M22" s="23">
        <f>[1]!thsiFinD("ths_pe_ttm_uss",G$6,$A22,100)</f>
        <v>7.5649510260634996</v>
      </c>
      <c r="N22" s="26">
        <f>[1]!thsiFinD("ths_ev2_to_ebitda_usk",N$6,$A22)</f>
        <v>5.4666937732649004</v>
      </c>
      <c r="O22" s="26">
        <f>[1]!thsiFinD("ths_ev2_to_ebitda_usk",O$6,$A22)</f>
        <v>7.2519621061479</v>
      </c>
      <c r="P22" s="26">
        <f>[1]!thsiFinD("ths_ev2_to_ebitda_usk",P$6,$A22)</f>
        <v>6.1101607212267997</v>
      </c>
      <c r="Q22" s="26">
        <f>[1]!thsiFinD("ths_ev2_to_ebitda_usk",Q$6,$A22)</f>
        <v>5.0322473956186</v>
      </c>
      <c r="R22" s="26">
        <f>[1]!thsiFinD("ths_ev2_to_ebitda_usk",R$6,$A22)</f>
        <v>2.8282205310349</v>
      </c>
      <c r="S22" s="26">
        <f>[1]!thsiFinD("ths_ev2_to_ebitda_usk",S$6,$A22)</f>
        <v>4.5735832497951998</v>
      </c>
      <c r="T22" s="27">
        <f>[1]!thsiFinD("ths_pb_mrq_usk",T$6,$A22)</f>
        <v>2.4291426732391002</v>
      </c>
      <c r="U22" s="27">
        <f>[1]!thsiFinD("ths_pb_mrq_usk",U$6,$A22)</f>
        <v>1.9181248194656999</v>
      </c>
      <c r="V22" s="27">
        <f>[1]!thsiFinD("ths_pb_mrq_usk",V$6,$A22)</f>
        <v>1.6943293903583001</v>
      </c>
      <c r="W22" s="27">
        <f>[1]!thsiFinD("ths_pb_mrq_usk",W$6,$A22)</f>
        <v>2.3473600303036002</v>
      </c>
      <c r="X22" s="27">
        <f>[1]!thsiFinD("ths_pb_mrq_usk",X$6,$A22)</f>
        <v>1.3124467474323001</v>
      </c>
      <c r="Y22" s="27">
        <f>[1]!thsiFinD("ths_pb_mrq_usk",Y$6,$A22)</f>
        <v>1.8036767733221</v>
      </c>
      <c r="Z22" s="28">
        <f>[1]!thsiFinD("ths_ps_ttm_uss",Z$6,$A22,100)</f>
        <v>2.1064281362905</v>
      </c>
      <c r="AA22" s="28">
        <f>[1]!thsiFinD("ths_ps_ttm_uss",AA$6,$A22,100)</f>
        <v>1.4698675375387</v>
      </c>
      <c r="AB22" s="28">
        <f>[1]!thsiFinD("ths_ps_ttm_uss",AB$6,$A22,100)</f>
        <v>1.3383716456098</v>
      </c>
      <c r="AC22" s="28">
        <f>[1]!thsiFinD("ths_ps_ttm_uss",AC$6,$A22,100)</f>
        <v>2.8369769324152001</v>
      </c>
      <c r="AD22" s="28">
        <f>[1]!thsiFinD("ths_ps_ttm_uss",AD$6,$A22,100)</f>
        <v>0.42726839077093998</v>
      </c>
      <c r="AE22" s="28">
        <f>[1]!thsiFinD("ths_ps_ttm_uss",AE$6,$A22,100)</f>
        <v>1.6420796641194</v>
      </c>
      <c r="AF22" s="29">
        <v>68.17</v>
      </c>
      <c r="AG22" s="30">
        <v>4.5529999999999999</v>
      </c>
      <c r="AH22" s="31">
        <v>676.47312999999997</v>
      </c>
      <c r="AI22" s="31">
        <v>10917.52729</v>
      </c>
      <c r="AJ22" s="44">
        <f>[1]!thsiFinD("ths_right_value_usk",AJ$6,$A22,"USD")/1000000</f>
        <v>121168.06568384</v>
      </c>
      <c r="AK22" s="44">
        <f>[1]!thsiFinD("ths_right_value_usk",AK$6,$A22,"USD")/1000000</f>
        <v>515192.98150991998</v>
      </c>
      <c r="AL22" s="44">
        <f>[1]!thsiFinD("ths_right_value_usk",AL$6,$A22,"USD")/1000000</f>
        <v>264657.63943275</v>
      </c>
      <c r="AM22" s="44">
        <f>[1]!thsiFinD("ths_right_value_usk",AM$6,$A22,"USD")/1000000</f>
        <v>69420.825536199991</v>
      </c>
      <c r="AN22" s="44">
        <f>[1]!thsiFinD("ths_right_value_usk",AN$6,$A22,"USD")/1000000</f>
        <v>85080.672849045004</v>
      </c>
      <c r="AO22" s="44">
        <f>[1]!thsiFinD("ths_right_value_usk",AO$6,$A22,"USD")/1000000</f>
        <v>25751.093292720001</v>
      </c>
      <c r="AP22" s="44">
        <f>[1]!thsiFinD("ths_ev2_usk",AP$6,$A22,"USD")/1000000</f>
        <v>134251.06568383999</v>
      </c>
      <c r="AQ22" s="44">
        <f>[1]!thsiFinD("ths_ev2_usk",AQ$6,$A22,"USD")/1000000</f>
        <v>538624.98150991998</v>
      </c>
      <c r="AR22" s="44">
        <f>[1]!thsiFinD("ths_ev2_usk",AR$6,$A22,"USD")/1000000</f>
        <v>286627.63943275</v>
      </c>
      <c r="AS22" s="44">
        <f>[1]!thsiFinD("ths_ev2_usk",AS$6,$A22,"USD")/1000000</f>
        <v>67074.825536199991</v>
      </c>
      <c r="AT22" s="44">
        <f>[1]!thsiFinD("ths_ev2_usk",AT$6,$A22,"USD")/1000000</f>
        <v>123075.67284904</v>
      </c>
      <c r="AU22" s="44">
        <f>[1]!thsiFinD("ths_ev2_usk",AU$6,$A22,"USD")/1000000</f>
        <v>34160.093292720005</v>
      </c>
    </row>
    <row r="23" spans="1:47" x14ac:dyDescent="0.45">
      <c r="A23" s="3">
        <f>_xll.ciqfunctions.udf.CIQ("COP", "IQ_PRICEDATE", "8/30/2024")</f>
        <v>45534</v>
      </c>
      <c r="B23" s="13">
        <v>110.23544</v>
      </c>
      <c r="C23" s="13">
        <v>112.83748</v>
      </c>
      <c r="D23" s="13">
        <v>141.53077999999999</v>
      </c>
      <c r="E23" s="13">
        <v>123.62439000000001</v>
      </c>
      <c r="F23" s="13">
        <v>31.552959999999999</v>
      </c>
      <c r="G23" s="13">
        <v>43.08464</v>
      </c>
      <c r="H23" s="23">
        <f>[1]!thsiFinD("ths_pe_ttm_uss",B$6,$A23,100)</f>
        <v>12.366739691539999</v>
      </c>
      <c r="I23" s="23">
        <f>[1]!thsiFinD("ths_pe_ttm_uss",C$6,$A23,100)</f>
        <v>15.339196921698001</v>
      </c>
      <c r="J23" s="23">
        <f>[1]!thsiFinD("ths_pe_ttm_uss",D$6,$A23,100)</f>
        <v>14.454502503651</v>
      </c>
      <c r="K23" s="23">
        <f>[1]!thsiFinD("ths_pe_ttm_uss",E$6,$A23,100)</f>
        <v>9.7701743012164997</v>
      </c>
      <c r="L23" s="23">
        <f>[1]!thsiFinD("ths_pe_ttm_uss",F$6,$A23,100)</f>
        <v>12.594078109464</v>
      </c>
      <c r="M23" s="23">
        <f>[1]!thsiFinD("ths_pe_ttm_uss",G$6,$A23,100)</f>
        <v>8.0072061679040996</v>
      </c>
      <c r="N23" s="26">
        <f>[1]!thsiFinD("ths_ev2_to_ebitda_usk",N$6,$A23)</f>
        <v>5.9531156284754001</v>
      </c>
      <c r="O23" s="26">
        <f>[1]!thsiFinD("ths_ev2_to_ebitda_usk",O$6,$A23)</f>
        <v>7.3859136812193</v>
      </c>
      <c r="P23" s="26">
        <f>[1]!thsiFinD("ths_ev2_to_ebitda_usk",P$6,$A23)</f>
        <v>6.1989828793081996</v>
      </c>
      <c r="Q23" s="26">
        <f>[1]!thsiFinD("ths_ev2_to_ebitda_usk",Q$6,$A23)</f>
        <v>5.3717455725276002</v>
      </c>
      <c r="R23" s="26">
        <f>[1]!thsiFinD("ths_ev2_to_ebitda_usk",R$6,$A23)</f>
        <v>2.9413837608286002</v>
      </c>
      <c r="S23" s="26">
        <f>[1]!thsiFinD("ths_ev2_to_ebitda_usk",S$6,$A23)</f>
        <v>4.4437322265364001</v>
      </c>
      <c r="T23" s="27">
        <f>[1]!thsiFinD("ths_pb_mrq_usk",T$6,$A23)</f>
        <v>2.6563195015399002</v>
      </c>
      <c r="U23" s="27">
        <f>[1]!thsiFinD("ths_pb_mrq_usk",U$6,$A23)</f>
        <v>1.952225058569</v>
      </c>
      <c r="V23" s="27">
        <f>[1]!thsiFinD("ths_pb_mrq_usk",V$6,$A23)</f>
        <v>1.6993229221854</v>
      </c>
      <c r="W23" s="27">
        <f>[1]!thsiFinD("ths_pb_mrq_usk",W$6,$A23)</f>
        <v>2.5119858958201999</v>
      </c>
      <c r="X23" s="27">
        <f>[1]!thsiFinD("ths_pb_mrq_usk",X$6,$A23)</f>
        <v>1.3835371974215001</v>
      </c>
      <c r="Y23" s="27">
        <f>[1]!thsiFinD("ths_pb_mrq_usk",Y$6,$A23)</f>
        <v>2.2341834116802999</v>
      </c>
      <c r="Z23" s="28">
        <f>[1]!thsiFinD("ths_ps_ttm_uss",Z$6,$A23,100)</f>
        <v>2.2478287591069002</v>
      </c>
      <c r="AA23" s="28">
        <f>[1]!thsiFinD("ths_ps_ttm_uss",AA$6,$A23,100)</f>
        <v>1.4917905828241</v>
      </c>
      <c r="AB23" s="28">
        <f>[1]!thsiFinD("ths_ps_ttm_uss",AB$6,$A23,100)</f>
        <v>1.3451596855607999</v>
      </c>
      <c r="AC23" s="28">
        <f>[1]!thsiFinD("ths_ps_ttm_uss",AC$6,$A23,100)</f>
        <v>2.9634258500716002</v>
      </c>
      <c r="AD23" s="28">
        <f>[1]!thsiFinD("ths_ps_ttm_uss",AD$6,$A23,100)</f>
        <v>0.45275542626679</v>
      </c>
      <c r="AE23" s="28">
        <f>[1]!thsiFinD("ths_ps_ttm_uss",AE$6,$A23,100)</f>
        <v>1.8098125726087999</v>
      </c>
      <c r="AF23" s="29">
        <v>73.55</v>
      </c>
      <c r="AG23" s="30">
        <v>4.1669999999999998</v>
      </c>
      <c r="AH23" s="31">
        <v>695.86130000000003</v>
      </c>
      <c r="AI23" s="31">
        <v>10692.87723</v>
      </c>
      <c r="AJ23" s="44">
        <f>[1]!thsiFinD("ths_right_value_usk",AJ$6,$A23,"USD")/1000000</f>
        <v>132138.61360410001</v>
      </c>
      <c r="AK23" s="44">
        <f>[1]!thsiFinD("ths_right_value_usk",AK$6,$A23,"USD")/1000000</f>
        <v>523986.96684519999</v>
      </c>
      <c r="AL23" s="44">
        <f>[1]!thsiFinD("ths_right_value_usk",AL$6,$A23,"USD")/1000000</f>
        <v>270588.28686835</v>
      </c>
      <c r="AM23" s="44">
        <f>[1]!thsiFinD("ths_right_value_usk",AM$6,$A23,"USD")/1000000</f>
        <v>73246.996736219997</v>
      </c>
      <c r="AN23" s="44">
        <f>[1]!thsiFinD("ths_right_value_usk",AN$6,$A23,"USD")/1000000</f>
        <v>92730.197119980003</v>
      </c>
      <c r="AO23" s="44">
        <f>[1]!thsiFinD("ths_right_value_usk",AO$6,$A23,"USD")/1000000</f>
        <v>28041.236000000001</v>
      </c>
      <c r="AP23" s="44">
        <f>[1]!thsiFinD("ths_ev2_usk",AP$6,$A23,"USD")/1000000</f>
        <v>146196.61360410001</v>
      </c>
      <c r="AQ23" s="44">
        <f>[1]!thsiFinD("ths_ev2_usk",AQ$6,$A23,"USD")/1000000</f>
        <v>548573.96684520005</v>
      </c>
      <c r="AR23" s="44">
        <f>[1]!thsiFinD("ths_ev2_usk",AR$6,$A23,"USD")/1000000</f>
        <v>290794.28686835</v>
      </c>
      <c r="AS23" s="44">
        <f>[1]!thsiFinD("ths_ev2_usk",AS$6,$A23,"USD")/1000000</f>
        <v>71599.996736219997</v>
      </c>
      <c r="AT23" s="44">
        <f>[1]!thsiFinD("ths_ev2_usk",AT$6,$A23,"USD")/1000000</f>
        <v>128000.19711998</v>
      </c>
      <c r="AU23" s="44">
        <f>[1]!thsiFinD("ths_ev2_usk",AU$6,$A23,"USD")/1000000</f>
        <v>33190.235999999997</v>
      </c>
    </row>
    <row r="24" spans="1:47" x14ac:dyDescent="0.45">
      <c r="A24" s="3">
        <f>_xll.ciqfunctions.udf.CIQ("COP", "IQ_PRICEDATE", "7/31/2024")</f>
        <v>45504</v>
      </c>
      <c r="B24" s="13">
        <v>106.95269</v>
      </c>
      <c r="C24" s="13">
        <v>112.55321000000001</v>
      </c>
      <c r="D24" s="13">
        <v>151.80852999999999</v>
      </c>
      <c r="E24" s="13">
        <v>121.68586000000001</v>
      </c>
      <c r="F24" s="13">
        <v>32.415370000000003</v>
      </c>
      <c r="G24" s="13">
        <v>45.249459999999999</v>
      </c>
      <c r="H24" s="23">
        <f>[1]!thsiFinD("ths_pe_ttm_uss",B$6,$A24,100)</f>
        <v>12.085257524379999</v>
      </c>
      <c r="I24" s="23">
        <f>[1]!thsiFinD("ths_pe_ttm_uss",C$6,$A24,100)</f>
        <v>15.423735483671001</v>
      </c>
      <c r="J24" s="23">
        <f>[1]!thsiFinD("ths_pe_ttm_uss",D$6,$A24,100)</f>
        <v>15.677688521534</v>
      </c>
      <c r="K24" s="23">
        <f>[1]!thsiFinD("ths_pe_ttm_uss",E$6,$A24,100)</f>
        <v>9.6169702017873995</v>
      </c>
      <c r="L24" s="23">
        <f>[1]!thsiFinD("ths_pe_ttm_uss",F$6,$A24,100)</f>
        <v>13.205879587164</v>
      </c>
      <c r="M24" s="23">
        <f>[1]!thsiFinD("ths_pe_ttm_uss",G$6,$A24,100)</f>
        <v>8.4095334094803</v>
      </c>
      <c r="N24" s="26">
        <f>[1]!thsiFinD("ths_ev2_to_ebitda_usk",N$6,$A24)</f>
        <v>5.8306448671715998</v>
      </c>
      <c r="O24" s="26">
        <f>[1]!thsiFinD("ths_ev2_to_ebitda_usk",O$6,$A24)</f>
        <v>7.4247950684933004</v>
      </c>
      <c r="P24" s="26">
        <f>[1]!thsiFinD("ths_ev2_to_ebitda_usk",P$6,$A24)</f>
        <v>6.6871099791752</v>
      </c>
      <c r="Q24" s="26">
        <f>[1]!thsiFinD("ths_ev2_to_ebitda_usk",Q$6,$A24)</f>
        <v>5.2855747319979001</v>
      </c>
      <c r="R24" s="26">
        <f>[1]!thsiFinD("ths_ev2_to_ebitda_usk",R$6,$A24)</f>
        <v>3.0448994967548999</v>
      </c>
      <c r="S24" s="26">
        <f>[1]!thsiFinD("ths_ev2_to_ebitda_usk",S$6,$A24)</f>
        <v>4.6323719373410004</v>
      </c>
      <c r="T24" s="27">
        <f>[1]!thsiFinD("ths_pb_mrq_usk",T$6,$A24)</f>
        <v>2.5958584108554001</v>
      </c>
      <c r="U24" s="27">
        <f>[1]!thsiFinD("ths_pb_mrq_usk",U$6,$A24)</f>
        <v>1.9629843114778001</v>
      </c>
      <c r="V24" s="27">
        <f>[1]!thsiFinD("ths_pb_mrq_usk",V$6,$A24)</f>
        <v>1.8431250376688</v>
      </c>
      <c r="W24" s="27">
        <f>[1]!thsiFinD("ths_pb_mrq_usk",W$6,$A24)</f>
        <v>2.4725959601769998</v>
      </c>
      <c r="X24" s="27">
        <f>[1]!thsiFinD("ths_pb_mrq_usk",X$6,$A24)</f>
        <v>1.4507473651272</v>
      </c>
      <c r="Y24" s="27">
        <f>[1]!thsiFinD("ths_pb_mrq_usk",Y$6,$A24)</f>
        <v>2.3464413990917001</v>
      </c>
      <c r="Z24" s="28">
        <f>[1]!thsiFinD("ths_ps_ttm_uss",Z$6,$A24,100)</f>
        <v>2.1966654188654</v>
      </c>
      <c r="AA24" s="28">
        <f>[1]!thsiFinD("ths_ps_ttm_uss",AA$6,$A24,100)</f>
        <v>1.5000122538333001</v>
      </c>
      <c r="AB24" s="28">
        <f>[1]!thsiFinD("ths_ps_ttm_uss",AB$6,$A24,100)</f>
        <v>1.4589913804795001</v>
      </c>
      <c r="AC24" s="28">
        <f>[1]!thsiFinD("ths_ps_ttm_uss",AC$6,$A24,100)</f>
        <v>2.9169569770927</v>
      </c>
      <c r="AD24" s="28">
        <f>[1]!thsiFinD("ths_ps_ttm_uss",AD$6,$A24,100)</f>
        <v>0.47474960769231001</v>
      </c>
      <c r="AE24" s="28">
        <f>[1]!thsiFinD("ths_ps_ttm_uss",AE$6,$A24,100)</f>
        <v>1.9007477733316001</v>
      </c>
      <c r="AF24" s="29">
        <v>77.91</v>
      </c>
      <c r="AG24" s="30">
        <v>4.1764999999999999</v>
      </c>
      <c r="AH24" s="31">
        <v>712.41810999999996</v>
      </c>
      <c r="AI24" s="31">
        <v>10444.00029</v>
      </c>
      <c r="AJ24" s="44">
        <f>[1]!thsiFinD("ths_right_value_usk",AJ$6,$A24,"USD")/1000000</f>
        <v>129130.976648</v>
      </c>
      <c r="AK24" s="44">
        <f>[1]!thsiFinD("ths_right_value_usk",AK$6,$A24,"USD")/1000000</f>
        <v>526874.8041222</v>
      </c>
      <c r="AL24" s="44">
        <f>[1]!thsiFinD("ths_right_value_usk",AL$6,$A24,"USD")/1000000</f>
        <v>293486.32912310999</v>
      </c>
      <c r="AM24" s="44">
        <f>[1]!thsiFinD("ths_right_value_usk",AM$6,$A24,"USD")/1000000</f>
        <v>72098.425602800009</v>
      </c>
      <c r="AN24" s="44">
        <f>[1]!thsiFinD("ths_right_value_usk",AN$6,$A24,"USD")/1000000</f>
        <v>97234.891400285007</v>
      </c>
      <c r="AO24" s="44">
        <f>[1]!thsiFinD("ths_right_value_usk",AO$6,$A24,"USD")/1000000</f>
        <v>29450.186000000002</v>
      </c>
      <c r="AP24" s="44">
        <f>[1]!thsiFinD("ths_ev2_usk",AP$6,$A24,"USD")/1000000</f>
        <v>143188.97664800001</v>
      </c>
      <c r="AQ24" s="44">
        <f>[1]!thsiFinD("ths_ev2_usk",AQ$6,$A24,"USD")/1000000</f>
        <v>551461.8041222</v>
      </c>
      <c r="AR24" s="44">
        <f>[1]!thsiFinD("ths_ev2_usk",AR$6,$A24,"USD")/1000000</f>
        <v>313692.32912310999</v>
      </c>
      <c r="AS24" s="44">
        <f>[1]!thsiFinD("ths_ev2_usk",AS$6,$A24,"USD")/1000000</f>
        <v>70451.425602800009</v>
      </c>
      <c r="AT24" s="44">
        <f>[1]!thsiFinD("ths_ev2_usk",AT$6,$A24,"USD")/1000000</f>
        <v>132504.89140028998</v>
      </c>
      <c r="AU24" s="44">
        <f>[1]!thsiFinD("ths_ev2_usk",AU$6,$A24,"USD")/1000000</f>
        <v>34599.186000000002</v>
      </c>
    </row>
    <row r="25" spans="1:47" x14ac:dyDescent="0.45">
      <c r="A25" s="3">
        <f>_xll.ciqfunctions.udf.CIQ("COP", "IQ_PRICEDATE", "6/28/2024")</f>
        <v>45471</v>
      </c>
      <c r="B25" s="13">
        <v>110.01123</v>
      </c>
      <c r="C25" s="13">
        <v>109.25985</v>
      </c>
      <c r="D25" s="13">
        <v>147.97712999999999</v>
      </c>
      <c r="E25" s="13">
        <v>119.95759</v>
      </c>
      <c r="F25" s="13">
        <v>33.065689999999996</v>
      </c>
      <c r="G25" s="13">
        <v>45.605449999999998</v>
      </c>
      <c r="H25" s="23">
        <f>[1]!thsiFinD("ths_pe_ttm_uss",B$6,$A25,100)</f>
        <v>12.577758868609999</v>
      </c>
      <c r="I25" s="23">
        <f>[1]!thsiFinD("ths_pe_ttm_uss",C$6,$A25,100)</f>
        <v>13.838992390668</v>
      </c>
      <c r="J25" s="23">
        <f>[1]!thsiFinD("ths_pe_ttm_uss",D$6,$A25,100)</f>
        <v>14.203624368228001</v>
      </c>
      <c r="K25" s="23">
        <f>[1]!thsiFinD("ths_pe_ttm_uss",E$6,$A25,100)</f>
        <v>9.8286446989375005</v>
      </c>
      <c r="L25" s="23">
        <f>[1]!thsiFinD("ths_pe_ttm_uss",F$6,$A25,100)</f>
        <v>10.763206037214999</v>
      </c>
      <c r="M25" s="23">
        <f>[1]!thsiFinD("ths_pe_ttm_uss",G$6,$A25,100)</f>
        <v>8.9476702508961008</v>
      </c>
      <c r="N25" s="26">
        <f>[1]!thsiFinD("ths_ev2_to_ebitda_usk",N$6,$A25)</f>
        <v>5.9457737153204997</v>
      </c>
      <c r="O25" s="26">
        <f>[1]!thsiFinD("ths_ev2_to_ebitda_usk",O$6,$A25)</f>
        <v>6.3124008780300001</v>
      </c>
      <c r="P25" s="26">
        <f>[1]!thsiFinD("ths_ev2_to_ebitda_usk",P$6,$A25)</f>
        <v>6.4989290167886997</v>
      </c>
      <c r="Q25" s="26">
        <f>[1]!thsiFinD("ths_ev2_to_ebitda_usk",Q$6,$A25)</f>
        <v>5.3145641071482999</v>
      </c>
      <c r="R25" s="26">
        <f>[1]!thsiFinD("ths_ev2_to_ebitda_usk",R$6,$A25)</f>
        <v>3.1389710882988</v>
      </c>
      <c r="S25" s="26">
        <f>[1]!thsiFinD("ths_ev2_to_ebitda_usk",S$6,$A25)</f>
        <v>4.7032802249297001</v>
      </c>
      <c r="T25" s="27">
        <f>[1]!thsiFinD("ths_pb_mrq_usk",T$6,$A25)</f>
        <v>2.6999150714817999</v>
      </c>
      <c r="U25" s="27">
        <f>[1]!thsiFinD("ths_pb_mrq_usk",U$6,$A25)</f>
        <v>2.2115417803358</v>
      </c>
      <c r="V25" s="27">
        <f>[1]!thsiFinD("ths_pb_mrq_usk",V$6,$A25)</f>
        <v>1.7947191295100999</v>
      </c>
      <c r="W25" s="27">
        <f>[1]!thsiFinD("ths_pb_mrq_usk",W$6,$A25)</f>
        <v>2.5261497759526002</v>
      </c>
      <c r="X25" s="27">
        <f>[1]!thsiFinD("ths_pb_mrq_usk",X$6,$A25)</f>
        <v>1.4322144883115999</v>
      </c>
      <c r="Y25" s="27">
        <f>[1]!thsiFinD("ths_pb_mrq_usk",Y$6,$A25)</f>
        <v>2.4621352839648001</v>
      </c>
      <c r="Z25" s="28">
        <f>[1]!thsiFinD("ths_ps_ttm_uss",Z$6,$A25,100)</f>
        <v>2.3147291276457</v>
      </c>
      <c r="AA25" s="28">
        <f>[1]!thsiFinD("ths_ps_ttm_uss",AA$6,$A25,100)</f>
        <v>1.3307464663366999</v>
      </c>
      <c r="AB25" s="28">
        <f>[1]!thsiFinD("ths_ps_ttm_uss",AB$6,$A25,100)</f>
        <v>1.4495593154268001</v>
      </c>
      <c r="AC25" s="28">
        <f>[1]!thsiFinD("ths_ps_ttm_uss",AC$6,$A25,100)</f>
        <v>2.9812002878294002</v>
      </c>
      <c r="AD25" s="28">
        <f>[1]!thsiFinD("ths_ps_ttm_uss",AD$6,$A25,100)</f>
        <v>0.48497687291669</v>
      </c>
      <c r="AE25" s="28">
        <f>[1]!thsiFinD("ths_ps_ttm_uss",AE$6,$A25,100)</f>
        <v>1.9930011309958999</v>
      </c>
      <c r="AF25" s="29">
        <v>81.540000000000006</v>
      </c>
      <c r="AG25" s="30">
        <v>4.3914999999999997</v>
      </c>
      <c r="AH25" s="31">
        <v>698.23207000000002</v>
      </c>
      <c r="AI25" s="31">
        <v>10321.00532</v>
      </c>
      <c r="AJ25" s="44">
        <f>[1]!thsiFinD("ths_right_value_usk",AJ$6,$A25,"USD")/1000000</f>
        <v>133173.31090084001</v>
      </c>
      <c r="AK25" s="44">
        <f>[1]!thsiFinD("ths_right_value_usk",AK$6,$A25,"USD")/1000000</f>
        <v>453918.95041391999</v>
      </c>
      <c r="AL25" s="44">
        <f>[1]!thsiFinD("ths_right_value_usk",AL$6,$A25,"USD")/1000000</f>
        <v>288276.76017755998</v>
      </c>
      <c r="AM25" s="44">
        <f>[1]!thsiFinD("ths_right_value_usk",AM$6,$A25,"USD")/1000000</f>
        <v>72338.824984179999</v>
      </c>
      <c r="AN25" s="44">
        <f>[1]!thsiFinD("ths_right_value_usk",AN$6,$A25,"USD")/1000000</f>
        <v>99925.6048495</v>
      </c>
      <c r="AO25" s="44">
        <f>[1]!thsiFinD("ths_right_value_usk",AO$6,$A25,"USD")/1000000</f>
        <v>29956.799999999999</v>
      </c>
      <c r="AP25" s="44">
        <f>[1]!thsiFinD("ths_ev2_usk",AP$6,$A25,"USD")/1000000</f>
        <v>146016.31090084001</v>
      </c>
      <c r="AQ25" s="44">
        <f>[1]!thsiFinD("ths_ev2_usk",AQ$6,$A25,"USD")/1000000</f>
        <v>468840.95041391999</v>
      </c>
      <c r="AR25" s="44">
        <f>[1]!thsiFinD("ths_ev2_usk",AR$6,$A25,"USD")/1000000</f>
        <v>304864.76017755998</v>
      </c>
      <c r="AS25" s="44">
        <f>[1]!thsiFinD("ths_ev2_usk",AS$6,$A25,"USD")/1000000</f>
        <v>70837.824984179999</v>
      </c>
      <c r="AT25" s="44">
        <f>[1]!thsiFinD("ths_ev2_usk",AT$6,$A25,"USD")/1000000</f>
        <v>136598.6048495</v>
      </c>
      <c r="AU25" s="44">
        <f>[1]!thsiFinD("ths_ev2_usk",AU$6,$A25,"USD")/1000000</f>
        <v>35128.800000000003</v>
      </c>
    </row>
    <row r="26" spans="1:47" x14ac:dyDescent="0.45">
      <c r="A26" s="3">
        <f>_xll.ciqfunctions.udf.CIQ("COP", "IQ_PRICEDATE", "5/31/2024")</f>
        <v>45443</v>
      </c>
      <c r="B26" s="13">
        <v>112.03102</v>
      </c>
      <c r="C26" s="13">
        <v>111.29092</v>
      </c>
      <c r="D26" s="13">
        <v>153.53975</v>
      </c>
      <c r="E26" s="13">
        <v>118.69959</v>
      </c>
      <c r="F26" s="13">
        <v>34.412129999999998</v>
      </c>
      <c r="G26" s="13">
        <v>46.860669999999999</v>
      </c>
      <c r="H26" s="23">
        <f>[1]!thsiFinD("ths_pe_ttm_uss",B$6,$A26,100)</f>
        <v>12.808684674030999</v>
      </c>
      <c r="I26" s="23">
        <f>[1]!thsiFinD("ths_pe_ttm_uss",C$6,$A26,100)</f>
        <v>14.09624954595</v>
      </c>
      <c r="J26" s="23">
        <f>[1]!thsiFinD("ths_pe_ttm_uss",D$6,$A26,100)</f>
        <v>14.737554244748001</v>
      </c>
      <c r="K26" s="23">
        <f>[1]!thsiFinD("ths_pe_ttm_uss",E$6,$A26,100)</f>
        <v>9.7255715996875001</v>
      </c>
      <c r="L26" s="23">
        <f>[1]!thsiFinD("ths_pe_ttm_uss",F$6,$A26,100)</f>
        <v>11.265282829225001</v>
      </c>
      <c r="M26" s="23">
        <f>[1]!thsiFinD("ths_pe_ttm_uss",G$6,$A26,100)</f>
        <v>9.2648028673834997</v>
      </c>
      <c r="N26" s="26">
        <f>[1]!thsiFinD("ths_ev2_to_ebitda_usk",N$6,$A26)</f>
        <v>6.0453356677513996</v>
      </c>
      <c r="O26" s="26">
        <f>[1]!thsiFinD("ths_ev2_to_ebitda_usk",O$6,$A26)</f>
        <v>6.4260092511028004</v>
      </c>
      <c r="P26" s="26">
        <f>[1]!thsiFinD("ths_ev2_to_ebitda_usk",P$6,$A26)</f>
        <v>6.7299381997739998</v>
      </c>
      <c r="Q26" s="26">
        <f>[1]!thsiFinD("ths_ev2_to_ebitda_usk",Q$6,$A26)</f>
        <v>5.2576492590367003</v>
      </c>
      <c r="R26" s="26">
        <f>[1]!thsiFinD("ths_ev2_to_ebitda_usk",R$6,$A26)</f>
        <v>3.2460851112558999</v>
      </c>
      <c r="S26" s="26">
        <f>[1]!thsiFinD("ths_ev2_to_ebitda_usk",S$6,$A26)</f>
        <v>4.8454358013121004</v>
      </c>
      <c r="T26" s="27">
        <f>[1]!thsiFinD("ths_pb_mrq_usk",T$6,$A26)</f>
        <v>2.7494851156339002</v>
      </c>
      <c r="U26" s="27">
        <f>[1]!thsiFinD("ths_pb_mrq_usk",U$6,$A26)</f>
        <v>2.2526527898034998</v>
      </c>
      <c r="V26" s="27">
        <f>[1]!thsiFinD("ths_pb_mrq_usk",V$6,$A26)</f>
        <v>1.8621845973628</v>
      </c>
      <c r="W26" s="27">
        <f>[1]!thsiFinD("ths_pb_mrq_usk",W$6,$A26)</f>
        <v>2.4996580169612002</v>
      </c>
      <c r="X26" s="27">
        <f>[1]!thsiFinD("ths_pb_mrq_usk",X$6,$A26)</f>
        <v>1.4990237320699999</v>
      </c>
      <c r="Y26" s="27">
        <f>[1]!thsiFinD("ths_pb_mrq_usk",Y$6,$A26)</f>
        <v>2.5494008383332001</v>
      </c>
      <c r="Z26" s="28">
        <f>[1]!thsiFinD("ths_ps_ttm_uss",Z$6,$A26,100)</f>
        <v>2.3572272144445998</v>
      </c>
      <c r="AA26" s="28">
        <f>[1]!thsiFinD("ths_ps_ttm_uss",AA$6,$A26,100)</f>
        <v>1.3554841091265</v>
      </c>
      <c r="AB26" s="28">
        <f>[1]!thsiFinD("ths_ps_ttm_uss",AB$6,$A26,100)</f>
        <v>1.5040498458878</v>
      </c>
      <c r="AC26" s="28">
        <f>[1]!thsiFinD("ths_ps_ttm_uss",AC$6,$A26,100)</f>
        <v>2.9499364093838998</v>
      </c>
      <c r="AD26" s="28">
        <f>[1]!thsiFinD("ths_ps_ttm_uss",AD$6,$A26,100)</f>
        <v>0.50759983783172002</v>
      </c>
      <c r="AE26" s="28">
        <f>[1]!thsiFinD("ths_ps_ttm_uss",AE$6,$A26,100)</f>
        <v>2.0636391457654</v>
      </c>
      <c r="AF26" s="29">
        <v>76.989999999999995</v>
      </c>
      <c r="AG26" s="30">
        <v>4.6020000000000003</v>
      </c>
      <c r="AH26" s="31">
        <v>708.04470000000003</v>
      </c>
      <c r="AI26" s="31">
        <v>9966.9920299999994</v>
      </c>
      <c r="AJ26" s="44">
        <f>[1]!thsiFinD("ths_right_value_usk",AJ$6,$A26,"USD")/1000000</f>
        <v>135618.35332863999</v>
      </c>
      <c r="AK26" s="44">
        <f>[1]!thsiFinD("ths_right_value_usk",AK$6,$A26,"USD")/1000000</f>
        <v>462356.98510716</v>
      </c>
      <c r="AL26" s="44">
        <f>[1]!thsiFinD("ths_right_value_usk",AL$6,$A26,"USD")/1000000</f>
        <v>299113.40095140005</v>
      </c>
      <c r="AM26" s="44">
        <f>[1]!thsiFinD("ths_right_value_usk",AM$6,$A26,"USD")/1000000</f>
        <v>71580.206973699998</v>
      </c>
      <c r="AN26" s="44">
        <f>[1]!thsiFinD("ths_right_value_usk",AN$6,$A26,"USD")/1000000</f>
        <v>104586.88578652</v>
      </c>
      <c r="AO26" s="44">
        <f>[1]!thsiFinD("ths_right_value_usk",AO$6,$A26,"USD")/1000000</f>
        <v>31018.560000000001</v>
      </c>
      <c r="AP26" s="44">
        <f>[1]!thsiFinD("ths_ev2_usk",AP$6,$A26,"USD")/1000000</f>
        <v>148461.35332864002</v>
      </c>
      <c r="AQ26" s="44">
        <f>[1]!thsiFinD("ths_ev2_usk",AQ$6,$A26,"USD")/1000000</f>
        <v>477278.98510716</v>
      </c>
      <c r="AR26" s="44">
        <f>[1]!thsiFinD("ths_ev2_usk",AR$6,$A26,"USD")/1000000</f>
        <v>315701.40095140005</v>
      </c>
      <c r="AS26" s="44">
        <f>[1]!thsiFinD("ths_ev2_usk",AS$6,$A26,"USD")/1000000</f>
        <v>70079.206973699998</v>
      </c>
      <c r="AT26" s="44">
        <f>[1]!thsiFinD("ths_ev2_usk",AT$6,$A26,"USD")/1000000</f>
        <v>141259.88578652</v>
      </c>
      <c r="AU26" s="44">
        <f>[1]!thsiFinD("ths_ev2_usk",AU$6,$A26,"USD")/1000000</f>
        <v>36190.559999999998</v>
      </c>
    </row>
    <row r="27" spans="1:47" x14ac:dyDescent="0.45">
      <c r="A27" s="3">
        <f>_xll.ciqfunctions.udf.CIQ("COP", "IQ_PRICEDATE", "4/30/2024")</f>
        <v>45412</v>
      </c>
      <c r="B27" s="13">
        <v>120.05815</v>
      </c>
      <c r="C27" s="13">
        <v>111.34511000000001</v>
      </c>
      <c r="D27" s="13">
        <v>151.04015999999999</v>
      </c>
      <c r="E27" s="13">
        <v>125.92354</v>
      </c>
      <c r="F27" s="13">
        <v>35.10575</v>
      </c>
      <c r="G27" s="13">
        <v>48.86571</v>
      </c>
      <c r="H27" s="23">
        <f>[1]!thsiFinD("ths_pe_ttm_uss",B$6,$A27,100)</f>
        <v>13.875789390358999</v>
      </c>
      <c r="I27" s="23">
        <f>[1]!thsiFinD("ths_pe_ttm_uss",C$6,$A27,100)</f>
        <v>14.217665306153</v>
      </c>
      <c r="J27" s="23">
        <f>[1]!thsiFinD("ths_pe_ttm_uss",D$6,$A27,100)</f>
        <v>14.644025711955999</v>
      </c>
      <c r="K27" s="23">
        <f>[1]!thsiFinD("ths_pe_ttm_uss",E$6,$A27,100)</f>
        <v>10.317461063562</v>
      </c>
      <c r="L27" s="23">
        <f>[1]!thsiFinD("ths_pe_ttm_uss",F$6,$A27,100)</f>
        <v>11.687719632343001</v>
      </c>
      <c r="M27" s="23">
        <f>[1]!thsiFinD("ths_pe_ttm_uss",G$6,$A27,100)</f>
        <v>9.6612186379927998</v>
      </c>
      <c r="N27" s="26">
        <f>[1]!thsiFinD("ths_ev2_to_ebitda_usk",N$6,$A27)</f>
        <v>6.5054099708901001</v>
      </c>
      <c r="O27" s="26">
        <f>[1]!thsiFinD("ths_ev2_to_ebitda_usk",O$6,$A27)</f>
        <v>6.4796281561512004</v>
      </c>
      <c r="P27" s="26">
        <f>[1]!thsiFinD("ths_ev2_to_ebitda_usk",P$6,$A27)</f>
        <v>6.6894723054755998</v>
      </c>
      <c r="Q27" s="26">
        <f>[1]!thsiFinD("ths_ev2_to_ebitda_usk",Q$6,$A27)</f>
        <v>5.5844784625867998</v>
      </c>
      <c r="R27" s="26">
        <f>[1]!thsiFinD("ths_ev2_to_ebitda_usk",R$6,$A27)</f>
        <v>3.3362085866828002</v>
      </c>
      <c r="S27" s="26">
        <f>[1]!thsiFinD("ths_ev2_to_ebitda_usk",S$6,$A27)</f>
        <v>5.0231302717900999</v>
      </c>
      <c r="T27" s="27">
        <f>[1]!thsiFinD("ths_pb_mrq_usk",T$6,$A27)</f>
        <v>2.9785475532715999</v>
      </c>
      <c r="U27" s="27">
        <f>[1]!thsiFinD("ths_pb_mrq_usk",U$6,$A27)</f>
        <v>2.2720556494120001</v>
      </c>
      <c r="V27" s="27">
        <f>[1]!thsiFinD("ths_pb_mrq_usk",V$6,$A27)</f>
        <v>1.8503666667695999</v>
      </c>
      <c r="W27" s="27">
        <f>[1]!thsiFinD("ths_pb_mrq_usk",W$6,$A27)</f>
        <v>2.6517849360182999</v>
      </c>
      <c r="X27" s="27">
        <f>[1]!thsiFinD("ths_pb_mrq_usk",X$6,$A27)</f>
        <v>1.555235617983</v>
      </c>
      <c r="Y27" s="27">
        <f>[1]!thsiFinD("ths_pb_mrq_usk",Y$6,$A27)</f>
        <v>2.6584827812937002</v>
      </c>
      <c r="Z27" s="28">
        <f>[1]!thsiFinD("ths_ps_ttm_uss",Z$6,$A27,100)</f>
        <v>2.5536102422109002</v>
      </c>
      <c r="AA27" s="28">
        <f>[1]!thsiFinD("ths_ps_ttm_uss",AA$6,$A27,100)</f>
        <v>1.3671593517516001</v>
      </c>
      <c r="AB27" s="28">
        <f>[1]!thsiFinD("ths_ps_ttm_uss",AB$6,$A27,100)</f>
        <v>1.4945047359601</v>
      </c>
      <c r="AC27" s="28">
        <f>[1]!thsiFinD("ths_ps_ttm_uss",AC$6,$A27,100)</f>
        <v>3.1294668628814999</v>
      </c>
      <c r="AD27" s="28">
        <f>[1]!thsiFinD("ths_ps_ttm_uss",AD$6,$A27,100)</f>
        <v>0.52663432245210995</v>
      </c>
      <c r="AE27" s="28">
        <f>[1]!thsiFinD("ths_ps_ttm_uss",AE$6,$A27,100)</f>
        <v>2.1519366642272999</v>
      </c>
      <c r="AF27" s="29">
        <v>81.93</v>
      </c>
      <c r="AG27" s="30">
        <v>4.5644999999999998</v>
      </c>
      <c r="AH27" s="31">
        <v>714.94952999999998</v>
      </c>
      <c r="AI27" s="31">
        <v>9500.3794600000001</v>
      </c>
      <c r="AJ27" s="44">
        <f>[1]!thsiFinD("ths_right_value_usk",AJ$6,$A27,"USD")/1000000</f>
        <v>146916.85806512</v>
      </c>
      <c r="AK27" s="44">
        <f>[1]!thsiFinD("ths_right_value_usk",AK$6,$A27,"USD")/1000000</f>
        <v>466339.42204182001</v>
      </c>
      <c r="AL27" s="44">
        <f>[1]!thsiFinD("ths_right_value_usk",AL$6,$A27,"USD")/1000000</f>
        <v>297215.14584985998</v>
      </c>
      <c r="AM27" s="44">
        <f>[1]!thsiFinD("ths_right_value_usk",AM$6,$A27,"USD")/1000000</f>
        <v>75936.513427820013</v>
      </c>
      <c r="AN27" s="44">
        <f>[1]!thsiFinD("ths_right_value_usk",AN$6,$A27,"USD")/1000000</f>
        <v>108508.78906667999</v>
      </c>
      <c r="AO27" s="44">
        <f>[1]!thsiFinD("ths_right_value_usk",AO$6,$A27,"USD")/1000000</f>
        <v>32345.759999999998</v>
      </c>
      <c r="AP27" s="44">
        <f>[1]!thsiFinD("ths_ev2_usk",AP$6,$A27,"USD")/1000000</f>
        <v>159759.85806512</v>
      </c>
      <c r="AQ27" s="44">
        <f>[1]!thsiFinD("ths_ev2_usk",AQ$6,$A27,"USD")/1000000</f>
        <v>481261.42204182001</v>
      </c>
      <c r="AR27" s="44">
        <f>[1]!thsiFinD("ths_ev2_usk",AR$6,$A27,"USD")/1000000</f>
        <v>313803.14584985998</v>
      </c>
      <c r="AS27" s="44">
        <f>[1]!thsiFinD("ths_ev2_usk",AS$6,$A27,"USD")/1000000</f>
        <v>74435.513427820013</v>
      </c>
      <c r="AT27" s="44">
        <f>[1]!thsiFinD("ths_ev2_usk",AT$6,$A27,"USD")/1000000</f>
        <v>145181.78906667998</v>
      </c>
      <c r="AU27" s="44">
        <f>[1]!thsiFinD("ths_ev2_usk",AU$6,$A27,"USD")/1000000</f>
        <v>37517.760000000002</v>
      </c>
    </row>
    <row r="28" spans="1:47" x14ac:dyDescent="0.45">
      <c r="A28" s="3">
        <f>_xll.ciqfunctions.udf.CIQ("COP", "IQ_PRICEDATE", "3/28/2024")</f>
        <v>45379</v>
      </c>
      <c r="B28" s="13">
        <v>121.64466</v>
      </c>
      <c r="C28" s="13">
        <v>109.43397</v>
      </c>
      <c r="D28" s="13">
        <v>147.73408000000001</v>
      </c>
      <c r="E28" s="13">
        <v>121.01555</v>
      </c>
      <c r="F28" s="13">
        <v>34.118769999999998</v>
      </c>
      <c r="G28" s="13">
        <v>47.91093</v>
      </c>
      <c r="H28" s="23">
        <f>[1]!thsiFinD("ths_pe_ttm_uss",B$6,$A28,100)</f>
        <v>13.603885910267</v>
      </c>
      <c r="I28" s="23">
        <f>[1]!thsiFinD("ths_pe_ttm_uss",C$6,$A28,100)</f>
        <v>12.777234345266001</v>
      </c>
      <c r="J28" s="23">
        <f>[1]!thsiFinD("ths_pe_ttm_uss",D$6,$A28,100)</f>
        <v>13.659967147</v>
      </c>
      <c r="K28" s="23">
        <f>[1]!thsiFinD("ths_pe_ttm_uss",E$6,$A28,100)</f>
        <v>9.6833783365814998</v>
      </c>
      <c r="L28" s="23">
        <f>[1]!thsiFinD("ths_pe_ttm_uss",F$6,$A28,100)</f>
        <v>6.9580892890661996</v>
      </c>
      <c r="M28" s="23">
        <f>[1]!thsiFinD("ths_pe_ttm_uss",G$6,$A28,100)</f>
        <v>8.5039498265279008</v>
      </c>
      <c r="N28" s="26">
        <f>[1]!thsiFinD("ths_ev2_to_ebitda_usk",N$6,$A28)</f>
        <v>6.6112785210032996</v>
      </c>
      <c r="O28" s="26">
        <f>[1]!thsiFinD("ths_ev2_to_ebitda_usk",O$6,$A28)</f>
        <v>6.4340771043722</v>
      </c>
      <c r="P28" s="26">
        <f>[1]!thsiFinD("ths_ev2_to_ebitda_usk",P$6,$A28)</f>
        <v>6.5131067568586998</v>
      </c>
      <c r="Q28" s="26">
        <f>[1]!thsiFinD("ths_ev2_to_ebitda_usk",Q$6,$A28)</f>
        <v>5.4060000816264999</v>
      </c>
      <c r="R28" s="26">
        <f>[1]!thsiFinD("ths_ev2_to_ebitda_usk",R$6,$A28)</f>
        <v>3.2210015092051001</v>
      </c>
      <c r="S28" s="26">
        <f>[1]!thsiFinD("ths_ev2_to_ebitda_usk",S$6,$A28)</f>
        <v>4.9940152630874</v>
      </c>
      <c r="T28" s="27">
        <f>[1]!thsiFinD("ths_pb_mrq_usk",T$6,$A28)</f>
        <v>3.0247727818909</v>
      </c>
      <c r="U28" s="27">
        <f>[1]!thsiFinD("ths_pb_mrq_usk",U$6,$A28)</f>
        <v>2.2466001736947998</v>
      </c>
      <c r="V28" s="27">
        <f>[1]!thsiFinD("ths_pb_mrq_usk",V$6,$A28)</f>
        <v>1.813526829925</v>
      </c>
      <c r="W28" s="27">
        <f>[1]!thsiFinD("ths_pb_mrq_usk",W$6,$A28)</f>
        <v>2.6178560017088</v>
      </c>
      <c r="X28" s="27">
        <f>[1]!thsiFinD("ths_pb_mrq_usk",X$6,$A28)</f>
        <v>1.5086766739621</v>
      </c>
      <c r="Y28" s="27">
        <f>[1]!thsiFinD("ths_pb_mrq_usk",Y$6,$A28)</f>
        <v>2.6419285299726001</v>
      </c>
      <c r="Z28" s="28">
        <f>[1]!thsiFinD("ths_ps_ttm_uss",Z$6,$A28,100)</f>
        <v>2.5447771693721002</v>
      </c>
      <c r="AA28" s="28">
        <f>[1]!thsiFinD("ths_ps_ttm_uss",AA$6,$A28,100)</f>
        <v>1.3352647810189</v>
      </c>
      <c r="AB28" s="28">
        <f>[1]!thsiFinD("ths_ps_ttm_uss",AB$6,$A28,100)</f>
        <v>1.4526065716387999</v>
      </c>
      <c r="AC28" s="28">
        <f>[1]!thsiFinD("ths_ps_ttm_uss",AC$6,$A28,100)</f>
        <v>3.0404190477136002</v>
      </c>
      <c r="AD28" s="28">
        <f>[1]!thsiFinD("ths_ps_ttm_uss",AD$6,$A28,100)</f>
        <v>0.49773894380224998</v>
      </c>
      <c r="AE28" s="28">
        <f>[1]!thsiFinD("ths_ps_ttm_uss",AE$6,$A28,100)</f>
        <v>2.0883667584218002</v>
      </c>
      <c r="AF28" s="29">
        <v>83.17</v>
      </c>
      <c r="AG28" s="30">
        <v>4.0069999999999997</v>
      </c>
      <c r="AH28" s="31">
        <v>721.24226999999996</v>
      </c>
      <c r="AI28" s="31">
        <v>9907.3320899999999</v>
      </c>
      <c r="AJ28" s="44">
        <f>[1]!thsiFinD("ths_right_value_usk",AJ$6,$A28,"USD")/1000000</f>
        <v>149057.77791879998</v>
      </c>
      <c r="AK28" s="44">
        <f>[1]!thsiFinD("ths_right_value_usk",AK$6,$A28,"USD")/1000000</f>
        <v>460108.20877303998</v>
      </c>
      <c r="AL28" s="44">
        <f>[1]!thsiFinD("ths_right_value_usk",AL$6,$A28,"USD")/1000000</f>
        <v>291899.83796424</v>
      </c>
      <c r="AM28" s="44">
        <f>[1]!thsiFinD("ths_right_value_usk",AM$6,$A28,"USD")/1000000</f>
        <v>73535.575087999998</v>
      </c>
      <c r="AN28" s="44">
        <f>[1]!thsiFinD("ths_right_value_usk",AN$6,$A28,"USD")/1000000</f>
        <v>106034.32267608</v>
      </c>
      <c r="AO28" s="44">
        <f>[1]!thsiFinD("ths_right_value_usk",AO$6,$A28,"USD")/1000000</f>
        <v>31864.3</v>
      </c>
      <c r="AP28" s="44">
        <f>[1]!thsiFinD("ths_ev2_usk",AP$6,$A28,"USD")/1000000</f>
        <v>162359.77791879998</v>
      </c>
      <c r="AQ28" s="44">
        <f>[1]!thsiFinD("ths_ev2_usk",AQ$6,$A28,"USD")/1000000</f>
        <v>477878.20877303998</v>
      </c>
      <c r="AR28" s="44">
        <f>[1]!thsiFinD("ths_ev2_usk",AR$6,$A28,"USD")/1000000</f>
        <v>305529.83796424</v>
      </c>
      <c r="AS28" s="44">
        <f>[1]!thsiFinD("ths_ev2_usk",AS$6,$A28,"USD")/1000000</f>
        <v>72056.575087999998</v>
      </c>
      <c r="AT28" s="44">
        <f>[1]!thsiFinD("ths_ev2_usk",AT$6,$A28,"USD")/1000000</f>
        <v>140168.32267607999</v>
      </c>
      <c r="AU28" s="44">
        <f>[1]!thsiFinD("ths_ev2_usk",AU$6,$A28,"USD")/1000000</f>
        <v>37300.300000000003</v>
      </c>
    </row>
    <row r="29" spans="1:47" x14ac:dyDescent="0.45">
      <c r="A29" s="3">
        <f>_xll.ciqfunctions.udf.CIQ("COP", "IQ_PRICEDATE", "2/29/2024")</f>
        <v>45351</v>
      </c>
      <c r="B29" s="13">
        <v>107.55727</v>
      </c>
      <c r="C29" s="13">
        <v>98.400189999999995</v>
      </c>
      <c r="D29" s="13">
        <v>142.36754999999999</v>
      </c>
      <c r="E29" s="13">
        <v>108.34981000000001</v>
      </c>
      <c r="F29" s="13">
        <v>31.683009999999999</v>
      </c>
      <c r="G29" s="13">
        <v>41.677250000000001</v>
      </c>
      <c r="H29" s="23">
        <f>[1]!thsiFinD("ths_pe_ttm_uss",B$6,$A29,100)</f>
        <v>12.082960457673</v>
      </c>
      <c r="I29" s="23">
        <f>[1]!thsiFinD("ths_pe_ttm_uss",C$6,$A29,100)</f>
        <v>11.488958480448</v>
      </c>
      <c r="J29" s="23">
        <f>[1]!thsiFinD("ths_pe_ttm_uss",D$6,$A29,100)</f>
        <v>13.211824840264001</v>
      </c>
      <c r="K29" s="23">
        <f>[1]!thsiFinD("ths_pe_ttm_uss",E$6,$A29,100)</f>
        <v>8.7420350630918993</v>
      </c>
      <c r="L29" s="23">
        <f>[1]!thsiFinD("ths_pe_ttm_uss",F$6,$A29,100)</f>
        <v>6.4963411733124001</v>
      </c>
      <c r="M29" s="23">
        <f>[1]!thsiFinD("ths_pe_ttm_uss",G$6,$A29,100)</f>
        <v>7.4668001067520997</v>
      </c>
      <c r="N29" s="26">
        <f>[1]!thsiFinD("ths_ev2_to_ebitda_usk",N$6,$A29)</f>
        <v>5.9326898662236003</v>
      </c>
      <c r="O29" s="26">
        <f>[1]!thsiFinD("ths_ev2_to_ebitda_usk",O$6,$A29)</f>
        <v>5.8094784764438998</v>
      </c>
      <c r="P29" s="26">
        <f>[1]!thsiFinD("ths_ev2_to_ebitda_usk",P$6,$A29)</f>
        <v>6.3089636540524001</v>
      </c>
      <c r="Q29" s="26">
        <f>[1]!thsiFinD("ths_ev2_to_ebitda_usk",Q$6,$A29)</f>
        <v>4.8696837173922001</v>
      </c>
      <c r="R29" s="26">
        <f>[1]!thsiFinD("ths_ev2_to_ebitda_usk",R$6,$A29)</f>
        <v>3.0593042521338001</v>
      </c>
      <c r="S29" s="26">
        <f>[1]!thsiFinD("ths_ev2_to_ebitda_usk",S$6,$A29)</f>
        <v>4.4737046458696001</v>
      </c>
      <c r="T29" s="27">
        <f>[1]!thsiFinD("ths_pb_mrq_usk",T$6,$A29)</f>
        <v>2.6866007373267</v>
      </c>
      <c r="U29" s="27">
        <f>[1]!thsiFinD("ths_pb_mrq_usk",U$6,$A29)</f>
        <v>2.0200847398019999</v>
      </c>
      <c r="V29" s="27">
        <f>[1]!thsiFinD("ths_pb_mrq_usk",V$6,$A29)</f>
        <v>1.7540304864753</v>
      </c>
      <c r="W29" s="27">
        <f>[1]!thsiFinD("ths_pb_mrq_usk",W$6,$A29)</f>
        <v>2.3633682545077002</v>
      </c>
      <c r="X29" s="27">
        <f>[1]!thsiFinD("ths_pb_mrq_usk",X$6,$A29)</f>
        <v>1.4085588711368</v>
      </c>
      <c r="Y29" s="27">
        <f>[1]!thsiFinD("ths_pb_mrq_usk",Y$6,$A29)</f>
        <v>2.3197164414228002</v>
      </c>
      <c r="Z29" s="28">
        <f>[1]!thsiFinD("ths_ps_ttm_uss",Z$6,$A29,100)</f>
        <v>2.2602690226845001</v>
      </c>
      <c r="AA29" s="28">
        <f>[1]!thsiFinD("ths_ps_ttm_uss",AA$6,$A29,100)</f>
        <v>1.2006355377847</v>
      </c>
      <c r="AB29" s="28">
        <f>[1]!thsiFinD("ths_ps_ttm_uss",AB$6,$A29,100)</f>
        <v>1.4049509328815</v>
      </c>
      <c r="AC29" s="28">
        <f>[1]!thsiFinD("ths_ps_ttm_uss",AC$6,$A29,100)</f>
        <v>2.7448529839212998</v>
      </c>
      <c r="AD29" s="28">
        <f>[1]!thsiFinD("ths_ps_ttm_uss",AD$6,$A29,100)</f>
        <v>0.46470832147334001</v>
      </c>
      <c r="AE29" s="28">
        <f>[1]!thsiFinD("ths_ps_ttm_uss",AE$6,$A29,100)</f>
        <v>1.8336675842181001</v>
      </c>
      <c r="AF29" s="29">
        <v>78.260000000000005</v>
      </c>
      <c r="AG29" s="30">
        <v>3.847</v>
      </c>
      <c r="AH29" s="31">
        <v>653.14450999999997</v>
      </c>
      <c r="AI29" s="31">
        <v>9601.7281500000008</v>
      </c>
      <c r="AJ29" s="44">
        <f>[1]!thsiFinD("ths_right_value_usk",AJ$6,$A29,"USD")/1000000</f>
        <v>132392.99773472</v>
      </c>
      <c r="AK29" s="44">
        <f>[1]!thsiFinD("ths_right_value_usk",AK$6,$A29,"USD")/1000000</f>
        <v>413717.39488092001</v>
      </c>
      <c r="AL29" s="44">
        <f>[1]!thsiFinD("ths_right_value_usk",AL$6,$A29,"USD")/1000000</f>
        <v>282323.48501159996</v>
      </c>
      <c r="AM29" s="44">
        <f>[1]!thsiFinD("ths_right_value_usk",AM$6,$A29,"USD")/1000000</f>
        <v>66387.014269120002</v>
      </c>
      <c r="AN29" s="44">
        <f>[1]!thsiFinD("ths_right_value_usk",AN$6,$A29,"USD")/1000000</f>
        <v>98997.743140107996</v>
      </c>
      <c r="AO29" s="44">
        <f>[1]!thsiFinD("ths_right_value_usk",AO$6,$A29,"USD")/1000000</f>
        <v>27978.1</v>
      </c>
      <c r="AP29" s="44">
        <f>[1]!thsiFinD("ths_ev2_usk",AP$6,$A29,"USD")/1000000</f>
        <v>145694.99773472</v>
      </c>
      <c r="AQ29" s="44">
        <f>[1]!thsiFinD("ths_ev2_usk",AQ$6,$A29,"USD")/1000000</f>
        <v>431487.39488092001</v>
      </c>
      <c r="AR29" s="44">
        <f>[1]!thsiFinD("ths_ev2_usk",AR$6,$A29,"USD")/1000000</f>
        <v>295953.48501159996</v>
      </c>
      <c r="AS29" s="44">
        <f>[1]!thsiFinD("ths_ev2_usk",AS$6,$A29,"USD")/1000000</f>
        <v>64908.014269120002</v>
      </c>
      <c r="AT29" s="44">
        <f>[1]!thsiFinD("ths_ev2_usk",AT$6,$A29,"USD")/1000000</f>
        <v>133131.74314010999</v>
      </c>
      <c r="AU29" s="44">
        <f>[1]!thsiFinD("ths_ev2_usk",AU$6,$A29,"USD")/1000000</f>
        <v>33414.1</v>
      </c>
    </row>
    <row r="30" spans="1:47" x14ac:dyDescent="0.45">
      <c r="A30" s="3">
        <f>_xll.ciqfunctions.udf.CIQ("COP", "IQ_PRICEDATE", "1/31/2024")</f>
        <v>45322</v>
      </c>
      <c r="B30" s="13">
        <v>106.15962</v>
      </c>
      <c r="C30" s="13">
        <v>95.899060000000006</v>
      </c>
      <c r="D30" s="13">
        <v>136.58766</v>
      </c>
      <c r="E30" s="13">
        <v>107.71558</v>
      </c>
      <c r="F30" s="13">
        <v>31.399370000000001</v>
      </c>
      <c r="G30" s="13">
        <v>39.747570000000003</v>
      </c>
      <c r="H30" s="23">
        <f>[1]!thsiFinD("ths_pe_ttm_uss",B$6,$A30,100)</f>
        <v>12.011025292338999</v>
      </c>
      <c r="I30" s="23">
        <f>[1]!thsiFinD("ths_pe_ttm_uss",C$6,$A30,100)</f>
        <v>11.328355268055001</v>
      </c>
      <c r="J30" s="23">
        <f>[1]!thsiFinD("ths_pe_ttm_uss",D$6,$A30,100)</f>
        <v>12.871564216562</v>
      </c>
      <c r="K30" s="23">
        <f>[1]!thsiFinD("ths_pe_ttm_uss",E$6,$A30,100)</f>
        <v>8.7037267941426997</v>
      </c>
      <c r="L30" s="23">
        <f>[1]!thsiFinD("ths_pe_ttm_uss",F$6,$A30,100)</f>
        <v>6.5522791496849004</v>
      </c>
      <c r="M30" s="23">
        <f>[1]!thsiFinD("ths_pe_ttm_uss",G$6,$A30,100)</f>
        <v>7.1289335468374997</v>
      </c>
      <c r="N30" s="26">
        <f>[1]!thsiFinD("ths_ev2_to_ebitda_usk",N$6,$A30)</f>
        <v>5.9005946790520003</v>
      </c>
      <c r="O30" s="26">
        <f>[1]!thsiFinD("ths_ev2_to_ebitda_usk",O$6,$A30)</f>
        <v>5.7316127422168002</v>
      </c>
      <c r="P30" s="26">
        <f>[1]!thsiFinD("ths_ev2_to_ebitda_usk",P$6,$A30)</f>
        <v>6.1539640960076998</v>
      </c>
      <c r="Q30" s="26">
        <f>[1]!thsiFinD("ths_ev2_to_ebitda_usk",Q$6,$A30)</f>
        <v>4.8478581495026001</v>
      </c>
      <c r="R30" s="26">
        <f>[1]!thsiFinD("ths_ev2_to_ebitda_usk",R$6,$A30)</f>
        <v>3.0788928915607001</v>
      </c>
      <c r="S30" s="26">
        <f>[1]!thsiFinD("ths_ev2_to_ebitda_usk",S$6,$A30)</f>
        <v>4.3042059177935004</v>
      </c>
      <c r="T30" s="27">
        <f>[1]!thsiFinD("ths_pb_mrq_usk",T$6,$A30)</f>
        <v>2.6706062243179001</v>
      </c>
      <c r="U30" s="27">
        <f>[1]!thsiFinD("ths_pb_mrq_usk",U$6,$A30)</f>
        <v>1.9918461401873999</v>
      </c>
      <c r="V30" s="27">
        <f>[1]!thsiFinD("ths_pb_mrq_usk",V$6,$A30)</f>
        <v>1.7088567489685</v>
      </c>
      <c r="W30" s="27">
        <f>[1]!thsiFinD("ths_pb_mrq_usk",W$6,$A30)</f>
        <v>2.3530117933328998</v>
      </c>
      <c r="X30" s="27">
        <f>[1]!thsiFinD("ths_pb_mrq_usk",X$6,$A30)</f>
        <v>1.4206875341412</v>
      </c>
      <c r="Y30" s="27">
        <f>[1]!thsiFinD("ths_pb_mrq_usk",Y$6,$A30)</f>
        <v>2.2147511814940999</v>
      </c>
      <c r="Z30" s="28">
        <f>[1]!thsiFinD("ths_ps_ttm_uss",Z$6,$A30,100)</f>
        <v>2.2468126494376</v>
      </c>
      <c r="AA30" s="28">
        <f>[1]!thsiFinD("ths_ps_ttm_uss",AA$6,$A30,100)</f>
        <v>1.1838519516477</v>
      </c>
      <c r="AB30" s="28">
        <f>[1]!thsiFinD("ths_ps_ttm_uss",AB$6,$A30,100)</f>
        <v>1.36876747704</v>
      </c>
      <c r="AC30" s="28">
        <f>[1]!thsiFinD("ths_ps_ttm_uss",AC$6,$A30,100)</f>
        <v>2.7328248273678999</v>
      </c>
      <c r="AD30" s="28">
        <f>[1]!thsiFinD("ths_ps_ttm_uss",AD$6,$A30,100)</f>
        <v>0.46870978051208001</v>
      </c>
      <c r="AE30" s="28">
        <f>[1]!thsiFinD("ths_ps_ttm_uss",AE$6,$A30,100)</f>
        <v>1.7506956350767</v>
      </c>
      <c r="AF30" s="29">
        <v>75.849999999999994</v>
      </c>
      <c r="AG30" s="30">
        <v>3.9060000000000001</v>
      </c>
      <c r="AH30" s="31">
        <v>636.73060999999996</v>
      </c>
      <c r="AI30" s="31">
        <v>9119.3768700000001</v>
      </c>
      <c r="AJ30" s="44">
        <f>[1]!thsiFinD("ths_right_value_usk",AJ$6,$A30,"USD")/1000000</f>
        <v>131604.80412816</v>
      </c>
      <c r="AK30" s="44">
        <f>[1]!thsiFinD("ths_right_value_usk",AK$6,$A30,"USD")/1000000</f>
        <v>407934.07320266997</v>
      </c>
      <c r="AL30" s="44">
        <f>[1]!thsiFinD("ths_right_value_usk",AL$6,$A30,"USD")/1000000</f>
        <v>275052.45574372</v>
      </c>
      <c r="AM30" s="44">
        <f>[1]!thsiFinD("ths_right_value_usk",AM$6,$A30,"USD")/1000000</f>
        <v>66096.10127472</v>
      </c>
      <c r="AN30" s="44">
        <f>[1]!thsiFinD("ths_right_value_usk",AN$6,$A30,"USD")/1000000</f>
        <v>99850.181962048999</v>
      </c>
      <c r="AO30" s="44">
        <f>[1]!thsiFinD("ths_right_value_usk",AO$6,$A30,"USD")/1000000</f>
        <v>26712.114000000001</v>
      </c>
      <c r="AP30" s="44">
        <f>[1]!thsiFinD("ths_ev2_usk",AP$6,$A30,"USD")/1000000</f>
        <v>144906.80412816</v>
      </c>
      <c r="AQ30" s="44">
        <f>[1]!thsiFinD("ths_ev2_usk",AQ$6,$A30,"USD")/1000000</f>
        <v>425704.07320266997</v>
      </c>
      <c r="AR30" s="44">
        <f>[1]!thsiFinD("ths_ev2_usk",AR$6,$A30,"USD")/1000000</f>
        <v>288682.45574372</v>
      </c>
      <c r="AS30" s="44">
        <f>[1]!thsiFinD("ths_ev2_usk",AS$6,$A30,"USD")/1000000</f>
        <v>64617.10127472</v>
      </c>
      <c r="AT30" s="44">
        <f>[1]!thsiFinD("ths_ev2_usk",AT$6,$A30,"USD")/1000000</f>
        <v>133984.18196205</v>
      </c>
      <c r="AU30" s="44">
        <f>[1]!thsiFinD("ths_ev2_usk",AU$6,$A30,"USD")/1000000</f>
        <v>32148.114000000001</v>
      </c>
    </row>
    <row r="31" spans="1:47" x14ac:dyDescent="0.45">
      <c r="A31" s="3">
        <f>_xll.ciqfunctions.udf.CIQ("COP", "IQ_PRICEDATE", "12/29/2023")</f>
        <v>45289</v>
      </c>
      <c r="B31" s="13">
        <v>110.14524</v>
      </c>
      <c r="C31" s="13">
        <v>93.259299999999996</v>
      </c>
      <c r="D31" s="13">
        <v>138.19042999999999</v>
      </c>
      <c r="E31" s="13">
        <v>113.59557</v>
      </c>
      <c r="F31" s="13">
        <v>31.667739999999998</v>
      </c>
      <c r="G31" s="13">
        <v>42.850189999999998</v>
      </c>
      <c r="H31" s="23">
        <f>[1]!thsiFinD("ths_pe_ttm_uss",B$6,$A31,100)</f>
        <v>12.306673794798</v>
      </c>
      <c r="I31" s="23">
        <f>[1]!thsiFinD("ths_pe_ttm_uss",C$6,$A31,100)</f>
        <v>9.7154756117316001</v>
      </c>
      <c r="J31" s="23">
        <f>[1]!thsiFinD("ths_pe_ttm_uss",D$6,$A31,100)</f>
        <v>11.024873061880999</v>
      </c>
      <c r="K31" s="23">
        <f>[1]!thsiFinD("ths_pe_ttm_uss",E$6,$A31,100)</f>
        <v>8.9473480098820009</v>
      </c>
      <c r="L31" s="23">
        <f>[1]!thsiFinD("ths_pe_ttm_uss",F$6,$A31,100)</f>
        <v>3.9483974178371999</v>
      </c>
      <c r="M31" s="23">
        <f>[1]!thsiFinD("ths_pe_ttm_uss",G$6,$A31,100)</f>
        <v>7.6458667017913999</v>
      </c>
      <c r="N31" s="26">
        <f>[1]!thsiFinD("ths_ev2_to_ebitda_usk",N$6,$A31)</f>
        <v>4.1434971406005996</v>
      </c>
      <c r="O31" s="26">
        <f>[1]!thsiFinD("ths_ev2_to_ebitda_usk",O$6,$A31)</f>
        <v>4.0523682575519997</v>
      </c>
      <c r="P31" s="26">
        <f>[1]!thsiFinD("ths_ev2_to_ebitda_usk",P$6,$A31)</f>
        <v>4.4924665157619996</v>
      </c>
      <c r="Q31" s="26">
        <f>[1]!thsiFinD("ths_ev2_to_ebitda_usk",Q$6,$A31)</f>
        <v>5.0662123301937996</v>
      </c>
      <c r="R31" s="26">
        <f>[1]!thsiFinD("ths_ev2_to_ebitda_usk",R$6,$A31)</f>
        <v>4.1787858543544996</v>
      </c>
      <c r="S31" s="26">
        <f>[1]!thsiFinD("ths_ev2_to_ebitda_usk",S$6,$A31)</f>
        <v>3.3636346827559001</v>
      </c>
      <c r="T31" s="27">
        <f>[1]!thsiFinD("ths_pb_mrq_usk",T$6,$A31)</f>
        <v>2.8866360839446998</v>
      </c>
      <c r="U31" s="27">
        <f>[1]!thsiFinD("ths_pb_mrq_usk",U$6,$A31)</f>
        <v>2.0009589836432999</v>
      </c>
      <c r="V31" s="27">
        <f>[1]!thsiFinD("ths_pb_mrq_usk",V$6,$A31)</f>
        <v>1.6986436497424</v>
      </c>
      <c r="W31" s="27">
        <f>[1]!thsiFinD("ths_pb_mrq_usk",W$6,$A31)</f>
        <v>2.5409591599503001</v>
      </c>
      <c r="X31" s="27">
        <f>[1]!thsiFinD("ths_pb_mrq_usk",X$6,$A31)</f>
        <v>1.3996424937626</v>
      </c>
      <c r="Y31" s="27">
        <f>[1]!thsiFinD("ths_pb_mrq_usk",Y$6,$A31)</f>
        <v>2.4936601082566998</v>
      </c>
      <c r="Z31" s="28">
        <f>[1]!thsiFinD("ths_ps_ttm_uss",Z$6,$A31,100)</f>
        <v>2.2041363179954998</v>
      </c>
      <c r="AA31" s="28">
        <f>[1]!thsiFinD("ths_ps_ttm_uss",AA$6,$A31,100)</f>
        <v>1.1235158502489999</v>
      </c>
      <c r="AB31" s="28">
        <f>[1]!thsiFinD("ths_ps_ttm_uss",AB$6,$A31,100)</f>
        <v>1.3352533878801001</v>
      </c>
      <c r="AC31" s="28">
        <f>[1]!thsiFinD("ths_ps_ttm_uss",AC$6,$A31,100)</f>
        <v>2.8732256950424002</v>
      </c>
      <c r="AD31" s="28">
        <f>[1]!thsiFinD("ths_ps_ttm_uss",AD$6,$A31,100)</f>
        <v>0.43916131625072002</v>
      </c>
      <c r="AE31" s="28">
        <f>[1]!thsiFinD("ths_ps_ttm_uss",AE$6,$A31,100)</f>
        <v>1.8831890734493</v>
      </c>
      <c r="AF31" s="29">
        <v>71.650000000000006</v>
      </c>
      <c r="AG31" s="30">
        <v>3.8904999999999998</v>
      </c>
      <c r="AH31" s="31">
        <v>640.04804999999999</v>
      </c>
      <c r="AI31" s="31">
        <v>8971.0716900000007</v>
      </c>
      <c r="AJ31" s="44">
        <f>[1]!thsiFinD("ths_right_value_usk",AJ$6,$A31,"USD")/1000000</f>
        <v>137822.43982793999</v>
      </c>
      <c r="AK31" s="44">
        <f>[1]!thsiFinD("ths_right_value_usk",AK$6,$A31,"USD")/1000000</f>
        <v>399597.51191052003</v>
      </c>
      <c r="AL31" s="44">
        <f>[1]!thsiFinD("ths_right_value_usk",AL$6,$A31,"USD")/1000000</f>
        <v>280726.34277468</v>
      </c>
      <c r="AM31" s="44">
        <f>[1]!thsiFinD("ths_right_value_usk",AM$6,$A31,"USD")/1000000</f>
        <v>70531.944361899994</v>
      </c>
      <c r="AN31" s="44">
        <f>[1]!thsiFinD("ths_right_value_usk",AN$6,$A31,"USD")/1000000</f>
        <v>101359.3101133</v>
      </c>
      <c r="AO31" s="44">
        <f>[1]!thsiFinD("ths_right_value_usk",AO$6,$A31,"USD")/1000000</f>
        <v>29023.71</v>
      </c>
      <c r="AP31" s="44">
        <f>[1]!thsiFinD("ths_ev2_usk",AP$6,$A31,"USD")/1000000</f>
        <v>148055.43982793999</v>
      </c>
      <c r="AQ31" s="44">
        <f>[1]!thsiFinD("ths_ev2_usk",AQ$6,$A31,"USD")/1000000</f>
        <v>415736.51191052003</v>
      </c>
      <c r="AR31" s="44">
        <f>[1]!thsiFinD("ths_ev2_usk",AR$6,$A31,"USD")/1000000</f>
        <v>296471.34277468</v>
      </c>
      <c r="AS31" s="44">
        <f>[1]!thsiFinD("ths_ev2_usk",AS$6,$A31,"USD")/1000000</f>
        <v>69011.944361899994</v>
      </c>
      <c r="AT31" s="44">
        <f>[1]!thsiFinD("ths_ev2_usk",AT$6,$A31,"USD")/1000000</f>
        <v>135501.31011330002</v>
      </c>
      <c r="AU31" s="44">
        <f>[1]!thsiFinD("ths_ev2_usk",AU$6,$A31,"USD")/1000000</f>
        <v>34564.71</v>
      </c>
    </row>
    <row r="32" spans="1:47" x14ac:dyDescent="0.45">
      <c r="A32" s="3">
        <f>_xll.ciqfunctions.udf.CIQ("COP", "IQ_PRICEDATE", "11/30/2023")</f>
        <v>45260</v>
      </c>
      <c r="B32" s="13">
        <v>109.67076</v>
      </c>
      <c r="C32" s="13">
        <v>95.833770000000001</v>
      </c>
      <c r="D32" s="13">
        <v>133.03933000000001</v>
      </c>
      <c r="E32" s="13">
        <v>114.12329</v>
      </c>
      <c r="F32" s="13">
        <v>32.463909999999998</v>
      </c>
      <c r="G32" s="13">
        <v>41.797319999999999</v>
      </c>
      <c r="H32" s="23">
        <f>[1]!thsiFinD("ths_pe_ttm_uss",B$6,$A32,100)</f>
        <v>12.253659778277999</v>
      </c>
      <c r="I32" s="23">
        <f>[1]!thsiFinD("ths_pe_ttm_uss",C$6,$A32,100)</f>
        <v>9.9836763787688003</v>
      </c>
      <c r="J32" s="23">
        <f>[1]!thsiFinD("ths_pe_ttm_uss",D$6,$A32,100)</f>
        <v>10.613916409802</v>
      </c>
      <c r="K32" s="23">
        <f>[1]!thsiFinD("ths_pe_ttm_uss",E$6,$A32,100)</f>
        <v>9.1041762676823996</v>
      </c>
      <c r="L32" s="23">
        <f>[1]!thsiFinD("ths_pe_ttm_uss",F$6,$A32,100)</f>
        <v>3.9906405200506998</v>
      </c>
      <c r="M32" s="23">
        <f>[1]!thsiFinD("ths_pe_ttm_uss",G$6,$A32,100)</f>
        <v>7.5901683350895999</v>
      </c>
      <c r="N32" s="26">
        <f>[1]!thsiFinD("ths_ev2_to_ebitda_usk",N$6,$A32)</f>
        <v>4.1268816706856999</v>
      </c>
      <c r="O32" s="26">
        <f>[1]!thsiFinD("ths_ev2_to_ebitda_usk",O$6,$A32)</f>
        <v>4.1598932602153997</v>
      </c>
      <c r="P32" s="26">
        <f>[1]!thsiFinD("ths_ev2_to_ebitda_usk",P$6,$A32)</f>
        <v>4.3339013765520997</v>
      </c>
      <c r="Q32" s="26">
        <f>[1]!thsiFinD("ths_ev2_to_ebitda_usk",Q$6,$A32)</f>
        <v>5.1569682512216</v>
      </c>
      <c r="R32" s="26">
        <f>[1]!thsiFinD("ths_ev2_to_ebitda_usk",R$6,$A32)</f>
        <v>4.2122288530876997</v>
      </c>
      <c r="S32" s="26">
        <f>[1]!thsiFinD("ths_ev2_to_ebitda_usk",S$6,$A32)</f>
        <v>3.3430594589334</v>
      </c>
      <c r="T32" s="27">
        <f>[1]!thsiFinD("ths_pb_mrq_usk",T$6,$A32)</f>
        <v>2.8742011908460001</v>
      </c>
      <c r="U32" s="27">
        <f>[1]!thsiFinD("ths_pb_mrq_usk",U$6,$A32)</f>
        <v>2.0561964990949999</v>
      </c>
      <c r="V32" s="27">
        <f>[1]!thsiFinD("ths_pb_mrq_usk",V$6,$A32)</f>
        <v>1.6353260130264</v>
      </c>
      <c r="W32" s="27">
        <f>[1]!thsiFinD("ths_pb_mrq_usk",W$6,$A32)</f>
        <v>2.5854968484090999</v>
      </c>
      <c r="X32" s="27">
        <f>[1]!thsiFinD("ths_pb_mrq_usk",X$6,$A32)</f>
        <v>1.4146169845925001</v>
      </c>
      <c r="Y32" s="27">
        <f>[1]!thsiFinD("ths_pb_mrq_usk",Y$6,$A32)</f>
        <v>2.4754943723688001</v>
      </c>
      <c r="Z32" s="28">
        <f>[1]!thsiFinD("ths_ps_ttm_uss",Z$6,$A32,100)</f>
        <v>2.1946414600735999</v>
      </c>
      <c r="AA32" s="28">
        <f>[1]!thsiFinD("ths_ps_ttm_uss",AA$6,$A32,100)</f>
        <v>1.1545310907640001</v>
      </c>
      <c r="AB32" s="28">
        <f>[1]!thsiFinD("ths_ps_ttm_uss",AB$6,$A32,100)</f>
        <v>1.2854812717858</v>
      </c>
      <c r="AC32" s="28">
        <f>[1]!thsiFinD("ths_ps_ttm_uss",AC$6,$A32,100)</f>
        <v>2.9235873194614999</v>
      </c>
      <c r="AD32" s="28">
        <f>[1]!thsiFinD("ths_ps_ttm_uss",AD$6,$A32,100)</f>
        <v>0.44385981399737001</v>
      </c>
      <c r="AE32" s="28">
        <f>[1]!thsiFinD("ths_ps_ttm_uss",AE$6,$A32,100)</f>
        <v>1.86947047755</v>
      </c>
      <c r="AF32" s="29">
        <v>75.959999999999994</v>
      </c>
      <c r="AG32" s="30">
        <v>3.8290000000000002</v>
      </c>
      <c r="AH32" s="31">
        <v>641.28351999999995</v>
      </c>
      <c r="AI32" s="31">
        <v>8584.1817200000005</v>
      </c>
      <c r="AJ32" s="44">
        <f>[1]!thsiFinD("ths_right_value_usk",AJ$6,$A32,"USD")/1000000</f>
        <v>137228.73585694001</v>
      </c>
      <c r="AK32" s="44">
        <f>[1]!thsiFinD("ths_right_value_usk",AK$6,$A32,"USD")/1000000</f>
        <v>410628.60945876001</v>
      </c>
      <c r="AL32" s="44">
        <f>[1]!thsiFinD("ths_right_value_usk",AL$6,$A32,"USD")/1000000</f>
        <v>270262.15354279999</v>
      </c>
      <c r="AM32" s="44">
        <f>[1]!thsiFinD("ths_right_value_usk",AM$6,$A32,"USD")/1000000</f>
        <v>71768.221518139995</v>
      </c>
      <c r="AN32" s="44">
        <f>[1]!thsiFinD("ths_right_value_usk",AN$6,$A32,"USD")/1000000</f>
        <v>102443.73279022</v>
      </c>
      <c r="AO32" s="44">
        <f>[1]!thsiFinD("ths_right_value_usk",AO$6,$A32,"USD")/1000000</f>
        <v>28812.278999999999</v>
      </c>
      <c r="AP32" s="44">
        <f>[1]!thsiFinD("ths_ev2_usk",AP$6,$A32,"USD")/1000000</f>
        <v>147461.73585694001</v>
      </c>
      <c r="AQ32" s="44">
        <f>[1]!thsiFinD("ths_ev2_usk",AQ$6,$A32,"USD")/1000000</f>
        <v>426767.60945876001</v>
      </c>
      <c r="AR32" s="44">
        <f>[1]!thsiFinD("ths_ev2_usk",AR$6,$A32,"USD")/1000000</f>
        <v>286007.15354279999</v>
      </c>
      <c r="AS32" s="44">
        <f>[1]!thsiFinD("ths_ev2_usk",AS$6,$A32,"USD")/1000000</f>
        <v>70248.221518139995</v>
      </c>
      <c r="AT32" s="44">
        <f>[1]!thsiFinD("ths_ev2_usk",AT$6,$A32,"USD")/1000000</f>
        <v>136585.73279022</v>
      </c>
      <c r="AU32" s="44">
        <f>[1]!thsiFinD("ths_ev2_usk",AU$6,$A32,"USD")/1000000</f>
        <v>34353.279000000002</v>
      </c>
    </row>
    <row r="33" spans="1:47" x14ac:dyDescent="0.45">
      <c r="A33" s="3">
        <f>_xll.ciqfunctions.udf.CIQ("COP", "IQ_PRICEDATE", "10/31/2023")</f>
        <v>45230</v>
      </c>
      <c r="B33" s="13">
        <v>112.1703</v>
      </c>
      <c r="C33" s="13">
        <v>97.840029999999999</v>
      </c>
      <c r="D33" s="13">
        <v>133.6121</v>
      </c>
      <c r="E33" s="13">
        <v>117.07211</v>
      </c>
      <c r="F33" s="13">
        <v>32.319029999999998</v>
      </c>
      <c r="G33" s="13">
        <v>43.284439999999996</v>
      </c>
      <c r="H33" s="23">
        <f>[1]!thsiFinD("ths_pe_ttm_uss",B$6,$A33,100)</f>
        <v>12.596130324993</v>
      </c>
      <c r="I33" s="23">
        <f>[1]!thsiFinD("ths_pe_ttm_uss",C$6,$A33,100)</f>
        <v>10.198756582374999</v>
      </c>
      <c r="J33" s="23">
        <f>[1]!thsiFinD("ths_pe_ttm_uss",D$6,$A33,100)</f>
        <v>10.771351242343</v>
      </c>
      <c r="K33" s="23">
        <f>[1]!thsiFinD("ths_pe_ttm_uss",E$6,$A33,100)</f>
        <v>9.3394186543828006</v>
      </c>
      <c r="L33" s="23">
        <f>[1]!thsiFinD("ths_pe_ttm_uss",F$6,$A33,100)</f>
        <v>4.0439567320755003</v>
      </c>
      <c r="M33" s="23">
        <f>[1]!thsiFinD("ths_pe_ttm_uss",G$6,$A33,100)</f>
        <v>7.8602210221286004</v>
      </c>
      <c r="N33" s="26">
        <f>[1]!thsiFinD("ths_ev2_to_ebitda_usk",N$6,$A33)</f>
        <v>4.2342176063360997</v>
      </c>
      <c r="O33" s="26">
        <f>[1]!thsiFinD("ths_ev2_to_ebitda_usk",O$6,$A33)</f>
        <v>4.2461215723903996</v>
      </c>
      <c r="P33" s="26">
        <f>[1]!thsiFinD("ths_ev2_to_ebitda_usk",P$6,$A33)</f>
        <v>4.3946466547026004</v>
      </c>
      <c r="Q33" s="26">
        <f>[1]!thsiFinD("ths_ev2_to_ebitda_usk",Q$6,$A33)</f>
        <v>5.2931021327631997</v>
      </c>
      <c r="R33" s="26">
        <f>[1]!thsiFinD("ths_ev2_to_ebitda_usk",R$6,$A33)</f>
        <v>4.2544382060418</v>
      </c>
      <c r="S33" s="26">
        <f>[1]!thsiFinD("ths_ev2_to_ebitda_usk",S$6,$A33)</f>
        <v>3.4428181198910002</v>
      </c>
      <c r="T33" s="27">
        <f>[1]!thsiFinD("ths_pb_mrq_usk",T$6,$A33)</f>
        <v>2.9545306002639</v>
      </c>
      <c r="U33" s="27">
        <f>[1]!thsiFinD("ths_pb_mrq_usk",U$6,$A33)</f>
        <v>2.1004935240487002</v>
      </c>
      <c r="V33" s="27">
        <f>[1]!thsiFinD("ths_pb_mrq_usk",V$6,$A33)</f>
        <v>1.659582589682</v>
      </c>
      <c r="W33" s="27">
        <f>[1]!thsiFinD("ths_pb_mrq_usk",W$6,$A33)</f>
        <v>2.6523033810972998</v>
      </c>
      <c r="X33" s="27">
        <f>[1]!thsiFinD("ths_pb_mrq_usk",X$6,$A33)</f>
        <v>1.4335167122692001</v>
      </c>
      <c r="Y33" s="27">
        <f>[1]!thsiFinD("ths_pb_mrq_usk",Y$6,$A33)</f>
        <v>2.5635706675830998</v>
      </c>
      <c r="Z33" s="28">
        <f>[1]!thsiFinD("ths_ps_ttm_uss",Z$6,$A33,100)</f>
        <v>2.2559782422492001</v>
      </c>
      <c r="AA33" s="28">
        <f>[1]!thsiFinD("ths_ps_ttm_uss",AA$6,$A33,100)</f>
        <v>1.1794033695370001</v>
      </c>
      <c r="AB33" s="28">
        <f>[1]!thsiFinD("ths_ps_ttm_uss",AB$6,$A33,100)</f>
        <v>1.3045486471959999</v>
      </c>
      <c r="AC33" s="28">
        <f>[1]!thsiFinD("ths_ps_ttm_uss",AC$6,$A33,100)</f>
        <v>2.9991297560900998</v>
      </c>
      <c r="AD33" s="28">
        <f>[1]!thsiFinD("ths_ps_ttm_uss",AD$6,$A33,100)</f>
        <v>0.44978992066408002</v>
      </c>
      <c r="AE33" s="28">
        <f>[1]!thsiFinD("ths_ps_ttm_uss",AE$6,$A33,100)</f>
        <v>1.9359848819101999</v>
      </c>
      <c r="AF33" s="29">
        <v>81.02</v>
      </c>
      <c r="AG33" s="30">
        <v>3.649</v>
      </c>
      <c r="AH33" s="31">
        <v>652.01305000000002</v>
      </c>
      <c r="AI33" s="31">
        <v>7870.4789199999996</v>
      </c>
      <c r="AJ33" s="44">
        <f>[1]!thsiFinD("ths_right_value_usk",AJ$6,$A33,"USD")/1000000</f>
        <v>141064.0635096</v>
      </c>
      <c r="AK33" s="44">
        <f>[1]!thsiFinD("ths_right_value_usk",AK$6,$A33,"USD")/1000000</f>
        <v>419474.85823309998</v>
      </c>
      <c r="AL33" s="44">
        <f>[1]!thsiFinD("ths_right_value_usk",AL$6,$A33,"USD")/1000000</f>
        <v>274270.91668378998</v>
      </c>
      <c r="AM33" s="44">
        <f>[1]!thsiFinD("ths_right_value_usk",AM$6,$A33,"USD")/1000000</f>
        <v>73622.637252500004</v>
      </c>
      <c r="AN33" s="44">
        <f>[1]!thsiFinD("ths_right_value_usk",AN$6,$A33,"USD")/1000000</f>
        <v>103812.41326910999</v>
      </c>
      <c r="AO33" s="44">
        <f>[1]!thsiFinD("ths_right_value_usk",AO$6,$A33,"USD")/1000000</f>
        <v>29837.399000000001</v>
      </c>
      <c r="AP33" s="44">
        <f>[1]!thsiFinD("ths_ev2_usk",AP$6,$A33,"USD")/1000000</f>
        <v>151297.0635096</v>
      </c>
      <c r="AQ33" s="44">
        <f>[1]!thsiFinD("ths_ev2_usk",AQ$6,$A33,"USD")/1000000</f>
        <v>435613.85823309998</v>
      </c>
      <c r="AR33" s="44">
        <f>[1]!thsiFinD("ths_ev2_usk",AR$6,$A33,"USD")/1000000</f>
        <v>290015.91668378998</v>
      </c>
      <c r="AS33" s="44">
        <f>[1]!thsiFinD("ths_ev2_usk",AS$6,$A33,"USD")/1000000</f>
        <v>72102.637252500004</v>
      </c>
      <c r="AT33" s="44">
        <f>[1]!thsiFinD("ths_ev2_usk",AT$6,$A33,"USD")/1000000</f>
        <v>137954.41326910999</v>
      </c>
      <c r="AU33" s="44">
        <f>[1]!thsiFinD("ths_ev2_usk",AU$6,$A33,"USD")/1000000</f>
        <v>35378.398999999998</v>
      </c>
    </row>
    <row r="34" spans="1:47" x14ac:dyDescent="0.45">
      <c r="A34" s="3">
        <f>_xll.ciqfunctions.udf.CIQ("COP", "IQ_PRICEDATE", "9/29/2023")</f>
        <v>45198</v>
      </c>
      <c r="B34" s="13">
        <v>113.11450000000001</v>
      </c>
      <c r="C34" s="13">
        <v>108.68239</v>
      </c>
      <c r="D34" s="13">
        <v>154.59871999999999</v>
      </c>
      <c r="E34" s="13">
        <v>116.82048</v>
      </c>
      <c r="F34" s="13">
        <v>34.20975</v>
      </c>
      <c r="G34" s="13">
        <v>44.334719999999997</v>
      </c>
      <c r="H34" s="23">
        <f>[1]!thsiFinD("ths_pe_ttm_uss",B$6,$A34,100)</f>
        <v>11.096796304564</v>
      </c>
      <c r="I34" s="23">
        <f>[1]!thsiFinD("ths_pe_ttm_uss",C$6,$A34,100)</f>
        <v>9.0628924307053005</v>
      </c>
      <c r="J34" s="23">
        <f>[1]!thsiFinD("ths_pe_ttm_uss",D$6,$A34,100)</f>
        <v>10.436717338211</v>
      </c>
      <c r="K34" s="23">
        <f>[1]!thsiFinD("ths_pe_ttm_uss",E$6,$A34,100)</f>
        <v>8.4767878064177999</v>
      </c>
      <c r="L34" s="23">
        <f>[1]!thsiFinD("ths_pe_ttm_uss",F$6,$A34,100)</f>
        <v>5.9236485132984003</v>
      </c>
      <c r="M34" s="23">
        <f>[1]!thsiFinD("ths_pe_ttm_uss",G$6,$A34,100)</f>
        <v>6.3949340866290001</v>
      </c>
      <c r="N34" s="26">
        <f>[1]!thsiFinD("ths_ev2_to_ebitda_usk",N$6,$A34)</f>
        <v>4.3145746844676998</v>
      </c>
      <c r="O34" s="26">
        <f>[1]!thsiFinD("ths_ev2_to_ebitda_usk",O$6,$A34)</f>
        <v>4.7631058915117004</v>
      </c>
      <c r="P34" s="26">
        <f>[1]!thsiFinD("ths_ev2_to_ebitda_usk",P$6,$A34)</f>
        <v>4.9709800836325</v>
      </c>
      <c r="Q34" s="26">
        <f>[1]!thsiFinD("ths_ev2_to_ebitda_usk",Q$6,$A34)</f>
        <v>5.3485091345236002</v>
      </c>
      <c r="R34" s="26">
        <f>[1]!thsiFinD("ths_ev2_to_ebitda_usk",R$6,$A34)</f>
        <v>4.5199545048114</v>
      </c>
      <c r="S34" s="26">
        <f>[1]!thsiFinD("ths_ev2_to_ebitda_usk",S$6,$A34)</f>
        <v>3.5631948228882999</v>
      </c>
      <c r="T34" s="27">
        <f>[1]!thsiFinD("ths_pb_mrq_usk",T$6,$A34)</f>
        <v>3.0182277382214</v>
      </c>
      <c r="U34" s="27">
        <f>[1]!thsiFinD("ths_pb_mrq_usk",U$6,$A34)</f>
        <v>2.3548968405095998</v>
      </c>
      <c r="V34" s="27">
        <f>[1]!thsiFinD("ths_pb_mrq_usk",V$6,$A34)</f>
        <v>1.9886618579451001</v>
      </c>
      <c r="W34" s="27">
        <f>[1]!thsiFinD("ths_pb_mrq_usk",W$6,$A34)</f>
        <v>2.8109605602498</v>
      </c>
      <c r="X34" s="27">
        <f>[1]!thsiFinD("ths_pb_mrq_usk",X$6,$A34)</f>
        <v>1.5706229086711001</v>
      </c>
      <c r="Y34" s="27">
        <f>[1]!thsiFinD("ths_pb_mrq_usk",Y$6,$A34)</f>
        <v>2.7730142455313</v>
      </c>
      <c r="Z34" s="28">
        <f>[1]!thsiFinD("ths_ps_ttm_uss",Z$6,$A34,100)</f>
        <v>2.0708082426404002</v>
      </c>
      <c r="AA34" s="28">
        <f>[1]!thsiFinD("ths_ps_ttm_uss",AA$6,$A34,100)</f>
        <v>1.2433989249108</v>
      </c>
      <c r="AB34" s="28">
        <f>[1]!thsiFinD("ths_ps_ttm_uss",AB$6,$A34,100)</f>
        <v>1.4131346941248</v>
      </c>
      <c r="AC34" s="28">
        <f>[1]!thsiFinD("ths_ps_ttm_uss",AC$6,$A34,100)</f>
        <v>2.8465190107787</v>
      </c>
      <c r="AD34" s="28">
        <f>[1]!thsiFinD("ths_ps_ttm_uss",AD$6,$A34,100)</f>
        <v>0.47092241852133998</v>
      </c>
      <c r="AE34" s="28">
        <f>[1]!thsiFinD("ths_ps_ttm_uss",AE$6,$A34,100)</f>
        <v>1.7968832314205001</v>
      </c>
      <c r="AF34" s="29">
        <v>90.79</v>
      </c>
      <c r="AG34" s="30">
        <v>3.7374999999999998</v>
      </c>
      <c r="AH34" s="31">
        <v>694.19136000000003</v>
      </c>
      <c r="AI34" s="31">
        <v>8041.8736399999998</v>
      </c>
      <c r="AJ34" s="44">
        <f>[1]!thsiFinD("ths_right_value_usk",AJ$6,$A34,"USD")/1000000</f>
        <v>143459.3826254</v>
      </c>
      <c r="AK34" s="44">
        <f>[1]!thsiFinD("ths_right_value_usk",AK$6,$A34,"USD")/1000000</f>
        <v>468732.79651608004</v>
      </c>
      <c r="AL34" s="44">
        <f>[1]!thsiFinD("ths_right_value_usk",AL$6,$A34,"USD")/1000000</f>
        <v>314854.88865916</v>
      </c>
      <c r="AM34" s="44">
        <f>[1]!thsiFinD("ths_right_value_usk",AM$6,$A34,"USD")/1000000</f>
        <v>73807.391430479998</v>
      </c>
      <c r="AN34" s="44">
        <f>[1]!thsiFinD("ths_right_value_usk",AN$6,$A34,"USD")/1000000</f>
        <v>110476.04477301</v>
      </c>
      <c r="AO34" s="44">
        <f>[1]!thsiFinD("ths_right_value_usk",AO$6,$A34,"USD")/1000000</f>
        <v>30561.39</v>
      </c>
      <c r="AP34" s="44">
        <f>[1]!thsiFinD("ths_ev2_usk",AP$6,$A34,"USD")/1000000</f>
        <v>154168.3826254</v>
      </c>
      <c r="AQ34" s="44">
        <f>[1]!thsiFinD("ths_ev2_usk",AQ$6,$A34,"USD")/1000000</f>
        <v>488651.79651608004</v>
      </c>
      <c r="AR34" s="44">
        <f>[1]!thsiFinD("ths_ev2_usk",AR$6,$A34,"USD")/1000000</f>
        <v>328049.88865916</v>
      </c>
      <c r="AS34" s="44">
        <f>[1]!thsiFinD("ths_ev2_usk",AS$6,$A34,"USD")/1000000</f>
        <v>72857.391430479998</v>
      </c>
      <c r="AT34" s="44">
        <f>[1]!thsiFinD("ths_ev2_usk",AT$6,$A34,"USD")/1000000</f>
        <v>146564.04477301001</v>
      </c>
      <c r="AU34" s="44">
        <f>[1]!thsiFinD("ths_ev2_usk",AU$6,$A34,"USD")/1000000</f>
        <v>36615.39</v>
      </c>
    </row>
    <row r="35" spans="1:47" x14ac:dyDescent="0.45">
      <c r="A35" s="3">
        <f>_xll.ciqfunctions.udf.CIQ("COP", "IQ_PRICEDATE", "8/31/2023")</f>
        <v>45169</v>
      </c>
      <c r="B35" s="13">
        <v>111.82619</v>
      </c>
      <c r="C35" s="13">
        <v>102.77594000000001</v>
      </c>
      <c r="D35" s="13">
        <v>147.70403999999999</v>
      </c>
      <c r="E35" s="13">
        <v>118.53464</v>
      </c>
      <c r="F35" s="13">
        <v>32.849139999999998</v>
      </c>
      <c r="G35" s="13">
        <v>47.026159999999997</v>
      </c>
      <c r="H35" s="23">
        <f>[1]!thsiFinD("ths_pe_ttm_uss",B$6,$A35,100)</f>
        <v>11.025472989418001</v>
      </c>
      <c r="I35" s="23">
        <f>[1]!thsiFinD("ths_pe_ttm_uss",C$6,$A35,100)</f>
        <v>8.5703606852367002</v>
      </c>
      <c r="J35" s="23">
        <f>[1]!thsiFinD("ths_pe_ttm_uss",D$6,$A35,100)</f>
        <v>9.9712677214200003</v>
      </c>
      <c r="K35" s="23">
        <f>[1]!thsiFinD("ths_pe_ttm_uss",E$6,$A35,100)</f>
        <v>8.6011710923118994</v>
      </c>
      <c r="L35" s="23">
        <f>[1]!thsiFinD("ths_pe_ttm_uss",F$6,$A35,100)</f>
        <v>5.7212937911071</v>
      </c>
      <c r="M35" s="23">
        <f>[1]!thsiFinD("ths_pe_ttm_uss",G$6,$A35,100)</f>
        <v>6.8494168236033</v>
      </c>
      <c r="N35" s="26">
        <f>[1]!thsiFinD("ths_ev2_to_ebitda_usk",N$6,$A35)</f>
        <v>4.2887695848872003</v>
      </c>
      <c r="O35" s="26">
        <f>[1]!thsiFinD("ths_ev2_to_ebitda_usk",O$6,$A35)</f>
        <v>4.5148020259130002</v>
      </c>
      <c r="P35" s="26">
        <f>[1]!thsiFinD("ths_ev2_to_ebitda_usk",P$6,$A35)</f>
        <v>4.7582047280742001</v>
      </c>
      <c r="Q35" s="26">
        <f>[1]!thsiFinD("ths_ev2_to_ebitda_usk",Q$6,$A35)</f>
        <v>5.4280132653619004</v>
      </c>
      <c r="R35" s="26">
        <f>[1]!thsiFinD("ths_ev2_to_ebitda_usk",R$6,$A35)</f>
        <v>4.4035690249844999</v>
      </c>
      <c r="S35" s="26">
        <f>[1]!thsiFinD("ths_ev2_to_ebitda_usk",S$6,$A35)</f>
        <v>3.7745584857921002</v>
      </c>
      <c r="T35" s="27">
        <f>[1]!thsiFinD("ths_pb_mrq_usk",T$6,$A35)</f>
        <v>2.9988284447453002</v>
      </c>
      <c r="U35" s="27">
        <f>[1]!thsiFinD("ths_pb_mrq_usk",U$6,$A35)</f>
        <v>2.2269176704903999</v>
      </c>
      <c r="V35" s="27">
        <f>[1]!thsiFinD("ths_pb_mrq_usk",V$6,$A35)</f>
        <v>1.899972869855</v>
      </c>
      <c r="W35" s="27">
        <f>[1]!thsiFinD("ths_pb_mrq_usk",W$6,$A35)</f>
        <v>2.8522069048543002</v>
      </c>
      <c r="X35" s="27">
        <f>[1]!thsiFinD("ths_pb_mrq_usk",X$6,$A35)</f>
        <v>1.5169696641145001</v>
      </c>
      <c r="Y35" s="27">
        <f>[1]!thsiFinD("ths_pb_mrq_usk",Y$6,$A35)</f>
        <v>2.9700901007168001</v>
      </c>
      <c r="Z35" s="28">
        <f>[1]!thsiFinD("ths_ps_ttm_uss",Z$6,$A35,100)</f>
        <v>2.0574983733012</v>
      </c>
      <c r="AA35" s="28">
        <f>[1]!thsiFinD("ths_ps_ttm_uss",AA$6,$A35,100)</f>
        <v>1.1758251952783001</v>
      </c>
      <c r="AB35" s="28">
        <f>[1]!thsiFinD("ths_ps_ttm_uss",AB$6,$A35,100)</f>
        <v>1.3501126747923999</v>
      </c>
      <c r="AC35" s="28">
        <f>[1]!thsiFinD("ths_ps_ttm_uss",AC$6,$A35,100)</f>
        <v>2.8882871186995001</v>
      </c>
      <c r="AD35" s="28">
        <f>[1]!thsiFinD("ths_ps_ttm_uss",AD$6,$A35,100)</f>
        <v>0.45483547903471</v>
      </c>
      <c r="AE35" s="28">
        <f>[1]!thsiFinD("ths_ps_ttm_uss",AE$6,$A35,100)</f>
        <v>1.9245862535278</v>
      </c>
      <c r="AF35" s="29">
        <v>83.63</v>
      </c>
      <c r="AG35" s="30">
        <v>3.7725</v>
      </c>
      <c r="AH35" s="31">
        <v>677.49076000000002</v>
      </c>
      <c r="AI35" s="31">
        <v>8447.2599200000004</v>
      </c>
      <c r="AJ35" s="44">
        <f>[1]!thsiFinD("ths_right_value_usk",AJ$6,$A35,"USD")/1000000</f>
        <v>142537.31480719001</v>
      </c>
      <c r="AK35" s="44">
        <f>[1]!thsiFinD("ths_right_value_usk",AK$6,$A35,"USD")/1000000</f>
        <v>443259.05464043998</v>
      </c>
      <c r="AL35" s="44">
        <f>[1]!thsiFinD("ths_right_value_usk",AL$6,$A35,"USD")/1000000</f>
        <v>300813.20461979997</v>
      </c>
      <c r="AM35" s="44">
        <f>[1]!thsiFinD("ths_right_value_usk",AM$6,$A35,"USD")/1000000</f>
        <v>74890.39670076</v>
      </c>
      <c r="AN35" s="44">
        <f>[1]!thsiFinD("ths_right_value_usk",AN$6,$A35,"USD")/1000000</f>
        <v>106702.12920415</v>
      </c>
      <c r="AO35" s="44">
        <f>[1]!thsiFinD("ths_right_value_usk",AO$6,$A35,"USD")/1000000</f>
        <v>32733.363000000001</v>
      </c>
      <c r="AP35" s="44">
        <f>[1]!thsiFinD("ths_ev2_usk",AP$6,$A35,"USD")/1000000</f>
        <v>153246.31480719001</v>
      </c>
      <c r="AQ35" s="44">
        <f>[1]!thsiFinD("ths_ev2_usk",AQ$6,$A35,"USD")/1000000</f>
        <v>463178.05464043998</v>
      </c>
      <c r="AR35" s="44">
        <f>[1]!thsiFinD("ths_ev2_usk",AR$6,$A35,"USD")/1000000</f>
        <v>314008.20461979997</v>
      </c>
      <c r="AS35" s="44">
        <f>[1]!thsiFinD("ths_ev2_usk",AS$6,$A35,"USD")/1000000</f>
        <v>73940.39670076</v>
      </c>
      <c r="AT35" s="44">
        <f>[1]!thsiFinD("ths_ev2_usk",AT$6,$A35,"USD")/1000000</f>
        <v>142790.12920415</v>
      </c>
      <c r="AU35" s="44">
        <f>[1]!thsiFinD("ths_ev2_usk",AU$6,$A35,"USD")/1000000</f>
        <v>38787.362999999998</v>
      </c>
    </row>
    <row r="36" spans="1:47" x14ac:dyDescent="0.45">
      <c r="A36" s="3">
        <f>_xll.ciqfunctions.udf.CIQ("COP", "IQ_PRICEDATE", "7/31/2023")</f>
        <v>45138</v>
      </c>
      <c r="B36" s="13">
        <v>110.11621</v>
      </c>
      <c r="C36" s="13">
        <v>98.318879999999993</v>
      </c>
      <c r="D36" s="13">
        <v>148.62282999999999</v>
      </c>
      <c r="E36" s="13">
        <v>122.13805000000001</v>
      </c>
      <c r="F36" s="13">
        <v>32.575409999999998</v>
      </c>
      <c r="G36" s="13">
        <v>49.704689999999999</v>
      </c>
      <c r="H36" s="23">
        <f>[1]!thsiFinD("ths_pe_ttm_uss",B$6,$A36,100)</f>
        <v>10.904130725987001</v>
      </c>
      <c r="I36" s="23">
        <f>[1]!thsiFinD("ths_pe_ttm_uss",C$6,$A36,100)</f>
        <v>8.3005103340657005</v>
      </c>
      <c r="J36" s="23">
        <f>[1]!thsiFinD("ths_pe_ttm_uss",D$6,$A36,100)</f>
        <v>10.129718654795999</v>
      </c>
      <c r="K36" s="23">
        <f>[1]!thsiFinD("ths_pe_ttm_uss",E$6,$A36,100)</f>
        <v>8.8626434836270001</v>
      </c>
      <c r="L36" s="23">
        <f>[1]!thsiFinD("ths_pe_ttm_uss",F$6,$A36,100)</f>
        <v>5.7672233960000003</v>
      </c>
      <c r="M36" s="23">
        <f>[1]!thsiFinD("ths_pe_ttm_uss",G$6,$A36,100)</f>
        <v>7.2395480225988997</v>
      </c>
      <c r="N36" s="26">
        <f>[1]!thsiFinD("ths_ev2_to_ebitda_usk",N$6,$A36)</f>
        <v>4.2448674024840001</v>
      </c>
      <c r="O36" s="26">
        <f>[1]!thsiFinD("ths_ev2_to_ebitda_usk",O$6,$A36)</f>
        <v>4.3787602662795004</v>
      </c>
      <c r="P36" s="26">
        <f>[1]!thsiFinD("ths_ev2_to_ebitda_usk",P$6,$A36)</f>
        <v>4.8306388916685004</v>
      </c>
      <c r="Q36" s="26">
        <f>[1]!thsiFinD("ths_ev2_to_ebitda_usk",Q$6,$A36)</f>
        <v>5.5951429167478999</v>
      </c>
      <c r="R36" s="26">
        <f>[1]!thsiFinD("ths_ev2_to_ebitda_usk",R$6,$A36)</f>
        <v>4.4299857008387997</v>
      </c>
      <c r="S36" s="26">
        <f>[1]!thsiFinD("ths_ev2_to_ebitda_usk",S$6,$A36)</f>
        <v>3.9559945504087</v>
      </c>
      <c r="T36" s="27">
        <f>[1]!thsiFinD("ths_pb_mrq_usk",T$6,$A36)</f>
        <v>2.9658244519484001</v>
      </c>
      <c r="U36" s="27">
        <f>[1]!thsiFinD("ths_pb_mrq_usk",U$6,$A36)</f>
        <v>2.1567999079503002</v>
      </c>
      <c r="V36" s="27">
        <f>[1]!thsiFinD("ths_pb_mrq_usk",V$6,$A36)</f>
        <v>1.9301648658006001</v>
      </c>
      <c r="W36" s="27">
        <f>[1]!thsiFinD("ths_pb_mrq_usk",W$6,$A36)</f>
        <v>2.9389129303400998</v>
      </c>
      <c r="X36" s="27">
        <f>[1]!thsiFinD("ths_pb_mrq_usk",X$6,$A36)</f>
        <v>1.5291476469014</v>
      </c>
      <c r="Y36" s="27">
        <f>[1]!thsiFinD("ths_pb_mrq_usk",Y$6,$A36)</f>
        <v>3.1392614100354002</v>
      </c>
      <c r="Z36" s="28">
        <f>[1]!thsiFinD("ths_ps_ttm_uss",Z$6,$A36,100)</f>
        <v>2.03485430988</v>
      </c>
      <c r="AA36" s="28">
        <f>[1]!thsiFinD("ths_ps_ttm_uss",AA$6,$A36,100)</f>
        <v>1.1388026178729</v>
      </c>
      <c r="AB36" s="28">
        <f>[1]!thsiFinD("ths_ps_ttm_uss",AB$6,$A36,100)</f>
        <v>1.3715669792459999</v>
      </c>
      <c r="AC36" s="28">
        <f>[1]!thsiFinD("ths_ps_ttm_uss",AC$6,$A36,100)</f>
        <v>2.9760899692213001</v>
      </c>
      <c r="AD36" s="28">
        <f>[1]!thsiFinD("ths_ps_ttm_uss",AD$6,$A36,100)</f>
        <v>0.45848682339947999</v>
      </c>
      <c r="AE36" s="28">
        <f>[1]!thsiFinD("ths_ps_ttm_uss",AE$6,$A36,100)</f>
        <v>2.0342074317968</v>
      </c>
      <c r="AF36" s="29">
        <v>81.8</v>
      </c>
      <c r="AG36" s="30">
        <v>4.008</v>
      </c>
      <c r="AH36" s="31">
        <v>668.98189000000002</v>
      </c>
      <c r="AI36" s="31">
        <v>8588.6311499999993</v>
      </c>
      <c r="AJ36" s="44">
        <f>[1]!thsiFinD("ths_right_value_usk",AJ$6,$A36,"USD")/1000000</f>
        <v>140968.60202555999</v>
      </c>
      <c r="AK36" s="44">
        <f>[1]!thsiFinD("ths_right_value_usk",AK$6,$A36,"USD")/1000000</f>
        <v>429302.39447787998</v>
      </c>
      <c r="AL36" s="44">
        <f>[1]!thsiFinD("ths_right_value_usk",AL$6,$A36,"USD")/1000000</f>
        <v>305593.35237788002</v>
      </c>
      <c r="AM36" s="44">
        <f>[1]!thsiFinD("ths_right_value_usk",AM$6,$A36,"USD")/1000000</f>
        <v>77167.036811940008</v>
      </c>
      <c r="AN36" s="44">
        <f>[1]!thsiFinD("ths_right_value_usk",AN$6,$A36,"USD")/1000000</f>
        <v>107558.71633539999</v>
      </c>
      <c r="AO36" s="44">
        <f>[1]!thsiFinD("ths_right_value_usk",AO$6,$A36,"USD")/1000000</f>
        <v>34597.800000000003</v>
      </c>
      <c r="AP36" s="44">
        <f>[1]!thsiFinD("ths_ev2_usk",AP$6,$A36,"USD")/1000000</f>
        <v>151677.60202555999</v>
      </c>
      <c r="AQ36" s="44">
        <f>[1]!thsiFinD("ths_ev2_usk",AQ$6,$A36,"USD")/1000000</f>
        <v>449221.39447787998</v>
      </c>
      <c r="AR36" s="44">
        <f>[1]!thsiFinD("ths_ev2_usk",AR$6,$A36,"USD")/1000000</f>
        <v>318788.35237788002</v>
      </c>
      <c r="AS36" s="44">
        <f>[1]!thsiFinD("ths_ev2_usk",AS$6,$A36,"USD")/1000000</f>
        <v>76217.036811940008</v>
      </c>
      <c r="AT36" s="44">
        <f>[1]!thsiFinD("ths_ev2_usk",AT$6,$A36,"USD")/1000000</f>
        <v>143646.71633540001</v>
      </c>
      <c r="AU36" s="44">
        <f>[1]!thsiFinD("ths_ev2_usk",AU$6,$A36,"USD")/1000000</f>
        <v>40651.800000000003</v>
      </c>
    </row>
    <row r="37" spans="1:47" x14ac:dyDescent="0.45">
      <c r="A37" s="3">
        <f>_xll.ciqfunctions.udf.CIQ("COP", "IQ_PRICEDATE", "6/30/2023")</f>
        <v>45107</v>
      </c>
      <c r="B37" s="13">
        <v>96.917609999999996</v>
      </c>
      <c r="C37" s="13">
        <v>98.328050000000005</v>
      </c>
      <c r="D37" s="13">
        <v>142.89259000000001</v>
      </c>
      <c r="E37" s="13">
        <v>104.75664</v>
      </c>
      <c r="F37" s="13">
        <v>30.82</v>
      </c>
      <c r="G37" s="13">
        <v>44.494900000000001</v>
      </c>
      <c r="H37" s="23">
        <f>[1]!thsiFinD("ths_pe_ttm_uss",B$6,$A37,100)</f>
        <v>9.5971541328535004</v>
      </c>
      <c r="I37" s="23">
        <f>[1]!thsiFinD("ths_pe_ttm_uss",C$6,$A37,100)</f>
        <v>8.3012843465921993</v>
      </c>
      <c r="J37" s="23">
        <f>[1]!thsiFinD("ths_pe_ttm_uss",D$6,$A37,100)</f>
        <v>9.7391618619829003</v>
      </c>
      <c r="K37" s="23">
        <f>[1]!thsiFinD("ths_pe_ttm_uss",E$6,$A37,100)</f>
        <v>7.6524417401907003</v>
      </c>
      <c r="L37" s="23">
        <f>[1]!thsiFinD("ths_pe_ttm_uss",F$6,$A37,100)</f>
        <v>5.5022076406796998</v>
      </c>
      <c r="M37" s="23">
        <f>[1]!thsiFinD("ths_pe_ttm_uss",G$6,$A37,100)</f>
        <v>6.4837706633187002</v>
      </c>
      <c r="N37" s="26">
        <f>[1]!thsiFinD("ths_ev2_to_ebitda_usk",N$6,$A37)</f>
        <v>3.7719973309507</v>
      </c>
      <c r="O37" s="26">
        <f>[1]!thsiFinD("ths_ev2_to_ebitda_usk",O$6,$A37)</f>
        <v>4.3791504752439003</v>
      </c>
      <c r="P37" s="26">
        <f>[1]!thsiFinD("ths_ev2_to_ebitda_usk",P$6,$A37)</f>
        <v>4.6520999962465996</v>
      </c>
      <c r="Q37" s="26">
        <f>[1]!thsiFinD("ths_ev2_to_ebitda_usk",Q$6,$A37)</f>
        <v>4.8215981670709001</v>
      </c>
      <c r="R37" s="26">
        <f>[1]!thsiFinD("ths_ev2_to_ebitda_usk",R$6,$A37)</f>
        <v>4.2775603681821996</v>
      </c>
      <c r="S37" s="26">
        <f>[1]!thsiFinD("ths_ev2_to_ebitda_usk",S$6,$A37)</f>
        <v>3.6045095367847</v>
      </c>
      <c r="T37" s="27">
        <f>[1]!thsiFinD("ths_pb_mrq_usk",T$6,$A37)</f>
        <v>2.6103386974717999</v>
      </c>
      <c r="U37" s="27">
        <f>[1]!thsiFinD("ths_pb_mrq_usk",U$6,$A37)</f>
        <v>2.1570010269272002</v>
      </c>
      <c r="V37" s="27">
        <f>[1]!thsiFinD("ths_pb_mrq_usk",V$6,$A37)</f>
        <v>1.8557463132942</v>
      </c>
      <c r="W37" s="27">
        <f>[1]!thsiFinD("ths_pb_mrq_usk",W$6,$A37)</f>
        <v>2.5376017912114999</v>
      </c>
      <c r="X37" s="27">
        <f>[1]!thsiFinD("ths_pb_mrq_usk",X$6,$A37)</f>
        <v>1.4588801731426</v>
      </c>
      <c r="Y37" s="27">
        <f>[1]!thsiFinD("ths_pb_mrq_usk",Y$6,$A37)</f>
        <v>2.8115361582434</v>
      </c>
      <c r="Z37" s="28">
        <f>[1]!thsiFinD("ths_ps_ttm_uss",Z$6,$A37,100)</f>
        <v>1.7909552756258</v>
      </c>
      <c r="AA37" s="28">
        <f>[1]!thsiFinD("ths_ps_ttm_uss",AA$6,$A37,100)</f>
        <v>1.1389088098364999</v>
      </c>
      <c r="AB37" s="28">
        <f>[1]!thsiFinD("ths_ps_ttm_uss",AB$6,$A37,100)</f>
        <v>1.318685471003</v>
      </c>
      <c r="AC37" s="28">
        <f>[1]!thsiFinD("ths_ps_ttm_uss",AC$6,$A37,100)</f>
        <v>2.5697022728158001</v>
      </c>
      <c r="AD37" s="28">
        <f>[1]!thsiFinD("ths_ps_ttm_uss",AD$6,$A37,100)</f>
        <v>0.43741841257774999</v>
      </c>
      <c r="AE37" s="28">
        <f>[1]!thsiFinD("ths_ps_ttm_uss",AE$6,$A37,100)</f>
        <v>1.8218450141110001</v>
      </c>
      <c r="AF37" s="29">
        <v>70.64</v>
      </c>
      <c r="AG37" s="30">
        <v>3.7595000000000001</v>
      </c>
      <c r="AH37" s="31">
        <v>623.55705</v>
      </c>
      <c r="AI37" s="31">
        <v>8323.6959000000006</v>
      </c>
      <c r="AJ37" s="44">
        <f>[1]!thsiFinD("ths_right_value_usk",AJ$6,$A37,"USD")/1000000</f>
        <v>124072.00862953</v>
      </c>
      <c r="AK37" s="44">
        <f>[1]!thsiFinD("ths_right_value_usk",AK$6,$A37,"USD")/1000000</f>
        <v>429342.42640574998</v>
      </c>
      <c r="AL37" s="44">
        <f>[1]!thsiFinD("ths_right_value_usk",AL$6,$A37,"USD")/1000000</f>
        <v>293811.03505229997</v>
      </c>
      <c r="AM37" s="44">
        <f>[1]!thsiFinD("ths_right_value_usk",AM$6,$A37,"USD")/1000000</f>
        <v>66629.810231839991</v>
      </c>
      <c r="AN37" s="44">
        <f>[1]!thsiFinD("ths_right_value_usk",AN$6,$A37,"USD")/1000000</f>
        <v>102616.17249868</v>
      </c>
      <c r="AO37" s="44">
        <f>[1]!thsiFinD("ths_right_value_usk",AO$6,$A37,"USD")/1000000</f>
        <v>30985.94</v>
      </c>
      <c r="AP37" s="44">
        <f>[1]!thsiFinD("ths_ev2_usk",AP$6,$A37,"USD")/1000000</f>
        <v>134781.00862953</v>
      </c>
      <c r="AQ37" s="44">
        <f>[1]!thsiFinD("ths_ev2_usk",AQ$6,$A37,"USD")/1000000</f>
        <v>449261.42640574998</v>
      </c>
      <c r="AR37" s="44">
        <f>[1]!thsiFinD("ths_ev2_usk",AR$6,$A37,"USD")/1000000</f>
        <v>307006.03505229997</v>
      </c>
      <c r="AS37" s="44">
        <f>[1]!thsiFinD("ths_ev2_usk",AS$6,$A37,"USD")/1000000</f>
        <v>65679.810231839991</v>
      </c>
      <c r="AT37" s="44">
        <f>[1]!thsiFinD("ths_ev2_usk",AT$6,$A37,"USD")/1000000</f>
        <v>138704.17249867998</v>
      </c>
      <c r="AU37" s="44">
        <f>[1]!thsiFinD("ths_ev2_usk",AU$6,$A37,"USD")/1000000</f>
        <v>37039.94</v>
      </c>
    </row>
    <row r="38" spans="1:47" x14ac:dyDescent="0.45">
      <c r="A38" s="3">
        <f>_xll.ciqfunctions.udf.CIQ("COP", "IQ_PRICEDATE", "5/31/2023")</f>
        <v>45077</v>
      </c>
      <c r="B38" s="13">
        <v>92.331239999999994</v>
      </c>
      <c r="C38" s="13">
        <v>93.679820000000007</v>
      </c>
      <c r="D38" s="13">
        <v>136.78094999999999</v>
      </c>
      <c r="E38" s="13">
        <v>98.211640000000003</v>
      </c>
      <c r="F38" s="13">
        <v>29.44013</v>
      </c>
      <c r="G38" s="13">
        <v>41.826770000000003</v>
      </c>
      <c r="H38" s="23">
        <f>[1]!thsiFinD("ths_pe_ttm_uss",B$6,$A38,100)</f>
        <v>7.5853057141404996</v>
      </c>
      <c r="I38" s="23">
        <f>[1]!thsiFinD("ths_pe_ttm_uss",C$6,$A38,100)</f>
        <v>6.6965829434637998</v>
      </c>
      <c r="J38" s="23">
        <f>[1]!thsiFinD("ths_pe_ttm_uss",D$6,$A38,100)</f>
        <v>7.9757183345987004</v>
      </c>
      <c r="K38" s="23">
        <f>[1]!thsiFinD("ths_pe_ttm_uss",E$6,$A38,100)</f>
        <v>6.6811630742004002</v>
      </c>
      <c r="L38" s="23">
        <f>[1]!thsiFinD("ths_pe_ttm_uss",F$6,$A38,100)</f>
        <v>3.7747840239346999</v>
      </c>
      <c r="M38" s="23">
        <f>[1]!thsiFinD("ths_pe_ttm_uss",G$6,$A38,100)</f>
        <v>4.9131988041853996</v>
      </c>
      <c r="N38" s="26">
        <f>[1]!thsiFinD("ths_ev2_to_ebitda_usk",N$6,$A38)</f>
        <v>3.6316978567586</v>
      </c>
      <c r="O38" s="26">
        <f>[1]!thsiFinD("ths_ev2_to_ebitda_usk",O$6,$A38)</f>
        <v>4.1878547024815003</v>
      </c>
      <c r="P38" s="26">
        <f>[1]!thsiFinD("ths_ev2_to_ebitda_usk",P$6,$A38)</f>
        <v>4.4534147865977003</v>
      </c>
      <c r="Q38" s="26">
        <f>[1]!thsiFinD("ths_ev2_to_ebitda_usk",Q$6,$A38)</f>
        <v>4.5185349869982003</v>
      </c>
      <c r="R38" s="26">
        <f>[1]!thsiFinD("ths_ev2_to_ebitda_usk",R$6,$A38)</f>
        <v>4.0753248869750998</v>
      </c>
      <c r="S38" s="26">
        <f>[1]!thsiFinD("ths_ev2_to_ebitda_usk",S$6,$A38)</f>
        <v>3.4296778902297</v>
      </c>
      <c r="T38" s="27">
        <f>[1]!thsiFinD("ths_pb_mrq_usk",T$6,$A38)</f>
        <v>2.5146773500555</v>
      </c>
      <c r="U38" s="27">
        <f>[1]!thsiFinD("ths_pb_mrq_usk",U$6,$A38)</f>
        <v>2.0792319590421</v>
      </c>
      <c r="V38" s="27">
        <f>[1]!thsiFinD("ths_pb_mrq_usk",V$6,$A38)</f>
        <v>1.7897334069949999</v>
      </c>
      <c r="W38" s="27">
        <f>[1]!thsiFinD("ths_pb_mrq_usk",W$6,$A38)</f>
        <v>2.4658892440322999</v>
      </c>
      <c r="X38" s="27">
        <f>[1]!thsiFinD("ths_pb_mrq_usk",X$6,$A38)</f>
        <v>1.3734376145602001</v>
      </c>
      <c r="Y38" s="27">
        <f>[1]!thsiFinD("ths_pb_mrq_usk",Y$6,$A38)</f>
        <v>2.6949412407761999</v>
      </c>
      <c r="Z38" s="28">
        <f>[1]!thsiFinD("ths_ps_ttm_uss",Z$6,$A38,100)</f>
        <v>1.5329900719259999</v>
      </c>
      <c r="AA38" s="28">
        <f>[1]!thsiFinD("ths_ps_ttm_uss",AA$6,$A38,100)</f>
        <v>1.0082202589477001</v>
      </c>
      <c r="AB38" s="28">
        <f>[1]!thsiFinD("ths_ps_ttm_uss",AB$6,$A38,100)</f>
        <v>1.1759543829199</v>
      </c>
      <c r="AC38" s="28">
        <f>[1]!thsiFinD("ths_ps_ttm_uss",AC$6,$A38,100)</f>
        <v>2.2601838271401</v>
      </c>
      <c r="AD38" s="28">
        <f>[1]!thsiFinD("ths_ps_ttm_uss",AD$6,$A38,100)</f>
        <v>0.38715619539967</v>
      </c>
      <c r="AE38" s="28">
        <f>[1]!thsiFinD("ths_ps_ttm_uss",AE$6,$A38,100)</f>
        <v>1.5423550573514</v>
      </c>
      <c r="AF38" s="29">
        <v>68.09</v>
      </c>
      <c r="AG38" s="30">
        <v>3.637</v>
      </c>
      <c r="AH38" s="31">
        <v>585.66247999999996</v>
      </c>
      <c r="AI38" s="31">
        <v>7810.7541199999996</v>
      </c>
      <c r="AJ38" s="44">
        <f>[1]!thsiFinD("ths_right_value_usk",AJ$6,$A38,"USD")/1000000</f>
        <v>120158.8278177</v>
      </c>
      <c r="AK38" s="44">
        <f>[1]!thsiFinD("ths_right_value_usk",AK$6,$A38,"USD")/1000000</f>
        <v>413112.20178228006</v>
      </c>
      <c r="AL38" s="44">
        <f>[1]!thsiFinD("ths_right_value_usk",AL$6,$A38,"USD")/1000000</f>
        <v>285371.20201194001</v>
      </c>
      <c r="AM38" s="44">
        <f>[1]!thsiFinD("ths_right_value_usk",AM$6,$A38,"USD")/1000000</f>
        <v>62749.483592889999</v>
      </c>
      <c r="AN38" s="44">
        <f>[1]!thsiFinD("ths_right_value_usk",AN$6,$A38,"USD")/1000000</f>
        <v>98578.484785056004</v>
      </c>
      <c r="AO38" s="44">
        <f>[1]!thsiFinD("ths_right_value_usk",AO$6,$A38,"USD")/1000000</f>
        <v>29582.37</v>
      </c>
      <c r="AP38" s="44">
        <f>[1]!thsiFinD("ths_ev2_usk",AP$6,$A38,"USD")/1000000</f>
        <v>129767.8278177</v>
      </c>
      <c r="AQ38" s="44">
        <f>[1]!thsiFinD("ths_ev2_usk",AQ$6,$A38,"USD")/1000000</f>
        <v>429636.20178228006</v>
      </c>
      <c r="AR38" s="44">
        <f>[1]!thsiFinD("ths_ev2_usk",AR$6,$A38,"USD")/1000000</f>
        <v>293894.20201194001</v>
      </c>
      <c r="AS38" s="44">
        <f>[1]!thsiFinD("ths_ev2_usk",AS$6,$A38,"USD")/1000000</f>
        <v>61551.483592889999</v>
      </c>
      <c r="AT38" s="44">
        <f>[1]!thsiFinD("ths_ev2_usk",AT$6,$A38,"USD")/1000000</f>
        <v>132146.48478505999</v>
      </c>
      <c r="AU38" s="44">
        <f>[1]!thsiFinD("ths_ev2_usk",AU$6,$A38,"USD")/1000000</f>
        <v>35243.370000000003</v>
      </c>
    </row>
    <row r="39" spans="1:47" x14ac:dyDescent="0.45">
      <c r="A39" s="3">
        <f>_xll.ciqfunctions.udf.CIQ("COP", "IQ_PRICEDATE", "4/28/2023")</f>
        <v>45044</v>
      </c>
      <c r="B39" s="13">
        <v>95.178579999999997</v>
      </c>
      <c r="C39" s="13">
        <v>107.56213</v>
      </c>
      <c r="D39" s="13">
        <v>151.60616999999999</v>
      </c>
      <c r="E39" s="13">
        <v>109.36103</v>
      </c>
      <c r="F39" s="13">
        <v>34.803100000000001</v>
      </c>
      <c r="G39" s="13">
        <v>48.477319999999999</v>
      </c>
      <c r="H39" s="23">
        <f>[1]!thsiFinD("ths_pe_ttm_uss",B$6,$A39,100)</f>
        <v>7.859537813977</v>
      </c>
      <c r="I39" s="23">
        <f>[1]!thsiFinD("ths_pe_ttm_uss",C$6,$A39,100)</f>
        <v>7.7556628061215998</v>
      </c>
      <c r="J39" s="23">
        <f>[1]!thsiFinD("ths_pe_ttm_uss",D$6,$A39,100)</f>
        <v>8.9267467590401992</v>
      </c>
      <c r="K39" s="23">
        <f>[1]!thsiFinD("ths_pe_ttm_uss",E$6,$A39,100)</f>
        <v>7.4396360562468002</v>
      </c>
      <c r="L39" s="23">
        <f>[1]!thsiFinD("ths_pe_ttm_uss",F$6,$A39,100)</f>
        <v>4.5327758729202996</v>
      </c>
      <c r="M39" s="23">
        <f>[1]!thsiFinD("ths_pe_ttm_uss",G$6,$A39,100)</f>
        <v>5.6944080717489003</v>
      </c>
      <c r="N39" s="26">
        <f>[1]!thsiFinD("ths_ev2_to_ebitda_usk",N$6,$A39)</f>
        <v>3.7532726550770001</v>
      </c>
      <c r="O39" s="26">
        <f>[1]!thsiFinD("ths_ev2_to_ebitda_usk",O$6,$A39)</f>
        <v>4.8247003977896998</v>
      </c>
      <c r="P39" s="26">
        <f>[1]!thsiFinD("ths_ev2_to_ebitda_usk",P$6,$A39)</f>
        <v>4.9690421565690004</v>
      </c>
      <c r="Q39" s="26">
        <f>[1]!thsiFinD("ths_ev2_to_ebitda_usk",Q$6,$A39)</f>
        <v>5.0414815621985998</v>
      </c>
      <c r="R39" s="26">
        <f>[1]!thsiFinD("ths_ev2_to_ebitda_usk",R$6,$A39)</f>
        <v>4.6857904743513004</v>
      </c>
      <c r="S39" s="26">
        <f>[1]!thsiFinD("ths_ev2_to_ebitda_usk",S$6,$A39)</f>
        <v>3.8874105683144999</v>
      </c>
      <c r="T39" s="27">
        <f>[1]!thsiFinD("ths_pb_mrq_usk",T$6,$A39)</f>
        <v>2.6055906600926999</v>
      </c>
      <c r="U39" s="27">
        <f>[1]!thsiFinD("ths_pb_mrq_usk",U$6,$A39)</f>
        <v>2.4080672346158001</v>
      </c>
      <c r="V39" s="27">
        <f>[1]!thsiFinD("ths_pb_mrq_usk",V$6,$A39)</f>
        <v>2.0031420644749001</v>
      </c>
      <c r="W39" s="27">
        <f>[1]!thsiFinD("ths_pb_mrq_usk",W$6,$A39)</f>
        <v>2.7458270853252</v>
      </c>
      <c r="X39" s="27">
        <f>[1]!thsiFinD("ths_pb_mrq_usk",X$6,$A39)</f>
        <v>1.6492294241911001</v>
      </c>
      <c r="Y39" s="27">
        <f>[1]!thsiFinD("ths_pb_mrq_usk",Y$6,$A39)</f>
        <v>3.1234427439190999</v>
      </c>
      <c r="Z39" s="28">
        <f>[1]!thsiFinD("ths_ps_ttm_uss",Z$6,$A39,100)</f>
        <v>1.5884123716059</v>
      </c>
      <c r="AA39" s="28">
        <f>[1]!thsiFinD("ths_ps_ttm_uss",AA$6,$A39,100)</f>
        <v>1.1676725919346</v>
      </c>
      <c r="AB39" s="28">
        <f>[1]!thsiFinD("ths_ps_ttm_uss",AB$6,$A39,100)</f>
        <v>1.316175739428</v>
      </c>
      <c r="AC39" s="28">
        <f>[1]!thsiFinD("ths_ps_ttm_uss",AC$6,$A39,100)</f>
        <v>2.5167691474362002</v>
      </c>
      <c r="AD39" s="28">
        <f>[1]!thsiFinD("ths_ps_ttm_uss",AD$6,$A39,100)</f>
        <v>0.46489872014717998</v>
      </c>
      <c r="AE39" s="28">
        <f>[1]!thsiFinD("ths_ps_ttm_uss",AE$6,$A39,100)</f>
        <v>1.7875928571429001</v>
      </c>
      <c r="AF39" s="29">
        <v>76.78</v>
      </c>
      <c r="AG39" s="30">
        <v>3.8904999999999998</v>
      </c>
      <c r="AH39" s="31">
        <v>655.19614000000001</v>
      </c>
      <c r="AI39" s="31">
        <v>7781.2895099999996</v>
      </c>
      <c r="AJ39" s="44">
        <f>[1]!thsiFinD("ths_right_value_usk",AJ$6,$A39,"USD")/1000000</f>
        <v>124502.93851121001</v>
      </c>
      <c r="AK39" s="44">
        <f>[1]!thsiFinD("ths_right_value_usk",AK$6,$A39,"USD")/1000000</f>
        <v>478446.83850964002</v>
      </c>
      <c r="AL39" s="44">
        <f>[1]!thsiFinD("ths_right_value_usk",AL$6,$A39,"USD")/1000000</f>
        <v>319398.99903846002</v>
      </c>
      <c r="AM39" s="44">
        <f>[1]!thsiFinD("ths_right_value_usk",AM$6,$A39,"USD")/1000000</f>
        <v>69873.061840270006</v>
      </c>
      <c r="AN39" s="44">
        <f>[1]!thsiFinD("ths_right_value_usk",AN$6,$A39,"USD")/1000000</f>
        <v>118373.44192131</v>
      </c>
      <c r="AO39" s="44">
        <f>[1]!thsiFinD("ths_right_value_usk",AO$6,$A39,"USD")/1000000</f>
        <v>34286.031000000003</v>
      </c>
      <c r="AP39" s="44">
        <f>[1]!thsiFinD("ths_ev2_usk",AP$6,$A39,"USD")/1000000</f>
        <v>134111.93851121</v>
      </c>
      <c r="AQ39" s="44">
        <f>[1]!thsiFinD("ths_ev2_usk",AQ$6,$A39,"USD")/1000000</f>
        <v>494970.83850964002</v>
      </c>
      <c r="AR39" s="44">
        <f>[1]!thsiFinD("ths_ev2_usk",AR$6,$A39,"USD")/1000000</f>
        <v>327921.99903846002</v>
      </c>
      <c r="AS39" s="44">
        <f>[1]!thsiFinD("ths_ev2_usk",AS$6,$A39,"USD")/1000000</f>
        <v>68675.061840269991</v>
      </c>
      <c r="AT39" s="44">
        <f>[1]!thsiFinD("ths_ev2_usk",AT$6,$A39,"USD")/1000000</f>
        <v>151941.44192131</v>
      </c>
      <c r="AU39" s="44">
        <f>[1]!thsiFinD("ths_ev2_usk",AU$6,$A39,"USD")/1000000</f>
        <v>39947.031000000003</v>
      </c>
    </row>
    <row r="40" spans="1:47" x14ac:dyDescent="0.45">
      <c r="A40" s="3">
        <f>_xll.ciqfunctions.udf.CIQ("COP", "IQ_PRICEDATE", "3/31/2023")</f>
        <v>45016</v>
      </c>
      <c r="B40" s="13">
        <v>91.774389999999997</v>
      </c>
      <c r="C40" s="13">
        <v>99.672669999999997</v>
      </c>
      <c r="D40" s="13">
        <v>146.7319</v>
      </c>
      <c r="E40" s="13">
        <v>104.22279</v>
      </c>
      <c r="F40" s="13">
        <v>32.781269999999999</v>
      </c>
      <c r="G40" s="13">
        <v>45.91872</v>
      </c>
      <c r="H40" s="23">
        <f>[1]!thsiFinD("ths_pe_ttm_uss",B$6,$A40,100)</f>
        <v>7.5784308147016999</v>
      </c>
      <c r="I40" s="23">
        <f>[1]!thsiFinD("ths_pe_ttm_uss",C$6,$A40,100)</f>
        <v>7.1868006026642997</v>
      </c>
      <c r="J40" s="23">
        <f>[1]!thsiFinD("ths_pe_ttm_uss",D$6,$A40,100)</f>
        <v>8.6377910138133007</v>
      </c>
      <c r="K40" s="23">
        <f>[1]!thsiFinD("ths_pe_ttm_uss",E$6,$A40,100)</f>
        <v>7.1380048884359004</v>
      </c>
      <c r="L40" s="23">
        <f>[1]!thsiFinD("ths_pe_ttm_uss",F$6,$A40,100)</f>
        <v>4.3035027600913001</v>
      </c>
      <c r="M40" s="23">
        <f>[1]!thsiFinD("ths_pe_ttm_uss",G$6,$A40,100)</f>
        <v>5.4165560538116999</v>
      </c>
      <c r="N40" s="26">
        <f>[1]!thsiFinD("ths_ev2_to_ebitda_usk",N$6,$A40)</f>
        <v>3.6286500205891001</v>
      </c>
      <c r="O40" s="26">
        <f>[1]!thsiFinD("ths_ev2_to_ebitda_usk",O$6,$A40)</f>
        <v>4.4826322891711996</v>
      </c>
      <c r="P40" s="26">
        <f>[1]!thsiFinD("ths_ev2_to_ebitda_usk",P$6,$A40)</f>
        <v>4.8123765016629001</v>
      </c>
      <c r="Q40" s="26">
        <f>[1]!thsiFinD("ths_ev2_to_ebitda_usk",Q$6,$A40)</f>
        <v>4.8335150427390001</v>
      </c>
      <c r="R40" s="26">
        <f>[1]!thsiFinD("ths_ev2_to_ebitda_usk",R$6,$A40)</f>
        <v>4.5011402756979999</v>
      </c>
      <c r="S40" s="26">
        <f>[1]!thsiFinD("ths_ev2_to_ebitda_usk",S$6,$A40)</f>
        <v>3.7246091864538999</v>
      </c>
      <c r="T40" s="27">
        <f>[1]!thsiFinD("ths_pb_mrq_usk",T$6,$A40)</f>
        <v>2.5123981862940998</v>
      </c>
      <c r="U40" s="27">
        <f>[1]!thsiFinD("ths_pb_mrq_usk",U$6,$A40)</f>
        <v>2.2314403663002</v>
      </c>
      <c r="V40" s="27">
        <f>[1]!thsiFinD("ths_pb_mrq_usk",V$6,$A40)</f>
        <v>1.9383010396694</v>
      </c>
      <c r="W40" s="27">
        <f>[1]!thsiFinD("ths_pb_mrq_usk",W$6,$A40)</f>
        <v>2.6345008021452001</v>
      </c>
      <c r="X40" s="27">
        <f>[1]!thsiFinD("ths_pb_mrq_usk",X$6,$A40)</f>
        <v>1.5658094681962</v>
      </c>
      <c r="Y40" s="27">
        <f>[1]!thsiFinD("ths_pb_mrq_usk",Y$6,$A40)</f>
        <v>2.9710379885215001</v>
      </c>
      <c r="Z40" s="28">
        <f>[1]!thsiFinD("ths_ps_ttm_uss",Z$6,$A40,100)</f>
        <v>1.5316006549423</v>
      </c>
      <c r="AA40" s="28">
        <f>[1]!thsiFinD("ths_ps_ttm_uss",AA$6,$A40,100)</f>
        <v>1.0820261655529999</v>
      </c>
      <c r="AB40" s="28">
        <f>[1]!thsiFinD("ths_ps_ttm_uss",AB$6,$A40,100)</f>
        <v>1.2735715800514</v>
      </c>
      <c r="AC40" s="28">
        <f>[1]!thsiFinD("ths_ps_ttm_uss",AC$6,$A40,100)</f>
        <v>2.4147297450631999</v>
      </c>
      <c r="AD40" s="28">
        <f>[1]!thsiFinD("ths_ps_ttm_uss",AD$6,$A40,100)</f>
        <v>0.44138359835279001</v>
      </c>
      <c r="AE40" s="28">
        <f>[1]!thsiFinD("ths_ps_ttm_uss",AE$6,$A40,100)</f>
        <v>1.7003693430657001</v>
      </c>
      <c r="AF40" s="29">
        <v>75.67</v>
      </c>
      <c r="AG40" s="30">
        <v>4.0945</v>
      </c>
      <c r="AH40" s="31">
        <v>634.90101000000004</v>
      </c>
      <c r="AI40" s="31">
        <v>7663.8904899999998</v>
      </c>
      <c r="AJ40" s="44">
        <f>[1]!thsiFinD("ths_right_value_usk",AJ$6,$A40,"USD")/1000000</f>
        <v>120049.92253569</v>
      </c>
      <c r="AK40" s="44">
        <f>[1]!thsiFinD("ths_right_value_usk",AK$6,$A40,"USD")/1000000</f>
        <v>443353.72917835996</v>
      </c>
      <c r="AL40" s="44">
        <f>[1]!thsiFinD("ths_right_value_usk",AL$6,$A40,"USD")/1000000</f>
        <v>309060.16247424</v>
      </c>
      <c r="AM40" s="44">
        <f>[1]!thsiFinD("ths_right_value_usk",AM$6,$A40,"USD")/1000000</f>
        <v>67040.141912189996</v>
      </c>
      <c r="AN40" s="44">
        <f>[1]!thsiFinD("ths_right_value_usk",AN$6,$A40,"USD")/1000000</f>
        <v>112385.97457978</v>
      </c>
      <c r="AO40" s="44">
        <f>[1]!thsiFinD("ths_right_value_usk",AO$6,$A40,"USD")/1000000</f>
        <v>32613.083999999999</v>
      </c>
      <c r="AP40" s="44">
        <f>[1]!thsiFinD("ths_ev2_usk",AP$6,$A40,"USD")/1000000</f>
        <v>129658.92253569</v>
      </c>
      <c r="AQ40" s="44">
        <f>[1]!thsiFinD("ths_ev2_usk",AQ$6,$A40,"USD")/1000000</f>
        <v>459877.72917835996</v>
      </c>
      <c r="AR40" s="44">
        <f>[1]!thsiFinD("ths_ev2_usk",AR$6,$A40,"USD")/1000000</f>
        <v>317583.16247424</v>
      </c>
      <c r="AS40" s="44">
        <f>[1]!thsiFinD("ths_ev2_usk",AS$6,$A40,"USD")/1000000</f>
        <v>65842.141912189996</v>
      </c>
      <c r="AT40" s="44">
        <f>[1]!thsiFinD("ths_ev2_usk",AT$6,$A40,"USD")/1000000</f>
        <v>145953.97457978001</v>
      </c>
      <c r="AU40" s="44">
        <f>[1]!thsiFinD("ths_ev2_usk",AU$6,$A40,"USD")/1000000</f>
        <v>38274.084000000003</v>
      </c>
    </row>
    <row r="41" spans="1:47" x14ac:dyDescent="0.45">
      <c r="A41" s="3">
        <f>_xll.ciqfunctions.udf.CIQ("COP", "IQ_PRICEDATE", "2/28/2023")</f>
        <v>44985</v>
      </c>
      <c r="B41" s="13">
        <v>95.015649999999994</v>
      </c>
      <c r="C41" s="13">
        <v>99.899900000000002</v>
      </c>
      <c r="D41" s="13">
        <v>144.58253999999999</v>
      </c>
      <c r="E41" s="13">
        <v>101.81795</v>
      </c>
      <c r="F41" s="13">
        <v>34.215560000000004</v>
      </c>
      <c r="G41" s="13">
        <v>48.050739999999998</v>
      </c>
      <c r="H41" s="23">
        <f>[1]!thsiFinD("ths_pe_ttm_uss",B$6,$A41,100)</f>
        <v>6.7353607570102003</v>
      </c>
      <c r="I41" s="23">
        <f>[1]!thsiFinD("ths_pe_ttm_uss",C$6,$A41,100)</f>
        <v>8.0042526176784996</v>
      </c>
      <c r="J41" s="23">
        <f>[1]!thsiFinD("ths_pe_ttm_uss",D$6,$A41,100)</f>
        <v>8.6433381095129995</v>
      </c>
      <c r="K41" s="23">
        <f>[1]!thsiFinD("ths_pe_ttm_uss",E$6,$A41,100)</f>
        <v>8.5607707359660008</v>
      </c>
      <c r="L41" s="23">
        <f>[1]!thsiFinD("ths_pe_ttm_uss",F$6,$A41,100)</f>
        <v>-47.733056900843998</v>
      </c>
      <c r="M41" s="23">
        <f>[1]!thsiFinD("ths_pe_ttm_uss",G$6,$A41,100)</f>
        <v>5.8624848091770998</v>
      </c>
      <c r="N41" s="26">
        <f>[1]!thsiFinD("ths_ev2_to_ebitda_usk",N$6,$A41)</f>
        <v>3.8061552373489</v>
      </c>
      <c r="O41" s="26">
        <f>[1]!thsiFinD("ths_ev2_to_ebitda_usk",O$6,$A41)</f>
        <v>4.5338678920120001</v>
      </c>
      <c r="P41" s="26">
        <f>[1]!thsiFinD("ths_ev2_to_ebitda_usk",P$6,$A41)</f>
        <v>4.7453061090400999</v>
      </c>
      <c r="Q41" s="26">
        <f>[1]!thsiFinD("ths_ev2_to_ebitda_usk",Q$6,$A41)</f>
        <v>4.8105285670504001</v>
      </c>
      <c r="R41" s="26">
        <f>[1]!thsiFinD("ths_ev2_to_ebitda_usk",R$6,$A41)</f>
        <v>4.6844542192191003</v>
      </c>
      <c r="S41" s="26">
        <f>[1]!thsiFinD("ths_ev2_to_ebitda_usk",S$6,$A41)</f>
        <v>3.9293349676139</v>
      </c>
      <c r="T41" s="27">
        <f>[1]!thsiFinD("ths_pb_mrq_usk",T$6,$A41)</f>
        <v>2.6210140812230001</v>
      </c>
      <c r="U41" s="27">
        <f>[1]!thsiFinD("ths_pb_mrq_usk",U$6,$A41)</f>
        <v>2.2874100400894002</v>
      </c>
      <c r="V41" s="27">
        <f>[1]!thsiFinD("ths_pb_mrq_usk",V$6,$A41)</f>
        <v>1.9244860439589999</v>
      </c>
      <c r="W41" s="27">
        <f>[1]!thsiFinD("ths_pb_mrq_usk",W$6,$A41)</f>
        <v>2.6806174639961</v>
      </c>
      <c r="X41" s="27">
        <f>[1]!thsiFinD("ths_pb_mrq_usk",X$6,$A41)</f>
        <v>1.7573181429750999</v>
      </c>
      <c r="Y41" s="27">
        <f>[1]!thsiFinD("ths_pb_mrq_usk",Y$6,$A41)</f>
        <v>3.1577725554938998</v>
      </c>
      <c r="Z41" s="28">
        <f>[1]!thsiFinD("ths_ps_ttm_uss",Z$6,$A41,100)</f>
        <v>1.5314345749664999</v>
      </c>
      <c r="AA41" s="28">
        <f>[1]!thsiFinD("ths_ps_ttm_uss",AA$6,$A41,100)</f>
        <v>1.0785076409529</v>
      </c>
      <c r="AB41" s="28">
        <f>[1]!thsiFinD("ths_ps_ttm_uss",AB$6,$A41,100)</f>
        <v>1.2448060769207001</v>
      </c>
      <c r="AC41" s="28">
        <f>[1]!thsiFinD("ths_ps_ttm_uss",AC$6,$A41,100)</f>
        <v>2.5843521959520999</v>
      </c>
      <c r="AD41" s="28">
        <f>[1]!thsiFinD("ths_ps_ttm_uss",AD$6,$A41,100)</f>
        <v>0.47696426352259003</v>
      </c>
      <c r="AE41" s="28">
        <f>[1]!thsiFinD("ths_ps_ttm_uss",AE$6,$A41,100)</f>
        <v>1.8395767190359</v>
      </c>
      <c r="AF41" s="29">
        <v>77.05</v>
      </c>
      <c r="AG41" s="30">
        <v>4.0895000000000001</v>
      </c>
      <c r="AH41" s="31">
        <v>638.01092000000006</v>
      </c>
      <c r="AI41" s="31">
        <v>7396.04216</v>
      </c>
      <c r="AJ41" s="44">
        <f>[1]!thsiFinD("ths_right_value_usk",AJ$6,$A41,"USD")/1000000</f>
        <v>125816.53894094999</v>
      </c>
      <c r="AK41" s="44">
        <f>[1]!thsiFinD("ths_right_value_usk",AK$6,$A41,"USD")/1000000</f>
        <v>446157.04090940004</v>
      </c>
      <c r="AL41" s="44">
        <f>[1]!thsiFinD("ths_right_value_usk",AL$6,$A41,"USD")/1000000</f>
        <v>306535.98605388001</v>
      </c>
      <c r="AM41" s="44">
        <f>[1]!thsiFinD("ths_right_value_usk",AM$6,$A41,"USD")/1000000</f>
        <v>66423.020140360008</v>
      </c>
      <c r="AN41" s="44">
        <f>[1]!thsiFinD("ths_right_value_usk",AN$6,$A41,"USD")/1000000</f>
        <v>118712.1125124</v>
      </c>
      <c r="AO41" s="44">
        <f>[1]!thsiFinD("ths_right_value_usk",AO$6,$A41,"USD")/1000000</f>
        <v>35262.846127199999</v>
      </c>
      <c r="AP41" s="44">
        <f>[1]!thsiFinD("ths_ev2_usk",AP$6,$A41,"USD")/1000000</f>
        <v>136001.53894095001</v>
      </c>
      <c r="AQ41" s="44">
        <f>[1]!thsiFinD("ths_ev2_usk",AQ$6,$A41,"USD")/1000000</f>
        <v>465134.04090940004</v>
      </c>
      <c r="AR41" s="44">
        <f>[1]!thsiFinD("ths_ev2_usk",AR$6,$A41,"USD")/1000000</f>
        <v>313156.98605388001</v>
      </c>
      <c r="AS41" s="44">
        <f>[1]!thsiFinD("ths_ev2_usk",AS$6,$A41,"USD")/1000000</f>
        <v>65529.02014036</v>
      </c>
      <c r="AT41" s="44">
        <f>[1]!thsiFinD("ths_ev2_usk",AT$6,$A41,"USD")/1000000</f>
        <v>151898.1125124</v>
      </c>
      <c r="AU41" s="44">
        <f>[1]!thsiFinD("ths_ev2_usk",AU$6,$A41,"USD")/1000000</f>
        <v>40377.846127199999</v>
      </c>
    </row>
    <row r="42" spans="1:47" x14ac:dyDescent="0.45">
      <c r="A42" s="3">
        <f>_xll.ciqfunctions.udf.CIQ("COP", "IQ_PRICEDATE", "1/31/2023")</f>
        <v>44957</v>
      </c>
      <c r="B42" s="13">
        <v>111.54554</v>
      </c>
      <c r="C42" s="13">
        <v>104.63915</v>
      </c>
      <c r="D42" s="13">
        <v>155.12708000000001</v>
      </c>
      <c r="E42" s="13">
        <v>119.14194999999999</v>
      </c>
      <c r="F42" s="13">
        <v>31.003910000000001</v>
      </c>
      <c r="G42" s="13">
        <v>56.356250000000003</v>
      </c>
      <c r="H42" s="23">
        <f>[1]!thsiFinD("ths_pe_ttm_uss",B$6,$A42,100)</f>
        <v>7.9514074584465</v>
      </c>
      <c r="I42" s="23">
        <f>[1]!thsiFinD("ths_pe_ttm_uss",C$6,$A42,100)</f>
        <v>8.4728196709342996</v>
      </c>
      <c r="J42" s="23">
        <f>[1]!thsiFinD("ths_pe_ttm_uss",D$6,$A42,100)</f>
        <v>9.3976018048459</v>
      </c>
      <c r="K42" s="23">
        <f>[1]!thsiFinD("ths_pe_ttm_uss",E$6,$A42,100)</f>
        <v>10.017123205439001</v>
      </c>
      <c r="L42" s="23">
        <f>[1]!thsiFinD("ths_pe_ttm_uss",F$6,$A42,100)</f>
        <v>-43.918765912231997</v>
      </c>
      <c r="M42" s="23">
        <f>[1]!thsiFinD("ths_pe_ttm_uss",G$6,$A42,100)</f>
        <v>6.8654563591022004</v>
      </c>
      <c r="N42" s="26">
        <f>[1]!thsiFinD("ths_ev2_to_ebitda_usk",N$6,$A42)</f>
        <v>4.4418809840976996</v>
      </c>
      <c r="O42" s="26">
        <f>[1]!thsiFinD("ths_ev2_to_ebitda_usk",O$6,$A42)</f>
        <v>4.7884509212101998</v>
      </c>
      <c r="P42" s="26">
        <f>[1]!thsiFinD("ths_ev2_to_ebitda_usk",P$6,$A42)</f>
        <v>5.1506515540868998</v>
      </c>
      <c r="Q42" s="26">
        <f>[1]!thsiFinD("ths_ev2_to_ebitda_usk",Q$6,$A42)</f>
        <v>5.6400571833063999</v>
      </c>
      <c r="R42" s="26">
        <f>[1]!thsiFinD("ths_ev2_to_ebitda_usk",R$6,$A42)</f>
        <v>4.3919068285857001</v>
      </c>
      <c r="S42" s="26">
        <f>[1]!thsiFinD("ths_ev2_to_ebitda_usk",S$6,$A42)</f>
        <v>4.5164188400156</v>
      </c>
      <c r="T42" s="27">
        <f>[1]!thsiFinD("ths_pb_mrq_usk",T$6,$A42)</f>
        <v>3.0942293465779001</v>
      </c>
      <c r="U42" s="27">
        <f>[1]!thsiFinD("ths_pb_mrq_usk",U$6,$A42)</f>
        <v>2.4213144822986998</v>
      </c>
      <c r="V42" s="27">
        <f>[1]!thsiFinD("ths_pb_mrq_usk",V$6,$A42)</f>
        <v>2.0924269409529002</v>
      </c>
      <c r="W42" s="27">
        <f>[1]!thsiFinD("ths_pb_mrq_usk",W$6,$A42)</f>
        <v>3.1366422757576999</v>
      </c>
      <c r="X42" s="27">
        <f>[1]!thsiFinD("ths_pb_mrq_usk",X$6,$A42)</f>
        <v>1.6168929703154999</v>
      </c>
      <c r="Y42" s="27">
        <f>[1]!thsiFinD("ths_pb_mrq_usk",Y$6,$A42)</f>
        <v>3.6980137906330999</v>
      </c>
      <c r="Z42" s="28">
        <f>[1]!thsiFinD("ths_ps_ttm_uss",Z$6,$A42,100)</f>
        <v>1.8079299299355001</v>
      </c>
      <c r="AA42" s="28">
        <f>[1]!thsiFinD("ths_ps_ttm_uss",AA$6,$A42,100)</f>
        <v>1.1416432229208</v>
      </c>
      <c r="AB42" s="28">
        <f>[1]!thsiFinD("ths_ps_ttm_uss",AB$6,$A42,100)</f>
        <v>1.3534344817863999</v>
      </c>
      <c r="AC42" s="28">
        <f>[1]!thsiFinD("ths_ps_ttm_uss",AC$6,$A42,100)</f>
        <v>3.0240004260758</v>
      </c>
      <c r="AD42" s="28">
        <f>[1]!thsiFinD("ths_ps_ttm_uss",AD$6,$A42,100)</f>
        <v>0.43885062466590002</v>
      </c>
      <c r="AE42" s="28">
        <f>[1]!thsiFinD("ths_ps_ttm_uss",AE$6,$A42,100)</f>
        <v>2.1542970420991998</v>
      </c>
      <c r="AF42" s="29">
        <v>78.87</v>
      </c>
      <c r="AG42" s="30">
        <v>4.226</v>
      </c>
      <c r="AH42" s="31">
        <v>690.58995000000004</v>
      </c>
      <c r="AI42" s="31">
        <v>7585.0098900000003</v>
      </c>
      <c r="AJ42" s="44">
        <f>[1]!thsiFinD("ths_right_value_usk",AJ$6,$A42,"USD")/1000000</f>
        <v>148532.29132377999</v>
      </c>
      <c r="AK42" s="44">
        <f>[1]!thsiFinD("ths_right_value_usk",AK$6,$A42,"USD")/1000000</f>
        <v>472274.96845788002</v>
      </c>
      <c r="AL42" s="44">
        <f>[1]!thsiFinD("ths_right_value_usk",AL$6,$A42,"USD")/1000000</f>
        <v>333285.94800886</v>
      </c>
      <c r="AM42" s="44">
        <f>[1]!thsiFinD("ths_right_value_usk",AM$6,$A42,"USD")/1000000</f>
        <v>77722.858951000002</v>
      </c>
      <c r="AN42" s="44">
        <f>[1]!thsiFinD("ths_right_value_usk",AN$6,$A42,"USD")/1000000</f>
        <v>109225.97082372</v>
      </c>
      <c r="AO42" s="44">
        <f>[1]!thsiFinD("ths_right_value_usk",AO$6,$A42,"USD")/1000000</f>
        <v>41295.72</v>
      </c>
      <c r="AP42" s="44">
        <f>[1]!thsiFinD("ths_ev2_usk",AP$6,$A42,"USD")/1000000</f>
        <v>158717.29132377999</v>
      </c>
      <c r="AQ42" s="44">
        <f>[1]!thsiFinD("ths_ev2_usk",AQ$6,$A42,"USD")/1000000</f>
        <v>491251.96845788002</v>
      </c>
      <c r="AR42" s="44">
        <f>[1]!thsiFinD("ths_ev2_usk",AR$6,$A42,"USD")/1000000</f>
        <v>339906.94800886</v>
      </c>
      <c r="AS42" s="44">
        <f>[1]!thsiFinD("ths_ev2_usk",AS$6,$A42,"USD")/1000000</f>
        <v>76828.858951000002</v>
      </c>
      <c r="AT42" s="44">
        <f>[1]!thsiFinD("ths_ev2_usk",AT$6,$A42,"USD")/1000000</f>
        <v>142411.97082372001</v>
      </c>
      <c r="AU42" s="44">
        <f>[1]!thsiFinD("ths_ev2_usk",AU$6,$A42,"USD")/1000000</f>
        <v>46410.720000000001</v>
      </c>
    </row>
    <row r="43" spans="1:47" x14ac:dyDescent="0.45">
      <c r="A43" s="3">
        <f>_xll.ciqfunctions.udf.CIQ("COP", "IQ_PRICEDATE", "12/30/2022")</f>
        <v>44925</v>
      </c>
      <c r="B43" s="13">
        <v>108.00339</v>
      </c>
      <c r="C43" s="13">
        <v>99.488820000000004</v>
      </c>
      <c r="D43" s="13">
        <v>160.00321</v>
      </c>
      <c r="E43" s="13">
        <v>115.94461</v>
      </c>
      <c r="F43" s="13">
        <v>29.89143</v>
      </c>
      <c r="G43" s="13">
        <v>54.81456</v>
      </c>
      <c r="H43" s="23">
        <f>[1]!thsiFinD("ths_pe_ttm_uss",B$6,$A43,100)</f>
        <v>8.1424513117732005</v>
      </c>
      <c r="I43" s="23">
        <f>[1]!thsiFinD("ths_pe_ttm_uss",C$6,$A43,100)</f>
        <v>8.7591161653741008</v>
      </c>
      <c r="J43" s="23">
        <f>[1]!thsiFinD("ths_pe_ttm_uss",D$6,$A43,100)</f>
        <v>10.158011608321999</v>
      </c>
      <c r="K43" s="23">
        <f>[1]!thsiFinD("ths_pe_ttm_uss",E$6,$A43,100)</f>
        <v>10.188655085298</v>
      </c>
      <c r="L43" s="23">
        <f>[1]!thsiFinD("ths_pe_ttm_uss",F$6,$A43,100)</f>
        <v>-9.6411195528246996</v>
      </c>
      <c r="M43" s="23">
        <f>[1]!thsiFinD("ths_pe_ttm_uss",G$6,$A43,100)</f>
        <v>6.3621973101266001</v>
      </c>
      <c r="N43" s="26">
        <f>[1]!thsiFinD("ths_ev2_to_ebitda_usk",N$6,$A43)</f>
        <v>7.8306920576305004</v>
      </c>
      <c r="O43" s="26">
        <f>[1]!thsiFinD("ths_ev2_to_ebitda_usk",O$6,$A43)</f>
        <v>9.0212124789024006</v>
      </c>
      <c r="P43" s="26">
        <f>[1]!thsiFinD("ths_ev2_to_ebitda_usk",P$6,$A43)</f>
        <v>9.0105343903938007</v>
      </c>
      <c r="Q43" s="26">
        <f>[1]!thsiFinD("ths_ev2_to_ebitda_usk",Q$6,$A43)</f>
        <v>7.7740921452488996</v>
      </c>
      <c r="R43" s="26">
        <f>[1]!thsiFinD("ths_ev2_to_ebitda_usk",R$6,$A43)</f>
        <v>4.1993747081750996</v>
      </c>
      <c r="S43" s="26">
        <f>[1]!thsiFinD("ths_ev2_to_ebitda_usk",S$6,$A43)</f>
        <v>8.4890046659201008</v>
      </c>
      <c r="T43" s="27">
        <f>[1]!thsiFinD("ths_pb_mrq_usk",T$6,$A43)</f>
        <v>2.9959124225839999</v>
      </c>
      <c r="U43" s="27">
        <f>[1]!thsiFinD("ths_pb_mrq_usk",U$6,$A43)</f>
        <v>2.4408799803133001</v>
      </c>
      <c r="V43" s="27">
        <f>[1]!thsiFinD("ths_pb_mrq_usk",V$6,$A43)</f>
        <v>2.1872244934556</v>
      </c>
      <c r="W43" s="27">
        <f>[1]!thsiFinD("ths_pb_mrq_usk",W$6,$A43)</f>
        <v>3.1900158296750001</v>
      </c>
      <c r="X43" s="27">
        <f>[1]!thsiFinD("ths_pb_mrq_usk",X$6,$A43)</f>
        <v>1.8168342719646</v>
      </c>
      <c r="Y43" s="27">
        <f>[1]!thsiFinD("ths_pb_mrq_usk",Y$6,$A43)</f>
        <v>3.6980674146969998</v>
      </c>
      <c r="Z43" s="28">
        <f>[1]!thsiFinD("ths_ps_ttm_uss",Z$6,$A43,100)</f>
        <v>1.8645952266507999</v>
      </c>
      <c r="AA43" s="28">
        <f>[1]!thsiFinD("ths_ps_ttm_uss",AA$6,$A43,100)</f>
        <v>1.1265618535383</v>
      </c>
      <c r="AB43" s="28">
        <f>[1]!thsiFinD("ths_ps_ttm_uss",AB$6,$A43,100)</f>
        <v>1.4588361157319001</v>
      </c>
      <c r="AC43" s="28">
        <f>[1]!thsiFinD("ths_ps_ttm_uss",AC$6,$A43,100)</f>
        <v>3.0398644472737</v>
      </c>
      <c r="AD43" s="28">
        <f>[1]!thsiFinD("ths_ps_ttm_uss",AD$6,$A43,100)</f>
        <v>0.45804853590832001</v>
      </c>
      <c r="AE43" s="28">
        <f>[1]!thsiFinD("ths_ps_ttm_uss",AE$6,$A43,100)</f>
        <v>2.1004590189624999</v>
      </c>
      <c r="AF43" s="29">
        <v>80.260000000000005</v>
      </c>
      <c r="AG43" s="30">
        <v>3.8105000000000002</v>
      </c>
      <c r="AH43" s="31">
        <v>672.34358999999995</v>
      </c>
      <c r="AI43" s="31">
        <v>7138.7651699999997</v>
      </c>
      <c r="AJ43" s="44">
        <f>[1]!thsiFinD("ths_right_value_usk",AJ$6,$A43,"USD")/1000000</f>
        <v>147036.38578800001</v>
      </c>
      <c r="AK43" s="44">
        <f>[1]!thsiFinD("ths_right_value_usk",AK$6,$A43,"USD")/1000000</f>
        <v>454247.76433629997</v>
      </c>
      <c r="AL43" s="44">
        <f>[1]!thsiFinD("ths_right_value_usk",AL$6,$A43,"USD")/1000000</f>
        <v>347068.78262153995</v>
      </c>
      <c r="AM43" s="44">
        <f>[1]!thsiFinD("ths_right_value_usk",AM$6,$A43,"USD")/1000000</f>
        <v>76078.687521920001</v>
      </c>
      <c r="AN43" s="44">
        <f>[1]!thsiFinD("ths_right_value_usk",AN$6,$A43,"USD")/1000000</f>
        <v>105705.23477717</v>
      </c>
      <c r="AO43" s="44">
        <f>[1]!thsiFinD("ths_right_value_usk",AO$6,$A43,"USD")/1000000</f>
        <v>40209.087</v>
      </c>
      <c r="AP43" s="44">
        <f>[1]!thsiFinD("ths_ev2_usk",AP$6,$A43,"USD")/1000000</f>
        <v>155987.38578800001</v>
      </c>
      <c r="AQ43" s="44">
        <f>[1]!thsiFinD("ths_ev2_usk",AQ$6,$A43,"USD")/1000000</f>
        <v>476211.76433629997</v>
      </c>
      <c r="AR43" s="44">
        <f>[1]!thsiFinD("ths_ev2_usk",AR$6,$A43,"USD")/1000000</f>
        <v>356492.78262153995</v>
      </c>
      <c r="AS43" s="44">
        <f>[1]!thsiFinD("ths_ev2_usk",AS$6,$A43,"USD")/1000000</f>
        <v>75890.687521920001</v>
      </c>
      <c r="AT43" s="44">
        <f>[1]!thsiFinD("ths_ev2_usk",AT$6,$A43,"USD")/1000000</f>
        <v>138113.23477717</v>
      </c>
      <c r="AU43" s="44">
        <f>[1]!thsiFinD("ths_ev2_usk",AU$6,$A43,"USD")/1000000</f>
        <v>45484.087</v>
      </c>
    </row>
    <row r="44" spans="1:47" x14ac:dyDescent="0.45">
      <c r="A44" s="3">
        <f>_xll.ciqfunctions.udf.CIQ("COP", "IQ_PRICEDATE", "11/30/2022")</f>
        <v>44895</v>
      </c>
      <c r="B44" s="13">
        <v>112.34569999999999</v>
      </c>
      <c r="C44" s="13">
        <v>100.42689</v>
      </c>
      <c r="D44" s="13">
        <v>163.40848</v>
      </c>
      <c r="E44" s="13">
        <v>125.55866</v>
      </c>
      <c r="F44" s="13">
        <v>30.721509999999999</v>
      </c>
      <c r="G44" s="13">
        <v>59.763359999999999</v>
      </c>
      <c r="H44" s="23">
        <f>[1]!thsiFinD("ths_pe_ttm_uss",B$6,$A44,100)</f>
        <v>8.5226623857381991</v>
      </c>
      <c r="I44" s="23">
        <f>[1]!thsiFinD("ths_pe_ttm_uss",C$6,$A44,100)</f>
        <v>8.8417043866976002</v>
      </c>
      <c r="J44" s="23">
        <f>[1]!thsiFinD("ths_pe_ttm_uss",D$6,$A44,100)</f>
        <v>10.374199720996</v>
      </c>
      <c r="K44" s="23">
        <f>[1]!thsiFinD("ths_pe_ttm_uss",E$6,$A44,100)</f>
        <v>11.164884313282</v>
      </c>
      <c r="L44" s="23">
        <f>[1]!thsiFinD("ths_pe_ttm_uss",F$6,$A44,100)</f>
        <v>-9.9150660543688005</v>
      </c>
      <c r="M44" s="23">
        <f>[1]!thsiFinD("ths_pe_ttm_uss",G$6,$A44,100)</f>
        <v>7.0872664556962004</v>
      </c>
      <c r="N44" s="26">
        <f>[1]!thsiFinD("ths_ev2_to_ebitda_usk",N$6,$A44)</f>
        <v>8.1753633213685006</v>
      </c>
      <c r="O44" s="26">
        <f>[1]!thsiFinD("ths_ev2_to_ebitda_usk",O$6,$A44)</f>
        <v>9.1023488196965001</v>
      </c>
      <c r="P44" s="26">
        <f>[1]!thsiFinD("ths_ev2_to_ebitda_usk",P$6,$A44)</f>
        <v>9.1972318741093009</v>
      </c>
      <c r="Q44" s="26">
        <f>[1]!thsiFinD("ths_ev2_to_ebitda_usk",Q$6,$A44)</f>
        <v>8.5208145018726</v>
      </c>
      <c r="R44" s="26">
        <f>[1]!thsiFinD("ths_ev2_to_ebitda_usk",R$6,$A44)</f>
        <v>4.2906985381161</v>
      </c>
      <c r="S44" s="26">
        <f>[1]!thsiFinD("ths_ev2_to_ebitda_usk",S$6,$A44)</f>
        <v>9.3442560656962002</v>
      </c>
      <c r="T44" s="27">
        <f>[1]!thsiFinD("ths_pb_mrq_usk",T$6,$A44)</f>
        <v>3.1358062992656999</v>
      </c>
      <c r="U44" s="27">
        <f>[1]!thsiFinD("ths_pb_mrq_usk",U$6,$A44)</f>
        <v>2.4638946238266999</v>
      </c>
      <c r="V44" s="27">
        <f>[1]!thsiFinD("ths_pb_mrq_usk",V$6,$A44)</f>
        <v>2.2337741483946001</v>
      </c>
      <c r="W44" s="27">
        <f>[1]!thsiFinD("ths_pb_mrq_usk",W$6,$A44)</f>
        <v>3.4956682111316999</v>
      </c>
      <c r="X44" s="27">
        <f>[1]!thsiFinD("ths_pb_mrq_usk",X$6,$A44)</f>
        <v>1.8684585039807</v>
      </c>
      <c r="Y44" s="27">
        <f>[1]!thsiFinD("ths_pb_mrq_usk",Y$6,$A44)</f>
        <v>4.1195184401729001</v>
      </c>
      <c r="Z44" s="28">
        <f>[1]!thsiFinD("ths_ps_ttm_uss",Z$6,$A44,100)</f>
        <v>1.9516623427427</v>
      </c>
      <c r="AA44" s="28">
        <f>[1]!thsiFinD("ths_ps_ttm_uss",AA$6,$A44,100)</f>
        <v>1.1371840142606999</v>
      </c>
      <c r="AB44" s="28">
        <f>[1]!thsiFinD("ths_ps_ttm_uss",AB$6,$A44,100)</f>
        <v>1.4898838284852001</v>
      </c>
      <c r="AC44" s="28">
        <f>[1]!thsiFinD("ths_ps_ttm_uss",AC$6,$A44,100)</f>
        <v>3.3311300262627999</v>
      </c>
      <c r="AD44" s="28">
        <f>[1]!thsiFinD("ths_ps_ttm_uss",AD$6,$A44,100)</f>
        <v>0.47106370424659999</v>
      </c>
      <c r="AE44" s="28">
        <f>[1]!thsiFinD("ths_ps_ttm_uss",AE$6,$A44,100)</f>
        <v>2.3398382698637001</v>
      </c>
      <c r="AF44" s="29">
        <v>80.55</v>
      </c>
      <c r="AG44" s="30">
        <v>3.7294999999999998</v>
      </c>
      <c r="AH44" s="31">
        <v>694.29499999999996</v>
      </c>
      <c r="AI44" s="31">
        <v>7578.48218</v>
      </c>
      <c r="AJ44" s="44">
        <f>[1]!thsiFinD("ths_right_value_usk",AJ$6,$A44,"USD")/1000000</f>
        <v>153902.23736165999</v>
      </c>
      <c r="AK44" s="44">
        <f>[1]!thsiFinD("ths_right_value_usk",AK$6,$A44,"USD")/1000000</f>
        <v>458530.78949414002</v>
      </c>
      <c r="AL44" s="44">
        <f>[1]!thsiFinD("ths_right_value_usk",AL$6,$A44,"USD")/1000000</f>
        <v>354455.28186726</v>
      </c>
      <c r="AM44" s="44">
        <f>[1]!thsiFinD("ths_right_value_usk",AM$6,$A44,"USD")/1000000</f>
        <v>83368.191167280005</v>
      </c>
      <c r="AN44" s="44">
        <f>[1]!thsiFinD("ths_right_value_usk",AN$6,$A44,"USD")/1000000</f>
        <v>108708.7842201</v>
      </c>
      <c r="AO44" s="44">
        <f>[1]!thsiFinD("ths_right_value_usk",AO$6,$A44,"USD")/1000000</f>
        <v>44791.523999999998</v>
      </c>
      <c r="AP44" s="44">
        <f>[1]!thsiFinD("ths_ev2_usk",AP$6,$A44,"USD")/1000000</f>
        <v>162853.23736165999</v>
      </c>
      <c r="AQ44" s="44">
        <f>[1]!thsiFinD("ths_ev2_usk",AQ$6,$A44,"USD")/1000000</f>
        <v>480494.78949414002</v>
      </c>
      <c r="AR44" s="44">
        <f>[1]!thsiFinD("ths_ev2_usk",AR$6,$A44,"USD")/1000000</f>
        <v>363879.28186726</v>
      </c>
      <c r="AS44" s="44">
        <f>[1]!thsiFinD("ths_ev2_usk",AS$6,$A44,"USD")/1000000</f>
        <v>83180.191167280005</v>
      </c>
      <c r="AT44" s="44">
        <f>[1]!thsiFinD("ths_ev2_usk",AT$6,$A44,"USD")/1000000</f>
        <v>141116.7842201</v>
      </c>
      <c r="AU44" s="44">
        <f>[1]!thsiFinD("ths_ev2_usk",AU$6,$A44,"USD")/1000000</f>
        <v>50066.523999999998</v>
      </c>
    </row>
    <row r="45" spans="1:47" x14ac:dyDescent="0.45">
      <c r="A45" s="3">
        <f>_xll.ciqfunctions.udf.CIQ("COP", "IQ_PRICEDATE", "10/31/2022")</f>
        <v>44865</v>
      </c>
      <c r="B45" s="13">
        <v>114.25584000000001</v>
      </c>
      <c r="C45" s="13">
        <v>99.150649999999999</v>
      </c>
      <c r="D45" s="13">
        <v>160.02227999999999</v>
      </c>
      <c r="E45" s="13">
        <v>120.77269</v>
      </c>
      <c r="F45" s="13">
        <v>28.179400000000001</v>
      </c>
      <c r="G45" s="13">
        <v>67.464910000000003</v>
      </c>
      <c r="H45" s="23">
        <f>[1]!thsiFinD("ths_pe_ttm_uss",B$6,$A45,100)</f>
        <v>8.7006922534023996</v>
      </c>
      <c r="I45" s="23">
        <f>[1]!thsiFinD("ths_pe_ttm_uss",C$6,$A45,100)</f>
        <v>8.7996161585231008</v>
      </c>
      <c r="J45" s="23">
        <f>[1]!thsiFinD("ths_pe_ttm_uss",D$6,$A45,100)</f>
        <v>10.237808791272</v>
      </c>
      <c r="K45" s="23">
        <f>[1]!thsiFinD("ths_pe_ttm_uss",E$6,$A45,100)</f>
        <v>10.739308155072001</v>
      </c>
      <c r="L45" s="23">
        <f>[1]!thsiFinD("ths_pe_ttm_uss",F$6,$A45,100)</f>
        <v>-9.2889598049568995</v>
      </c>
      <c r="M45" s="23">
        <f>[1]!thsiFinD("ths_pe_ttm_uss",G$6,$A45,100)</f>
        <v>8.0005846518987003</v>
      </c>
      <c r="N45" s="26">
        <f>[1]!thsiFinD("ths_ev2_to_ebitda_usk",N$6,$A45)</f>
        <v>8.3367520437720994</v>
      </c>
      <c r="O45" s="26">
        <f>[1]!thsiFinD("ths_ev2_to_ebitda_usk",O$6,$A45)</f>
        <v>9.0610004921763991</v>
      </c>
      <c r="P45" s="26">
        <f>[1]!thsiFinD("ths_ev2_to_ebitda_usk",P$6,$A45)</f>
        <v>9.0794462888332994</v>
      </c>
      <c r="Q45" s="26">
        <f>[1]!thsiFinD("ths_ev2_to_ebitda_usk",Q$6,$A45)</f>
        <v>8.1952892843598004</v>
      </c>
      <c r="R45" s="26">
        <f>[1]!thsiFinD("ths_ev2_to_ebitda_usk",R$6,$A45)</f>
        <v>4.0819774180288002</v>
      </c>
      <c r="S45" s="26">
        <f>[1]!thsiFinD("ths_ev2_to_ebitda_usk",S$6,$A45)</f>
        <v>10.421555617768</v>
      </c>
      <c r="T45" s="27">
        <f>[1]!thsiFinD("ths_pb_mrq_usk",T$6,$A45)</f>
        <v>3.2013101471493002</v>
      </c>
      <c r="U45" s="27">
        <f>[1]!thsiFinD("ths_pb_mrq_usk",U$6,$A45)</f>
        <v>2.4521660074208</v>
      </c>
      <c r="V45" s="27">
        <f>[1]!thsiFinD("ths_pb_mrq_usk",V$6,$A45)</f>
        <v>2.2044064341529999</v>
      </c>
      <c r="W45" s="27">
        <f>[1]!thsiFinD("ths_pb_mrq_usk",W$6,$A45)</f>
        <v>3.3624224912541001</v>
      </c>
      <c r="X45" s="27">
        <f>[1]!thsiFinD("ths_pb_mrq_usk",X$6,$A45)</f>
        <v>1.7504710352443</v>
      </c>
      <c r="Y45" s="27">
        <f>[1]!thsiFinD("ths_pb_mrq_usk",Y$6,$A45)</f>
        <v>4.6503904166282997</v>
      </c>
      <c r="Z45" s="28">
        <f>[1]!thsiFinD("ths_ps_ttm_uss",Z$6,$A45,100)</f>
        <v>1.9924306112576</v>
      </c>
      <c r="AA45" s="28">
        <f>[1]!thsiFinD("ths_ps_ttm_uss",AA$6,$A45,100)</f>
        <v>1.1317707977386999</v>
      </c>
      <c r="AB45" s="28">
        <f>[1]!thsiFinD("ths_ps_ttm_uss",AB$6,$A45,100)</f>
        <v>1.4702961353607</v>
      </c>
      <c r="AC45" s="28">
        <f>[1]!thsiFinD("ths_ps_ttm_uss",AC$6,$A45,100)</f>
        <v>3.2041560711999</v>
      </c>
      <c r="AD45" s="28">
        <f>[1]!thsiFinD("ths_ps_ttm_uss",AD$6,$A45,100)</f>
        <v>0.44131746478812001</v>
      </c>
      <c r="AE45" s="28">
        <f>[1]!thsiFinD("ths_ps_ttm_uss",AE$6,$A45,100)</f>
        <v>2.6413673405422</v>
      </c>
      <c r="AF45" s="29">
        <v>86.53</v>
      </c>
      <c r="AG45" s="30">
        <v>3.375</v>
      </c>
      <c r="AH45" s="31">
        <v>689.83267000000001</v>
      </c>
      <c r="AI45" s="31">
        <v>7181.7329300000001</v>
      </c>
      <c r="AJ45" s="44">
        <f>[1]!thsiFinD("ths_right_value_usk",AJ$6,$A45,"USD")/1000000</f>
        <v>157117.10071194</v>
      </c>
      <c r="AK45" s="44">
        <f>[1]!thsiFinD("ths_right_value_usk",AK$6,$A45,"USD")/1000000</f>
        <v>456348.09398101002</v>
      </c>
      <c r="AL45" s="44">
        <f>[1]!thsiFinD("ths_right_value_usk",AL$6,$A45,"USD")/1000000</f>
        <v>349795.2129714</v>
      </c>
      <c r="AM45" s="44">
        <f>[1]!thsiFinD("ths_right_value_usk",AM$6,$A45,"USD")/1000000</f>
        <v>80190.413993919996</v>
      </c>
      <c r="AN45" s="44">
        <f>[1]!thsiFinD("ths_right_value_usk",AN$6,$A45,"USD")/1000000</f>
        <v>101844.15530155</v>
      </c>
      <c r="AO45" s="44">
        <f>[1]!thsiFinD("ths_right_value_usk",AO$6,$A45,"USD")/1000000</f>
        <v>50563.695</v>
      </c>
      <c r="AP45" s="44">
        <f>[1]!thsiFinD("ths_ev2_usk",AP$6,$A45,"USD")/1000000</f>
        <v>166068.10071194</v>
      </c>
      <c r="AQ45" s="44">
        <f>[1]!thsiFinD("ths_ev2_usk",AQ$6,$A45,"USD")/1000000</f>
        <v>478312.09398101002</v>
      </c>
      <c r="AR45" s="44">
        <f>[1]!thsiFinD("ths_ev2_usk",AR$6,$A45,"USD")/1000000</f>
        <v>359219.2129714</v>
      </c>
      <c r="AS45" s="44">
        <f>[1]!thsiFinD("ths_ev2_usk",AS$6,$A45,"USD")/1000000</f>
        <v>80002.413993919996</v>
      </c>
      <c r="AT45" s="44">
        <f>[1]!thsiFinD("ths_ev2_usk",AT$6,$A45,"USD")/1000000</f>
        <v>134252.15530155</v>
      </c>
      <c r="AU45" s="44">
        <f>[1]!thsiFinD("ths_ev2_usk",AU$6,$A45,"USD")/1000000</f>
        <v>55838.695</v>
      </c>
    </row>
    <row r="46" spans="1:47" x14ac:dyDescent="0.45">
      <c r="A46" s="3">
        <f>_xll.ciqfunctions.udf.CIQ("COP", "IQ_PRICEDATE", "9/30/2022")</f>
        <v>44834</v>
      </c>
      <c r="B46" s="13">
        <v>92.734889999999993</v>
      </c>
      <c r="C46" s="13">
        <v>78.1233</v>
      </c>
      <c r="D46" s="13">
        <v>127.08901</v>
      </c>
      <c r="E46" s="13">
        <v>98.260009999999994</v>
      </c>
      <c r="F46" s="13">
        <v>24.174330000000001</v>
      </c>
      <c r="G46" s="13">
        <v>52.445569999999996</v>
      </c>
      <c r="H46" s="23">
        <f>[1]!thsiFinD("ths_pe_ttm_uss",B$6,$A46,100)</f>
        <v>7.0618514173462996</v>
      </c>
      <c r="I46" s="23">
        <f>[1]!thsiFinD("ths_pe_ttm_uss",C$6,$A46,100)</f>
        <v>6.9334400036156998</v>
      </c>
      <c r="J46" s="23">
        <f>[1]!thsiFinD("ths_pe_ttm_uss",D$6,$A46,100)</f>
        <v>8.1308235989059998</v>
      </c>
      <c r="K46" s="23">
        <f>[1]!thsiFinD("ths_pe_ttm_uss",E$6,$A46,100)</f>
        <v>8.7870452629931997</v>
      </c>
      <c r="L46" s="23">
        <f>[1]!thsiFinD("ths_pe_ttm_uss",F$6,$A46,100)</f>
        <v>-8.0721323992642997</v>
      </c>
      <c r="M46" s="23">
        <f>[1]!thsiFinD("ths_pe_ttm_uss",G$6,$A46,100)</f>
        <v>6.2223132911391996</v>
      </c>
      <c r="N46" s="26">
        <f>[1]!thsiFinD("ths_ev2_to_ebitda_usk",N$6,$A46)</f>
        <v>6.8511000449016004</v>
      </c>
      <c r="O46" s="26">
        <f>[1]!thsiFinD("ths_ev2_to_ebitda_usk",O$6,$A46)</f>
        <v>7.2276312530785001</v>
      </c>
      <c r="P46" s="26">
        <f>[1]!thsiFinD("ths_ev2_to_ebitda_usk",P$6,$A46)</f>
        <v>7.2598789279096998</v>
      </c>
      <c r="Q46" s="26">
        <f>[1]!thsiFinD("ths_ev2_to_ebitda_usk",Q$6,$A46)</f>
        <v>6.7019941588577998</v>
      </c>
      <c r="R46" s="26">
        <f>[1]!thsiFinD("ths_ev2_to_ebitda_usk",R$6,$A46)</f>
        <v>3.6763312847923002</v>
      </c>
      <c r="S46" s="26">
        <f>[1]!thsiFinD("ths_ev2_to_ebitda_usk",S$6,$A46)</f>
        <v>8.3240052258305006</v>
      </c>
      <c r="T46" s="27">
        <f>[1]!thsiFinD("ths_pb_mrq_usk",T$6,$A46)</f>
        <v>2.5983192993833999</v>
      </c>
      <c r="U46" s="27">
        <f>[1]!thsiFinD("ths_pb_mrq_usk",U$6,$A46)</f>
        <v>1.9321235818781</v>
      </c>
      <c r="V46" s="27">
        <f>[1]!thsiFinD("ths_pb_mrq_usk",V$6,$A46)</f>
        <v>1.7507300851009999</v>
      </c>
      <c r="W46" s="27">
        <f>[1]!thsiFinD("ths_pb_mrq_usk",W$6,$A46)</f>
        <v>2.7511789583952999</v>
      </c>
      <c r="X46" s="27">
        <f>[1]!thsiFinD("ths_pb_mrq_usk",X$6,$A46)</f>
        <v>1.5211642911867</v>
      </c>
      <c r="Y46" s="27">
        <f>[1]!thsiFinD("ths_pb_mrq_usk",Y$6,$A46)</f>
        <v>3.6167589441736001</v>
      </c>
      <c r="Z46" s="28">
        <f>[1]!thsiFinD("ths_ps_ttm_uss",Z$6,$A46,100)</f>
        <v>1.6171413177580001</v>
      </c>
      <c r="AA46" s="28">
        <f>[1]!thsiFinD("ths_ps_ttm_uss",AA$6,$A46,100)</f>
        <v>0.89175081987696003</v>
      </c>
      <c r="AB46" s="28">
        <f>[1]!thsiFinD("ths_ps_ttm_uss",AB$6,$A46,100)</f>
        <v>1.1677028511181999</v>
      </c>
      <c r="AC46" s="28">
        <f>[1]!thsiFinD("ths_ps_ttm_uss",AC$6,$A46,100)</f>
        <v>2.6216832612287</v>
      </c>
      <c r="AD46" s="28">
        <f>[1]!thsiFinD("ths_ps_ttm_uss",AD$6,$A46,100)</f>
        <v>0.38350612777722998</v>
      </c>
      <c r="AE46" s="28">
        <f>[1]!thsiFinD("ths_ps_ttm_uss",AE$6,$A46,100)</f>
        <v>2.0542767591287001</v>
      </c>
      <c r="AF46" s="29">
        <v>78.72</v>
      </c>
      <c r="AG46" s="30">
        <v>3.4125000000000001</v>
      </c>
      <c r="AH46" s="31">
        <v>552.56113000000005</v>
      </c>
      <c r="AI46" s="31">
        <v>6645.8680800000002</v>
      </c>
      <c r="AJ46" s="44">
        <f>[1]!thsiFinD("ths_right_value_usk",AJ$6,$A46,"USD")/1000000</f>
        <v>127522.91289444</v>
      </c>
      <c r="AK46" s="44">
        <f>[1]!thsiFinD("ths_right_value_usk",AK$6,$A46,"USD")/1000000</f>
        <v>359568.19858751004</v>
      </c>
      <c r="AL46" s="44">
        <f>[1]!thsiFinD("ths_right_value_usk",AL$6,$A46,"USD")/1000000</f>
        <v>277805.84990382002</v>
      </c>
      <c r="AM46" s="44">
        <f>[1]!thsiFinD("ths_right_value_usk",AM$6,$A46,"USD")/1000000</f>
        <v>65612.866978769991</v>
      </c>
      <c r="AN46" s="44">
        <f>[1]!thsiFinD("ths_right_value_usk",AN$6,$A46,"USD")/1000000</f>
        <v>88502.859625533994</v>
      </c>
      <c r="AO46" s="44">
        <f>[1]!thsiFinD("ths_right_value_usk",AO$6,$A46,"USD")/1000000</f>
        <v>39325.019999999997</v>
      </c>
      <c r="AP46" s="44">
        <f>[1]!thsiFinD("ths_ev2_usk",AP$6,$A46,"USD")/1000000</f>
        <v>136473.91289444</v>
      </c>
      <c r="AQ46" s="44">
        <f>[1]!thsiFinD("ths_ev2_usk",AQ$6,$A46,"USD")/1000000</f>
        <v>381532.19858751004</v>
      </c>
      <c r="AR46" s="44">
        <f>[1]!thsiFinD("ths_ev2_usk",AR$6,$A46,"USD")/1000000</f>
        <v>287229.84990382002</v>
      </c>
      <c r="AS46" s="44">
        <f>[1]!thsiFinD("ths_ev2_usk",AS$6,$A46,"USD")/1000000</f>
        <v>65424.866978769998</v>
      </c>
      <c r="AT46" s="44">
        <f>[1]!thsiFinD("ths_ev2_usk",AT$6,$A46,"USD")/1000000</f>
        <v>120910.85962552999</v>
      </c>
      <c r="AU46" s="44">
        <f>[1]!thsiFinD("ths_ev2_usk",AU$6,$A46,"USD")/1000000</f>
        <v>44600.02</v>
      </c>
    </row>
    <row r="47" spans="1:47" x14ac:dyDescent="0.45">
      <c r="A47" s="3">
        <f>_xll.ciqfunctions.udf.CIQ("COP", "IQ_PRICEDATE", "8/31/2022")</f>
        <v>44804</v>
      </c>
      <c r="B47" s="13">
        <v>97.771659999999997</v>
      </c>
      <c r="C47" s="13">
        <v>85.532079999999993</v>
      </c>
      <c r="D47" s="13">
        <v>139.81825000000001</v>
      </c>
      <c r="E47" s="13">
        <v>105.37438</v>
      </c>
      <c r="F47" s="13">
        <v>26.11336</v>
      </c>
      <c r="G47" s="13">
        <v>60.209519999999998</v>
      </c>
      <c r="H47" s="23">
        <f>[1]!thsiFinD("ths_pe_ttm_uss",B$6,$A47,100)</f>
        <v>8.7576053927875996</v>
      </c>
      <c r="I47" s="23">
        <f>[1]!thsiFinD("ths_pe_ttm_uss",C$6,$A47,100)</f>
        <v>10.228096365573</v>
      </c>
      <c r="J47" s="23">
        <f>[1]!thsiFinD("ths_pe_ttm_uss",D$6,$A47,100)</f>
        <v>10.651432048088999</v>
      </c>
      <c r="K47" s="23">
        <f>[1]!thsiFinD("ths_pe_ttm_uss",E$6,$A47,100)</f>
        <v>12.453959446145999</v>
      </c>
      <c r="L47" s="23">
        <f>[1]!thsiFinD("ths_pe_ttm_uss",F$6,$A47,100)</f>
        <v>-8.5302673027730993</v>
      </c>
      <c r="M47" s="23">
        <f>[1]!thsiFinD("ths_pe_ttm_uss",G$6,$A47,100)</f>
        <v>8.7829014245014001</v>
      </c>
      <c r="N47" s="26">
        <f>[1]!thsiFinD("ths_ev2_to_ebitda_usk",N$6,$A47)</f>
        <v>7.4997741867093</v>
      </c>
      <c r="O47" s="26">
        <f>[1]!thsiFinD("ths_ev2_to_ebitda_usk",O$6,$A47)</f>
        <v>8.2139568356264991</v>
      </c>
      <c r="P47" s="26">
        <f>[1]!thsiFinD("ths_ev2_to_ebitda_usk",P$6,$A47)</f>
        <v>8.2045836290779999</v>
      </c>
      <c r="Q47" s="26">
        <f>[1]!thsiFinD("ths_ev2_to_ebitda_usk",Q$6,$A47)</f>
        <v>7.4887523579798998</v>
      </c>
      <c r="R47" s="26">
        <f>[1]!thsiFinD("ths_ev2_to_ebitda_usk",R$6,$A47)</f>
        <v>3.9979288683134002</v>
      </c>
      <c r="S47" s="26">
        <f>[1]!thsiFinD("ths_ev2_to_ebitda_usk",S$6,$A47)</f>
        <v>9.2164942142591002</v>
      </c>
      <c r="T47" s="27">
        <f>[1]!thsiFinD("ths_pb_mrq_usk",T$6,$A47)</f>
        <v>2.7754571889416999</v>
      </c>
      <c r="U47" s="27">
        <f>[1]!thsiFinD("ths_pb_mrq_usk",U$6,$A47)</f>
        <v>2.246747915806</v>
      </c>
      <c r="V47" s="27">
        <f>[1]!thsiFinD("ths_pb_mrq_usk",V$6,$A47)</f>
        <v>2.0148752015631999</v>
      </c>
      <c r="W47" s="27">
        <f>[1]!thsiFinD("ths_pb_mrq_usk",W$6,$A47)</f>
        <v>3.1860523717551001</v>
      </c>
      <c r="X47" s="27">
        <f>[1]!thsiFinD("ths_pb_mrq_usk",X$6,$A47)</f>
        <v>1.4528949924179</v>
      </c>
      <c r="Y47" s="27">
        <f>[1]!thsiFinD("ths_pb_mrq_usk",Y$6,$A47)</f>
        <v>4.5829510406342999</v>
      </c>
      <c r="Z47" s="28">
        <f>[1]!thsiFinD("ths_ps_ttm_uss",Z$6,$A47,100)</f>
        <v>2.0234610116215999</v>
      </c>
      <c r="AA47" s="28">
        <f>[1]!thsiFinD("ths_ps_ttm_uss",AA$6,$A47,100)</f>
        <v>1.0916673611495999</v>
      </c>
      <c r="AB47" s="28">
        <f>[1]!thsiFinD("ths_ps_ttm_uss",AB$6,$A47,100)</f>
        <v>1.4325434853307999</v>
      </c>
      <c r="AC47" s="28">
        <f>[1]!thsiFinD("ths_ps_ttm_uss",AC$6,$A47,100)</f>
        <v>3.2022703959007002</v>
      </c>
      <c r="AD47" s="28">
        <f>[1]!thsiFinD("ths_ps_ttm_uss",AD$6,$A47,100)</f>
        <v>0.45902112379090998</v>
      </c>
      <c r="AE47" s="28">
        <f>[1]!thsiFinD("ths_ps_ttm_uss",AE$6,$A47,100)</f>
        <v>2.6920868603365</v>
      </c>
      <c r="AF47" s="29">
        <v>89.55</v>
      </c>
      <c r="AG47" s="30">
        <v>3.5185</v>
      </c>
      <c r="AH47" s="31">
        <v>611.79930999999999</v>
      </c>
      <c r="AI47" s="31">
        <v>7323.1701300000004</v>
      </c>
      <c r="AJ47" s="44">
        <f>[1]!thsiFinD("ths_right_value_usk",AJ$6,$A47,"USD")/1000000</f>
        <v>139333.50179924999</v>
      </c>
      <c r="AK47" s="44">
        <f>[1]!thsiFinD("ths_right_value_usk",AK$6,$A47,"USD")/1000000</f>
        <v>398384.35343904997</v>
      </c>
      <c r="AL47" s="44">
        <f>[1]!thsiFinD("ths_right_value_usk",AL$6,$A47,"USD")/1000000</f>
        <v>309392.14670084004</v>
      </c>
      <c r="AM47" s="44">
        <f>[1]!thsiFinD("ths_right_value_usk",AM$6,$A47,"USD")/1000000</f>
        <v>71087.200518600002</v>
      </c>
      <c r="AN47" s="44">
        <f>[1]!thsiFinD("ths_right_value_usk",AN$6,$A47,"USD")/1000000</f>
        <v>96775.882549960996</v>
      </c>
      <c r="AO47" s="44">
        <f>[1]!thsiFinD("ths_right_value_usk",AO$6,$A47,"USD")/1000000</f>
        <v>46241.976000000002</v>
      </c>
      <c r="AP47" s="44">
        <f>[1]!thsiFinD("ths_ev2_usk",AP$6,$A47,"USD")/1000000</f>
        <v>149395.50179924999</v>
      </c>
      <c r="AQ47" s="44">
        <f>[1]!thsiFinD("ths_ev2_usk",AQ$6,$A47,"USD")/1000000</f>
        <v>433598.35343904997</v>
      </c>
      <c r="AR47" s="44">
        <f>[1]!thsiFinD("ths_ev2_usk",AR$6,$A47,"USD")/1000000</f>
        <v>324606.14670084004</v>
      </c>
      <c r="AS47" s="44">
        <f>[1]!thsiFinD("ths_ev2_usk",AS$6,$A47,"USD")/1000000</f>
        <v>73105.200518600002</v>
      </c>
      <c r="AT47" s="44">
        <f>[1]!thsiFinD("ths_ev2_usk",AT$6,$A47,"USD")/1000000</f>
        <v>131487.88254996002</v>
      </c>
      <c r="AU47" s="44">
        <f>[1]!thsiFinD("ths_ev2_usk",AU$6,$A47,"USD")/1000000</f>
        <v>49381.976000000002</v>
      </c>
    </row>
    <row r="48" spans="1:47" x14ac:dyDescent="0.45">
      <c r="A48" s="3">
        <f>_xll.ciqfunctions.udf.CIQ("COP", "IQ_PRICEDATE", "7/29/2022")</f>
        <v>44771</v>
      </c>
      <c r="B48" s="13">
        <v>86.644559999999998</v>
      </c>
      <c r="C48" s="13">
        <v>85.896500000000003</v>
      </c>
      <c r="D48" s="13">
        <v>143.57355999999999</v>
      </c>
      <c r="E48" s="13">
        <v>96.617800000000003</v>
      </c>
      <c r="F48" s="13">
        <v>24.5901</v>
      </c>
      <c r="G48" s="13">
        <v>53.584940000000003</v>
      </c>
      <c r="H48" s="23">
        <f>[1]!thsiFinD("ths_pe_ttm_uss",B$6,$A48,100)</f>
        <v>7.7958290856034003</v>
      </c>
      <c r="I48" s="23">
        <f>[1]!thsiFinD("ths_pe_ttm_uss",C$6,$A48,100)</f>
        <v>10.371475894077999</v>
      </c>
      <c r="J48" s="23">
        <f>[1]!thsiFinD("ths_pe_ttm_uss",D$6,$A48,100)</f>
        <v>11.036894475743001</v>
      </c>
      <c r="K48" s="23">
        <f>[1]!thsiFinD("ths_pe_ttm_uss",E$6,$A48,100)</f>
        <v>11.419038496293</v>
      </c>
      <c r="L48" s="23">
        <f>[1]!thsiFinD("ths_pe_ttm_uss",F$6,$A48,100)</f>
        <v>-8.2164234195451993</v>
      </c>
      <c r="M48" s="23">
        <f>[1]!thsiFinD("ths_pe_ttm_uss",G$6,$A48,100)</f>
        <v>7.8165584045583998</v>
      </c>
      <c r="N48" s="26">
        <f>[1]!thsiFinD("ths_ev2_to_ebitda_usk",N$6,$A48)</f>
        <v>6.7316084714834004</v>
      </c>
      <c r="O48" s="26">
        <f>[1]!thsiFinD("ths_ev2_to_ebitda_usk",O$6,$A48)</f>
        <v>8.3197504371135</v>
      </c>
      <c r="P48" s="26">
        <f>[1]!thsiFinD("ths_ev2_to_ebitda_usk",P$6,$A48)</f>
        <v>8.4875814840996995</v>
      </c>
      <c r="Q48" s="26">
        <f>[1]!thsiFinD("ths_ev2_to_ebitda_usk",Q$6,$A48)</f>
        <v>6.8836172645809999</v>
      </c>
      <c r="R48" s="26">
        <f>[1]!thsiFinD("ths_ev2_to_ebitda_usk",R$6,$A48)</f>
        <v>3.8896689985934998</v>
      </c>
      <c r="S48" s="26">
        <f>[1]!thsiFinD("ths_ev2_to_ebitda_usk",S$6,$A48)</f>
        <v>8.2669242254573003</v>
      </c>
      <c r="T48" s="27">
        <f>[1]!thsiFinD("ths_pb_mrq_usk",T$6,$A48)</f>
        <v>2.4706513834499</v>
      </c>
      <c r="U48" s="27">
        <f>[1]!thsiFinD("ths_pb_mrq_usk",U$6,$A48)</f>
        <v>2.2782432835974</v>
      </c>
      <c r="V48" s="27">
        <f>[1]!thsiFinD("ths_pb_mrq_usk",V$6,$A48)</f>
        <v>2.0877910952298002</v>
      </c>
      <c r="W48" s="27">
        <f>[1]!thsiFinD("ths_pb_mrq_usk",W$6,$A48)</f>
        <v>2.9212922076389001</v>
      </c>
      <c r="X48" s="27">
        <f>[1]!thsiFinD("ths_pb_mrq_usk",X$6,$A48)</f>
        <v>1.3994403713423</v>
      </c>
      <c r="Y48" s="27">
        <f>[1]!thsiFinD("ths_pb_mrq_usk",Y$6,$A48)</f>
        <v>4.0787096134786998</v>
      </c>
      <c r="Z48" s="28">
        <f>[1]!thsiFinD("ths_ps_ttm_uss",Z$6,$A48,100)</f>
        <v>1.8012408073302</v>
      </c>
      <c r="AA48" s="28">
        <f>[1]!thsiFinD("ths_ps_ttm_uss",AA$6,$A48,100)</f>
        <v>1.1069705755438</v>
      </c>
      <c r="AB48" s="28">
        <f>[1]!thsiFinD("ths_ps_ttm_uss",AB$6,$A48,100)</f>
        <v>1.4843854993514001</v>
      </c>
      <c r="AC48" s="28">
        <f>[1]!thsiFinD("ths_ps_ttm_uss",AC$6,$A48,100)</f>
        <v>2.9361625179891</v>
      </c>
      <c r="AD48" s="28">
        <f>[1]!thsiFinD("ths_ps_ttm_uss",AD$6,$A48,100)</f>
        <v>0.44213291069500998</v>
      </c>
      <c r="AE48" s="28">
        <f>[1]!thsiFinD("ths_ps_ttm_uss",AE$6,$A48,100)</f>
        <v>2.3958886883622998</v>
      </c>
      <c r="AF48" s="29">
        <v>98.62</v>
      </c>
      <c r="AG48" s="30">
        <v>3.5735000000000001</v>
      </c>
      <c r="AH48" s="31">
        <v>598.73527000000001</v>
      </c>
      <c r="AI48" s="31">
        <v>7638.4821400000001</v>
      </c>
      <c r="AJ48" s="44">
        <f>[1]!thsiFinD("ths_right_value_usk",AJ$6,$A48,"USD")/1000000</f>
        <v>124031.64075194999</v>
      </c>
      <c r="AK48" s="44">
        <f>[1]!thsiFinD("ths_right_value_usk",AK$6,$A48,"USD")/1000000</f>
        <v>403968.98607434996</v>
      </c>
      <c r="AL48" s="44">
        <f>[1]!thsiFinD("ths_right_value_usk",AL$6,$A48,"USD")/1000000</f>
        <v>320588.67383692</v>
      </c>
      <c r="AM48" s="44">
        <f>[1]!thsiFinD("ths_right_value_usk",AM$6,$A48,"USD")/1000000</f>
        <v>65179.871736839996</v>
      </c>
      <c r="AN48" s="44">
        <f>[1]!thsiFinD("ths_right_value_usk",AN$6,$A48,"USD")/1000000</f>
        <v>93215.32369474</v>
      </c>
      <c r="AO48" s="44">
        <f>[1]!thsiFinD("ths_right_value_usk",AO$6,$A48,"USD")/1000000</f>
        <v>41154.18</v>
      </c>
      <c r="AP48" s="44">
        <f>[1]!thsiFinD("ths_ev2_usk",AP$6,$A48,"USD")/1000000</f>
        <v>134093.64075195001</v>
      </c>
      <c r="AQ48" s="44">
        <f>[1]!thsiFinD("ths_ev2_usk",AQ$6,$A48,"USD")/1000000</f>
        <v>439182.98607434996</v>
      </c>
      <c r="AR48" s="44">
        <f>[1]!thsiFinD("ths_ev2_usk",AR$6,$A48,"USD")/1000000</f>
        <v>335802.67383692</v>
      </c>
      <c r="AS48" s="44">
        <f>[1]!thsiFinD("ths_ev2_usk",AS$6,$A48,"USD")/1000000</f>
        <v>67197.871736839996</v>
      </c>
      <c r="AT48" s="44">
        <f>[1]!thsiFinD("ths_ev2_usk",AT$6,$A48,"USD")/1000000</f>
        <v>127927.32369474</v>
      </c>
      <c r="AU48" s="44">
        <f>[1]!thsiFinD("ths_ev2_usk",AU$6,$A48,"USD")/1000000</f>
        <v>44294.18</v>
      </c>
    </row>
    <row r="49" spans="1:47" x14ac:dyDescent="0.45">
      <c r="A49" s="3">
        <f>_xll.ciqfunctions.udf.CIQ("COP", "IQ_PRICEDATE", "6/30/2022")</f>
        <v>44742</v>
      </c>
      <c r="B49" s="13">
        <v>79.868089999999995</v>
      </c>
      <c r="C49" s="13">
        <v>75.891639999999995</v>
      </c>
      <c r="D49" s="13">
        <v>126.9177</v>
      </c>
      <c r="E49" s="13">
        <v>95.216239999999999</v>
      </c>
      <c r="F49" s="13">
        <v>23.72803</v>
      </c>
      <c r="G49" s="13">
        <v>46.985930000000003</v>
      </c>
      <c r="H49" s="23">
        <f>[1]!thsiFinD("ths_pe_ttm_uss",B$6,$A49,100)</f>
        <v>7.1861173168228003</v>
      </c>
      <c r="I49" s="23">
        <f>[1]!thsiFinD("ths_pe_ttm_uss",C$6,$A49,100)</f>
        <v>9.1634498665930995</v>
      </c>
      <c r="J49" s="23">
        <f>[1]!thsiFinD("ths_pe_ttm_uss",D$6,$A49,100)</f>
        <v>9.7565122859819997</v>
      </c>
      <c r="K49" s="23">
        <f>[1]!thsiFinD("ths_pe_ttm_uss",E$6,$A49,100)</f>
        <v>11.339002595409999</v>
      </c>
      <c r="L49" s="23">
        <f>[1]!thsiFinD("ths_pe_ttm_uss",F$6,$A49,100)</f>
        <v>-7.98291488959</v>
      </c>
      <c r="M49" s="23">
        <f>[1]!thsiFinD("ths_pe_ttm_uss",G$6,$A49,100)</f>
        <v>6.8644136752136999</v>
      </c>
      <c r="N49" s="26">
        <f>[1]!thsiFinD("ths_ev2_to_ebitda_usk",N$6,$A49)</f>
        <v>6.2446348649925003</v>
      </c>
      <c r="O49" s="26">
        <f>[1]!thsiFinD("ths_ev2_to_ebitda_usk",O$6,$A49)</f>
        <v>7.4283998693604998</v>
      </c>
      <c r="P49" s="26">
        <f>[1]!thsiFinD("ths_ev2_to_ebitda_usk",P$6,$A49)</f>
        <v>7.5475536439924999</v>
      </c>
      <c r="Q49" s="26">
        <f>[1]!thsiFinD("ths_ev2_to_ebitda_usk",Q$6,$A49)</f>
        <v>6.8368189730177997</v>
      </c>
      <c r="R49" s="26">
        <f>[1]!thsiFinD("ths_ev2_to_ebitda_usk",R$6,$A49)</f>
        <v>3.8091206610841999</v>
      </c>
      <c r="S49" s="26">
        <f>[1]!thsiFinD("ths_ev2_to_ebitda_usk",S$6,$A49)</f>
        <v>7.3313060843597997</v>
      </c>
      <c r="T49" s="27">
        <f>[1]!thsiFinD("ths_pb_mrq_usk",T$6,$A49)</f>
        <v>2.2774217463577</v>
      </c>
      <c r="U49" s="27">
        <f>[1]!thsiFinD("ths_pb_mrq_usk",U$6,$A49)</f>
        <v>2.0128830579519001</v>
      </c>
      <c r="V49" s="27">
        <f>[1]!thsiFinD("ths_pb_mrq_usk",V$6,$A49)</f>
        <v>1.8455879519317</v>
      </c>
      <c r="W49" s="27">
        <f>[1]!thsiFinD("ths_pb_mrq_usk",W$6,$A49)</f>
        <v>2.9008169063553</v>
      </c>
      <c r="X49" s="27">
        <f>[1]!thsiFinD("ths_pb_mrq_usk",X$6,$A49)</f>
        <v>1.3596686547223</v>
      </c>
      <c r="Y49" s="27">
        <f>[1]!thsiFinD("ths_pb_mrq_usk",Y$6,$A49)</f>
        <v>3.5818769078294999</v>
      </c>
      <c r="Z49" s="28">
        <f>[1]!thsiFinD("ths_ps_ttm_uss",Z$6,$A49,100)</f>
        <v>1.6603657693352001</v>
      </c>
      <c r="AA49" s="28">
        <f>[1]!thsiFinD("ths_ps_ttm_uss",AA$6,$A49,100)</f>
        <v>0.97803528411814</v>
      </c>
      <c r="AB49" s="28">
        <f>[1]!thsiFinD("ths_ps_ttm_uss",AB$6,$A49,100)</f>
        <v>1.3121830052271</v>
      </c>
      <c r="AC49" s="28">
        <f>[1]!thsiFinD("ths_ps_ttm_uss",AC$6,$A49,100)</f>
        <v>2.9155829908825002</v>
      </c>
      <c r="AD49" s="28">
        <f>[1]!thsiFinD("ths_ps_ttm_uss",AD$6,$A49,100)</f>
        <v>0.42956761302843999</v>
      </c>
      <c r="AE49" s="28">
        <f>[1]!thsiFinD("ths_ps_ttm_uss",AE$6,$A49,100)</f>
        <v>2.1040424986901001</v>
      </c>
      <c r="AF49" s="29">
        <v>105.76</v>
      </c>
      <c r="AG49" s="30">
        <v>3.71</v>
      </c>
      <c r="AH49" s="31">
        <v>546.24018000000001</v>
      </c>
      <c r="AI49" s="31">
        <v>6995.7339199999997</v>
      </c>
      <c r="AJ49" s="44">
        <f>[1]!thsiFinD("ths_right_value_usk",AJ$6,$A49,"USD")/1000000</f>
        <v>114331.12651064999</v>
      </c>
      <c r="AK49" s="44">
        <f>[1]!thsiFinD("ths_right_value_usk",AK$6,$A49,"USD")/1000000</f>
        <v>356916.37230379996</v>
      </c>
      <c r="AL49" s="44">
        <f>[1]!thsiFinD("ths_right_value_usk",AL$6,$A49,"USD")/1000000</f>
        <v>283397.41237092001</v>
      </c>
      <c r="AM49" s="44">
        <f>[1]!thsiFinD("ths_right_value_usk",AM$6,$A49,"USD")/1000000</f>
        <v>64723.026814600002</v>
      </c>
      <c r="AN49" s="44">
        <f>[1]!thsiFinD("ths_right_value_usk",AN$6,$A49,"USD")/1000000</f>
        <v>90566.169422399005</v>
      </c>
      <c r="AO49" s="44">
        <f>[1]!thsiFinD("ths_right_value_usk",AO$6,$A49,"USD")/1000000</f>
        <v>36141.137999999999</v>
      </c>
      <c r="AP49" s="44">
        <f>[1]!thsiFinD("ths_ev2_usk",AP$6,$A49,"USD")/1000000</f>
        <v>124393.12651064999</v>
      </c>
      <c r="AQ49" s="44">
        <f>[1]!thsiFinD("ths_ev2_usk",AQ$6,$A49,"USD")/1000000</f>
        <v>392130.37230379996</v>
      </c>
      <c r="AR49" s="44">
        <f>[1]!thsiFinD("ths_ev2_usk",AR$6,$A49,"USD")/1000000</f>
        <v>298611.41237092001</v>
      </c>
      <c r="AS49" s="44">
        <f>[1]!thsiFinD("ths_ev2_usk",AS$6,$A49,"USD")/1000000</f>
        <v>66741.026814600002</v>
      </c>
      <c r="AT49" s="44">
        <f>[1]!thsiFinD("ths_ev2_usk",AT$6,$A49,"USD")/1000000</f>
        <v>125278.16942239999</v>
      </c>
      <c r="AU49" s="44">
        <f>[1]!thsiFinD("ths_ev2_usk",AU$6,$A49,"USD")/1000000</f>
        <v>39281.137999999999</v>
      </c>
    </row>
    <row r="50" spans="1:47" x14ac:dyDescent="0.45">
      <c r="A50" s="3">
        <f>_xll.ciqfunctions.udf.CIQ("COP", "IQ_PRICEDATE", "5/31/2022")</f>
        <v>44712</v>
      </c>
      <c r="B50" s="13">
        <v>99.152429999999995</v>
      </c>
      <c r="C50" s="13">
        <v>85.072360000000003</v>
      </c>
      <c r="D50" s="13">
        <v>153.11124000000001</v>
      </c>
      <c r="E50" s="13">
        <v>116.47922</v>
      </c>
      <c r="F50" s="13">
        <v>27.09263</v>
      </c>
      <c r="G50" s="13">
        <v>62.816830000000003</v>
      </c>
      <c r="H50" s="23">
        <f>[1]!thsiFinD("ths_pe_ttm_uss",B$6,$A50,100)</f>
        <v>11.304604161553</v>
      </c>
      <c r="I50" s="23">
        <f>[1]!thsiFinD("ths_pe_ttm_uss",C$6,$A50,100)</f>
        <v>15.683120622877</v>
      </c>
      <c r="J50" s="23">
        <f>[1]!thsiFinD("ths_pe_ttm_uss",D$6,$A50,100)</f>
        <v>16.734496426827999</v>
      </c>
      <c r="K50" s="23">
        <f>[1]!thsiFinD("ths_pe_ttm_uss",E$6,$A50,100)</f>
        <v>18.327465675595001</v>
      </c>
      <c r="L50" s="23">
        <f>[1]!thsiFinD("ths_pe_ttm_uss",F$6,$A50,100)</f>
        <v>-5.9664754994951998</v>
      </c>
      <c r="M50" s="23">
        <f>[1]!thsiFinD("ths_pe_ttm_uss",G$6,$A50,100)</f>
        <v>13.773753134578</v>
      </c>
      <c r="N50" s="26">
        <f>[1]!thsiFinD("ths_ev2_to_ebitda_usk",N$6,$A50)</f>
        <v>7.91485899101</v>
      </c>
      <c r="O50" s="26">
        <f>[1]!thsiFinD("ths_ev2_to_ebitda_usk",O$6,$A50)</f>
        <v>8.4913556274910995</v>
      </c>
      <c r="P50" s="26">
        <f>[1]!thsiFinD("ths_ev2_to_ebitda_usk",P$6,$A50)</f>
        <v>9.1425871556202996</v>
      </c>
      <c r="Q50" s="26">
        <f>[1]!thsiFinD("ths_ev2_to_ebitda_usk",Q$6,$A50)</f>
        <v>8.3291658740093997</v>
      </c>
      <c r="R50" s="26">
        <f>[1]!thsiFinD("ths_ev2_to_ebitda_usk",R$6,$A50)</f>
        <v>4.4313232565348004</v>
      </c>
      <c r="S50" s="26">
        <f>[1]!thsiFinD("ths_ev2_to_ebitda_usk",S$6,$A50)</f>
        <v>9.9692049272115995</v>
      </c>
      <c r="T50" s="27">
        <f>[1]!thsiFinD("ths_pb_mrq_usk",T$6,$A50)</f>
        <v>2.9528219574326</v>
      </c>
      <c r="U50" s="27">
        <f>[1]!thsiFinD("ths_pb_mrq_usk",U$6,$A50)</f>
        <v>2.3902590246963999</v>
      </c>
      <c r="V50" s="27">
        <f>[1]!thsiFinD("ths_pb_mrq_usk",V$6,$A50)</f>
        <v>2.3469885461189</v>
      </c>
      <c r="W50" s="27">
        <f>[1]!thsiFinD("ths_pb_mrq_usk",W$6,$A50)</f>
        <v>3.7242022870046001</v>
      </c>
      <c r="X50" s="27">
        <f>[1]!thsiFinD("ths_pb_mrq_usk",X$6,$A50)</f>
        <v>1.6482059840467</v>
      </c>
      <c r="Y50" s="27">
        <f>[1]!thsiFinD("ths_pb_mrq_usk",Y$6,$A50)</f>
        <v>5.3154838709677001</v>
      </c>
      <c r="Z50" s="28">
        <f>[1]!thsiFinD("ths_ps_ttm_uss",Z$6,$A50,100)</f>
        <v>2.5460659606684999</v>
      </c>
      <c r="AA50" s="28">
        <f>[1]!thsiFinD("ths_ps_ttm_uss",AA$6,$A50,100)</f>
        <v>1.2759514590669001</v>
      </c>
      <c r="AB50" s="28">
        <f>[1]!thsiFinD("ths_ps_ttm_uss",AB$6,$A50,100)</f>
        <v>1.8569134524019999</v>
      </c>
      <c r="AC50" s="28">
        <f>[1]!thsiFinD("ths_ps_ttm_uss",AC$6,$A50,100)</f>
        <v>4.2374579928202003</v>
      </c>
      <c r="AD50" s="28">
        <f>[1]!thsiFinD("ths_ps_ttm_uss",AD$6,$A50,100)</f>
        <v>0.58309882231000998</v>
      </c>
      <c r="AE50" s="28">
        <f>[1]!thsiFinD("ths_ps_ttm_uss",AE$6,$A50,100)</f>
        <v>3.5390893470789999</v>
      </c>
      <c r="AF50" s="29">
        <v>114.67</v>
      </c>
      <c r="AG50" s="30">
        <v>4.2960000000000003</v>
      </c>
      <c r="AH50" s="31">
        <v>658.00463999999999</v>
      </c>
      <c r="AI50" s="31">
        <v>7628.5722500000002</v>
      </c>
      <c r="AJ50" s="44">
        <f>[1]!thsiFinD("ths_right_value_usk",AJ$6,$A50,"USD")/1000000</f>
        <v>145331.99110092002</v>
      </c>
      <c r="AK50" s="44">
        <f>[1]!thsiFinD("ths_right_value_usk",AK$6,$A50,"USD")/1000000</f>
        <v>404467.68086399999</v>
      </c>
      <c r="AL50" s="44">
        <f>[1]!thsiFinD("ths_right_value_usk",AL$6,$A50,"USD")/1000000</f>
        <v>343174.31822496001</v>
      </c>
      <c r="AM50" s="44">
        <f>[1]!thsiFinD("ths_right_value_usk",AM$6,$A50,"USD")/1000000</f>
        <v>80219.317262080003</v>
      </c>
      <c r="AN50" s="44">
        <f>[1]!thsiFinD("ths_right_value_usk",AN$6,$A50,"USD")/1000000</f>
        <v>104329.79058417</v>
      </c>
      <c r="AO50" s="44">
        <f>[1]!thsiFinD("ths_right_value_usk",AO$6,$A50,"USD")/1000000</f>
        <v>49434</v>
      </c>
      <c r="AP50" s="44">
        <f>[1]!thsiFinD("ths_ev2_usk",AP$6,$A50,"USD")/1000000</f>
        <v>157663.99110092002</v>
      </c>
      <c r="AQ50" s="44">
        <f>[1]!thsiFinD("ths_ev2_usk",AQ$6,$A50,"USD")/1000000</f>
        <v>448241.68086399999</v>
      </c>
      <c r="AR50" s="44">
        <f>[1]!thsiFinD("ths_ev2_usk",AR$6,$A50,"USD")/1000000</f>
        <v>361717.31822496001</v>
      </c>
      <c r="AS50" s="44">
        <f>[1]!thsiFinD("ths_ev2_usk",AS$6,$A50,"USD")/1000000</f>
        <v>81309.317262080003</v>
      </c>
      <c r="AT50" s="44">
        <f>[1]!thsiFinD("ths_ev2_usk",AT$6,$A50,"USD")/1000000</f>
        <v>145741.79058417003</v>
      </c>
      <c r="AU50" s="44">
        <f>[1]!thsiFinD("ths_ev2_usk",AU$6,$A50,"USD")/1000000</f>
        <v>53415</v>
      </c>
    </row>
    <row r="51" spans="1:47" x14ac:dyDescent="0.45">
      <c r="A51" s="3">
        <f>_xll.ciqfunctions.udf.CIQ("COP", "IQ_PRICEDATE", "4/29/2022")</f>
        <v>44680</v>
      </c>
      <c r="B51" s="13">
        <v>83.915139999999994</v>
      </c>
      <c r="C51" s="13">
        <v>74.78004</v>
      </c>
      <c r="D51" s="13">
        <v>136.22013000000001</v>
      </c>
      <c r="E51" s="13">
        <v>99.299890000000005</v>
      </c>
      <c r="F51" s="13">
        <v>23.781099999999999</v>
      </c>
      <c r="G51" s="13">
        <v>48.785780000000003</v>
      </c>
      <c r="H51" s="23">
        <f>[1]!thsiFinD("ths_pe_ttm_uss",B$6,$A51,100)</f>
        <v>9.6103220853640003</v>
      </c>
      <c r="I51" s="23">
        <f>[1]!thsiFinD("ths_pe_ttm_uss",C$6,$A51,100)</f>
        <v>13.926937844794001</v>
      </c>
      <c r="J51" s="23">
        <f>[1]!thsiFinD("ths_pe_ttm_uss",D$6,$A51,100)</f>
        <v>15.010841378627999</v>
      </c>
      <c r="K51" s="23">
        <f>[1]!thsiFinD("ths_pe_ttm_uss",E$6,$A51,100)</f>
        <v>15.624378594352001</v>
      </c>
      <c r="L51" s="23">
        <f>[1]!thsiFinD("ths_pe_ttm_uss",F$6,$A51,100)</f>
        <v>-5.3460957663485997</v>
      </c>
      <c r="M51" s="23">
        <f>[1]!thsiFinD("ths_pe_ttm_uss",G$6,$A51,100)</f>
        <v>10.697185845639</v>
      </c>
      <c r="N51" s="26">
        <f>[1]!thsiFinD("ths_ev2_to_ebitda_usk",N$6,$A51)</f>
        <v>6.8214006390281003</v>
      </c>
      <c r="O51" s="26">
        <f>[1]!thsiFinD("ths_ev2_to_ebitda_usk",O$6,$A51)</f>
        <v>7.6333584719490997</v>
      </c>
      <c r="P51" s="26">
        <f>[1]!thsiFinD("ths_ev2_to_ebitda_usk",P$6,$A51)</f>
        <v>8.2491741014942992</v>
      </c>
      <c r="Q51" s="26">
        <f>[1]!thsiFinD("ths_ev2_to_ebitda_usk",Q$6,$A51)</f>
        <v>7.1171793799917999</v>
      </c>
      <c r="R51" s="26">
        <f>[1]!thsiFinD("ths_ev2_to_ebitda_usk",R$6,$A51)</f>
        <v>4.1014877488027004</v>
      </c>
      <c r="S51" s="26">
        <f>[1]!thsiFinD("ths_ev2_to_ebitda_usk",S$6,$A51)</f>
        <v>7.9083986562149997</v>
      </c>
      <c r="T51" s="27">
        <f>[1]!thsiFinD("ths_pb_mrq_usk",T$6,$A51)</f>
        <v>2.5102665839620002</v>
      </c>
      <c r="U51" s="27">
        <f>[1]!thsiFinD("ths_pb_mrq_usk",U$6,$A51)</f>
        <v>2.1225998109934001</v>
      </c>
      <c r="V51" s="27">
        <f>[1]!thsiFinD("ths_pb_mrq_usk",V$6,$A51)</f>
        <v>2.1052484571193002</v>
      </c>
      <c r="W51" s="27">
        <f>[1]!thsiFinD("ths_pb_mrq_usk",W$6,$A51)</f>
        <v>3.1749259567074999</v>
      </c>
      <c r="X51" s="27">
        <f>[1]!thsiFinD("ths_pb_mrq_usk",X$6,$A51)</f>
        <v>1.4768295007879</v>
      </c>
      <c r="Y51" s="27">
        <f>[1]!thsiFinD("ths_pb_mrq_usk",Y$6,$A51)</f>
        <v>4.1281935483870997</v>
      </c>
      <c r="Z51" s="28">
        <f>[1]!thsiFinD("ths_ps_ttm_uss",Z$6,$A51,100)</f>
        <v>2.1644733051179998</v>
      </c>
      <c r="AA51" s="28">
        <f>[1]!thsiFinD("ths_ps_ttm_uss",AA$6,$A51,100)</f>
        <v>1.1330714779735001</v>
      </c>
      <c r="AB51" s="28">
        <f>[1]!thsiFinD("ths_ps_ttm_uss",AB$6,$A51,100)</f>
        <v>1.6656511541728001</v>
      </c>
      <c r="AC51" s="28">
        <f>[1]!thsiFinD("ths_ps_ttm_uss",AC$6,$A51,100)</f>
        <v>3.6124824418931998</v>
      </c>
      <c r="AD51" s="28">
        <f>[1]!thsiFinD("ths_ps_ttm_uss",AD$6,$A51,100)</f>
        <v>0.52246961301996997</v>
      </c>
      <c r="AE51" s="28">
        <f>[1]!thsiFinD("ths_ps_ttm_uss",AE$6,$A51,100)</f>
        <v>2.7485824742267999</v>
      </c>
      <c r="AF51" s="29">
        <v>104.69</v>
      </c>
      <c r="AG51" s="30">
        <v>4.4085000000000001</v>
      </c>
      <c r="AH51" s="31">
        <v>572.41069000000005</v>
      </c>
      <c r="AI51" s="31">
        <v>7618.66795</v>
      </c>
      <c r="AJ51" s="44">
        <f>[1]!thsiFinD("ths_right_value_usk",AJ$6,$A51,"USD")/1000000</f>
        <v>123550.30072944</v>
      </c>
      <c r="AK51" s="44">
        <f>[1]!thsiFinD("ths_right_value_usk",AK$6,$A51,"USD")/1000000</f>
        <v>359175.72701725003</v>
      </c>
      <c r="AL51" s="44">
        <f>[1]!thsiFinD("ths_right_value_usk",AL$6,$A51,"USD")/1000000</f>
        <v>307827.32415152004</v>
      </c>
      <c r="AM51" s="44">
        <f>[1]!thsiFinD("ths_right_value_usk",AM$6,$A51,"USD")/1000000</f>
        <v>68387.905107480008</v>
      </c>
      <c r="AN51" s="44">
        <f>[1]!thsiFinD("ths_right_value_usk",AN$6,$A51,"USD")/1000000</f>
        <v>93481.830570371996</v>
      </c>
      <c r="AO51" s="44">
        <f>[1]!thsiFinD("ths_right_value_usk",AO$6,$A51,"USD")/1000000</f>
        <v>38392.199999999997</v>
      </c>
      <c r="AP51" s="44">
        <f>[1]!thsiFinD("ths_ev2_usk",AP$6,$A51,"USD")/1000000</f>
        <v>135882.30072944</v>
      </c>
      <c r="AQ51" s="44">
        <f>[1]!thsiFinD("ths_ev2_usk",AQ$6,$A51,"USD")/1000000</f>
        <v>402949.72701725003</v>
      </c>
      <c r="AR51" s="44">
        <f>[1]!thsiFinD("ths_ev2_usk",AR$6,$A51,"USD")/1000000</f>
        <v>326370.32415152004</v>
      </c>
      <c r="AS51" s="44">
        <f>[1]!thsiFinD("ths_ev2_usk",AS$6,$A51,"USD")/1000000</f>
        <v>69477.905107479994</v>
      </c>
      <c r="AT51" s="44">
        <f>[1]!thsiFinD("ths_ev2_usk",AT$6,$A51,"USD")/1000000</f>
        <v>134893.83057036999</v>
      </c>
      <c r="AU51" s="44">
        <f>[1]!thsiFinD("ths_ev2_usk",AU$6,$A51,"USD")/1000000</f>
        <v>42373.2</v>
      </c>
    </row>
    <row r="52" spans="1:47" x14ac:dyDescent="0.45">
      <c r="A52" s="3">
        <f>_xll.ciqfunctions.udf.CIQ("COP", "IQ_PRICEDATE", "3/31/2022")</f>
        <v>44651</v>
      </c>
      <c r="B52" s="13">
        <v>87.850859999999997</v>
      </c>
      <c r="C52" s="13">
        <v>72.446719999999999</v>
      </c>
      <c r="D52" s="13">
        <v>141.57606999999999</v>
      </c>
      <c r="E52" s="13">
        <v>100.79003</v>
      </c>
      <c r="F52" s="13">
        <v>24.344159999999999</v>
      </c>
      <c r="G52" s="13">
        <v>49.590910000000001</v>
      </c>
      <c r="H52" s="23">
        <f>[1]!thsiFinD("ths_pe_ttm_uss",B$6,$A52,100)</f>
        <v>10.061057459552</v>
      </c>
      <c r="I52" s="23">
        <f>[1]!thsiFinD("ths_pe_ttm_uss",C$6,$A52,100)</f>
        <v>13.490265446344999</v>
      </c>
      <c r="J52" s="23">
        <f>[1]!thsiFinD("ths_pe_ttm_uss",D$6,$A52,100)</f>
        <v>15.601042328984001</v>
      </c>
      <c r="K52" s="23">
        <f>[1]!thsiFinD("ths_pe_ttm_uss",E$6,$A52,100)</f>
        <v>15.953281050618999</v>
      </c>
      <c r="L52" s="23">
        <f>[1]!thsiFinD("ths_pe_ttm_uss",F$6,$A52,100)</f>
        <v>-5.4484797387909998</v>
      </c>
      <c r="M52" s="23">
        <f>[1]!thsiFinD("ths_pe_ttm_uss",G$6,$A52,100)</f>
        <v>10.890200612984</v>
      </c>
      <c r="N52" s="26">
        <f>[1]!thsiFinD("ths_ev2_to_ebitda_usk",N$6,$A52)</f>
        <v>7.1122969226907999</v>
      </c>
      <c r="O52" s="26">
        <f>[1]!thsiFinD("ths_ev2_to_ebitda_usk",O$6,$A52)</f>
        <v>7.4200186758589002</v>
      </c>
      <c r="P52" s="26">
        <f>[1]!thsiFinD("ths_ev2_to_ebitda_usk",P$6,$A52)</f>
        <v>8.5550898554363002</v>
      </c>
      <c r="Q52" s="26">
        <f>[1]!thsiFinD("ths_ev2_to_ebitda_usk",Q$6,$A52)</f>
        <v>7.2646497806351</v>
      </c>
      <c r="R52" s="26">
        <f>[1]!thsiFinD("ths_ev2_to_ebitda_usk",R$6,$A52)</f>
        <v>4.1559219408464996</v>
      </c>
      <c r="S52" s="26">
        <f>[1]!thsiFinD("ths_ev2_to_ebitda_usk",S$6,$A52)</f>
        <v>8.0376875699887993</v>
      </c>
      <c r="T52" s="27">
        <f>[1]!thsiFinD("ths_pb_mrq_usk",T$6,$A52)</f>
        <v>2.6280010301108998</v>
      </c>
      <c r="U52" s="27">
        <f>[1]!thsiFinD("ths_pb_mrq_usk",U$6,$A52)</f>
        <v>2.0560467208062998</v>
      </c>
      <c r="V52" s="27">
        <f>[1]!thsiFinD("ths_pb_mrq_usk",V$6,$A52)</f>
        <v>2.1880232735860998</v>
      </c>
      <c r="W52" s="27">
        <f>[1]!thsiFinD("ths_pb_mrq_usk",W$6,$A52)</f>
        <v>3.2417600352162999</v>
      </c>
      <c r="X52" s="27">
        <f>[1]!thsiFinD("ths_pb_mrq_usk",X$6,$A52)</f>
        <v>1.5051125090838999</v>
      </c>
      <c r="Y52" s="27">
        <f>[1]!thsiFinD("ths_pb_mrq_usk",Y$6,$A52)</f>
        <v>4.2026806451613004</v>
      </c>
      <c r="Z52" s="28">
        <f>[1]!thsiFinD("ths_ps_ttm_uss",Z$6,$A52,100)</f>
        <v>2.2659896410364002</v>
      </c>
      <c r="AA52" s="28">
        <f>[1]!thsiFinD("ths_ps_ttm_uss",AA$6,$A52,100)</f>
        <v>1.0975445699471</v>
      </c>
      <c r="AB52" s="28">
        <f>[1]!thsiFinD("ths_ps_ttm_uss",AB$6,$A52,100)</f>
        <v>1.7311417465626</v>
      </c>
      <c r="AC52" s="28">
        <f>[1]!thsiFinD("ths_ps_ttm_uss",AC$6,$A52,100)</f>
        <v>3.6885273444909998</v>
      </c>
      <c r="AD52" s="28">
        <f>[1]!thsiFinD("ths_ps_ttm_uss",AD$6,$A52,100)</f>
        <v>0.53247551579450003</v>
      </c>
      <c r="AE52" s="28">
        <f>[1]!thsiFinD("ths_ps_ttm_uss",AE$6,$A52,100)</f>
        <v>2.7981765463918</v>
      </c>
      <c r="AF52" s="29">
        <v>100.28</v>
      </c>
      <c r="AG52" s="30">
        <v>4.7510000000000003</v>
      </c>
      <c r="AH52" s="31">
        <v>581.92729999999995</v>
      </c>
      <c r="AI52" s="31">
        <v>8348.5737499999996</v>
      </c>
      <c r="AJ52" s="44">
        <f>[1]!thsiFinD("ths_right_value_usk",AJ$6,$A52,"USD")/1000000</f>
        <v>129344.9547</v>
      </c>
      <c r="AK52" s="44">
        <f>[1]!thsiFinD("ths_right_value_usk",AK$6,$A52,"USD")/1000000</f>
        <v>347913.94586123998</v>
      </c>
      <c r="AL52" s="44">
        <f>[1]!thsiFinD("ths_right_value_usk",AL$6,$A52,"USD")/1000000</f>
        <v>319930.57504048001</v>
      </c>
      <c r="AM52" s="44">
        <f>[1]!thsiFinD("ths_right_value_usk",AM$6,$A52,"USD")/1000000</f>
        <v>69827.511158559995</v>
      </c>
      <c r="AN52" s="44">
        <f>[1]!thsiFinD("ths_right_value_usk",AN$6,$A52,"USD")/1000000</f>
        <v>95272.116712500007</v>
      </c>
      <c r="AO52" s="44">
        <f>[1]!thsiFinD("ths_right_value_usk",AO$6,$A52,"USD")/1000000</f>
        <v>39084.93</v>
      </c>
      <c r="AP52" s="44">
        <f>[1]!thsiFinD("ths_ev2_usk",AP$6,$A52,"USD")/1000000</f>
        <v>141676.9547</v>
      </c>
      <c r="AQ52" s="44">
        <f>[1]!thsiFinD("ths_ev2_usk",AQ$6,$A52,"USD")/1000000</f>
        <v>391687.94586123998</v>
      </c>
      <c r="AR52" s="44">
        <f>[1]!thsiFinD("ths_ev2_usk",AR$6,$A52,"USD")/1000000</f>
        <v>338473.57504048001</v>
      </c>
      <c r="AS52" s="44">
        <f>[1]!thsiFinD("ths_ev2_usk",AS$6,$A52,"USD")/1000000</f>
        <v>70917.511158559995</v>
      </c>
      <c r="AT52" s="44">
        <f>[1]!thsiFinD("ths_ev2_usk",AT$6,$A52,"USD")/1000000</f>
        <v>136684.11671249999</v>
      </c>
      <c r="AU52" s="44">
        <f>[1]!thsiFinD("ths_ev2_usk",AU$6,$A52,"USD")/1000000</f>
        <v>43065.93</v>
      </c>
    </row>
    <row r="53" spans="1:47" x14ac:dyDescent="0.45">
      <c r="A53" s="3">
        <f>_xll.ciqfunctions.udf.CIQ("COP", "IQ_PRICEDATE", "2/28/2022")</f>
        <v>44620</v>
      </c>
      <c r="B53" s="13">
        <v>83.087029999999999</v>
      </c>
      <c r="C53" s="13">
        <v>68.78886</v>
      </c>
      <c r="D53" s="13">
        <v>125.20392</v>
      </c>
      <c r="E53" s="13">
        <v>96.314019999999999</v>
      </c>
      <c r="F53" s="13">
        <v>24.18684</v>
      </c>
      <c r="G53" s="13">
        <v>49.118600000000001</v>
      </c>
      <c r="H53" s="23">
        <f>[1]!thsiFinD("ths_pe_ttm_uss",B$6,$A53,100)</f>
        <v>15.258463083520001</v>
      </c>
      <c r="I53" s="23">
        <f>[1]!thsiFinD("ths_pe_ttm_uss",C$6,$A53,100)</f>
        <v>14.382696770526</v>
      </c>
      <c r="J53" s="23">
        <f>[1]!thsiFinD("ths_pe_ttm_uss",D$6,$A53,100)</f>
        <v>17.948651636735999</v>
      </c>
      <c r="K53" s="23">
        <f>[1]!thsiFinD("ths_pe_ttm_uss",E$6,$A53,100)</f>
        <v>14.423875679374</v>
      </c>
      <c r="L53" s="23">
        <f>[1]!thsiFinD("ths_pe_ttm_uss",F$6,$A53,100)</f>
        <v>12.538661898700999</v>
      </c>
      <c r="M53" s="23">
        <f>[1]!thsiFinD("ths_pe_ttm_uss",G$6,$A53,100)</f>
        <v>14.060828297192</v>
      </c>
      <c r="N53" s="26">
        <f>[1]!thsiFinD("ths_ev2_to_ebitda_usk",N$6,$A53)</f>
        <v>6.9367029744859003</v>
      </c>
      <c r="O53" s="26">
        <f>[1]!thsiFinD("ths_ev2_to_ebitda_usk",O$6,$A53)</f>
        <v>7.1869616881283998</v>
      </c>
      <c r="P53" s="26">
        <f>[1]!thsiFinD("ths_ev2_to_ebitda_usk",P$6,$A53)</f>
        <v>7.7608351487210996</v>
      </c>
      <c r="Q53" s="26">
        <f>[1]!thsiFinD("ths_ev2_to_ebitda_usk",Q$6,$A53)</f>
        <v>6.8810649629788996</v>
      </c>
      <c r="R53" s="26">
        <f>[1]!thsiFinD("ths_ev2_to_ebitda_usk",R$6,$A53)</f>
        <v>4.2666538132407004</v>
      </c>
      <c r="S53" s="26">
        <f>[1]!thsiFinD("ths_ev2_to_ebitda_usk",S$6,$A53)</f>
        <v>8.1935628966032006</v>
      </c>
      <c r="T53" s="27">
        <f>[1]!thsiFinD("ths_pb_mrq_usk",T$6,$A53)</f>
        <v>2.7149082335321002</v>
      </c>
      <c r="U53" s="27">
        <f>[1]!thsiFinD("ths_pb_mrq_usk",U$6,$A53)</f>
        <v>1.9657327725189</v>
      </c>
      <c r="V53" s="27">
        <f>[1]!thsiFinD("ths_pb_mrq_usk",V$6,$A53)</f>
        <v>2.0166371736212998</v>
      </c>
      <c r="W53" s="27">
        <f>[1]!thsiFinD("ths_pb_mrq_usk",W$6,$A53)</f>
        <v>3.0330458146348001</v>
      </c>
      <c r="X53" s="27">
        <f>[1]!thsiFinD("ths_pb_mrq_usk",X$6,$A53)</f>
        <v>1.2569733149182001</v>
      </c>
      <c r="Y53" s="27">
        <f>[1]!thsiFinD("ths_pb_mrq_usk",Y$6,$A53)</f>
        <v>4.2704718203412</v>
      </c>
      <c r="Z53" s="28">
        <f>[1]!thsiFinD("ths_ps_ttm_uss",Z$6,$A53,100)</f>
        <v>2.5496519731899001</v>
      </c>
      <c r="AA53" s="28">
        <f>[1]!thsiFinD("ths_ps_ttm_uss",AA$6,$A53,100)</f>
        <v>1.1601222993731</v>
      </c>
      <c r="AB53" s="28">
        <f>[1]!thsiFinD("ths_ps_ttm_uss",AB$6,$A53,100)</f>
        <v>1.7262036858645999</v>
      </c>
      <c r="AC53" s="28">
        <f>[1]!thsiFinD("ths_ps_ttm_uss",AC$6,$A53,100)</f>
        <v>3.6086769750348999</v>
      </c>
      <c r="AD53" s="28">
        <f>[1]!thsiFinD("ths_ps_ttm_uss",AD$6,$A53,100)</f>
        <v>0.57769711174928995</v>
      </c>
      <c r="AE53" s="28">
        <f>[1]!thsiFinD("ths_ps_ttm_uss",AE$6,$A53,100)</f>
        <v>3.2404645256430999</v>
      </c>
      <c r="AF53" s="29">
        <v>95.72</v>
      </c>
      <c r="AG53" s="30">
        <v>4.4545000000000003</v>
      </c>
      <c r="AH53" s="31">
        <v>534.94596000000001</v>
      </c>
      <c r="AI53" s="31">
        <v>8052.85077</v>
      </c>
      <c r="AJ53" s="44">
        <f>[1]!thsiFinD("ths_right_value_usk",AJ$6,$A53,"USD")/1000000</f>
        <v>123273.12325176</v>
      </c>
      <c r="AK53" s="44">
        <f>[1]!thsiFinD("ths_right_value_usk",AK$6,$A53,"USD")/1000000</f>
        <v>331377.33359291998</v>
      </c>
      <c r="AL53" s="44">
        <f>[1]!thsiFinD("ths_right_value_usk",AL$6,$A53,"USD")/1000000</f>
        <v>280447.68182400003</v>
      </c>
      <c r="AM53" s="44">
        <f>[1]!thsiFinD("ths_right_value_usk",AM$6,$A53,"USD")/1000000</f>
        <v>67272.956168599994</v>
      </c>
      <c r="AN53" s="44">
        <f>[1]!thsiFinD("ths_right_value_usk",AN$6,$A53,"USD")/1000000</f>
        <v>94854.977263673994</v>
      </c>
      <c r="AO53" s="44">
        <f>[1]!thsiFinD("ths_right_value_usk",AO$6,$A53,"USD")/1000000</f>
        <v>39553.11</v>
      </c>
      <c r="AP53" s="44">
        <f>[1]!thsiFinD("ths_ev2_usk",AP$6,$A53,"USD")/1000000</f>
        <v>138179.12325176</v>
      </c>
      <c r="AQ53" s="44">
        <f>[1]!thsiFinD("ths_ev2_usk",AQ$6,$A53,"USD")/1000000</f>
        <v>379385.33359291998</v>
      </c>
      <c r="AR53" s="44">
        <f>[1]!thsiFinD("ths_ev2_usk",AR$6,$A53,"USD")/1000000</f>
        <v>307049.68182400003</v>
      </c>
      <c r="AS53" s="44">
        <f>[1]!thsiFinD("ths_ev2_usk",AS$6,$A53,"USD")/1000000</f>
        <v>67172.956168599994</v>
      </c>
      <c r="AT53" s="44">
        <f>[1]!thsiFinD("ths_ev2_usk",AT$6,$A53,"USD")/1000000</f>
        <v>140325.97726367001</v>
      </c>
      <c r="AU53" s="44">
        <f>[1]!thsiFinD("ths_ev2_usk",AU$6,$A53,"USD")/1000000</f>
        <v>43901.11</v>
      </c>
    </row>
    <row r="54" spans="1:47" x14ac:dyDescent="0.45">
      <c r="A54" s="3">
        <f>_xll.ciqfunctions.udf.CIQ("COP", "IQ_PRICEDATE", "1/31/2022")</f>
        <v>44592</v>
      </c>
      <c r="B54" s="13">
        <v>77.232979999999998</v>
      </c>
      <c r="C54" s="13">
        <v>65.900419999999997</v>
      </c>
      <c r="D54" s="13">
        <v>113.00131</v>
      </c>
      <c r="E54" s="13">
        <v>93.430970000000002</v>
      </c>
      <c r="F54" s="13">
        <v>25.348479999999999</v>
      </c>
      <c r="G54" s="13">
        <v>41.71163</v>
      </c>
      <c r="H54" s="23">
        <f>[1]!thsiFinD("ths_pe_ttm_uss",B$6,$A54,100)</f>
        <v>14.254743816798999</v>
      </c>
      <c r="I54" s="23">
        <f>[1]!thsiFinD("ths_pe_ttm_uss",C$6,$A54,100)</f>
        <v>13.957625039359</v>
      </c>
      <c r="J54" s="23">
        <f>[1]!thsiFinD("ths_pe_ttm_uss",D$6,$A54,100)</f>
        <v>16.220251485812</v>
      </c>
      <c r="K54" s="23">
        <f>[1]!thsiFinD("ths_pe_ttm_uss",E$6,$A54,100)</f>
        <v>13.989120480515</v>
      </c>
      <c r="L54" s="23">
        <f>[1]!thsiFinD("ths_pe_ttm_uss",F$6,$A54,100)</f>
        <v>13.397387842986999</v>
      </c>
      <c r="M54" s="23">
        <f>[1]!thsiFinD("ths_pe_ttm_uss",G$6,$A54,100)</f>
        <v>11.918915748311001</v>
      </c>
      <c r="N54" s="26">
        <f>[1]!thsiFinD("ths_ev2_to_ebitda_usk",N$6,$A54)</f>
        <v>6.5296222538112003</v>
      </c>
      <c r="O54" s="26">
        <f>[1]!thsiFinD("ths_ev2_to_ebitda_usk",O$6,$A54)</f>
        <v>7.0014336763438996</v>
      </c>
      <c r="P54" s="26">
        <f>[1]!thsiFinD("ths_ev2_to_ebitda_usk",P$6,$A54)</f>
        <v>7.0782385366952001</v>
      </c>
      <c r="Q54" s="26">
        <f>[1]!thsiFinD("ths_ev2_to_ebitda_usk",Q$6,$A54)</f>
        <v>6.6733515592214996</v>
      </c>
      <c r="R54" s="26">
        <f>[1]!thsiFinD("ths_ev2_to_ebitda_usk",R$6,$A54)</f>
        <v>4.4641746186324003</v>
      </c>
      <c r="S54" s="26">
        <f>[1]!thsiFinD("ths_ev2_to_ebitda_usk",S$6,$A54)</f>
        <v>7.0690388204554004</v>
      </c>
      <c r="T54" s="27">
        <f>[1]!thsiFinD("ths_pb_mrq_usk",T$6,$A54)</f>
        <v>2.5363184446090998</v>
      </c>
      <c r="U54" s="27">
        <f>[1]!thsiFinD("ths_pb_mrq_usk",U$6,$A54)</f>
        <v>1.9076367529784</v>
      </c>
      <c r="V54" s="27">
        <f>[1]!thsiFinD("ths_pb_mrq_usk",V$6,$A54)</f>
        <v>1.8224411935672</v>
      </c>
      <c r="W54" s="27">
        <f>[1]!thsiFinD("ths_pb_mrq_usk",W$6,$A54)</f>
        <v>2.9416256952714002</v>
      </c>
      <c r="X54" s="27">
        <f>[1]!thsiFinD("ths_pb_mrq_usk",X$6,$A54)</f>
        <v>1.3430587046924001</v>
      </c>
      <c r="Y54" s="27">
        <f>[1]!thsiFinD("ths_pb_mrq_usk",Y$6,$A54)</f>
        <v>3.6199427769380002</v>
      </c>
      <c r="Z54" s="28">
        <f>[1]!thsiFinD("ths_ps_ttm_uss",Z$6,$A54,100)</f>
        <v>2.3819329313102999</v>
      </c>
      <c r="AA54" s="28">
        <f>[1]!thsiFinD("ths_ps_ttm_uss",AA$6,$A54,100)</f>
        <v>1.1258356004301</v>
      </c>
      <c r="AB54" s="28">
        <f>[1]!thsiFinD("ths_ps_ttm_uss",AB$6,$A54,100)</f>
        <v>1.5599755606796</v>
      </c>
      <c r="AC54" s="28">
        <f>[1]!thsiFinD("ths_ps_ttm_uss",AC$6,$A54,100)</f>
        <v>3.4999065508593001</v>
      </c>
      <c r="AD54" s="28">
        <f>[1]!thsiFinD("ths_ps_ttm_uss",AD$6,$A54,100)</f>
        <v>0.61726142106763005</v>
      </c>
      <c r="AE54" s="28">
        <f>[1]!thsiFinD("ths_ps_ttm_uss",AE$6,$A54,100)</f>
        <v>2.7468384401114001</v>
      </c>
      <c r="AF54" s="29">
        <v>88.15</v>
      </c>
      <c r="AG54" s="30">
        <v>4.3244999999999996</v>
      </c>
      <c r="AH54" s="31">
        <v>502.92683</v>
      </c>
      <c r="AI54" s="31">
        <v>8305.0525699999998</v>
      </c>
      <c r="AJ54" s="44">
        <f>[1]!thsiFinD("ths_right_value_usk",AJ$6,$A54,"USD")/1000000</f>
        <v>115164.07529592</v>
      </c>
      <c r="AK54" s="44">
        <f>[1]!thsiFinD("ths_right_value_usk",AK$6,$A54,"USD")/1000000</f>
        <v>321583.68090684002</v>
      </c>
      <c r="AL54" s="44">
        <f>[1]!thsiFinD("ths_right_value_usk",AL$6,$A54,"USD")/1000000</f>
        <v>253441.42946581001</v>
      </c>
      <c r="AM54" s="44">
        <f>[1]!thsiFinD("ths_right_value_usk",AM$6,$A54,"USD")/1000000</f>
        <v>65245.257921120006</v>
      </c>
      <c r="AN54" s="44">
        <f>[1]!thsiFinD("ths_right_value_usk",AN$6,$A54,"USD")/1000000</f>
        <v>101351.2390322</v>
      </c>
      <c r="AO54" s="44">
        <f>[1]!thsiFinD("ths_right_value_usk",AO$6,$A54,"USD")/1000000</f>
        <v>33527.910000000003</v>
      </c>
      <c r="AP54" s="44">
        <f>[1]!thsiFinD("ths_ev2_usk",AP$6,$A54,"USD")/1000000</f>
        <v>130070.07529592</v>
      </c>
      <c r="AQ54" s="44">
        <f>[1]!thsiFinD("ths_ev2_usk",AQ$6,$A54,"USD")/1000000</f>
        <v>369591.68090684002</v>
      </c>
      <c r="AR54" s="44">
        <f>[1]!thsiFinD("ths_ev2_usk",AR$6,$A54,"USD")/1000000</f>
        <v>280043.42946581001</v>
      </c>
      <c r="AS54" s="44">
        <f>[1]!thsiFinD("ths_ev2_usk",AS$6,$A54,"USD")/1000000</f>
        <v>65145.257921120006</v>
      </c>
      <c r="AT54" s="44">
        <f>[1]!thsiFinD("ths_ev2_usk",AT$6,$A54,"USD")/1000000</f>
        <v>146822.23903220001</v>
      </c>
      <c r="AU54" s="44">
        <f>[1]!thsiFinD("ths_ev2_usk",AU$6,$A54,"USD")/1000000</f>
        <v>37875.910000000003</v>
      </c>
    </row>
    <row r="55" spans="1:47" x14ac:dyDescent="0.45">
      <c r="A55" s="3">
        <f>_xll.ciqfunctions.udf.CIQ("COP", "IQ_PRICEDATE", "12/31/2021")</f>
        <v>44561</v>
      </c>
      <c r="B55" s="13">
        <v>62.9054</v>
      </c>
      <c r="C55" s="13">
        <v>53.086449999999999</v>
      </c>
      <c r="D55" s="13">
        <v>100.97238</v>
      </c>
      <c r="E55" s="13">
        <v>73.904780000000002</v>
      </c>
      <c r="F55" s="13">
        <v>21.831499999999998</v>
      </c>
      <c r="G55" s="13">
        <v>36.333739999999999</v>
      </c>
      <c r="H55" s="23">
        <f>[1]!thsiFinD("ths_pe_ttm_uss",B$6,$A55,100)</f>
        <v>11.634594690056</v>
      </c>
      <c r="I55" s="23">
        <f>[1]!thsiFinD("ths_pe_ttm_uss",C$6,$A55,100)</f>
        <v>11.25800390625</v>
      </c>
      <c r="J55" s="23">
        <f>[1]!thsiFinD("ths_pe_ttm_uss",D$6,$A55,100)</f>
        <v>14.493615410493</v>
      </c>
      <c r="K55" s="23">
        <f>[1]!thsiFinD("ths_pe_ttm_uss",E$6,$A55,100)</f>
        <v>11.146874527127</v>
      </c>
      <c r="L55" s="23">
        <f>[1]!thsiFinD("ths_pe_ttm_uss",F$6,$A55,100)</f>
        <v>12.190357321876</v>
      </c>
      <c r="M55" s="23">
        <f>[1]!thsiFinD("ths_pe_ttm_uss",G$6,$A55,100)</f>
        <v>10.382207607535999</v>
      </c>
      <c r="N55" s="26">
        <f>[1]!thsiFinD("ths_ev2_to_ebitda_usk",N$6,$A55)</f>
        <v>5.4669623745461999</v>
      </c>
      <c r="O55" s="26">
        <f>[1]!thsiFinD("ths_ev2_to_ebitda_usk",O$6,$A55)</f>
        <v>5.8231493900129001</v>
      </c>
      <c r="P55" s="26">
        <f>[1]!thsiFinD("ths_ev2_to_ebitda_usk",P$6,$A55)</f>
        <v>6.3963386105791002</v>
      </c>
      <c r="Q55" s="26">
        <f>[1]!thsiFinD("ths_ev2_to_ebitda_usk",Q$6,$A55)</f>
        <v>5.3154090139847998</v>
      </c>
      <c r="R55" s="26">
        <f>[1]!thsiFinD("ths_ev2_to_ebitda_usk",R$6,$A55)</f>
        <v>4.1865381477088004</v>
      </c>
      <c r="S55" s="26">
        <f>[1]!thsiFinD("ths_ev2_to_ebitda_usk",S$6,$A55)</f>
        <v>6.2622527062337001</v>
      </c>
      <c r="T55" s="27">
        <f>[1]!thsiFinD("ths_pb_mrq_usk",T$6,$A55)</f>
        <v>2.0701204796933999</v>
      </c>
      <c r="U55" s="27">
        <f>[1]!thsiFinD("ths_pb_mrq_usk",U$6,$A55)</f>
        <v>1.5386702219163999</v>
      </c>
      <c r="V55" s="27">
        <f>[1]!thsiFinD("ths_pb_mrq_usk",V$6,$A55)</f>
        <v>1.6284434178414</v>
      </c>
      <c r="W55" s="27">
        <f>[1]!thsiFinD("ths_pb_mrq_usk",W$6,$A55)</f>
        <v>2.3439595488962999</v>
      </c>
      <c r="X55" s="27">
        <f>[1]!thsiFinD("ths_pb_mrq_usk",X$6,$A55)</f>
        <v>1.2220565461219</v>
      </c>
      <c r="Y55" s="27">
        <f>[1]!thsiFinD("ths_pb_mrq_usk",Y$6,$A55)</f>
        <v>3.1532228460375999</v>
      </c>
      <c r="Z55" s="28">
        <f>[1]!thsiFinD("ths_ps_ttm_uss",Z$6,$A55,100)</f>
        <v>1.9441124015172999</v>
      </c>
      <c r="AA55" s="28">
        <f>[1]!thsiFinD("ths_ps_ttm_uss",AA$6,$A55,100)</f>
        <v>0.90808153619941001</v>
      </c>
      <c r="AB55" s="28">
        <f>[1]!thsiFinD("ths_ps_ttm_uss",AB$6,$A55,100)</f>
        <v>1.3939170946909001</v>
      </c>
      <c r="AC55" s="28">
        <f>[1]!thsiFinD("ths_ps_ttm_uss",AC$6,$A55,100)</f>
        <v>2.7888114362472001</v>
      </c>
      <c r="AD55" s="28">
        <f>[1]!thsiFinD("ths_ps_ttm_uss",AD$6,$A55,100)</f>
        <v>0.56164958214314997</v>
      </c>
      <c r="AE55" s="28">
        <f>[1]!thsiFinD("ths_ps_ttm_uss",AE$6,$A55,100)</f>
        <v>2.3926880222841</v>
      </c>
      <c r="AF55" s="29">
        <v>75.209999999999994</v>
      </c>
      <c r="AG55" s="30">
        <v>4.4634999999999998</v>
      </c>
      <c r="AH55" s="31">
        <v>422.73647999999997</v>
      </c>
      <c r="AI55" s="31">
        <v>8760.5933999999997</v>
      </c>
      <c r="AJ55" s="44">
        <f>[1]!thsiFinD("ths_right_value_usk",AJ$6,$A55,"USD")/1000000</f>
        <v>93995.890500960013</v>
      </c>
      <c r="AK55" s="44">
        <f>[1]!thsiFinD("ths_right_value_usk",AK$6,$A55,"USD")/1000000</f>
        <v>259384.41</v>
      </c>
      <c r="AL55" s="44">
        <f>[1]!thsiFinD("ths_right_value_usk",AL$6,$A55,"USD")/1000000</f>
        <v>226462.74078895</v>
      </c>
      <c r="AM55" s="44">
        <f>[1]!thsiFinD("ths_right_value_usk",AM$6,$A55,"USD")/1000000</f>
        <v>51989.022794519995</v>
      </c>
      <c r="AN55" s="44">
        <f>[1]!thsiFinD("ths_right_value_usk",AN$6,$A55,"USD")/1000000</f>
        <v>92220.053139994998</v>
      </c>
      <c r="AO55" s="44">
        <f>[1]!thsiFinD("ths_right_value_usk",AO$6,$A55,"USD")/1000000</f>
        <v>29205.15</v>
      </c>
      <c r="AP55" s="44">
        <f>[1]!thsiFinD("ths_ev2_usk",AP$6,$A55,"USD")/1000000</f>
        <v>108901.89050096001</v>
      </c>
      <c r="AQ55" s="44">
        <f>[1]!thsiFinD("ths_ev2_usk",AQ$6,$A55,"USD")/1000000</f>
        <v>307392.40999999997</v>
      </c>
      <c r="AR55" s="44">
        <f>[1]!thsiFinD("ths_ev2_usk",AR$6,$A55,"USD")/1000000</f>
        <v>253064.74078895</v>
      </c>
      <c r="AS55" s="44">
        <f>[1]!thsiFinD("ths_ev2_usk",AS$6,$A55,"USD")/1000000</f>
        <v>51889.022794519995</v>
      </c>
      <c r="AT55" s="44">
        <f>[1]!thsiFinD("ths_ev2_usk",AT$6,$A55,"USD")/1000000</f>
        <v>137691.05313998999</v>
      </c>
      <c r="AU55" s="44">
        <f>[1]!thsiFinD("ths_ev2_usk",AU$6,$A55,"USD")/1000000</f>
        <v>33553.15</v>
      </c>
    </row>
    <row r="56" spans="1:47" x14ac:dyDescent="0.45">
      <c r="A56" s="3">
        <f>_xll.ciqfunctions.udf.CIQ("COP", "IQ_PRICEDATE", "11/30/2021")</f>
        <v>44530</v>
      </c>
      <c r="B56" s="13">
        <v>60.949689999999997</v>
      </c>
      <c r="C56" s="13">
        <v>51.915230000000001</v>
      </c>
      <c r="D56" s="13">
        <v>97.117620000000002</v>
      </c>
      <c r="E56" s="13">
        <v>70.737759999999994</v>
      </c>
      <c r="F56" s="13">
        <v>21.282229999999998</v>
      </c>
      <c r="G56" s="13">
        <v>34.043439999999997</v>
      </c>
      <c r="H56" s="23">
        <f>[1]!thsiFinD("ths_pe_ttm_uss",B$6,$A56,100)</f>
        <v>19.764475167246001</v>
      </c>
      <c r="I56" s="23">
        <f>[1]!thsiFinD("ths_pe_ttm_uss",C$6,$A56,100)</f>
        <v>-42.938413499280998</v>
      </c>
      <c r="J56" s="23">
        <f>[1]!thsiFinD("ths_pe_ttm_uss",D$6,$A56,100)</f>
        <v>21.966472456085999</v>
      </c>
      <c r="K56" s="23">
        <f>[1]!thsiFinD("ths_pe_ttm_uss",E$6,$A56,100)</f>
        <v>16.876099476341</v>
      </c>
      <c r="L56" s="23">
        <f>[1]!thsiFinD("ths_pe_ttm_uss",F$6,$A56,100)</f>
        <v>13.075238712591</v>
      </c>
      <c r="M56" s="23">
        <f>[1]!thsiFinD("ths_pe_ttm_uss",G$6,$A56,100)</f>
        <v>23.630390041494</v>
      </c>
      <c r="N56" s="26">
        <f>[1]!thsiFinD("ths_ev2_to_ebitda_usk",N$6,$A56)</f>
        <v>42.978892810882002</v>
      </c>
      <c r="O56" s="26">
        <f>[1]!thsiFinD("ths_ev2_to_ebitda_usk",O$6,$A56)</f>
        <v>17.069057079728999</v>
      </c>
      <c r="P56" s="26">
        <f>[1]!thsiFinD("ths_ev2_to_ebitda_usk",P$6,$A56)</f>
        <v>20.720606360641</v>
      </c>
      <c r="Q56" s="26">
        <f>[1]!thsiFinD("ths_ev2_to_ebitda_usk",Q$6,$A56)</f>
        <v>18.046051731951</v>
      </c>
      <c r="R56" s="26">
        <f>[1]!thsiFinD("ths_ev2_to_ebitda_usk",R$6,$A56)</f>
        <v>43.994845120870004</v>
      </c>
      <c r="S56" s="26">
        <f>[1]!thsiFinD("ths_ev2_to_ebitda_usk",S$6,$A56)</f>
        <v>-21.567513157895</v>
      </c>
      <c r="T56" s="27">
        <f>[1]!thsiFinD("ths_pb_mrq_usk",T$6,$A56)</f>
        <v>2.0967413302211999</v>
      </c>
      <c r="U56" s="27">
        <f>[1]!thsiFinD("ths_pb_mrq_usk",U$6,$A56)</f>
        <v>1.5775466541654</v>
      </c>
      <c r="V56" s="27">
        <f>[1]!thsiFinD("ths_pb_mrq_usk",V$6,$A56)</f>
        <v>1.6014625846632999</v>
      </c>
      <c r="W56" s="27">
        <f>[1]!thsiFinD("ths_pb_mrq_usk",W$6,$A56)</f>
        <v>2.3389010008270001</v>
      </c>
      <c r="X56" s="27">
        <f>[1]!thsiFinD("ths_pb_mrq_usk",X$6,$A56)</f>
        <v>1.1582054352058999</v>
      </c>
      <c r="Y56" s="27">
        <f>[1]!thsiFinD("ths_pb_mrq_usk",Y$6,$A56)</f>
        <v>3.1907911250560002</v>
      </c>
      <c r="Z56" s="28">
        <f>[1]!thsiFinD("ths_ps_ttm_uss",Z$6,$A56,100)</f>
        <v>2.4066018936571001</v>
      </c>
      <c r="AA56" s="28">
        <f>[1]!thsiFinD("ths_ps_ttm_uss",AA$6,$A56,100)</f>
        <v>1.0247624118511001</v>
      </c>
      <c r="AB56" s="28">
        <f>[1]!thsiFinD("ths_ps_ttm_uss",AB$6,$A56,100)</f>
        <v>1.5587820039656</v>
      </c>
      <c r="AC56" s="28">
        <f>[1]!thsiFinD("ths_ps_ttm_uss",AC$6,$A56,100)</f>
        <v>3.2708701015028998</v>
      </c>
      <c r="AD56" s="28">
        <f>[1]!thsiFinD("ths_ps_ttm_uss",AD$6,$A56,100)</f>
        <v>0.53734527199477</v>
      </c>
      <c r="AE56" s="28">
        <f>[1]!thsiFinD("ths_ps_ttm_uss",AE$6,$A56,100)</f>
        <v>3.1904336134453999</v>
      </c>
      <c r="AF56" s="29">
        <v>66.180000000000007</v>
      </c>
      <c r="AG56" s="30">
        <v>4.2779999999999996</v>
      </c>
      <c r="AH56" s="31">
        <v>410.69925999999998</v>
      </c>
      <c r="AI56" s="31">
        <v>8387.7165100000002</v>
      </c>
      <c r="AJ56" s="44">
        <f>[1]!thsiFinD("ths_right_value_usk",AJ$6,$A56,"USD")/1000000</f>
        <v>92497.743782710008</v>
      </c>
      <c r="AK56" s="44">
        <f>[1]!thsiFinD("ths_right_value_usk",AK$6,$A56,"USD")/1000000</f>
        <v>253336.63964576001</v>
      </c>
      <c r="AL56" s="44">
        <f>[1]!thsiFinD("ths_right_value_usk",AL$6,$A56,"USD")/1000000</f>
        <v>217577.90967753</v>
      </c>
      <c r="AM56" s="44">
        <f>[1]!thsiFinD("ths_right_value_usk",AM$6,$A56,"USD")/1000000</f>
        <v>50906.180283000002</v>
      </c>
      <c r="AN56" s="44">
        <f>[1]!thsiFinD("ths_right_value_usk",AN$6,$A56,"USD")/1000000</f>
        <v>86257.349786960011</v>
      </c>
      <c r="AO56" s="44">
        <f>[1]!thsiFinD("ths_right_value_usk",AO$6,$A56,"USD")/1000000</f>
        <v>28474.62</v>
      </c>
      <c r="AP56" s="44">
        <f>[1]!thsiFinD("ths_ev2_usk",AP$6,$A56,"USD")/1000000</f>
        <v>102332.74378271001</v>
      </c>
      <c r="AQ56" s="44">
        <f>[1]!thsiFinD("ths_ev2_usk",AQ$6,$A56,"USD")/1000000</f>
        <v>312090.63964576001</v>
      </c>
      <c r="AR56" s="44">
        <f>[1]!thsiFinD("ths_ev2_usk",AR$6,$A56,"USD")/1000000</f>
        <v>249786.90967753</v>
      </c>
      <c r="AS56" s="44">
        <f>[1]!thsiFinD("ths_ev2_usk",AS$6,$A56,"USD")/1000000</f>
        <v>51730.180283000002</v>
      </c>
      <c r="AT56" s="44">
        <f>[1]!thsiFinD("ths_ev2_usk",AT$6,$A56,"USD")/1000000</f>
        <v>133568.34978696</v>
      </c>
      <c r="AU56" s="44">
        <f>[1]!thsiFinD("ths_ev2_usk",AU$6,$A56,"USD")/1000000</f>
        <v>32782.620000000003</v>
      </c>
    </row>
    <row r="57" spans="1:47" x14ac:dyDescent="0.45">
      <c r="A57" s="3">
        <f>_xll.ciqfunctions.udf.CIQ("COP", "IQ_PRICEDATE", "10/29/2021")</f>
        <v>44498</v>
      </c>
      <c r="B57" s="13">
        <v>64.738950000000003</v>
      </c>
      <c r="C57" s="13">
        <v>55.190359999999998</v>
      </c>
      <c r="D57" s="13">
        <v>97.38597</v>
      </c>
      <c r="E57" s="13">
        <v>75.177170000000004</v>
      </c>
      <c r="F57" s="13">
        <v>23.332280000000001</v>
      </c>
      <c r="G57" s="13">
        <v>32.440829999999998</v>
      </c>
      <c r="H57" s="23">
        <f>[1]!thsiFinD("ths_pe_ttm_uss",B$6,$A57,100)</f>
        <v>20.993237633083002</v>
      </c>
      <c r="I57" s="23">
        <f>[1]!thsiFinD("ths_pe_ttm_uss",C$6,$A57,100)</f>
        <v>-46.260687137344</v>
      </c>
      <c r="J57" s="23">
        <f>[1]!thsiFinD("ths_pe_ttm_uss",D$6,$A57,100)</f>
        <v>22.281752737639</v>
      </c>
      <c r="K57" s="23">
        <f>[1]!thsiFinD("ths_pe_ttm_uss",E$6,$A57,100)</f>
        <v>17.934039250984</v>
      </c>
      <c r="L57" s="23">
        <f>[1]!thsiFinD("ths_pe_ttm_uss",F$6,$A57,100)</f>
        <v>14.500621052985</v>
      </c>
      <c r="M57" s="23">
        <f>[1]!thsiFinD("ths_pe_ttm_uss",G$6,$A57,100)</f>
        <v>22.517975103733999</v>
      </c>
      <c r="N57" s="26">
        <f>[1]!thsiFinD("ths_ev2_to_ebitda_usk",N$6,$A57)</f>
        <v>45.394100009588001</v>
      </c>
      <c r="O57" s="26">
        <f>[1]!thsiFinD("ths_ev2_to_ebitda_usk",O$6,$A57)</f>
        <v>18.141109938214999</v>
      </c>
      <c r="P57" s="26">
        <f>[1]!thsiFinD("ths_ev2_to_ebitda_usk",P$6,$A57)</f>
        <v>20.979656645898999</v>
      </c>
      <c r="Q57" s="26">
        <f>[1]!thsiFinD("ths_ev2_to_ebitda_usk",Q$6,$A57)</f>
        <v>19.159314246584</v>
      </c>
      <c r="R57" s="26">
        <f>[1]!thsiFinD("ths_ev2_to_ebitda_usk",R$6,$A57)</f>
        <v>47.092093902022</v>
      </c>
      <c r="S57" s="26">
        <f>[1]!thsiFinD("ths_ev2_to_ebitda_usk",S$6,$A57)</f>
        <v>-20.685631578947</v>
      </c>
      <c r="T57" s="27">
        <f>[1]!thsiFinD("ths_pb_mrq_usk",T$6,$A57)</f>
        <v>2.2270962738939</v>
      </c>
      <c r="U57" s="27">
        <f>[1]!thsiFinD("ths_pb_mrq_usk",U$6,$A57)</f>
        <v>1.6996061630020001</v>
      </c>
      <c r="V57" s="27">
        <f>[1]!thsiFinD("ths_pb_mrq_usk",V$6,$A57)</f>
        <v>1.6244480492433999</v>
      </c>
      <c r="W57" s="27">
        <f>[1]!thsiFinD("ths_pb_mrq_usk",W$6,$A57)</f>
        <v>2.4855235305885999</v>
      </c>
      <c r="X57" s="27">
        <f>[1]!thsiFinD("ths_pb_mrq_usk",X$6,$A57)</f>
        <v>1.2844658890438001</v>
      </c>
      <c r="Y57" s="27">
        <f>[1]!thsiFinD("ths_pb_mrq_usk",Y$6,$A57)</f>
        <v>3.0405826983416002</v>
      </c>
      <c r="Z57" s="28">
        <f>[1]!thsiFinD("ths_ps_ttm_uss",Z$6,$A57,100)</f>
        <v>2.5562209476475002</v>
      </c>
      <c r="AA57" s="28">
        <f>[1]!thsiFinD("ths_ps_ttm_uss",AA$6,$A57,100)</f>
        <v>1.1040513484632</v>
      </c>
      <c r="AB57" s="28">
        <f>[1]!thsiFinD("ths_ps_ttm_uss",AB$6,$A57,100)</f>
        <v>1.5811548829098001</v>
      </c>
      <c r="AC57" s="28">
        <f>[1]!thsiFinD("ths_ps_ttm_uss",AC$6,$A57,100)</f>
        <v>3.4759165094672002</v>
      </c>
      <c r="AD57" s="28">
        <f>[1]!thsiFinD("ths_ps_ttm_uss",AD$6,$A57,100)</f>
        <v>0.59592335827154996</v>
      </c>
      <c r="AE57" s="28">
        <f>[1]!thsiFinD("ths_ps_ttm_uss",AE$6,$A57,100)</f>
        <v>3.0402420168067001</v>
      </c>
      <c r="AF57" s="29">
        <v>83.57</v>
      </c>
      <c r="AG57" s="30">
        <v>4.3680000000000003</v>
      </c>
      <c r="AH57" s="31">
        <v>436.19443000000001</v>
      </c>
      <c r="AI57" s="31">
        <v>8449.8249400000004</v>
      </c>
      <c r="AJ57" s="44">
        <f>[1]!thsiFinD("ths_right_value_usk",AJ$6,$A57,"USD")/1000000</f>
        <v>98248.352122830009</v>
      </c>
      <c r="AK57" s="44">
        <f>[1]!thsiFinD("ths_right_value_usk",AK$6,$A57,"USD")/1000000</f>
        <v>272938.05411033001</v>
      </c>
      <c r="AL57" s="44">
        <f>[1]!thsiFinD("ths_right_value_usk",AL$6,$A57,"USD")/1000000</f>
        <v>220700.76086631001</v>
      </c>
      <c r="AM57" s="44">
        <f>[1]!thsiFinD("ths_right_value_usk",AM$6,$A57,"USD")/1000000</f>
        <v>54097.41964326</v>
      </c>
      <c r="AN57" s="44">
        <f>[1]!thsiFinD("ths_right_value_usk",AN$6,$A57,"USD")/1000000</f>
        <v>95660.597086539987</v>
      </c>
      <c r="AO57" s="44">
        <f>[1]!thsiFinD("ths_right_value_usk",AO$6,$A57,"USD")/1000000</f>
        <v>27134.16</v>
      </c>
      <c r="AP57" s="44">
        <f>[1]!thsiFinD("ths_ev2_usk",AP$6,$A57,"USD")/1000000</f>
        <v>108083.35212283001</v>
      </c>
      <c r="AQ57" s="44">
        <f>[1]!thsiFinD("ths_ev2_usk",AQ$6,$A57,"USD")/1000000</f>
        <v>331692.05411033001</v>
      </c>
      <c r="AR57" s="44">
        <f>[1]!thsiFinD("ths_ev2_usk",AR$6,$A57,"USD")/1000000</f>
        <v>252909.76086631001</v>
      </c>
      <c r="AS57" s="44">
        <f>[1]!thsiFinD("ths_ev2_usk",AS$6,$A57,"USD")/1000000</f>
        <v>54921.41964326</v>
      </c>
      <c r="AT57" s="44">
        <f>[1]!thsiFinD("ths_ev2_usk",AT$6,$A57,"USD")/1000000</f>
        <v>142971.59708654002</v>
      </c>
      <c r="AU57" s="44">
        <f>[1]!thsiFinD("ths_ev2_usk",AU$6,$A57,"USD")/1000000</f>
        <v>31442.16</v>
      </c>
    </row>
    <row r="58" spans="1:47" x14ac:dyDescent="0.45">
      <c r="A58" s="3">
        <f>_xll.ciqfunctions.udf.CIQ("COP", "IQ_PRICEDATE", "9/30/2021")</f>
        <v>44469</v>
      </c>
      <c r="B58" s="13">
        <v>58.546900000000001</v>
      </c>
      <c r="C58" s="13">
        <v>50.3536</v>
      </c>
      <c r="D58" s="13">
        <v>86.294060000000002</v>
      </c>
      <c r="E58" s="13">
        <v>64.967969999999994</v>
      </c>
      <c r="F58" s="13">
        <v>22.149059999999999</v>
      </c>
      <c r="G58" s="13">
        <v>28.741859999999999</v>
      </c>
      <c r="H58" s="23">
        <f>[1]!thsiFinD("ths_pe_ttm_uss",B$6,$A58,100)</f>
        <v>19.099365208672999</v>
      </c>
      <c r="I58" s="23">
        <f>[1]!thsiFinD("ths_pe_ttm_uss",C$6,$A58,100)</f>
        <v>-42.206508723725001</v>
      </c>
      <c r="J58" s="23">
        <f>[1]!thsiFinD("ths_pe_ttm_uss",D$6,$A58,100)</f>
        <v>19.743941088597001</v>
      </c>
      <c r="K58" s="23">
        <f>[1]!thsiFinD("ths_pe_ttm_uss",E$6,$A58,100)</f>
        <v>15.56695710364</v>
      </c>
      <c r="L58" s="23">
        <f>[1]!thsiFinD("ths_pe_ttm_uss",F$6,$A58,100)</f>
        <v>13.823956904531</v>
      </c>
      <c r="M58" s="23">
        <f>[1]!thsiFinD("ths_pe_ttm_uss",G$6,$A58,100)</f>
        <v>19.950431535269999</v>
      </c>
      <c r="N58" s="26">
        <f>[1]!thsiFinD("ths_ev2_to_ebitda_usk",N$6,$A58)</f>
        <v>41.671578822591002</v>
      </c>
      <c r="O58" s="26">
        <f>[1]!thsiFinD("ths_ev2_to_ebitda_usk",O$6,$A58)</f>
        <v>16.83288128801</v>
      </c>
      <c r="P58" s="26">
        <f>[1]!thsiFinD("ths_ev2_to_ebitda_usk",P$6,$A58)</f>
        <v>18.894461757159</v>
      </c>
      <c r="Q58" s="26">
        <f>[1]!thsiFinD("ths_ev2_to_ebitda_usk",Q$6,$A58)</f>
        <v>16.668450506648</v>
      </c>
      <c r="R58" s="26">
        <f>[1]!thsiFinD("ths_ev2_to_ebitda_usk",R$6,$A58)</f>
        <v>45.621753524108001</v>
      </c>
      <c r="S58" s="26">
        <f>[1]!thsiFinD("ths_ev2_to_ebitda_usk",S$6,$A58)</f>
        <v>-18.650177631579002</v>
      </c>
      <c r="T58" s="27">
        <f>[1]!thsiFinD("ths_pb_mrq_usk",T$6,$A58)</f>
        <v>2.02618223227</v>
      </c>
      <c r="U58" s="27">
        <f>[1]!thsiFinD("ths_pb_mrq_usk",U$6,$A58)</f>
        <v>1.5506566543783999</v>
      </c>
      <c r="V58" s="27">
        <f>[1]!thsiFinD("ths_pb_mrq_usk",V$6,$A58)</f>
        <v>1.4394292479321</v>
      </c>
      <c r="W58" s="27">
        <f>[1]!thsiFinD("ths_pb_mrq_usk",W$6,$A58)</f>
        <v>2.1574636722532001</v>
      </c>
      <c r="X58" s="27">
        <f>[1]!thsiFinD("ths_pb_mrq_usk",X$6,$A58)</f>
        <v>1.2245269378878001</v>
      </c>
      <c r="Y58" s="27">
        <f>[1]!thsiFinD("ths_pb_mrq_usk",Y$6,$A58)</f>
        <v>2.6938895114299002</v>
      </c>
      <c r="Z58" s="28">
        <f>[1]!thsiFinD("ths_ps_ttm_uss",Z$6,$A58,100)</f>
        <v>2.3256154332403001</v>
      </c>
      <c r="AA58" s="28">
        <f>[1]!thsiFinD("ths_ps_ttm_uss",AA$6,$A58,100)</f>
        <v>1.00729487074</v>
      </c>
      <c r="AB58" s="28">
        <f>[1]!thsiFinD("ths_ps_ttm_uss",AB$6,$A58,100)</f>
        <v>1.4010670178286</v>
      </c>
      <c r="AC58" s="28">
        <f>[1]!thsiFinD("ths_ps_ttm_uss",AC$6,$A58,100)</f>
        <v>3.0171364320918999</v>
      </c>
      <c r="AD58" s="28">
        <f>[1]!thsiFinD("ths_ps_ttm_uss",AD$6,$A58,100)</f>
        <v>0.56811489611706001</v>
      </c>
      <c r="AE58" s="28">
        <f>[1]!thsiFinD("ths_ps_ttm_uss",AE$6,$A58,100)</f>
        <v>2.6935876750699999</v>
      </c>
      <c r="AF58" s="29">
        <v>75.03</v>
      </c>
      <c r="AG58" s="30">
        <v>4.0890000000000004</v>
      </c>
      <c r="AH58" s="31">
        <v>395.88008000000002</v>
      </c>
      <c r="AI58" s="31">
        <v>7898.6108899999999</v>
      </c>
      <c r="AJ58" s="44">
        <f>[1]!thsiFinD("ths_right_value_usk",AJ$6,$A58,"USD")/1000000</f>
        <v>89385.029176589989</v>
      </c>
      <c r="AK58" s="44">
        <f>[1]!thsiFinD("ths_right_value_usk",AK$6,$A58,"USD")/1000000</f>
        <v>249018.40146998002</v>
      </c>
      <c r="AL58" s="44">
        <f>[1]!thsiFinD("ths_right_value_usk",AL$6,$A58,"USD")/1000000</f>
        <v>195563.73648254998</v>
      </c>
      <c r="AM58" s="44">
        <f>[1]!thsiFinD("ths_right_value_usk",AM$6,$A58,"USD")/1000000</f>
        <v>46957.19682659</v>
      </c>
      <c r="AN58" s="44">
        <f>[1]!thsiFinD("ths_right_value_usk",AN$6,$A58,"USD")/1000000</f>
        <v>91196.643699191001</v>
      </c>
      <c r="AO58" s="44">
        <f>[1]!thsiFinD("ths_right_value_usk",AO$6,$A58,"USD")/1000000</f>
        <v>24040.27</v>
      </c>
      <c r="AP58" s="44">
        <f>[1]!thsiFinD("ths_ev2_usk",AP$6,$A58,"USD")/1000000</f>
        <v>99220.029176589989</v>
      </c>
      <c r="AQ58" s="44">
        <f>[1]!thsiFinD("ths_ev2_usk",AQ$6,$A58,"USD")/1000000</f>
        <v>307772.40146997996</v>
      </c>
      <c r="AR58" s="44">
        <f>[1]!thsiFinD("ths_ev2_usk",AR$6,$A58,"USD")/1000000</f>
        <v>227772.73648254998</v>
      </c>
      <c r="AS58" s="44">
        <f>[1]!thsiFinD("ths_ev2_usk",AS$6,$A58,"USD")/1000000</f>
        <v>47781.19682659</v>
      </c>
      <c r="AT58" s="44">
        <f>[1]!thsiFinD("ths_ev2_usk",AT$6,$A58,"USD")/1000000</f>
        <v>138507.64369919</v>
      </c>
      <c r="AU58" s="44">
        <f>[1]!thsiFinD("ths_ev2_usk",AU$6,$A58,"USD")/1000000</f>
        <v>28348.27</v>
      </c>
    </row>
    <row r="59" spans="1:47" x14ac:dyDescent="0.45">
      <c r="A59" s="3">
        <f>_xll.ciqfunctions.udf.CIQ("COP", "IQ_PRICEDATE", "8/31/2021")</f>
        <v>44439</v>
      </c>
      <c r="B59" s="13">
        <v>47.97269</v>
      </c>
      <c r="C59" s="13">
        <v>46.672530000000002</v>
      </c>
      <c r="D59" s="13">
        <v>82.313220000000001</v>
      </c>
      <c r="E59" s="13">
        <v>54.648530000000001</v>
      </c>
      <c r="F59" s="13">
        <v>19.823119999999999</v>
      </c>
      <c r="G59" s="13">
        <v>23.505880000000001</v>
      </c>
      <c r="H59" s="23">
        <f>[1]!thsiFinD("ths_pe_ttm_uss",B$6,$A59,100)</f>
        <v>40.172462490000001</v>
      </c>
      <c r="I59" s="23">
        <f>[1]!thsiFinD("ths_pe_ttm_uss",C$6,$A59,100)</f>
        <v>-17.315367609515</v>
      </c>
      <c r="J59" s="23">
        <f>[1]!thsiFinD("ths_pe_ttm_uss",D$6,$A59,100)</f>
        <v>52.173030058789998</v>
      </c>
      <c r="K59" s="23">
        <f>[1]!thsiFinD("ths_pe_ttm_uss",E$6,$A59,100)</f>
        <v>20.980446361664001</v>
      </c>
      <c r="L59" s="23">
        <f>[1]!thsiFinD("ths_pe_ttm_uss",F$6,$A59,100)</f>
        <v>9.4417518373982006</v>
      </c>
      <c r="M59" s="23">
        <f>[1]!thsiFinD("ths_pe_ttm_uss",G$6,$A59,100)</f>
        <v>72.746727272727</v>
      </c>
      <c r="N59" s="26">
        <f>[1]!thsiFinD("ths_ev2_to_ebitda_usk",N$6,$A59)</f>
        <v>36.858978609403998</v>
      </c>
      <c r="O59" s="26">
        <f>[1]!thsiFinD("ths_ev2_to_ebitda_usk",O$6,$A59)</f>
        <v>16.131363500046</v>
      </c>
      <c r="P59" s="26">
        <f>[1]!thsiFinD("ths_ev2_to_ebitda_usk",P$6,$A59)</f>
        <v>18.528797911312999</v>
      </c>
      <c r="Q59" s="26">
        <f>[1]!thsiFinD("ths_ev2_to_ebitda_usk",Q$6,$A59)</f>
        <v>14.186748855554001</v>
      </c>
      <c r="R59" s="26">
        <f>[1]!thsiFinD("ths_ev2_to_ebitda_usk",R$6,$A59)</f>
        <v>42.979006989074001</v>
      </c>
      <c r="S59" s="26">
        <f>[1]!thsiFinD("ths_ev2_to_ebitda_usk",S$6,$A59)</f>
        <v>-16.516019736842001</v>
      </c>
      <c r="T59" s="27">
        <f>[1]!thsiFinD("ths_pb_mrq_usk",T$6,$A59)</f>
        <v>1.6794477384811</v>
      </c>
      <c r="U59" s="27">
        <f>[1]!thsiFinD("ths_pb_mrq_usk",U$6,$A59)</f>
        <v>1.4555867733371</v>
      </c>
      <c r="V59" s="27">
        <f>[1]!thsiFinD("ths_pb_mrq_usk",V$6,$A59)</f>
        <v>1.4051798202526</v>
      </c>
      <c r="W59" s="27">
        <f>[1]!thsiFinD("ths_pb_mrq_usk",W$6,$A59)</f>
        <v>1.8879477866539001</v>
      </c>
      <c r="X59" s="27">
        <f>[1]!thsiFinD("ths_pb_mrq_usk",X$6,$A59)</f>
        <v>1.0413881901446</v>
      </c>
      <c r="Y59" s="27">
        <f>[1]!thsiFinD("ths_pb_mrq_usk",Y$6,$A59)</f>
        <v>2.3818728420049999</v>
      </c>
      <c r="Z59" s="28">
        <f>[1]!thsiFinD("ths_ps_ttm_uss",Z$6,$A59,100)</f>
        <v>2.3833849824990998</v>
      </c>
      <c r="AA59" s="28">
        <f>[1]!thsiFinD("ths_ps_ttm_uss",AA$6,$A59,100)</f>
        <v>1.0509308933052</v>
      </c>
      <c r="AB59" s="28">
        <f>[1]!thsiFinD("ths_ps_ttm_uss",AB$6,$A59,100)</f>
        <v>1.5683871409609</v>
      </c>
      <c r="AC59" s="28">
        <f>[1]!thsiFinD("ths_ps_ttm_uss",AC$6,$A59,100)</f>
        <v>3.0222548400572999</v>
      </c>
      <c r="AD59" s="28">
        <f>[1]!thsiFinD("ths_ps_ttm_uss",AD$6,$A59,100)</f>
        <v>0.49177912752503999</v>
      </c>
      <c r="AE59" s="28">
        <f>[1]!thsiFinD("ths_ps_ttm_uss",AE$6,$A59,100)</f>
        <v>3.0654842169781999</v>
      </c>
      <c r="AF59" s="29">
        <v>68.5</v>
      </c>
      <c r="AG59" s="30">
        <v>4.3600000000000003</v>
      </c>
      <c r="AH59" s="31">
        <v>362.25641999999999</v>
      </c>
      <c r="AI59" s="31">
        <v>8286.6566999999995</v>
      </c>
      <c r="AJ59" s="44">
        <f>[1]!thsiFinD("ths_right_value_usk",AJ$6,$A59,"USD")/1000000</f>
        <v>74359.228068990007</v>
      </c>
      <c r="AK59" s="44">
        <f>[1]!thsiFinD("ths_right_value_usk",AK$6,$A59,"USD")/1000000</f>
        <v>230813.85023484001</v>
      </c>
      <c r="AL59" s="44">
        <f>[1]!thsiFinD("ths_right_value_usk",AL$6,$A59,"USD")/1000000</f>
        <v>187144.65882087999</v>
      </c>
      <c r="AM59" s="44">
        <f>[1]!thsiFinD("ths_right_value_usk",AM$6,$A59,"USD")/1000000</f>
        <v>39422.237733120004</v>
      </c>
      <c r="AN59" s="44">
        <f>[1]!thsiFinD("ths_right_value_usk",AN$6,$A59,"USD")/1000000</f>
        <v>82058.265218827</v>
      </c>
      <c r="AO59" s="44">
        <f>[1]!thsiFinD("ths_right_value_usk",AO$6,$A59,"USD")/1000000</f>
        <v>20005.349999999999</v>
      </c>
      <c r="AP59" s="44">
        <f>[1]!thsiFinD("ths_ev2_usk",AP$6,$A59,"USD")/1000000</f>
        <v>87761.228068990007</v>
      </c>
      <c r="AQ59" s="44">
        <f>[1]!thsiFinD("ths_ev2_usk",AQ$6,$A59,"USD")/1000000</f>
        <v>294945.85023484001</v>
      </c>
      <c r="AR59" s="44">
        <f>[1]!thsiFinD("ths_ev2_usk",AR$6,$A59,"USD")/1000000</f>
        <v>223364.65882087999</v>
      </c>
      <c r="AS59" s="44">
        <f>[1]!thsiFinD("ths_ev2_usk",AS$6,$A59,"USD")/1000000</f>
        <v>40667.237733120004</v>
      </c>
      <c r="AT59" s="44">
        <f>[1]!thsiFinD("ths_ev2_usk",AT$6,$A59,"USD")/1000000</f>
        <v>130484.26521883</v>
      </c>
      <c r="AU59" s="44">
        <f>[1]!thsiFinD("ths_ev2_usk",AU$6,$A59,"USD")/1000000</f>
        <v>25104.35</v>
      </c>
    </row>
    <row r="60" spans="1:47" x14ac:dyDescent="0.45">
      <c r="A60" s="3">
        <f>_xll.ciqfunctions.udf.CIQ("COP", "IQ_PRICEDATE", "7/30/2021")</f>
        <v>44407</v>
      </c>
      <c r="B60" s="13">
        <v>48.43056</v>
      </c>
      <c r="C60" s="13">
        <v>48.548699999999997</v>
      </c>
      <c r="D60" s="13">
        <v>85.448250000000002</v>
      </c>
      <c r="E60" s="13">
        <v>58.970559999999999</v>
      </c>
      <c r="F60" s="13">
        <v>19.35371</v>
      </c>
      <c r="G60" s="13">
        <v>20.55472</v>
      </c>
      <c r="H60" s="23">
        <f>[1]!thsiFinD("ths_pe_ttm_uss",B$6,$A60,100)</f>
        <v>40.555884156121003</v>
      </c>
      <c r="I60" s="23">
        <f>[1]!thsiFinD("ths_pe_ttm_uss",C$6,$A60,100)</f>
        <v>-18.284037294200001</v>
      </c>
      <c r="J60" s="23">
        <f>[1]!thsiFinD("ths_pe_ttm_uss",D$6,$A60,100)</f>
        <v>54.890319213448997</v>
      </c>
      <c r="K60" s="23">
        <f>[1]!thsiFinD("ths_pe_ttm_uss",E$6,$A60,100)</f>
        <v>22.639741142043999</v>
      </c>
      <c r="L60" s="23">
        <f>[1]!thsiFinD("ths_pe_ttm_uss",F$6,$A60,100)</f>
        <v>9.3851404063147008</v>
      </c>
      <c r="M60" s="23">
        <f>[1]!thsiFinD("ths_pe_ttm_uss",G$6,$A60,100)</f>
        <v>63.613381818181999</v>
      </c>
      <c r="N60" s="26">
        <f>[1]!thsiFinD("ths_ev2_to_ebitda_usk",N$6,$A60)</f>
        <v>37.157052319605</v>
      </c>
      <c r="O60" s="26">
        <f>[1]!thsiFinD("ths_ev2_to_ebitda_usk",O$6,$A60)</f>
        <v>16.837574772023999</v>
      </c>
      <c r="P60" s="26">
        <f>[1]!thsiFinD("ths_ev2_to_ebitda_usk",P$6,$A60)</f>
        <v>19.337335132197001</v>
      </c>
      <c r="Q60" s="26">
        <f>[1]!thsiFinD("ths_ev2_to_ebitda_usk",Q$6,$A60)</f>
        <v>15.274396696449999</v>
      </c>
      <c r="R60" s="26">
        <f>[1]!thsiFinD("ths_ev2_to_ebitda_usk",R$6,$A60)</f>
        <v>42.816948376574999</v>
      </c>
      <c r="S60" s="26">
        <f>[1]!thsiFinD("ths_ev2_to_ebitda_usk",S$6,$A60)</f>
        <v>-14.863605263158</v>
      </c>
      <c r="T60" s="27">
        <f>[1]!thsiFinD("ths_pb_mrq_usk",T$6,$A60)</f>
        <v>1.6954770433865001</v>
      </c>
      <c r="U60" s="27">
        <f>[1]!thsiFinD("ths_pb_mrq_usk",U$6,$A60)</f>
        <v>1.5370163342080001</v>
      </c>
      <c r="V60" s="27">
        <f>[1]!thsiFinD("ths_pb_mrq_usk",V$6,$A60)</f>
        <v>1.4783647566386</v>
      </c>
      <c r="W60" s="27">
        <f>[1]!thsiFinD("ths_pb_mrq_usk",W$6,$A60)</f>
        <v>2.0372611927666</v>
      </c>
      <c r="X60" s="27">
        <f>[1]!thsiFinD("ths_pb_mrq_usk",X$6,$A60)</f>
        <v>1.0351441713680001</v>
      </c>
      <c r="Y60" s="27">
        <f>[1]!thsiFinD("ths_pb_mrq_usk",Y$6,$A60)</f>
        <v>2.0828289082034002</v>
      </c>
      <c r="Z60" s="28">
        <f>[1]!thsiFinD("ths_ps_ttm_uss",Z$6,$A60,100)</f>
        <v>2.4061329392922999</v>
      </c>
      <c r="AA60" s="28">
        <f>[1]!thsiFinD("ths_ps_ttm_uss",AA$6,$A60,100)</f>
        <v>1.1097228820173</v>
      </c>
      <c r="AB60" s="28">
        <f>[1]!thsiFinD("ths_ps_ttm_uss",AB$6,$A60,100)</f>
        <v>1.6500722829517001</v>
      </c>
      <c r="AC60" s="28">
        <f>[1]!thsiFinD("ths_ps_ttm_uss",AC$6,$A60,100)</f>
        <v>3.2612779568509001</v>
      </c>
      <c r="AD60" s="28">
        <f>[1]!thsiFinD("ths_ps_ttm_uss",AD$6,$A60,100)</f>
        <v>0.48883048826129999</v>
      </c>
      <c r="AE60" s="28">
        <f>[1]!thsiFinD("ths_ps_ttm_uss",AE$6,$A60,100)</f>
        <v>2.6806129328838</v>
      </c>
      <c r="AF60" s="29">
        <v>73.95</v>
      </c>
      <c r="AG60" s="30">
        <v>4.4824999999999999</v>
      </c>
      <c r="AH60" s="31">
        <v>372.98678000000001</v>
      </c>
      <c r="AI60" s="31">
        <v>8045.44931</v>
      </c>
      <c r="AJ60" s="44">
        <f>[1]!thsiFinD("ths_right_value_usk",AJ$6,$A60,"USD")/1000000</f>
        <v>75068.941572979995</v>
      </c>
      <c r="AK60" s="44">
        <f>[1]!thsiFinD("ths_right_value_usk",AK$6,$A60,"USD")/1000000</f>
        <v>243726.21713169001</v>
      </c>
      <c r="AL60" s="44">
        <f>[1]!thsiFinD("ths_right_value_usk",AL$6,$A60,"USD")/1000000</f>
        <v>196891.57501864003</v>
      </c>
      <c r="AM60" s="44">
        <f>[1]!thsiFinD("ths_right_value_usk",AM$6,$A60,"USD")/1000000</f>
        <v>42540.050966160001</v>
      </c>
      <c r="AN60" s="44">
        <f>[1]!thsiFinD("ths_right_value_usk",AN$6,$A60,"USD")/1000000</f>
        <v>81566.255271280999</v>
      </c>
      <c r="AO60" s="44">
        <f>[1]!thsiFinD("ths_right_value_usk",AO$6,$A60,"USD")/1000000</f>
        <v>17493.68</v>
      </c>
      <c r="AP60" s="44">
        <f>[1]!thsiFinD("ths_ev2_usk",AP$6,$A60,"USD")/1000000</f>
        <v>88470.941572979995</v>
      </c>
      <c r="AQ60" s="44">
        <f>[1]!thsiFinD("ths_ev2_usk",AQ$6,$A60,"USD")/1000000</f>
        <v>307858.21713169001</v>
      </c>
      <c r="AR60" s="44">
        <f>[1]!thsiFinD("ths_ev2_usk",AR$6,$A60,"USD")/1000000</f>
        <v>233111.57501864003</v>
      </c>
      <c r="AS60" s="44">
        <f>[1]!thsiFinD("ths_ev2_usk",AS$6,$A60,"USD")/1000000</f>
        <v>43785.050966160001</v>
      </c>
      <c r="AT60" s="44">
        <f>[1]!thsiFinD("ths_ev2_usk",AT$6,$A60,"USD")/1000000</f>
        <v>129992.25527128</v>
      </c>
      <c r="AU60" s="44">
        <f>[1]!thsiFinD("ths_ev2_usk",AU$6,$A60,"USD")/1000000</f>
        <v>22592.68</v>
      </c>
    </row>
    <row r="61" spans="1:47" x14ac:dyDescent="0.45">
      <c r="A61" s="3">
        <f>_xll.ciqfunctions.udf.CIQ("COP", "IQ_PRICEDATE", "6/30/2021")</f>
        <v>44377</v>
      </c>
      <c r="B61" s="13">
        <v>52.21266</v>
      </c>
      <c r="C61" s="13">
        <v>53.195279999999997</v>
      </c>
      <c r="D61" s="13">
        <v>87.90737</v>
      </c>
      <c r="E61" s="13">
        <v>66.336190000000002</v>
      </c>
      <c r="F61" s="13">
        <v>21.146609999999999</v>
      </c>
      <c r="G61" s="13">
        <v>23.219519999999999</v>
      </c>
      <c r="H61" s="23">
        <f>[1]!thsiFinD("ths_pe_ttm_uss",B$6,$A61,100)</f>
        <v>44.057319748622</v>
      </c>
      <c r="I61" s="23">
        <f>[1]!thsiFinD("ths_pe_ttm_uss",C$6,$A61,100)</f>
        <v>-20.033994658992</v>
      </c>
      <c r="J61" s="23">
        <f>[1]!thsiFinD("ths_pe_ttm_uss",D$6,$A61,100)</f>
        <v>56.470013106930999</v>
      </c>
      <c r="K61" s="23">
        <f>[1]!thsiFinD("ths_pe_ttm_uss",E$6,$A61,100)</f>
        <v>25.927214203946001</v>
      </c>
      <c r="L61" s="23">
        <f>[1]!thsiFinD("ths_pe_ttm_uss",F$6,$A61,100)</f>
        <v>10.254296573521</v>
      </c>
      <c r="M61" s="23">
        <f>[1]!thsiFinD("ths_pe_ttm_uss",G$6,$A61,100)</f>
        <v>71.860472727273006</v>
      </c>
      <c r="N61" s="26">
        <f>[1]!thsiFinD("ths_ev2_to_ebitda_usk",N$6,$A61)</f>
        <v>39.879083937295</v>
      </c>
      <c r="O61" s="26">
        <f>[1]!thsiFinD("ths_ev2_to_ebitda_usk",O$6,$A61)</f>
        <v>18.113385955171999</v>
      </c>
      <c r="P61" s="26">
        <f>[1]!thsiFinD("ths_ev2_to_ebitda_usk",P$6,$A61)</f>
        <v>19.807377603862001</v>
      </c>
      <c r="Q61" s="26">
        <f>[1]!thsiFinD("ths_ev2_to_ebitda_usk",Q$6,$A61)</f>
        <v>17.429295886190999</v>
      </c>
      <c r="R61" s="26">
        <f>[1]!thsiFinD("ths_ev2_to_ebitda_usk",R$6,$A61)</f>
        <v>45.305036732699001</v>
      </c>
      <c r="S61" s="26">
        <f>[1]!thsiFinD("ths_ev2_to_ebitda_usk",S$6,$A61)</f>
        <v>-16.355677631578999</v>
      </c>
      <c r="T61" s="27">
        <f>[1]!thsiFinD("ths_pb_mrq_usk",T$6,$A61)</f>
        <v>1.8418578655411999</v>
      </c>
      <c r="U61" s="27">
        <f>[1]!thsiFinD("ths_pb_mrq_usk",U$6,$A61)</f>
        <v>1.684123508109</v>
      </c>
      <c r="V61" s="27">
        <f>[1]!thsiFinD("ths_pb_mrq_usk",V$6,$A61)</f>
        <v>1.5209107613232999</v>
      </c>
      <c r="W61" s="27">
        <f>[1]!thsiFinD("ths_pb_mrq_usk",W$6,$A61)</f>
        <v>2.3330879537378002</v>
      </c>
      <c r="X61" s="27">
        <f>[1]!thsiFinD("ths_pb_mrq_usk",X$6,$A61)</f>
        <v>1.1310086871388001</v>
      </c>
      <c r="Y61" s="27">
        <f>[1]!thsiFinD("ths_pb_mrq_usk",Y$6,$A61)</f>
        <v>2.3528551017977999</v>
      </c>
      <c r="Z61" s="28">
        <f>[1]!thsiFinD("ths_ps_ttm_uss",Z$6,$A61,100)</f>
        <v>2.6138689975544001</v>
      </c>
      <c r="AA61" s="28">
        <f>[1]!thsiFinD("ths_ps_ttm_uss",AA$6,$A61,100)</f>
        <v>1.2159339829364</v>
      </c>
      <c r="AB61" s="28">
        <f>[1]!thsiFinD("ths_ps_ttm_uss",AB$6,$A61,100)</f>
        <v>1.6975598754185</v>
      </c>
      <c r="AC61" s="28">
        <f>[1]!thsiFinD("ths_ps_ttm_uss",AC$6,$A61,100)</f>
        <v>3.7348418268286001</v>
      </c>
      <c r="AD61" s="28">
        <f>[1]!thsiFinD("ths_ps_ttm_uss",AD$6,$A61,100)</f>
        <v>0.53410099197215999</v>
      </c>
      <c r="AE61" s="28">
        <f>[1]!thsiFinD("ths_ps_ttm_uss",AE$6,$A61,100)</f>
        <v>3.0281382163653001</v>
      </c>
      <c r="AF61" s="29">
        <v>73.47</v>
      </c>
      <c r="AG61" s="30">
        <v>4.2889999999999997</v>
      </c>
      <c r="AH61" s="31">
        <v>407.36671999999999</v>
      </c>
      <c r="AI61" s="31">
        <v>7861.0810799999999</v>
      </c>
      <c r="AJ61" s="44">
        <f>[1]!thsiFinD("ths_right_value_usk",AJ$6,$A61,"USD")/1000000</f>
        <v>81550.098854700002</v>
      </c>
      <c r="AK61" s="44">
        <f>[1]!thsiFinD("ths_right_value_usk",AK$6,$A61,"USD")/1000000</f>
        <v>267053.14880436001</v>
      </c>
      <c r="AL61" s="44">
        <f>[1]!thsiFinD("ths_right_value_usk",AL$6,$A61,"USD")/1000000</f>
        <v>202557.93701456001</v>
      </c>
      <c r="AM61" s="44">
        <f>[1]!thsiFinD("ths_right_value_usk",AM$6,$A61,"USD")/1000000</f>
        <v>48717.209561999996</v>
      </c>
      <c r="AN61" s="44">
        <f>[1]!thsiFinD("ths_right_value_usk",AN$6,$A61,"USD")/1000000</f>
        <v>89120.091520474001</v>
      </c>
      <c r="AO61" s="44">
        <f>[1]!thsiFinD("ths_right_value_usk",AO$6,$A61,"USD")/1000000</f>
        <v>19761.63</v>
      </c>
      <c r="AP61" s="44">
        <f>[1]!thsiFinD("ths_ev2_usk",AP$6,$A61,"USD")/1000000</f>
        <v>94952.098854700002</v>
      </c>
      <c r="AQ61" s="44">
        <f>[1]!thsiFinD("ths_ev2_usk",AQ$6,$A61,"USD")/1000000</f>
        <v>331185.14880436001</v>
      </c>
      <c r="AR61" s="44">
        <f>[1]!thsiFinD("ths_ev2_usk",AR$6,$A61,"USD")/1000000</f>
        <v>238777.93701456001</v>
      </c>
      <c r="AS61" s="44">
        <f>[1]!thsiFinD("ths_ev2_usk",AS$6,$A61,"USD")/1000000</f>
        <v>49962.209561999996</v>
      </c>
      <c r="AT61" s="44">
        <f>[1]!thsiFinD("ths_ev2_usk",AT$6,$A61,"USD")/1000000</f>
        <v>137546.09152047001</v>
      </c>
      <c r="AU61" s="44">
        <f>[1]!thsiFinD("ths_ev2_usk",AU$6,$A61,"USD")/1000000</f>
        <v>24860.63</v>
      </c>
    </row>
    <row r="62" spans="1:47" x14ac:dyDescent="0.45">
      <c r="A62" s="3">
        <f>_xll.ciqfunctions.udf.CIQ("COP", "IQ_PRICEDATE", "5/28/2021")</f>
        <v>44344</v>
      </c>
      <c r="B62" s="13">
        <v>47.788730000000001</v>
      </c>
      <c r="C62" s="13">
        <v>49.22334</v>
      </c>
      <c r="D62" s="13">
        <v>87.110039999999998</v>
      </c>
      <c r="E62" s="13">
        <v>63.871639999999999</v>
      </c>
      <c r="F62" s="13">
        <v>20.994530000000001</v>
      </c>
      <c r="G62" s="13">
        <v>20.883040000000001</v>
      </c>
      <c r="H62" s="23">
        <f>[1]!thsiFinD("ths_pe_ttm_uss",B$6,$A62,100)</f>
        <v>3760.8292312980002</v>
      </c>
      <c r="I62" s="23">
        <f>[1]!thsiFinD("ths_pe_ttm_uss",C$6,$A62,100)</f>
        <v>-12.937783590853</v>
      </c>
      <c r="J62" s="23">
        <f>[1]!thsiFinD("ths_pe_ttm_uss",D$6,$A62,100)</f>
        <v>-25.771186373266001</v>
      </c>
      <c r="K62" s="23">
        <f>[1]!thsiFinD("ths_pe_ttm_uss",E$6,$A62,100)</f>
        <v>748.81155476291997</v>
      </c>
      <c r="L62" s="23">
        <f>[1]!thsiFinD("ths_pe_ttm_uss",F$6,$A62,100)</f>
        <v>-7.8481913421092004</v>
      </c>
      <c r="M62" s="23">
        <f>[1]!thsiFinD("ths_pe_ttm_uss",G$6,$A62,100)</f>
        <v>-27.616688172042998</v>
      </c>
      <c r="N62" s="26">
        <f>[1]!thsiFinD("ths_ev2_to_ebitda_usk",N$6,$A62)</f>
        <v>38.812509292717003</v>
      </c>
      <c r="O62" s="26">
        <f>[1]!thsiFinD("ths_ev2_to_ebitda_usk",O$6,$A62)</f>
        <v>17.175982639756</v>
      </c>
      <c r="P62" s="26">
        <f>[1]!thsiFinD("ths_ev2_to_ebitda_usk",P$6,$A62)</f>
        <v>19.869121707872999</v>
      </c>
      <c r="Q62" s="26">
        <f>[1]!thsiFinD("ths_ev2_to_ebitda_usk",Q$6,$A62)</f>
        <v>16.965195452214999</v>
      </c>
      <c r="R62" s="26">
        <f>[1]!thsiFinD("ths_ev2_to_ebitda_usk",R$6,$A62)</f>
        <v>45.305224308168</v>
      </c>
      <c r="S62" s="26">
        <f>[1]!thsiFinD("ths_ev2_to_ebitda_usk",S$6,$A62)</f>
        <v>-15.461489473684001</v>
      </c>
      <c r="T62" s="27">
        <f>[1]!thsiFinD("ths_pb_mrq_usk",T$6,$A62)</f>
        <v>1.7429402068349</v>
      </c>
      <c r="U62" s="27">
        <f>[1]!thsiFinD("ths_pb_mrq_usk",U$6,$A62)</f>
        <v>1.5742203586918</v>
      </c>
      <c r="V62" s="27">
        <f>[1]!thsiFinD("ths_pb_mrq_usk",V$6,$A62)</f>
        <v>1.5172969655193</v>
      </c>
      <c r="W62" s="27">
        <f>[1]!thsiFinD("ths_pb_mrq_usk",W$6,$A62)</f>
        <v>2.2583005250689001</v>
      </c>
      <c r="X62" s="27">
        <f>[1]!thsiFinD("ths_pb_mrq_usk",X$6,$A62)</f>
        <v>1.1647423083452999</v>
      </c>
      <c r="Y62" s="27">
        <f>[1]!thsiFinD("ths_pb_mrq_usk",Y$6,$A62)</f>
        <v>2.1523361666467</v>
      </c>
      <c r="Z62" s="28">
        <f>[1]!thsiFinD("ths_ps_ttm_uss",Z$6,$A62,100)</f>
        <v>3.0081820759063</v>
      </c>
      <c r="AA62" s="28">
        <f>[1]!thsiFinD("ths_ps_ttm_uss",AA$6,$A62,100)</f>
        <v>1.3394239642329</v>
      </c>
      <c r="AB62" s="28">
        <f>[1]!thsiFinD("ths_ps_ttm_uss",AB$6,$A62,100)</f>
        <v>2.1015885548036999</v>
      </c>
      <c r="AC62" s="28">
        <f>[1]!thsiFinD("ths_ps_ttm_uss",AC$6,$A62,100)</f>
        <v>4.6847689572073996</v>
      </c>
      <c r="AD62" s="28">
        <f>[1]!thsiFinD("ths_ps_ttm_uss",AD$6,$A62,100)</f>
        <v>0.55139643631488999</v>
      </c>
      <c r="AE62" s="28">
        <f>[1]!thsiFinD("ths_ps_ttm_uss",AE$6,$A62,100)</f>
        <v>3.9925525205419001</v>
      </c>
      <c r="AF62" s="29">
        <v>66.319999999999993</v>
      </c>
      <c r="AG62" s="30">
        <v>4.6775000000000002</v>
      </c>
      <c r="AH62" s="31">
        <v>389.81659000000002</v>
      </c>
      <c r="AI62" s="31">
        <v>7684.3025399999997</v>
      </c>
      <c r="AJ62" s="44">
        <f>[1]!thsiFinD("ths_right_value_usk",AJ$6,$A62,"USD")/1000000</f>
        <v>75216.584625960008</v>
      </c>
      <c r="AK62" s="44">
        <f>[1]!thsiFinD("ths_right_value_usk",AK$6,$A62,"USD")/1000000</f>
        <v>247111.66658529002</v>
      </c>
      <c r="AL62" s="44">
        <f>[1]!thsiFinD("ths_right_value_usk",AL$6,$A62,"USD")/1000000</f>
        <v>200113.26218841001</v>
      </c>
      <c r="AM62" s="44">
        <f>[1]!thsiFinD("ths_right_value_usk",AM$6,$A62,"USD")/1000000</f>
        <v>46886.835501480004</v>
      </c>
      <c r="AN62" s="44">
        <f>[1]!thsiFinD("ths_right_value_usk",AN$6,$A62,"USD")/1000000</f>
        <v>88472.660999598011</v>
      </c>
      <c r="AO62" s="44">
        <f>[1]!thsiFinD("ths_right_value_usk",AO$6,$A62,"USD")/1000000</f>
        <v>17978.464</v>
      </c>
      <c r="AP62" s="44">
        <f>[1]!thsiFinD("ths_ev2_usk",AP$6,$A62,"USD")/1000000</f>
        <v>92412.584625960008</v>
      </c>
      <c r="AQ62" s="44">
        <f>[1]!thsiFinD("ths_ev2_usk",AQ$6,$A62,"USD")/1000000</f>
        <v>314045.66658528999</v>
      </c>
      <c r="AR62" s="44">
        <f>[1]!thsiFinD("ths_ev2_usk",AR$6,$A62,"USD")/1000000</f>
        <v>239522.26218841001</v>
      </c>
      <c r="AS62" s="44">
        <f>[1]!thsiFinD("ths_ev2_usk",AS$6,$A62,"USD")/1000000</f>
        <v>48631.835501480004</v>
      </c>
      <c r="AT62" s="44">
        <f>[1]!thsiFinD("ths_ev2_usk",AT$6,$A62,"USD")/1000000</f>
        <v>137546.66099960002</v>
      </c>
      <c r="AU62" s="44">
        <f>[1]!thsiFinD("ths_ev2_usk",AU$6,$A62,"USD")/1000000</f>
        <v>23501.464</v>
      </c>
    </row>
    <row r="63" spans="1:47" x14ac:dyDescent="0.45">
      <c r="A63" s="3">
        <f>_xll.ciqfunctions.udf.CIQ("COP", "IQ_PRICEDATE", "4/30/2021")</f>
        <v>44316</v>
      </c>
      <c r="B63" s="13">
        <v>43.50638</v>
      </c>
      <c r="C63" s="13">
        <v>47.577309999999997</v>
      </c>
      <c r="D63" s="13">
        <v>85.45966</v>
      </c>
      <c r="E63" s="13">
        <v>58.545029999999997</v>
      </c>
      <c r="F63" s="13">
        <v>19.904990000000002</v>
      </c>
      <c r="G63" s="13">
        <v>18.382739999999998</v>
      </c>
      <c r="H63" s="23">
        <f>[1]!thsiFinD("ths_pe_ttm_uss",B$6,$A63,100)</f>
        <v>3450.4629868779998</v>
      </c>
      <c r="I63" s="23">
        <f>[1]!thsiFinD("ths_pe_ttm_uss",C$6,$A63,100)</f>
        <v>-12.687317675868</v>
      </c>
      <c r="J63" s="23">
        <f>[1]!thsiFinD("ths_pe_ttm_uss",D$6,$A63,100)</f>
        <v>-25.592409475793001</v>
      </c>
      <c r="K63" s="23">
        <f>[1]!thsiFinD("ths_pe_ttm_uss",E$6,$A63,100)</f>
        <v>686.36398920514</v>
      </c>
      <c r="L63" s="23">
        <f>[1]!thsiFinD("ths_pe_ttm_uss",F$6,$A63,100)</f>
        <v>-7.5662862956627004</v>
      </c>
      <c r="M63" s="23">
        <f>[1]!thsiFinD("ths_pe_ttm_uss",G$6,$A63,100)</f>
        <v>-24.310172043011001</v>
      </c>
      <c r="N63" s="26">
        <f>[1]!thsiFinD("ths_ev2_to_ebitda_usk",N$6,$A63)</f>
        <v>36.205484980076001</v>
      </c>
      <c r="O63" s="26">
        <f>[1]!thsiFinD("ths_ev2_to_ebitda_usk",O$6,$A63)</f>
        <v>16.914338635368999</v>
      </c>
      <c r="P63" s="26">
        <f>[1]!thsiFinD("ths_ev2_to_ebitda_usk",P$6,$A63)</f>
        <v>19.753965954337001</v>
      </c>
      <c r="Q63" s="26">
        <f>[1]!thsiFinD("ths_ev2_to_ebitda_usk",Q$6,$A63)</f>
        <v>15.601139755798</v>
      </c>
      <c r="R63" s="26">
        <f>[1]!thsiFinD("ths_ev2_to_ebitda_usk",R$6,$A63)</f>
        <v>44.258480043151003</v>
      </c>
      <c r="S63" s="26">
        <f>[1]!thsiFinD("ths_ev2_to_ebitda_usk",S$6,$A63)</f>
        <v>-14.045343421052999</v>
      </c>
      <c r="T63" s="27">
        <f>[1]!thsiFinD("ths_pb_mrq_usk",T$6,$A63)</f>
        <v>1.5991022995610999</v>
      </c>
      <c r="U63" s="27">
        <f>[1]!thsiFinD("ths_pb_mrq_usk",U$6,$A63)</f>
        <v>1.5437446176378</v>
      </c>
      <c r="V63" s="27">
        <f>[1]!thsiFinD("ths_pb_mrq_usk",V$6,$A63)</f>
        <v>1.5067713482616001</v>
      </c>
      <c r="W63" s="27">
        <f>[1]!thsiFinD("ths_pb_mrq_usk",W$6,$A63)</f>
        <v>2.0699682681860998</v>
      </c>
      <c r="X63" s="27">
        <f>[1]!thsiFinD("ths_pb_mrq_usk",X$6,$A63)</f>
        <v>1.1229050594532</v>
      </c>
      <c r="Y63" s="27">
        <f>[1]!thsiFinD("ths_pb_mrq_usk",Y$6,$A63)</f>
        <v>1.8946392912726</v>
      </c>
      <c r="Z63" s="28">
        <f>[1]!thsiFinD("ths_ps_ttm_uss",Z$6,$A63,100)</f>
        <v>2.7599288008943001</v>
      </c>
      <c r="AA63" s="28">
        <f>[1]!thsiFinD("ths_ps_ttm_uss",AA$6,$A63,100)</f>
        <v>1.3134937076013</v>
      </c>
      <c r="AB63" s="28">
        <f>[1]!thsiFinD("ths_ps_ttm_uss",AB$6,$A63,100)</f>
        <v>2.0870096574199999</v>
      </c>
      <c r="AC63" s="28">
        <f>[1]!thsiFinD("ths_ps_ttm_uss",AC$6,$A63,100)</f>
        <v>4.2940799851723996</v>
      </c>
      <c r="AD63" s="28">
        <f>[1]!thsiFinD("ths_ps_ttm_uss",AD$6,$A63,100)</f>
        <v>0.53159041589389</v>
      </c>
      <c r="AE63" s="28">
        <f>[1]!thsiFinD("ths_ps_ttm_uss",AE$6,$A63,100)</f>
        <v>3.5145285365311998</v>
      </c>
      <c r="AF63" s="29">
        <v>63.58</v>
      </c>
      <c r="AG63" s="30">
        <v>4.468</v>
      </c>
      <c r="AH63" s="31">
        <v>371.60068000000001</v>
      </c>
      <c r="AI63" s="31">
        <v>7634.4155799999999</v>
      </c>
      <c r="AJ63" s="44">
        <f>[1]!thsiFinD("ths_right_value_usk",AJ$6,$A63,"USD")/1000000</f>
        <v>69009.259737560002</v>
      </c>
      <c r="AK63" s="44">
        <f>[1]!thsiFinD("ths_right_value_usk",AK$6,$A63,"USD")/1000000</f>
        <v>242327.76760907998</v>
      </c>
      <c r="AL63" s="44">
        <f>[1]!thsiFinD("ths_right_value_usk",AL$6,$A63,"USD")/1000000</f>
        <v>198725.05957953</v>
      </c>
      <c r="AM63" s="44">
        <f>[1]!thsiFinD("ths_right_value_usk",AM$6,$A63,"USD")/1000000</f>
        <v>42976.68118408</v>
      </c>
      <c r="AN63" s="44">
        <f>[1]!thsiFinD("ths_right_value_usk",AN$6,$A63,"USD")/1000000</f>
        <v>85294.745411005992</v>
      </c>
      <c r="AO63" s="44">
        <f>[1]!thsiFinD("ths_right_value_usk",AO$6,$A63,"USD")/1000000</f>
        <v>15825.922</v>
      </c>
      <c r="AP63" s="44">
        <f>[1]!thsiFinD("ths_ev2_usk",AP$6,$A63,"USD")/1000000</f>
        <v>86205.259737560002</v>
      </c>
      <c r="AQ63" s="44">
        <f>[1]!thsiFinD("ths_ev2_usk",AQ$6,$A63,"USD")/1000000</f>
        <v>309261.76760908001</v>
      </c>
      <c r="AR63" s="44">
        <f>[1]!thsiFinD("ths_ev2_usk",AR$6,$A63,"USD")/1000000</f>
        <v>238134.05957953</v>
      </c>
      <c r="AS63" s="44">
        <f>[1]!thsiFinD("ths_ev2_usk",AS$6,$A63,"USD")/1000000</f>
        <v>44721.68118408</v>
      </c>
      <c r="AT63" s="44">
        <f>[1]!thsiFinD("ths_ev2_usk",AT$6,$A63,"USD")/1000000</f>
        <v>134368.74541100999</v>
      </c>
      <c r="AU63" s="44">
        <f>[1]!thsiFinD("ths_ev2_usk",AU$6,$A63,"USD")/1000000</f>
        <v>21348.921999999999</v>
      </c>
    </row>
    <row r="64" spans="1:47" x14ac:dyDescent="0.45">
      <c r="A64" s="3">
        <f>_xll.ciqfunctions.udf.CIQ("COP", "IQ_PRICEDATE", "3/31/2021")</f>
        <v>44286</v>
      </c>
      <c r="B64" s="13">
        <v>45.063220000000001</v>
      </c>
      <c r="C64" s="13">
        <v>46.405329999999999</v>
      </c>
      <c r="D64" s="13">
        <v>86.885779999999997</v>
      </c>
      <c r="E64" s="13">
        <v>57.341650000000001</v>
      </c>
      <c r="F64" s="13">
        <v>19.26417</v>
      </c>
      <c r="G64" s="13">
        <v>17.179760000000002</v>
      </c>
      <c r="H64" s="23">
        <f>[1]!thsiFinD("ths_pe_ttm_uss",B$6,$A64,100)</f>
        <v>3573.9347754189998</v>
      </c>
      <c r="I64" s="23">
        <f>[1]!thsiFinD("ths_pe_ttm_uss",C$6,$A64,100)</f>
        <v>-12.374789410268001</v>
      </c>
      <c r="J64" s="23">
        <f>[1]!thsiFinD("ths_pe_ttm_uss",D$6,$A64,100)</f>
        <v>-26.019393153562</v>
      </c>
      <c r="K64" s="23">
        <f>[1]!thsiFinD("ths_pe_ttm_uss",E$6,$A64,100)</f>
        <v>676.02536867139997</v>
      </c>
      <c r="L64" s="23">
        <f>[1]!thsiFinD("ths_pe_ttm_uss",F$6,$A64,100)</f>
        <v>-7.3253542750895004</v>
      </c>
      <c r="M64" s="23">
        <f>[1]!thsiFinD("ths_pe_ttm_uss",G$6,$A64,100)</f>
        <v>-22.655529953917</v>
      </c>
      <c r="N64" s="26">
        <f>[1]!thsiFinD("ths_ev2_to_ebitda_usk",N$6,$A64)</f>
        <v>37.242627260973997</v>
      </c>
      <c r="O64" s="26">
        <f>[1]!thsiFinD("ths_ev2_to_ebitda_usk",O$6,$A64)</f>
        <v>16.587862488302001</v>
      </c>
      <c r="P64" s="26">
        <f>[1]!thsiFinD("ths_ev2_to_ebitda_usk",P$6,$A64)</f>
        <v>20.028999405840999</v>
      </c>
      <c r="Q64" s="26">
        <f>[1]!thsiFinD("ths_ev2_to_ebitda_usk",Q$6,$A64)</f>
        <v>15.375311028831</v>
      </c>
      <c r="R64" s="26">
        <f>[1]!thsiFinD("ths_ev2_to_ebitda_usk",R$6,$A64)</f>
        <v>43.363873103783</v>
      </c>
      <c r="S64" s="26">
        <f>[1]!thsiFinD("ths_ev2_to_ebitda_usk",S$6,$A64)</f>
        <v>-13.336677631579001</v>
      </c>
      <c r="T64" s="27">
        <f>[1]!thsiFinD("ths_pb_mrq_usk",T$6,$A64)</f>
        <v>1.6563247713678999</v>
      </c>
      <c r="U64" s="27">
        <f>[1]!thsiFinD("ths_pb_mrq_usk",U$6,$A64)</f>
        <v>1.5057173655261999</v>
      </c>
      <c r="V64" s="27">
        <f>[1]!thsiFinD("ths_pb_mrq_usk",V$6,$A64)</f>
        <v>1.5319103166126999</v>
      </c>
      <c r="W64" s="27">
        <f>[1]!thsiFinD("ths_pb_mrq_usk",W$6,$A64)</f>
        <v>2.0387885781407999</v>
      </c>
      <c r="X64" s="27">
        <f>[1]!thsiFinD("ths_pb_mrq_usk",X$6,$A64)</f>
        <v>1.0871485767728</v>
      </c>
      <c r="Y64" s="27">
        <f>[1]!thsiFinD("ths_pb_mrq_usk",Y$6,$A64)</f>
        <v>1.7656829881480001</v>
      </c>
      <c r="Z64" s="28">
        <f>[1]!thsiFinD("ths_ps_ttm_uss",Z$6,$A64,100)</f>
        <v>2.8586904298664</v>
      </c>
      <c r="AA64" s="28">
        <f>[1]!thsiFinD("ths_ps_ttm_uss",AA$6,$A64,100)</f>
        <v>1.2811382546362999</v>
      </c>
      <c r="AB64" s="28">
        <f>[1]!thsiFinD("ths_ps_ttm_uss",AB$6,$A64,100)</f>
        <v>2.1218293198636</v>
      </c>
      <c r="AC64" s="28">
        <f>[1]!thsiFinD("ths_ps_ttm_uss",AC$6,$A64,100)</f>
        <v>4.2293987603319003</v>
      </c>
      <c r="AD64" s="28">
        <f>[1]!thsiFinD("ths_ps_ttm_uss",AD$6,$A64,100)</f>
        <v>0.51466306897442005</v>
      </c>
      <c r="AE64" s="28">
        <f>[1]!thsiFinD("ths_ps_ttm_uss",AE$6,$A64,100)</f>
        <v>3.2753164556962</v>
      </c>
      <c r="AF64" s="29">
        <v>59.16</v>
      </c>
      <c r="AG64" s="30">
        <v>3.9954999999999998</v>
      </c>
      <c r="AH64" s="31">
        <v>369.88668000000001</v>
      </c>
      <c r="AI64" s="31">
        <v>7249.5662199999997</v>
      </c>
      <c r="AJ64" s="44">
        <f>[1]!thsiFinD("ths_right_value_usk",AJ$6,$A64,"USD")/1000000</f>
        <v>71478.695508379999</v>
      </c>
      <c r="AK64" s="44">
        <f>[1]!thsiFinD("ths_right_value_usk",AK$6,$A64,"USD")/1000000</f>
        <v>236358.47773610998</v>
      </c>
      <c r="AL64" s="44">
        <f>[1]!thsiFinD("ths_right_value_usk",AL$6,$A64,"USD")/1000000</f>
        <v>202040.58783741001</v>
      </c>
      <c r="AM64" s="44">
        <f>[1]!thsiFinD("ths_right_value_usk",AM$6,$A64,"USD")/1000000</f>
        <v>42329.328459360004</v>
      </c>
      <c r="AN64" s="44">
        <f>[1]!thsiFinD("ths_right_value_usk",AN$6,$A64,"USD")/1000000</f>
        <v>82578.718743083999</v>
      </c>
      <c r="AO64" s="44">
        <f>[1]!thsiFinD("ths_right_value_usk",AO$6,$A64,"USD")/1000000</f>
        <v>14748.75</v>
      </c>
      <c r="AP64" s="44">
        <f>[1]!thsiFinD("ths_ev2_usk",AP$6,$A64,"USD")/1000000</f>
        <v>88674.695508379999</v>
      </c>
      <c r="AQ64" s="44">
        <f>[1]!thsiFinD("ths_ev2_usk",AQ$6,$A64,"USD")/1000000</f>
        <v>303292.47773610998</v>
      </c>
      <c r="AR64" s="44">
        <f>[1]!thsiFinD("ths_ev2_usk",AR$6,$A64,"USD")/1000000</f>
        <v>241449.58783741001</v>
      </c>
      <c r="AS64" s="44">
        <f>[1]!thsiFinD("ths_ev2_usk",AS$6,$A64,"USD")/1000000</f>
        <v>44074.328459360004</v>
      </c>
      <c r="AT64" s="44">
        <f>[1]!thsiFinD("ths_ev2_usk",AT$6,$A64,"USD")/1000000</f>
        <v>131652.71874308001</v>
      </c>
      <c r="AU64" s="44">
        <f>[1]!thsiFinD("ths_ev2_usk",AU$6,$A64,"USD")/1000000</f>
        <v>20271.75</v>
      </c>
    </row>
    <row r="65" spans="1:47" x14ac:dyDescent="0.45">
      <c r="A65" s="3">
        <f>_xll.ciqfunctions.udf.CIQ("COP", "IQ_PRICEDATE", "2/26/2021")</f>
        <v>44253</v>
      </c>
      <c r="B65" s="13">
        <v>44.246510000000001</v>
      </c>
      <c r="C65" s="13">
        <v>45.191800000000001</v>
      </c>
      <c r="D65" s="13">
        <v>82.914190000000005</v>
      </c>
      <c r="E65" s="13">
        <v>51.04063</v>
      </c>
      <c r="F65" s="13">
        <v>19.311640000000001</v>
      </c>
      <c r="G65" s="13">
        <v>16.72982</v>
      </c>
      <c r="H65" s="23">
        <f>[1]!thsiFinD("ths_pe_ttm_uss",B$6,$A65,100)</f>
        <v>-26.086543188177998</v>
      </c>
      <c r="I65" s="23">
        <f>[1]!thsiFinD("ths_pe_ttm_uss",C$6,$A65,100)</f>
        <v>-10.257329741943</v>
      </c>
      <c r="J65" s="23">
        <f>[1]!thsiFinD("ths_pe_ttm_uss",D$6,$A65,100)</f>
        <v>-34.753324264839002</v>
      </c>
      <c r="K65" s="23">
        <f>[1]!thsiFinD("ths_pe_ttm_uss",E$6,$A65,100)</f>
        <v>-62.316578015918999</v>
      </c>
      <c r="L65" s="23">
        <f>[1]!thsiFinD("ths_pe_ttm_uss",F$6,$A65,100)</f>
        <v>-4.0764171900079003</v>
      </c>
      <c r="M65" s="23">
        <f>[1]!thsiFinD("ths_pe_ttm_uss",G$6,$A65,100)</f>
        <v>-5.4099156716417998</v>
      </c>
      <c r="N65" s="26">
        <f>[1]!thsiFinD("ths_ev2_to_ebitda_usk",N$6,$A65)</f>
        <v>34.791160500323002</v>
      </c>
      <c r="O65" s="26">
        <f>[1]!thsiFinD("ths_ev2_to_ebitda_usk",O$6,$A65)</f>
        <v>16.431332280092001</v>
      </c>
      <c r="P65" s="26">
        <f>[1]!thsiFinD("ths_ev2_to_ebitda_usk",P$6,$A65)</f>
        <v>19.277866146827002</v>
      </c>
      <c r="Q65" s="26">
        <f>[1]!thsiFinD("ths_ev2_to_ebitda_usk",Q$6,$A65)</f>
        <v>14.01061381976</v>
      </c>
      <c r="R65" s="26">
        <f>[1]!thsiFinD("ths_ev2_to_ebitda_usk",R$6,$A65)</f>
        <v>45.666222346215001</v>
      </c>
      <c r="S65" s="26">
        <f>[1]!thsiFinD("ths_ev2_to_ebitda_usk",S$6,$A65)</f>
        <v>-10.982614473684</v>
      </c>
      <c r="T65" s="27">
        <f>[1]!thsiFinD("ths_pb_mrq_usk",T$6,$A65)</f>
        <v>2.3605398221470999</v>
      </c>
      <c r="U65" s="27">
        <f>[1]!thsiFinD("ths_pb_mrq_usk",U$6,$A65)</f>
        <v>1.4646801107808001</v>
      </c>
      <c r="V65" s="27">
        <f>[1]!thsiFinD("ths_pb_mrq_usk",V$6,$A65)</f>
        <v>1.4628339438672999</v>
      </c>
      <c r="W65" s="27">
        <f>[1]!thsiFinD("ths_pb_mrq_usk",W$6,$A65)</f>
        <v>1.8557215153305</v>
      </c>
      <c r="X65" s="27">
        <f>[1]!thsiFinD("ths_pb_mrq_usk",X$6,$A65)</f>
        <v>1.1617073830611999</v>
      </c>
      <c r="Y65" s="27">
        <f>[1]!thsiFinD("ths_pb_mrq_usk",Y$6,$A65)</f>
        <v>5.0255022530328999</v>
      </c>
      <c r="Z65" s="28">
        <f>[1]!thsiFinD("ths_ps_ttm_uss",Z$6,$A65,100)</f>
        <v>3.6591064162479001</v>
      </c>
      <c r="AA65" s="28">
        <f>[1]!thsiFinD("ths_ps_ttm_uss",AA$6,$A65,100)</f>
        <v>1.2681649756432001</v>
      </c>
      <c r="AB65" s="28">
        <f>[1]!thsiFinD("ths_ps_ttm_uss",AB$6,$A65,100)</f>
        <v>2.0343606260297</v>
      </c>
      <c r="AC65" s="28">
        <f>[1]!thsiFinD("ths_ps_ttm_uss",AC$6,$A65,100)</f>
        <v>3.4150375527953001</v>
      </c>
      <c r="AD65" s="28">
        <f>[1]!thsiFinD("ths_ps_ttm_uss",AD$6,$A65,100)</f>
        <v>0.45107166780986002</v>
      </c>
      <c r="AE65" s="28">
        <f>[1]!thsiFinD("ths_ps_ttm_uss",AE$6,$A65,100)</f>
        <v>3.0030186412592998</v>
      </c>
      <c r="AF65" s="29">
        <v>61.5</v>
      </c>
      <c r="AG65" s="30">
        <v>4.0925000000000002</v>
      </c>
      <c r="AH65" s="31">
        <v>360.19006999999999</v>
      </c>
      <c r="AI65" s="31">
        <v>6948.0980900000004</v>
      </c>
      <c r="AJ65" s="44">
        <f>[1]!thsiFinD("ths_right_value_usk",AJ$6,$A65,"USD")/1000000</f>
        <v>70459.753151270008</v>
      </c>
      <c r="AK65" s="44">
        <f>[1]!thsiFinD("ths_right_value_usk",AK$6,$A65,"USD")/1000000</f>
        <v>230174.47940920002</v>
      </c>
      <c r="AL65" s="44">
        <f>[1]!thsiFinD("ths_right_value_usk",AL$6,$A65,"USD")/1000000</f>
        <v>192637.6764</v>
      </c>
      <c r="AM65" s="44">
        <f>[1]!thsiFinD("ths_right_value_usk",AM$6,$A65,"USD")/1000000</f>
        <v>37674.858204240001</v>
      </c>
      <c r="AN65" s="44">
        <f>[1]!thsiFinD("ths_right_value_usk",AN$6,$A65,"USD")/1000000</f>
        <v>82771.651043110003</v>
      </c>
      <c r="AO65" s="44">
        <f>[1]!thsiFinD("ths_right_value_usk",AO$6,$A65,"USD")/1000000</f>
        <v>14498.574000000001</v>
      </c>
      <c r="AP65" s="44">
        <f>[1]!thsiFinD("ths_ev2_usk",AP$6,$A65,"USD")/1000000</f>
        <v>82837.753151270008</v>
      </c>
      <c r="AQ65" s="44">
        <f>[1]!thsiFinD("ths_ev2_usk",AQ$6,$A65,"USD")/1000000</f>
        <v>300430.47940920002</v>
      </c>
      <c r="AR65" s="44">
        <f>[1]!thsiFinD("ths_ev2_usk",AR$6,$A65,"USD")/1000000</f>
        <v>232394.6764</v>
      </c>
      <c r="AS65" s="44">
        <f>[1]!thsiFinD("ths_ev2_usk",AS$6,$A65,"USD")/1000000</f>
        <v>40162.33520424</v>
      </c>
      <c r="AT65" s="44">
        <f>[1]!thsiFinD("ths_ev2_usk",AT$6,$A65,"USD")/1000000</f>
        <v>138642.65104310997</v>
      </c>
      <c r="AU65" s="44">
        <f>[1]!thsiFinD("ths_ev2_usk",AU$6,$A65,"USD")/1000000</f>
        <v>16693.574000000001</v>
      </c>
    </row>
    <row r="66" spans="1:47" x14ac:dyDescent="0.45">
      <c r="A66" s="3">
        <f>_xll.ciqfunctions.udf.CIQ("COP", "IQ_PRICEDATE", "1/29/2021")</f>
        <v>44225</v>
      </c>
      <c r="B66" s="13">
        <v>33.744840000000003</v>
      </c>
      <c r="C66" s="13">
        <v>36.64819</v>
      </c>
      <c r="D66" s="13">
        <v>69.658240000000006</v>
      </c>
      <c r="E66" s="13">
        <v>40.288580000000003</v>
      </c>
      <c r="F66" s="13">
        <v>17.347940000000001</v>
      </c>
      <c r="G66" s="13">
        <v>12.78425</v>
      </c>
      <c r="H66" s="23">
        <f>[1]!thsiFinD("ths_pe_ttm_uss",B$6,$A66,100)</f>
        <v>-15.828851679134001</v>
      </c>
      <c r="I66" s="23">
        <f>[1]!thsiFinD("ths_pe_ttm_uss",C$6,$A66,100)</f>
        <v>-8.4584545454545008</v>
      </c>
      <c r="J66" s="23">
        <f>[1]!thsiFinD("ths_pe_ttm_uss",D$6,$A66,100)</f>
        <v>-29.591534224859998</v>
      </c>
      <c r="K66" s="23">
        <f>[1]!thsiFinD("ths_pe_ttm_uss",E$6,$A66,100)</f>
        <v>-49.189768979707999</v>
      </c>
      <c r="L66" s="23">
        <f>[1]!thsiFinD("ths_pe_ttm_uss",F$6,$A66,100)</f>
        <v>-3.7106919279792998</v>
      </c>
      <c r="M66" s="23">
        <f>[1]!thsiFinD("ths_pe_ttm_uss",G$6,$A66,100)</f>
        <v>-4.1340839635298998</v>
      </c>
      <c r="N66" s="26">
        <f>[1]!thsiFinD("ths_ev2_to_ebitda_usk",N$6,$A66)</f>
        <v>23.154862824586001</v>
      </c>
      <c r="O66" s="26">
        <f>[1]!thsiFinD("ths_ev2_to_ebitda_usk",O$6,$A66)</f>
        <v>14.223568147013999</v>
      </c>
      <c r="P66" s="26">
        <f>[1]!thsiFinD("ths_ev2_to_ebitda_usk",P$6,$A66)</f>
        <v>16.904427557727001</v>
      </c>
      <c r="Q66" s="26">
        <f>[1]!thsiFinD("ths_ev2_to_ebitda_usk",Q$6,$A66)</f>
        <v>11.242108241605999</v>
      </c>
      <c r="R66" s="26">
        <f>[1]!thsiFinD("ths_ev2_to_ebitda_usk",R$6,$A66)</f>
        <v>43.220223846383</v>
      </c>
      <c r="S66" s="26">
        <f>[1]!thsiFinD("ths_ev2_to_ebitda_usk",S$6,$A66)</f>
        <v>-8.7331217251711006</v>
      </c>
      <c r="T66" s="27">
        <f>[1]!thsiFinD("ths_pb_mrq_usk",T$6,$A66)</f>
        <v>1.4323336924298999</v>
      </c>
      <c r="U66" s="27">
        <f>[1]!thsiFinD("ths_pb_mrq_usk",U$6,$A66)</f>
        <v>1.2078124085269</v>
      </c>
      <c r="V66" s="27">
        <f>[1]!thsiFinD("ths_pb_mrq_usk",V$6,$A66)</f>
        <v>1.2455643202752</v>
      </c>
      <c r="W66" s="27">
        <f>[1]!thsiFinD("ths_pb_mrq_usk",W$6,$A66)</f>
        <v>1.4648190824352001</v>
      </c>
      <c r="X66" s="27">
        <f>[1]!thsiFinD("ths_pb_mrq_usk",X$6,$A66)</f>
        <v>1.0574820996156999</v>
      </c>
      <c r="Y66" s="27">
        <f>[1]!thsiFinD("ths_pb_mrq_usk",Y$6,$A66)</f>
        <v>3.8403275640415999</v>
      </c>
      <c r="Z66" s="28">
        <f>[1]!thsiFinD("ths_ps_ttm_uss",Z$6,$A66,100)</f>
        <v>2.2202808675395</v>
      </c>
      <c r="AA66" s="28">
        <f>[1]!thsiFinD("ths_ps_ttm_uss",AA$6,$A66,100)</f>
        <v>1.0457610384459</v>
      </c>
      <c r="AB66" s="28">
        <f>[1]!thsiFinD("ths_ps_ttm_uss",AB$6,$A66,100)</f>
        <v>1.7322041377138999</v>
      </c>
      <c r="AC66" s="28">
        <f>[1]!thsiFinD("ths_ps_ttm_uss",AC$6,$A66,100)</f>
        <v>2.6956696536853002</v>
      </c>
      <c r="AD66" s="28">
        <f>[1]!thsiFinD("ths_ps_ttm_uss",AD$6,$A66,100)</f>
        <v>0.41060272260282998</v>
      </c>
      <c r="AE66" s="28">
        <f>[1]!thsiFinD("ths_ps_ttm_uss",AE$6,$A66,100)</f>
        <v>2.2948104851408</v>
      </c>
      <c r="AF66" s="29">
        <v>52.2</v>
      </c>
      <c r="AG66" s="30">
        <v>3.556</v>
      </c>
      <c r="AH66" s="31">
        <v>296.51533000000001</v>
      </c>
      <c r="AI66" s="31">
        <v>6764.57888</v>
      </c>
      <c r="AJ66" s="44">
        <f>[1]!thsiFinD("ths_right_value_usk",AJ$6,$A66,"USD")/1000000</f>
        <v>42753.728385339993</v>
      </c>
      <c r="AK66" s="44">
        <f>[1]!thsiFinD("ths_right_value_usk",AK$6,$A66,"USD")/1000000</f>
        <v>189807.72</v>
      </c>
      <c r="AL66" s="44">
        <f>[1]!thsiFinD("ths_right_value_usk",AL$6,$A66,"USD")/1000000</f>
        <v>164025.8742084</v>
      </c>
      <c r="AM66" s="44">
        <f>[1]!thsiFinD("ths_right_value_usk",AM$6,$A66,"USD")/1000000</f>
        <v>29738.757011599999</v>
      </c>
      <c r="AN66" s="44">
        <f>[1]!thsiFinD("ths_right_value_usk",AN$6,$A66,"USD")/1000000</f>
        <v>75345.599597619992</v>
      </c>
      <c r="AO66" s="44">
        <f>[1]!thsiFinD("ths_right_value_usk",AO$6,$A66,"USD")/1000000</f>
        <v>11079.34502226</v>
      </c>
      <c r="AP66" s="44">
        <f>[1]!thsiFinD("ths_ev2_usk",AP$6,$A66,"USD")/1000000</f>
        <v>55131.728385339993</v>
      </c>
      <c r="AQ66" s="44">
        <f>[1]!thsiFinD("ths_ev2_usk",AQ$6,$A66,"USD")/1000000</f>
        <v>260063.72</v>
      </c>
      <c r="AR66" s="44">
        <f>[1]!thsiFinD("ths_ev2_usk",AR$6,$A66,"USD")/1000000</f>
        <v>203782.8742084</v>
      </c>
      <c r="AS66" s="44">
        <f>[1]!thsiFinD("ths_ev2_usk",AS$6,$A66,"USD")/1000000</f>
        <v>32226.234011599998</v>
      </c>
      <c r="AT66" s="44">
        <f>[1]!thsiFinD("ths_ev2_usk",AT$6,$A66,"USD")/1000000</f>
        <v>131216.59959761999</v>
      </c>
      <c r="AU66" s="44">
        <f>[1]!thsiFinD("ths_ev2_usk",AU$6,$A66,"USD")/1000000</f>
        <v>13274.34502226</v>
      </c>
    </row>
    <row r="67" spans="1:47" x14ac:dyDescent="0.45">
      <c r="A67" s="3">
        <f>_xll.ciqfunctions.udf.CIQ("COP", "IQ_PRICEDATE", "12/31/2020")</f>
        <v>44196</v>
      </c>
      <c r="B67" s="13">
        <v>33.711120000000001</v>
      </c>
      <c r="C67" s="13">
        <v>33.689520000000002</v>
      </c>
      <c r="D67" s="13">
        <v>69.045050000000003</v>
      </c>
      <c r="E67" s="13">
        <v>39.18233</v>
      </c>
      <c r="F67" s="13">
        <v>16.020689999999998</v>
      </c>
      <c r="G67" s="13">
        <v>12.27941</v>
      </c>
      <c r="H67" s="23">
        <f>[1]!thsiFinD("ths_pe_ttm_uss",B$6,$A67,100)</f>
        <v>-15.813034690196</v>
      </c>
      <c r="I67" s="23">
        <f>[1]!thsiFinD("ths_pe_ttm_uss",C$6,$A67,100)</f>
        <v>-7.7755909090908997</v>
      </c>
      <c r="J67" s="23">
        <f>[1]!thsiFinD("ths_pe_ttm_uss",D$6,$A67,100)</f>
        <v>-29.331045367247</v>
      </c>
      <c r="K67" s="23">
        <f>[1]!thsiFinD("ths_pe_ttm_uss",E$6,$A67,100)</f>
        <v>-48.137633026256999</v>
      </c>
      <c r="L67" s="23">
        <f>[1]!thsiFinD("ths_pe_ttm_uss",F$6,$A67,100)</f>
        <v>-3.4209474856931998</v>
      </c>
      <c r="M67" s="23">
        <f>[1]!thsiFinD("ths_pe_ttm_uss",G$6,$A67,100)</f>
        <v>-2.2535149253730999</v>
      </c>
      <c r="N67" s="26">
        <f>[1]!thsiFinD("ths_ev2_to_ebitda_usk",N$6,$A67)</f>
        <v>23.136920074851002</v>
      </c>
      <c r="O67" s="26">
        <f>[1]!thsiFinD("ths_ev2_to_ebitda_usk",O$6,$A67)</f>
        <v>13.385487858236999</v>
      </c>
      <c r="P67" s="26">
        <f>[1]!thsiFinD("ths_ev2_to_ebitda_usk",P$6,$A67)</f>
        <v>16.784652382468</v>
      </c>
      <c r="Q67" s="26">
        <f>[1]!thsiFinD("ths_ev2_to_ebitda_usk",Q$6,$A67)</f>
        <v>11.020207835493</v>
      </c>
      <c r="R67" s="26">
        <f>[1]!thsiFinD("ths_ev2_to_ebitda_usk",R$6,$A67)</f>
        <v>41.282390875164999</v>
      </c>
      <c r="S67" s="26">
        <f>[1]!thsiFinD("ths_ev2_to_ebitda_usk",S$6,$A67)</f>
        <v>-5.4173815789474</v>
      </c>
      <c r="T67" s="27">
        <f>[1]!thsiFinD("ths_pb_mrq_usk",T$6,$A67)</f>
        <v>1.4309024321827</v>
      </c>
      <c r="U67" s="27">
        <f>[1]!thsiFinD("ths_pb_mrq_usk",U$6,$A67)</f>
        <v>1.1103039134585</v>
      </c>
      <c r="V67" s="27">
        <f>[1]!thsiFinD("ths_pb_mrq_usk",V$6,$A67)</f>
        <v>1.2345998456249001</v>
      </c>
      <c r="W67" s="27">
        <f>[1]!thsiFinD("ths_pb_mrq_usk",W$6,$A67)</f>
        <v>1.4334875910722999</v>
      </c>
      <c r="X67" s="27">
        <f>[1]!thsiFinD("ths_pb_mrq_usk",X$6,$A67)</f>
        <v>0.9749100168</v>
      </c>
      <c r="Y67" s="27">
        <f>[1]!thsiFinD("ths_pb_mrq_usk",Y$6,$A67)</f>
        <v>2.0933864818023999</v>
      </c>
      <c r="Z67" s="28">
        <f>[1]!thsiFinD("ths_ps_ttm_uss",Z$6,$A67,100)</f>
        <v>2.2180622506345999</v>
      </c>
      <c r="AA67" s="28">
        <f>[1]!thsiFinD("ths_ps_ttm_uss",AA$6,$A67,100)</f>
        <v>0.96133519189870997</v>
      </c>
      <c r="AB67" s="28">
        <f>[1]!thsiFinD("ths_ps_ttm_uss",AB$6,$A67,100)</f>
        <v>1.7169558618537</v>
      </c>
      <c r="AC67" s="28">
        <f>[1]!thsiFinD("ths_ps_ttm_uss",AC$6,$A67,100)</f>
        <v>2.6380110994758001</v>
      </c>
      <c r="AD67" s="28">
        <f>[1]!thsiFinD("ths_ps_ttm_uss",AD$6,$A67,100)</f>
        <v>0.378541355297</v>
      </c>
      <c r="AE67" s="28">
        <f>[1]!thsiFinD("ths_ps_ttm_uss",AE$6,$A67,100)</f>
        <v>1.2509154929577</v>
      </c>
      <c r="AF67" s="29">
        <v>48.52</v>
      </c>
      <c r="AG67" s="30">
        <v>3.5190000000000001</v>
      </c>
      <c r="AH67" s="31">
        <v>286.14139999999998</v>
      </c>
      <c r="AI67" s="31">
        <v>6835.7254400000002</v>
      </c>
      <c r="AJ67" s="44">
        <f>[1]!thsiFinD("ths_right_value_usk",AJ$6,$A67,"USD")/1000000</f>
        <v>42711.006698220001</v>
      </c>
      <c r="AK67" s="44">
        <f>[1]!thsiFinD("ths_right_value_usk",AK$6,$A67,"USD")/1000000</f>
        <v>174484.26</v>
      </c>
      <c r="AL67" s="44">
        <f>[1]!thsiFinD("ths_right_value_usk",AL$6,$A67,"USD")/1000000</f>
        <v>162581.98447065</v>
      </c>
      <c r="AM67" s="44">
        <f>[1]!thsiFinD("ths_right_value_usk",AM$6,$A67,"USD")/1000000</f>
        <v>29102.66507395</v>
      </c>
      <c r="AN67" s="44">
        <f>[1]!thsiFinD("ths_right_value_usk",AN$6,$A67,"USD")/1000000</f>
        <v>69462.338696999999</v>
      </c>
      <c r="AO67" s="44">
        <f>[1]!thsiFinD("ths_right_value_usk",AO$6,$A67,"USD")/1000000</f>
        <v>6039.42</v>
      </c>
      <c r="AP67" s="44">
        <f>[1]!thsiFinD("ths_ev2_usk",AP$6,$A67,"USD")/1000000</f>
        <v>55089.006698220001</v>
      </c>
      <c r="AQ67" s="44">
        <f>[1]!thsiFinD("ths_ev2_usk",AQ$6,$A67,"USD")/1000000</f>
        <v>244740.26</v>
      </c>
      <c r="AR67" s="44">
        <f>[1]!thsiFinD("ths_ev2_usk",AR$6,$A67,"USD")/1000000</f>
        <v>202338.98447065</v>
      </c>
      <c r="AS67" s="44">
        <f>[1]!thsiFinD("ths_ev2_usk",AS$6,$A67,"USD")/1000000</f>
        <v>31590.142073949999</v>
      </c>
      <c r="AT67" s="44">
        <f>[1]!thsiFinD("ths_ev2_usk",AT$6,$A67,"USD")/1000000</f>
        <v>125333.338697</v>
      </c>
      <c r="AU67" s="44">
        <f>[1]!thsiFinD("ths_ev2_usk",AU$6,$A67,"USD")/1000000</f>
        <v>8234.42</v>
      </c>
    </row>
    <row r="68" spans="1:47" x14ac:dyDescent="0.45">
      <c r="A68" s="3">
        <f>_xll.ciqfunctions.udf.CIQ("COP", "IQ_PRICEDATE", "11/30/2020")</f>
        <v>44165</v>
      </c>
      <c r="B68" s="13">
        <v>33.348640000000003</v>
      </c>
      <c r="C68" s="13">
        <v>31.16404</v>
      </c>
      <c r="D68" s="13">
        <v>71.277060000000006</v>
      </c>
      <c r="E68" s="13">
        <v>36.833120000000001</v>
      </c>
      <c r="F68" s="13">
        <v>15.271179999999999</v>
      </c>
      <c r="G68" s="13">
        <v>10.789759999999999</v>
      </c>
      <c r="H68" s="23">
        <f>[1]!thsiFinD("ths_pe_ttm_uss",B$6,$A68,100)</f>
        <v>-34.946590447543002</v>
      </c>
      <c r="I68" s="23">
        <f>[1]!thsiFinD("ths_pe_ttm_uss",C$6,$A68,100)</f>
        <v>48.561014086391999</v>
      </c>
      <c r="J68" s="23">
        <f>[1]!thsiFinD("ths_pe_ttm_uss",D$6,$A68,100)</f>
        <v>-14.170722336058001</v>
      </c>
      <c r="K68" s="23">
        <f>[1]!thsiFinD("ths_pe_ttm_uss",E$6,$A68,100)</f>
        <v>-89.516398438056996</v>
      </c>
      <c r="L68" s="23">
        <f>[1]!thsiFinD("ths_pe_ttm_uss",F$6,$A68,100)</f>
        <v>-3.0526892708741999</v>
      </c>
      <c r="M68" s="23">
        <f>[1]!thsiFinD("ths_pe_ttm_uss",G$6,$A68,100)</f>
        <v>-1.6619157861645999</v>
      </c>
      <c r="N68" s="26">
        <f>[1]!thsiFinD("ths_ev2_to_ebitda_usk",N$6,$A68)</f>
        <v>3.5319218554553999</v>
      </c>
      <c r="O68" s="26">
        <f>[1]!thsiFinD("ths_ev2_to_ebitda_usk",O$6,$A68)</f>
        <v>5.7266464438576996</v>
      </c>
      <c r="P68" s="26">
        <f>[1]!thsiFinD("ths_ev2_to_ebitda_usk",P$6,$A68)</f>
        <v>5.4958064739781998</v>
      </c>
      <c r="Q68" s="26">
        <f>[1]!thsiFinD("ths_ev2_to_ebitda_usk",Q$6,$A68)</f>
        <v>4.0111707733318998</v>
      </c>
      <c r="R68" s="26">
        <f>[1]!thsiFinD("ths_ev2_to_ebitda_usk",R$6,$A68)</f>
        <v>4.1577135770928004</v>
      </c>
      <c r="S68" s="26">
        <f>[1]!thsiFinD("ths_ev2_to_ebitda_usk",S$6,$A68)</f>
        <v>4.9245230961233002</v>
      </c>
      <c r="T68" s="27">
        <f>[1]!thsiFinD("ths_pb_mrq_usk",T$6,$A68)</f>
        <v>1.3725247003567</v>
      </c>
      <c r="U68" s="27">
        <f>[1]!thsiFinD("ths_pb_mrq_usk",U$6,$A68)</f>
        <v>0.90880815539356996</v>
      </c>
      <c r="V68" s="27">
        <f>[1]!thsiFinD("ths_pb_mrq_usk",V$6,$A68)</f>
        <v>1.2353974091751001</v>
      </c>
      <c r="W68" s="27">
        <f>[1]!thsiFinD("ths_pb_mrq_usk",W$6,$A68)</f>
        <v>1.3573723941928999</v>
      </c>
      <c r="X68" s="27">
        <f>[1]!thsiFinD("ths_pb_mrq_usk",X$6,$A68)</f>
        <v>0.97229646941064996</v>
      </c>
      <c r="Y68" s="27">
        <f>[1]!thsiFinD("ths_pb_mrq_usk",Y$6,$A68)</f>
        <v>1.770217939613</v>
      </c>
      <c r="Z68" s="28">
        <f>[1]!thsiFinD("ths_ps_ttm_uss",Z$6,$A68,100)</f>
        <v>1.9792208671514</v>
      </c>
      <c r="AA68" s="28">
        <f>[1]!thsiFinD("ths_ps_ttm_uss",AA$6,$A68,100)</f>
        <v>0.79759847016509</v>
      </c>
      <c r="AB68" s="28">
        <f>[1]!thsiFinD("ths_ps_ttm_uss",AB$6,$A68,100)</f>
        <v>1.538746816483</v>
      </c>
      <c r="AC68" s="28">
        <f>[1]!thsiFinD("ths_ps_ttm_uss",AC$6,$A68,100)</f>
        <v>2.207897950495</v>
      </c>
      <c r="AD68" s="28">
        <f>[1]!thsiFinD("ths_ps_ttm_uss",AD$6,$A68,100)</f>
        <v>0.31903316519782998</v>
      </c>
      <c r="AE68" s="28">
        <f>[1]!thsiFinD("ths_ps_ttm_uss",AE$6,$A68,100)</f>
        <v>1.1214100652661001</v>
      </c>
      <c r="AF68" s="29">
        <v>45.34</v>
      </c>
      <c r="AG68" s="30">
        <v>3.4205000000000001</v>
      </c>
      <c r="AH68" s="31">
        <v>274.41809999999998</v>
      </c>
      <c r="AI68" s="31">
        <v>6585.1613299999999</v>
      </c>
      <c r="AJ68" s="44">
        <f>[1]!thsiFinD("ths_right_value_usk",AJ$6,$A68,"USD")/1000000</f>
        <v>42250.42785108</v>
      </c>
      <c r="AK68" s="44">
        <f>[1]!thsiFinD("ths_right_value_usk",AK$6,$A68,"USD")/1000000</f>
        <v>161222.56676682</v>
      </c>
      <c r="AL68" s="44">
        <f>[1]!thsiFinD("ths_right_value_usk",AL$6,$A68,"USD")/1000000</f>
        <v>162793.25819664</v>
      </c>
      <c r="AM68" s="44">
        <f>[1]!thsiFinD("ths_right_value_usk",AM$6,$A68,"USD")/1000000</f>
        <v>27348.781501599999</v>
      </c>
      <c r="AN68" s="44">
        <f>[1]!thsiFinD("ths_right_value_usk",AN$6,$A68,"USD")/1000000</f>
        <v>66072.406578801005</v>
      </c>
      <c r="AO68" s="44">
        <f>[1]!thsiFinD("ths_right_value_usk",AO$6,$A68,"USD")/1000000</f>
        <v>5351.3688314499996</v>
      </c>
      <c r="AP68" s="44">
        <f>[1]!thsiFinD("ths_ev2_usk",AP$6,$A68,"USD")/1000000</f>
        <v>55147.42785108</v>
      </c>
      <c r="AQ68" s="44">
        <f>[1]!thsiFinD("ths_ev2_usk",AQ$6,$A68,"USD")/1000000</f>
        <v>228401.56676682</v>
      </c>
      <c r="AR68" s="44">
        <f>[1]!thsiFinD("ths_ev2_usk",AR$6,$A68,"USD")/1000000</f>
        <v>191001.25819664</v>
      </c>
      <c r="AS68" s="44">
        <f>[1]!thsiFinD("ths_ev2_usk",AS$6,$A68,"USD")/1000000</f>
        <v>30003.958501599998</v>
      </c>
      <c r="AT68" s="44">
        <f>[1]!thsiFinD("ths_ev2_usk",AT$6,$A68,"USD")/1000000</f>
        <v>122332.4065788</v>
      </c>
      <c r="AU68" s="44">
        <f>[1]!thsiFinD("ths_ev2_usk",AU$6,$A68,"USD")/1000000</f>
        <v>8066.3688314499996</v>
      </c>
    </row>
    <row r="69" spans="1:47" x14ac:dyDescent="0.45">
      <c r="A69" s="3"/>
      <c r="B69" s="13"/>
      <c r="H69" s="23">
        <f>[1]!thsiFinD("ths_pe_ttm_uss",B$6,$A69,100)</f>
        <v>12.763687147016</v>
      </c>
      <c r="I69" s="23">
        <f>[1]!thsiFinD("ths_pe_ttm_uss",C$6,$A69,100)</f>
        <v>16.795168633995001</v>
      </c>
      <c r="J69" s="23">
        <f>[1]!thsiFinD("ths_pe_ttm_uss",D$6,$A69,100)</f>
        <v>24.856772722363999</v>
      </c>
      <c r="K69" s="23">
        <f>[1]!thsiFinD("ths_pe_ttm_uss",E$6,$A69,100)</f>
        <v>10.832345326004001</v>
      </c>
      <c r="L69" s="23">
        <f>[1]!thsiFinD("ths_pe_ttm_uss",F$6,$A69,100)</f>
        <v>62.896784969446998</v>
      </c>
      <c r="M69" s="23">
        <f>[1]!thsiFinD("ths_pe_ttm_uss",G$6,$A69,100)</f>
        <v>8.2686399411548006</v>
      </c>
      <c r="N69" s="26">
        <f>[1]!thsiFinD("ths_ev2_to_ebitda_usk",N$6,$A69)</f>
        <v>5.6348922049976</v>
      </c>
      <c r="O69" s="26">
        <f>[1]!thsiFinD("ths_ev2_to_ebitda_usk",O$6,$A69)</f>
        <v>7.3671711761407996</v>
      </c>
      <c r="P69" s="26">
        <f>[1]!thsiFinD("ths_ev2_to_ebitda_usk",P$6,$A69)</f>
        <v>7.9697078261841998</v>
      </c>
      <c r="Q69" s="26">
        <f>[1]!thsiFinD("ths_ev2_to_ebitda_usk",Q$6,$A69)</f>
        <v>5.1401532134787997</v>
      </c>
      <c r="R69" s="26">
        <f>[1]!thsiFinD("ths_ev2_to_ebitda_usk",R$6,$A69)</f>
        <v>4.9901135608509</v>
      </c>
      <c r="S69" s="26">
        <f>[1]!thsiFinD("ths_ev2_to_ebitda_usk",S$6,$A69)</f>
        <v>4.0375759890858998</v>
      </c>
      <c r="T69" s="27">
        <f>[1]!thsiFinD("ths_pb_mrq_usk",T$6,$A69)</f>
        <v>1.7390998028819</v>
      </c>
      <c r="U69" s="27">
        <f>[1]!thsiFinD("ths_pb_mrq_usk",U$6,$A69)</f>
        <v>1.9307021622348</v>
      </c>
      <c r="V69" s="27">
        <f>[1]!thsiFinD("ths_pb_mrq_usk",V$6,$A69)</f>
        <v>1.6717565257561999</v>
      </c>
      <c r="W69" s="27">
        <f>[1]!thsiFinD("ths_pb_mrq_usk",W$6,$A69)</f>
        <v>1.9779715916394001</v>
      </c>
      <c r="X69" s="27">
        <f>[1]!thsiFinD("ths_pb_mrq_usk",X$6,$A69)</f>
        <v>1.639264466445</v>
      </c>
      <c r="Y69" s="27">
        <f>[1]!thsiFinD("ths_pb_mrq_usk",Y$6,$A69)</f>
        <v>1.4646535504886</v>
      </c>
      <c r="Z69" s="28">
        <f>[1]!thsiFinD("ths_ps_ttm_uss",Z$6,$A69,100)</f>
        <v>1.8181574316022999</v>
      </c>
      <c r="AA69" s="28">
        <f>[1]!thsiFinD("ths_ps_ttm_uss",AA$6,$A69,100)</f>
        <v>1.5090944398602999</v>
      </c>
      <c r="AB69" s="28">
        <f>[1]!thsiFinD("ths_ps_ttm_uss",AB$6,$A69,100)</f>
        <v>1.6327026613257001</v>
      </c>
      <c r="AC69" s="28">
        <f>[1]!thsiFinD("ths_ps_ttm_uss",AC$6,$A69,100)</f>
        <v>2.6530346628636998</v>
      </c>
      <c r="AD69" s="28">
        <f>[1]!thsiFinD("ths_ps_ttm_uss",AD$6,$A69,100)</f>
        <v>0.49497042216553</v>
      </c>
      <c r="AE69" s="28">
        <f>[1]!thsiFinD("ths_ps_ttm_uss",AE$6,$A69,100)</f>
        <v>1.2869165426445</v>
      </c>
      <c r="AJ69" s="44">
        <f>[1]!thsiFinD("ths_right_value_usk",AJ$6,$A69,"USD")/1000000</f>
        <v>112907.5765025</v>
      </c>
      <c r="AK69" s="44">
        <f>[1]!thsiFinD("ths_right_value_usk",AK$6,$A69,"USD")/1000000</f>
        <v>503065.68609406002</v>
      </c>
      <c r="AL69" s="44">
        <f>[1]!thsiFinD("ths_right_value_usk",AL$6,$A69,"USD")/1000000</f>
        <v>317371.27411914</v>
      </c>
      <c r="AM69" s="44">
        <f>[1]!thsiFinD("ths_right_value_usk",AM$6,$A69,"USD")/1000000</f>
        <v>59902.8696528</v>
      </c>
      <c r="AN69" s="44">
        <f>[1]!thsiFinD("ths_right_value_usk",AN$6,$A69,"USD")/1000000</f>
        <v>95477.319583619988</v>
      </c>
      <c r="AO69" s="44">
        <f>[1]!thsiFinD("ths_right_value_usk",AO$6,$A69,"USD")/1000000</f>
        <v>22482.432000000001</v>
      </c>
      <c r="AP69" s="44">
        <f>[1]!thsiFinD("ths_ev2_usk",AP$6,$A69,"USD")/1000000</f>
        <v>131129.57650249999</v>
      </c>
      <c r="AQ69" s="44">
        <f>[1]!thsiFinD("ths_ev2_usk",AQ$6,$A69,"USD")/1000000</f>
        <v>540094.68609405996</v>
      </c>
      <c r="AR69" s="44">
        <f>[1]!thsiFinD("ths_ev2_usk",AR$6,$A69,"USD")/1000000</f>
        <v>356947.27411914</v>
      </c>
      <c r="AS69" s="44">
        <f>[1]!thsiFinD("ths_ev2_usk",AS$6,$A69,"USD")/1000000</f>
        <v>64066.8696528</v>
      </c>
      <c r="AT69" s="44">
        <f>[1]!thsiFinD("ths_ev2_usk",AT$6,$A69,"USD")/1000000</f>
        <v>140157.31958362</v>
      </c>
      <c r="AU69" s="44">
        <f>[1]!thsiFinD("ths_ev2_usk",AU$6,$A69,"USD")/1000000</f>
        <v>29595.432000000001</v>
      </c>
    </row>
    <row r="70" spans="1:47" x14ac:dyDescent="0.45">
      <c r="A70" s="3"/>
      <c r="B70" s="13"/>
      <c r="H70" s="23">
        <f>[1]!thsiFinD("ths_pe_ttm_uss",B$6,$A70,100)</f>
        <v>12.763687147016</v>
      </c>
      <c r="I70" s="23">
        <f>[1]!thsiFinD("ths_pe_ttm_uss",C$6,$A70,100)</f>
        <v>16.795168633995001</v>
      </c>
      <c r="J70" s="23">
        <f>[1]!thsiFinD("ths_pe_ttm_uss",D$6,$A70,100)</f>
        <v>24.856772722363999</v>
      </c>
      <c r="K70" s="23">
        <f>[1]!thsiFinD("ths_pe_ttm_uss",E$6,$A70,100)</f>
        <v>10.832345326004001</v>
      </c>
      <c r="L70" s="23">
        <f>[1]!thsiFinD("ths_pe_ttm_uss",F$6,$A70,100)</f>
        <v>62.896784969446998</v>
      </c>
      <c r="M70" s="23">
        <f>[1]!thsiFinD("ths_pe_ttm_uss",G$6,$A70,100)</f>
        <v>8.2686399411548006</v>
      </c>
      <c r="N70" s="26">
        <f>[1]!thsiFinD("ths_ev2_to_ebitda_usk",N$6,$A70)</f>
        <v>5.6348922049976</v>
      </c>
      <c r="O70" s="26">
        <f>[1]!thsiFinD("ths_ev2_to_ebitda_usk",O$6,$A70)</f>
        <v>7.3671711761407996</v>
      </c>
      <c r="P70" s="26">
        <f>[1]!thsiFinD("ths_ev2_to_ebitda_usk",P$6,$A70)</f>
        <v>7.9697078261841998</v>
      </c>
      <c r="Q70" s="26">
        <f>[1]!thsiFinD("ths_ev2_to_ebitda_usk",Q$6,$A70)</f>
        <v>5.1401532134787997</v>
      </c>
      <c r="R70" s="26">
        <f>[1]!thsiFinD("ths_ev2_to_ebitda_usk",R$6,$A70)</f>
        <v>4.9901135608509</v>
      </c>
      <c r="S70" s="26">
        <f>[1]!thsiFinD("ths_ev2_to_ebitda_usk",S$6,$A70)</f>
        <v>4.0375759890858998</v>
      </c>
      <c r="T70" s="27">
        <f>[1]!thsiFinD("ths_pb_mrq_usk",T$6,$A70)</f>
        <v>1.7390998028819</v>
      </c>
      <c r="U70" s="27">
        <f>[1]!thsiFinD("ths_pb_mrq_usk",U$6,$A70)</f>
        <v>1.9307021622348</v>
      </c>
      <c r="V70" s="27">
        <f>[1]!thsiFinD("ths_pb_mrq_usk",V$6,$A70)</f>
        <v>1.6717565257561999</v>
      </c>
      <c r="W70" s="27">
        <f>[1]!thsiFinD("ths_pb_mrq_usk",W$6,$A70)</f>
        <v>1.9779715916394001</v>
      </c>
      <c r="X70" s="27">
        <f>[1]!thsiFinD("ths_pb_mrq_usk",X$6,$A70)</f>
        <v>1.639264466445</v>
      </c>
      <c r="Y70" s="27">
        <f>[1]!thsiFinD("ths_pb_mrq_usk",Y$6,$A70)</f>
        <v>1.4646535504886</v>
      </c>
      <c r="Z70" s="28">
        <f>[1]!thsiFinD("ths_ps_ttm_uss",Z$6,$A70,100)</f>
        <v>1.8181574316022999</v>
      </c>
      <c r="AA70" s="28">
        <f>[1]!thsiFinD("ths_ps_ttm_uss",AA$6,$A70,100)</f>
        <v>1.5090944398602999</v>
      </c>
      <c r="AB70" s="28">
        <f>[1]!thsiFinD("ths_ps_ttm_uss",AB$6,$A70,100)</f>
        <v>1.6327026613257001</v>
      </c>
      <c r="AC70" s="28">
        <f>[1]!thsiFinD("ths_ps_ttm_uss",AC$6,$A70,100)</f>
        <v>2.6530346628636998</v>
      </c>
      <c r="AD70" s="28">
        <f>[1]!thsiFinD("ths_ps_ttm_uss",AD$6,$A70,100)</f>
        <v>0.49497042216553</v>
      </c>
      <c r="AE70" s="28">
        <f>[1]!thsiFinD("ths_ps_ttm_uss",AE$6,$A70,100)</f>
        <v>1.2869165426445</v>
      </c>
      <c r="AJ70" s="44">
        <f>[1]!thsiFinD("ths_right_value_usk",AJ$6,$A70,"USD")/1000000</f>
        <v>112907.5765025</v>
      </c>
      <c r="AK70" s="44">
        <f>[1]!thsiFinD("ths_right_value_usk",AK$6,$A70,"USD")/1000000</f>
        <v>503065.68609406002</v>
      </c>
      <c r="AL70" s="44">
        <f>[1]!thsiFinD("ths_right_value_usk",AL$6,$A70,"USD")/1000000</f>
        <v>317371.27411914</v>
      </c>
      <c r="AM70" s="44">
        <f>[1]!thsiFinD("ths_right_value_usk",AM$6,$A70,"USD")/1000000</f>
        <v>59902.8696528</v>
      </c>
      <c r="AN70" s="44">
        <f>[1]!thsiFinD("ths_right_value_usk",AN$6,$A70,"USD")/1000000</f>
        <v>95477.319583619988</v>
      </c>
      <c r="AO70" s="44">
        <f>[1]!thsiFinD("ths_right_value_usk",AO$6,$A70,"USD")/1000000</f>
        <v>22482.432000000001</v>
      </c>
      <c r="AP70" s="44">
        <f>[1]!thsiFinD("ths_ev2_usk",AP$6,$A70,"USD")/1000000</f>
        <v>131129.57650249999</v>
      </c>
      <c r="AQ70" s="44">
        <f>[1]!thsiFinD("ths_ev2_usk",AQ$6,$A70,"USD")/1000000</f>
        <v>540094.68609405996</v>
      </c>
      <c r="AR70" s="44">
        <f>[1]!thsiFinD("ths_ev2_usk",AR$6,$A70,"USD")/1000000</f>
        <v>356947.27411914</v>
      </c>
      <c r="AS70" s="44">
        <f>[1]!thsiFinD("ths_ev2_usk",AS$6,$A70,"USD")/1000000</f>
        <v>64066.8696528</v>
      </c>
      <c r="AT70" s="44">
        <f>[1]!thsiFinD("ths_ev2_usk",AT$6,$A70,"USD")/1000000</f>
        <v>140157.31958362</v>
      </c>
      <c r="AU70" s="44">
        <f>[1]!thsiFinD("ths_ev2_usk",AU$6,$A70,"USD")/1000000</f>
        <v>29595.432000000001</v>
      </c>
    </row>
    <row r="71" spans="1:47" x14ac:dyDescent="0.45">
      <c r="A71" s="3"/>
      <c r="B71" s="13"/>
      <c r="H71" s="23">
        <f>[1]!thsiFinD("ths_pe_ttm_uss",B$6,$A71,100)</f>
        <v>12.763687147016</v>
      </c>
      <c r="I71" s="23">
        <f>[1]!thsiFinD("ths_pe_ttm_uss",C$6,$A71,100)</f>
        <v>16.795168633995001</v>
      </c>
      <c r="J71" s="23">
        <f>[1]!thsiFinD("ths_pe_ttm_uss",D$6,$A71,100)</f>
        <v>24.856772722363999</v>
      </c>
      <c r="K71" s="23">
        <f>[1]!thsiFinD("ths_pe_ttm_uss",E$6,$A71,100)</f>
        <v>10.832345326004001</v>
      </c>
      <c r="L71" s="23">
        <f>[1]!thsiFinD("ths_pe_ttm_uss",F$6,$A71,100)</f>
        <v>62.896784969446998</v>
      </c>
      <c r="M71" s="23">
        <f>[1]!thsiFinD("ths_pe_ttm_uss",G$6,$A71,100)</f>
        <v>8.2686399411548006</v>
      </c>
      <c r="N71" s="26">
        <f>[1]!thsiFinD("ths_ev2_to_ebitda_usk",N$6,$A71)</f>
        <v>5.6348922049976</v>
      </c>
      <c r="O71" s="26">
        <f>[1]!thsiFinD("ths_ev2_to_ebitda_usk",O$6,$A71)</f>
        <v>7.3671711761407996</v>
      </c>
      <c r="P71" s="26">
        <f>[1]!thsiFinD("ths_ev2_to_ebitda_usk",P$6,$A71)</f>
        <v>7.9697078261841998</v>
      </c>
      <c r="Q71" s="26">
        <f>[1]!thsiFinD("ths_ev2_to_ebitda_usk",Q$6,$A71)</f>
        <v>5.1401532134787997</v>
      </c>
      <c r="R71" s="26">
        <f>[1]!thsiFinD("ths_ev2_to_ebitda_usk",R$6,$A71)</f>
        <v>4.9901135608509</v>
      </c>
      <c r="S71" s="26">
        <f>[1]!thsiFinD("ths_ev2_to_ebitda_usk",S$6,$A71)</f>
        <v>4.0375759890858998</v>
      </c>
      <c r="T71" s="27">
        <f>[1]!thsiFinD("ths_pb_mrq_usk",T$6,$A71)</f>
        <v>1.7390998028819</v>
      </c>
      <c r="U71" s="27">
        <f>[1]!thsiFinD("ths_pb_mrq_usk",U$6,$A71)</f>
        <v>1.9307021622348</v>
      </c>
      <c r="V71" s="27">
        <f>[1]!thsiFinD("ths_pb_mrq_usk",V$6,$A71)</f>
        <v>1.6717565257561999</v>
      </c>
      <c r="W71" s="27">
        <f>[1]!thsiFinD("ths_pb_mrq_usk",W$6,$A71)</f>
        <v>1.9779715916394001</v>
      </c>
      <c r="X71" s="27">
        <f>[1]!thsiFinD("ths_pb_mrq_usk",X$6,$A71)</f>
        <v>1.639264466445</v>
      </c>
      <c r="Y71" s="27">
        <f>[1]!thsiFinD("ths_pb_mrq_usk",Y$6,$A71)</f>
        <v>1.4646535504886</v>
      </c>
      <c r="Z71" s="28">
        <f>[1]!thsiFinD("ths_ps_ttm_uss",Z$6,$A71,100)</f>
        <v>1.8181574316022999</v>
      </c>
      <c r="AA71" s="28">
        <f>[1]!thsiFinD("ths_ps_ttm_uss",AA$6,$A71,100)</f>
        <v>1.5090944398602999</v>
      </c>
      <c r="AB71" s="28">
        <f>[1]!thsiFinD("ths_ps_ttm_uss",AB$6,$A71,100)</f>
        <v>1.6327026613257001</v>
      </c>
      <c r="AC71" s="28">
        <f>[1]!thsiFinD("ths_ps_ttm_uss",AC$6,$A71,100)</f>
        <v>2.6530346628636998</v>
      </c>
      <c r="AD71" s="28">
        <f>[1]!thsiFinD("ths_ps_ttm_uss",AD$6,$A71,100)</f>
        <v>0.49497042216553</v>
      </c>
      <c r="AE71" s="28">
        <f>[1]!thsiFinD("ths_ps_ttm_uss",AE$6,$A71,100)</f>
        <v>1.2869165426445</v>
      </c>
      <c r="AJ71" s="44">
        <f>[1]!thsiFinD("ths_right_value_usk",AJ$6,$A71,"USD")/1000000</f>
        <v>112907.5765025</v>
      </c>
      <c r="AK71" s="44">
        <f>[1]!thsiFinD("ths_right_value_usk",AK$6,$A71,"USD")/1000000</f>
        <v>503065.68609406002</v>
      </c>
      <c r="AL71" s="44">
        <f>[1]!thsiFinD("ths_right_value_usk",AL$6,$A71,"USD")/1000000</f>
        <v>317371.27411914</v>
      </c>
      <c r="AM71" s="44">
        <f>[1]!thsiFinD("ths_right_value_usk",AM$6,$A71,"USD")/1000000</f>
        <v>59902.8696528</v>
      </c>
      <c r="AN71" s="44">
        <f>[1]!thsiFinD("ths_right_value_usk",AN$6,$A71,"USD")/1000000</f>
        <v>95477.319583619988</v>
      </c>
      <c r="AO71" s="44">
        <f>[1]!thsiFinD("ths_right_value_usk",AO$6,$A71,"USD")/1000000</f>
        <v>22482.432000000001</v>
      </c>
      <c r="AP71" s="44">
        <f>[1]!thsiFinD("ths_ev2_usk",AP$6,$A71,"USD")/1000000</f>
        <v>131129.57650249999</v>
      </c>
      <c r="AQ71" s="44">
        <f>[1]!thsiFinD("ths_ev2_usk",AQ$6,$A71,"USD")/1000000</f>
        <v>540094.68609405996</v>
      </c>
      <c r="AR71" s="44">
        <f>[1]!thsiFinD("ths_ev2_usk",AR$6,$A71,"USD")/1000000</f>
        <v>356947.27411914</v>
      </c>
      <c r="AS71" s="44">
        <f>[1]!thsiFinD("ths_ev2_usk",AS$6,$A71,"USD")/1000000</f>
        <v>64066.8696528</v>
      </c>
      <c r="AT71" s="44">
        <f>[1]!thsiFinD("ths_ev2_usk",AT$6,$A71,"USD")/1000000</f>
        <v>140157.31958362</v>
      </c>
      <c r="AU71" s="44">
        <f>[1]!thsiFinD("ths_ev2_usk",AU$6,$A71,"USD")/1000000</f>
        <v>29595.432000000001</v>
      </c>
    </row>
    <row r="72" spans="1:47" x14ac:dyDescent="0.45">
      <c r="A72" s="3"/>
      <c r="B72" s="13"/>
      <c r="H72" s="23">
        <f>[1]!thsiFinD("ths_pe_ttm_uss",B$6,$A72,100)</f>
        <v>12.763687147016</v>
      </c>
      <c r="I72" s="23">
        <f>[1]!thsiFinD("ths_pe_ttm_uss",C$6,$A72,100)</f>
        <v>16.795168633995001</v>
      </c>
      <c r="J72" s="23">
        <f>[1]!thsiFinD("ths_pe_ttm_uss",D$6,$A72,100)</f>
        <v>24.856772722363999</v>
      </c>
      <c r="K72" s="23">
        <f>[1]!thsiFinD("ths_pe_ttm_uss",E$6,$A72,100)</f>
        <v>10.832345326004001</v>
      </c>
      <c r="L72" s="23">
        <f>[1]!thsiFinD("ths_pe_ttm_uss",F$6,$A72,100)</f>
        <v>62.896784969446998</v>
      </c>
      <c r="M72" s="23">
        <f>[1]!thsiFinD("ths_pe_ttm_uss",G$6,$A72,100)</f>
        <v>8.2686399411548006</v>
      </c>
      <c r="N72" s="26">
        <f>[1]!thsiFinD("ths_ev2_to_ebitda_usk",N$6,$A72)</f>
        <v>5.6348922049976</v>
      </c>
      <c r="O72" s="26">
        <f>[1]!thsiFinD("ths_ev2_to_ebitda_usk",O$6,$A72)</f>
        <v>7.3671711761407996</v>
      </c>
      <c r="P72" s="26">
        <f>[1]!thsiFinD("ths_ev2_to_ebitda_usk",P$6,$A72)</f>
        <v>7.9697078261841998</v>
      </c>
      <c r="Q72" s="26">
        <f>[1]!thsiFinD("ths_ev2_to_ebitda_usk",Q$6,$A72)</f>
        <v>5.1401532134787997</v>
      </c>
      <c r="R72" s="26">
        <f>[1]!thsiFinD("ths_ev2_to_ebitda_usk",R$6,$A72)</f>
        <v>4.9901135608509</v>
      </c>
      <c r="S72" s="26">
        <f>[1]!thsiFinD("ths_ev2_to_ebitda_usk",S$6,$A72)</f>
        <v>4.0375759890858998</v>
      </c>
      <c r="T72" s="27">
        <f>[1]!thsiFinD("ths_pb_mrq_usk",T$6,$A72)</f>
        <v>1.7390998028819</v>
      </c>
      <c r="U72" s="27">
        <f>[1]!thsiFinD("ths_pb_mrq_usk",U$6,$A72)</f>
        <v>1.9307021622348</v>
      </c>
      <c r="V72" s="27">
        <f>[1]!thsiFinD("ths_pb_mrq_usk",V$6,$A72)</f>
        <v>1.6717565257561999</v>
      </c>
      <c r="W72" s="27">
        <f>[1]!thsiFinD("ths_pb_mrq_usk",W$6,$A72)</f>
        <v>1.9779715916394001</v>
      </c>
      <c r="X72" s="27">
        <f>[1]!thsiFinD("ths_pb_mrq_usk",X$6,$A72)</f>
        <v>1.639264466445</v>
      </c>
      <c r="Y72" s="27">
        <f>[1]!thsiFinD("ths_pb_mrq_usk",Y$6,$A72)</f>
        <v>1.4646535504886</v>
      </c>
      <c r="Z72" s="28">
        <f>[1]!thsiFinD("ths_ps_ttm_uss",Z$6,$A72,100)</f>
        <v>1.8181574316022999</v>
      </c>
      <c r="AA72" s="28">
        <f>[1]!thsiFinD("ths_ps_ttm_uss",AA$6,$A72,100)</f>
        <v>1.5090944398602999</v>
      </c>
      <c r="AB72" s="28">
        <f>[1]!thsiFinD("ths_ps_ttm_uss",AB$6,$A72,100)</f>
        <v>1.6327026613257001</v>
      </c>
      <c r="AC72" s="28">
        <f>[1]!thsiFinD("ths_ps_ttm_uss",AC$6,$A72,100)</f>
        <v>2.6530346628636998</v>
      </c>
      <c r="AD72" s="28">
        <f>[1]!thsiFinD("ths_ps_ttm_uss",AD$6,$A72,100)</f>
        <v>0.49497042216553</v>
      </c>
      <c r="AE72" s="28">
        <f>[1]!thsiFinD("ths_ps_ttm_uss",AE$6,$A72,100)</f>
        <v>1.2869165426445</v>
      </c>
      <c r="AJ72" s="44">
        <f>[1]!thsiFinD("ths_right_value_usk",AJ$6,$A72,"USD")/1000000</f>
        <v>112907.5765025</v>
      </c>
      <c r="AK72" s="44">
        <f>[1]!thsiFinD("ths_right_value_usk",AK$6,$A72,"USD")/1000000</f>
        <v>503065.68609406002</v>
      </c>
      <c r="AL72" s="44">
        <f>[1]!thsiFinD("ths_right_value_usk",AL$6,$A72,"USD")/1000000</f>
        <v>317371.27411914</v>
      </c>
      <c r="AM72" s="44">
        <f>[1]!thsiFinD("ths_right_value_usk",AM$6,$A72,"USD")/1000000</f>
        <v>59902.8696528</v>
      </c>
      <c r="AN72" s="44">
        <f>[1]!thsiFinD("ths_right_value_usk",AN$6,$A72,"USD")/1000000</f>
        <v>95477.319583619988</v>
      </c>
      <c r="AO72" s="44">
        <f>[1]!thsiFinD("ths_right_value_usk",AO$6,$A72,"USD")/1000000</f>
        <v>22482.432000000001</v>
      </c>
      <c r="AP72" s="44">
        <f>[1]!thsiFinD("ths_ev2_usk",AP$6,$A72,"USD")/1000000</f>
        <v>131129.57650249999</v>
      </c>
      <c r="AQ72" s="44">
        <f>[1]!thsiFinD("ths_ev2_usk",AQ$6,$A72,"USD")/1000000</f>
        <v>540094.68609405996</v>
      </c>
      <c r="AR72" s="44">
        <f>[1]!thsiFinD("ths_ev2_usk",AR$6,$A72,"USD")/1000000</f>
        <v>356947.27411914</v>
      </c>
      <c r="AS72" s="44">
        <f>[1]!thsiFinD("ths_ev2_usk",AS$6,$A72,"USD")/1000000</f>
        <v>64066.8696528</v>
      </c>
      <c r="AT72" s="44">
        <f>[1]!thsiFinD("ths_ev2_usk",AT$6,$A72,"USD")/1000000</f>
        <v>140157.31958362</v>
      </c>
      <c r="AU72" s="44">
        <f>[1]!thsiFinD("ths_ev2_usk",AU$6,$A72,"USD")/1000000</f>
        <v>29595.432000000001</v>
      </c>
    </row>
    <row r="73" spans="1:47" x14ac:dyDescent="0.45">
      <c r="A73" s="3"/>
      <c r="B73" s="13"/>
      <c r="H73" s="23">
        <f>[1]!thsiFinD("ths_pe_ttm_uss",B$6,$A73,100)</f>
        <v>12.763687147016</v>
      </c>
      <c r="I73" s="23">
        <f>[1]!thsiFinD("ths_pe_ttm_uss",C$6,$A73,100)</f>
        <v>16.795168633995001</v>
      </c>
      <c r="J73" s="23">
        <f>[1]!thsiFinD("ths_pe_ttm_uss",D$6,$A73,100)</f>
        <v>24.856772722363999</v>
      </c>
      <c r="K73" s="23">
        <f>[1]!thsiFinD("ths_pe_ttm_uss",E$6,$A73,100)</f>
        <v>10.832345326004001</v>
      </c>
      <c r="L73" s="23">
        <f>[1]!thsiFinD("ths_pe_ttm_uss",F$6,$A73,100)</f>
        <v>62.896784969446998</v>
      </c>
      <c r="M73" s="23">
        <f>[1]!thsiFinD("ths_pe_ttm_uss",G$6,$A73,100)</f>
        <v>8.2686399411548006</v>
      </c>
      <c r="N73" s="26">
        <f>[1]!thsiFinD("ths_ev2_to_ebitda_usk",N$6,$A73)</f>
        <v>5.6348922049976</v>
      </c>
      <c r="O73" s="26">
        <f>[1]!thsiFinD("ths_ev2_to_ebitda_usk",O$6,$A73)</f>
        <v>7.3671711761407996</v>
      </c>
      <c r="P73" s="26">
        <f>[1]!thsiFinD("ths_ev2_to_ebitda_usk",P$6,$A73)</f>
        <v>7.9697078261841998</v>
      </c>
      <c r="Q73" s="26">
        <f>[1]!thsiFinD("ths_ev2_to_ebitda_usk",Q$6,$A73)</f>
        <v>5.1401532134787997</v>
      </c>
      <c r="R73" s="26">
        <f>[1]!thsiFinD("ths_ev2_to_ebitda_usk",R$6,$A73)</f>
        <v>4.9901135608509</v>
      </c>
      <c r="S73" s="26">
        <f>[1]!thsiFinD("ths_ev2_to_ebitda_usk",S$6,$A73)</f>
        <v>4.0375759890858998</v>
      </c>
      <c r="T73" s="27">
        <f>[1]!thsiFinD("ths_pb_mrq_usk",T$6,$A73)</f>
        <v>1.7390998028819</v>
      </c>
      <c r="U73" s="27">
        <f>[1]!thsiFinD("ths_pb_mrq_usk",U$6,$A73)</f>
        <v>1.9307021622348</v>
      </c>
      <c r="V73" s="27">
        <f>[1]!thsiFinD("ths_pb_mrq_usk",V$6,$A73)</f>
        <v>1.6717565257561999</v>
      </c>
      <c r="W73" s="27">
        <f>[1]!thsiFinD("ths_pb_mrq_usk",W$6,$A73)</f>
        <v>1.9779715916394001</v>
      </c>
      <c r="X73" s="27">
        <f>[1]!thsiFinD("ths_pb_mrq_usk",X$6,$A73)</f>
        <v>1.639264466445</v>
      </c>
      <c r="Y73" s="27">
        <f>[1]!thsiFinD("ths_pb_mrq_usk",Y$6,$A73)</f>
        <v>1.4646535504886</v>
      </c>
      <c r="Z73" s="28">
        <f>[1]!thsiFinD("ths_ps_ttm_uss",Z$6,$A73,100)</f>
        <v>1.8181574316022999</v>
      </c>
      <c r="AA73" s="28">
        <f>[1]!thsiFinD("ths_ps_ttm_uss",AA$6,$A73,100)</f>
        <v>1.5090944398602999</v>
      </c>
      <c r="AB73" s="28">
        <f>[1]!thsiFinD("ths_ps_ttm_uss",AB$6,$A73,100)</f>
        <v>1.6327026613257001</v>
      </c>
      <c r="AC73" s="28">
        <f>[1]!thsiFinD("ths_ps_ttm_uss",AC$6,$A73,100)</f>
        <v>2.6530346628636998</v>
      </c>
      <c r="AD73" s="28">
        <f>[1]!thsiFinD("ths_ps_ttm_uss",AD$6,$A73,100)</f>
        <v>0.49497042216553</v>
      </c>
      <c r="AE73" s="28">
        <f>[1]!thsiFinD("ths_ps_ttm_uss",AE$6,$A73,100)</f>
        <v>1.2869165426445</v>
      </c>
      <c r="AJ73" s="44">
        <f>[1]!thsiFinD("ths_right_value_usk",AJ$6,$A73,"USD")/1000000</f>
        <v>112907.5765025</v>
      </c>
      <c r="AK73" s="44">
        <f>[1]!thsiFinD("ths_right_value_usk",AK$6,$A73,"USD")/1000000</f>
        <v>503065.68609406002</v>
      </c>
      <c r="AL73" s="44">
        <f>[1]!thsiFinD("ths_right_value_usk",AL$6,$A73,"USD")/1000000</f>
        <v>317371.27411914</v>
      </c>
      <c r="AM73" s="44">
        <f>[1]!thsiFinD("ths_right_value_usk",AM$6,$A73,"USD")/1000000</f>
        <v>59902.8696528</v>
      </c>
      <c r="AN73" s="44">
        <f>[1]!thsiFinD("ths_right_value_usk",AN$6,$A73,"USD")/1000000</f>
        <v>95477.319583619988</v>
      </c>
      <c r="AO73" s="44">
        <f>[1]!thsiFinD("ths_right_value_usk",AO$6,$A73,"USD")/1000000</f>
        <v>22482.432000000001</v>
      </c>
      <c r="AP73" s="44">
        <f>[1]!thsiFinD("ths_ev2_usk",AP$6,$A73,"USD")/1000000</f>
        <v>131129.57650249999</v>
      </c>
      <c r="AQ73" s="44">
        <f>[1]!thsiFinD("ths_ev2_usk",AQ$6,$A73,"USD")/1000000</f>
        <v>540094.68609405996</v>
      </c>
      <c r="AR73" s="44">
        <f>[1]!thsiFinD("ths_ev2_usk",AR$6,$A73,"USD")/1000000</f>
        <v>356947.27411914</v>
      </c>
      <c r="AS73" s="44">
        <f>[1]!thsiFinD("ths_ev2_usk",AS$6,$A73,"USD")/1000000</f>
        <v>64066.8696528</v>
      </c>
      <c r="AT73" s="44">
        <f>[1]!thsiFinD("ths_ev2_usk",AT$6,$A73,"USD")/1000000</f>
        <v>140157.31958362</v>
      </c>
      <c r="AU73" s="44">
        <f>[1]!thsiFinD("ths_ev2_usk",AU$6,$A73,"USD")/1000000</f>
        <v>29595.432000000001</v>
      </c>
    </row>
    <row r="74" spans="1:47" x14ac:dyDescent="0.45">
      <c r="A74" s="3"/>
      <c r="B74" s="13"/>
      <c r="H74" s="23">
        <f>[1]!thsiFinD("ths_pe_ttm_uss",B$6,$A74,100)</f>
        <v>12.763687147016</v>
      </c>
      <c r="I74" s="23">
        <f>[1]!thsiFinD("ths_pe_ttm_uss",C$6,$A74,100)</f>
        <v>16.795168633995001</v>
      </c>
      <c r="J74" s="23">
        <f>[1]!thsiFinD("ths_pe_ttm_uss",D$6,$A74,100)</f>
        <v>24.856772722363999</v>
      </c>
      <c r="K74" s="23">
        <f>[1]!thsiFinD("ths_pe_ttm_uss",E$6,$A74,100)</f>
        <v>10.832345326004001</v>
      </c>
      <c r="L74" s="23">
        <f>[1]!thsiFinD("ths_pe_ttm_uss",F$6,$A74,100)</f>
        <v>62.896784969446998</v>
      </c>
      <c r="M74" s="23">
        <f>[1]!thsiFinD("ths_pe_ttm_uss",G$6,$A74,100)</f>
        <v>8.2686399411548006</v>
      </c>
      <c r="N74" s="26">
        <f>[1]!thsiFinD("ths_ev2_to_ebitda_usk",N$6,$A74)</f>
        <v>5.6348922049976</v>
      </c>
      <c r="O74" s="26">
        <f>[1]!thsiFinD("ths_ev2_to_ebitda_usk",O$6,$A74)</f>
        <v>7.3671711761407996</v>
      </c>
      <c r="P74" s="26">
        <f>[1]!thsiFinD("ths_ev2_to_ebitda_usk",P$6,$A74)</f>
        <v>7.9697078261841998</v>
      </c>
      <c r="Q74" s="26">
        <f>[1]!thsiFinD("ths_ev2_to_ebitda_usk",Q$6,$A74)</f>
        <v>5.1401532134787997</v>
      </c>
      <c r="R74" s="26">
        <f>[1]!thsiFinD("ths_ev2_to_ebitda_usk",R$6,$A74)</f>
        <v>4.9901135608509</v>
      </c>
      <c r="S74" s="26">
        <f>[1]!thsiFinD("ths_ev2_to_ebitda_usk",S$6,$A74)</f>
        <v>4.0375759890858998</v>
      </c>
      <c r="T74" s="27">
        <f>[1]!thsiFinD("ths_pb_mrq_usk",T$6,$A74)</f>
        <v>1.7390998028819</v>
      </c>
      <c r="U74" s="27">
        <f>[1]!thsiFinD("ths_pb_mrq_usk",U$6,$A74)</f>
        <v>1.9307021622348</v>
      </c>
      <c r="V74" s="27">
        <f>[1]!thsiFinD("ths_pb_mrq_usk",V$6,$A74)</f>
        <v>1.6717565257561999</v>
      </c>
      <c r="W74" s="27">
        <f>[1]!thsiFinD("ths_pb_mrq_usk",W$6,$A74)</f>
        <v>1.9779715916394001</v>
      </c>
      <c r="X74" s="27">
        <f>[1]!thsiFinD("ths_pb_mrq_usk",X$6,$A74)</f>
        <v>1.639264466445</v>
      </c>
      <c r="Y74" s="27">
        <f>[1]!thsiFinD("ths_pb_mrq_usk",Y$6,$A74)</f>
        <v>1.4646535504886</v>
      </c>
      <c r="Z74" s="28">
        <f>[1]!thsiFinD("ths_ps_ttm_uss",Z$6,$A74,100)</f>
        <v>1.8181574316022999</v>
      </c>
      <c r="AA74" s="28">
        <f>[1]!thsiFinD("ths_ps_ttm_uss",AA$6,$A74,100)</f>
        <v>1.5090944398602999</v>
      </c>
      <c r="AB74" s="28">
        <f>[1]!thsiFinD("ths_ps_ttm_uss",AB$6,$A74,100)</f>
        <v>1.6327026613257001</v>
      </c>
      <c r="AC74" s="28">
        <f>[1]!thsiFinD("ths_ps_ttm_uss",AC$6,$A74,100)</f>
        <v>2.6530346628636998</v>
      </c>
      <c r="AD74" s="28">
        <f>[1]!thsiFinD("ths_ps_ttm_uss",AD$6,$A74,100)</f>
        <v>0.49497042216553</v>
      </c>
      <c r="AE74" s="28">
        <f>[1]!thsiFinD("ths_ps_ttm_uss",AE$6,$A74,100)</f>
        <v>1.2869165426445</v>
      </c>
      <c r="AJ74" s="44">
        <f>[1]!thsiFinD("ths_right_value_usk",AJ$6,$A74,"USD")/1000000</f>
        <v>112907.5765025</v>
      </c>
      <c r="AK74" s="44">
        <f>[1]!thsiFinD("ths_right_value_usk",AK$6,$A74,"USD")/1000000</f>
        <v>503065.68609406002</v>
      </c>
      <c r="AL74" s="44">
        <f>[1]!thsiFinD("ths_right_value_usk",AL$6,$A74,"USD")/1000000</f>
        <v>317371.27411914</v>
      </c>
      <c r="AM74" s="44">
        <f>[1]!thsiFinD("ths_right_value_usk",AM$6,$A74,"USD")/1000000</f>
        <v>59902.8696528</v>
      </c>
      <c r="AN74" s="44">
        <f>[1]!thsiFinD("ths_right_value_usk",AN$6,$A74,"USD")/1000000</f>
        <v>95477.319583619988</v>
      </c>
      <c r="AO74" s="44">
        <f>[1]!thsiFinD("ths_right_value_usk",AO$6,$A74,"USD")/1000000</f>
        <v>22482.432000000001</v>
      </c>
      <c r="AP74" s="44">
        <f>[1]!thsiFinD("ths_ev2_usk",AP$6,$A74,"USD")/1000000</f>
        <v>131129.57650249999</v>
      </c>
      <c r="AQ74" s="44">
        <f>[1]!thsiFinD("ths_ev2_usk",AQ$6,$A74,"USD")/1000000</f>
        <v>540094.68609405996</v>
      </c>
      <c r="AR74" s="44">
        <f>[1]!thsiFinD("ths_ev2_usk",AR$6,$A74,"USD")/1000000</f>
        <v>356947.27411914</v>
      </c>
      <c r="AS74" s="44">
        <f>[1]!thsiFinD("ths_ev2_usk",AS$6,$A74,"USD")/1000000</f>
        <v>64066.8696528</v>
      </c>
      <c r="AT74" s="44">
        <f>[1]!thsiFinD("ths_ev2_usk",AT$6,$A74,"USD")/1000000</f>
        <v>140157.31958362</v>
      </c>
      <c r="AU74" s="44">
        <f>[1]!thsiFinD("ths_ev2_usk",AU$6,$A74,"USD")/1000000</f>
        <v>29595.432000000001</v>
      </c>
    </row>
    <row r="75" spans="1:47" x14ac:dyDescent="0.45">
      <c r="A75" s="3"/>
      <c r="B75" s="13"/>
      <c r="H75" s="23">
        <f>[1]!thsiFinD("ths_pe_ttm_uss",B$6,$A75,100)</f>
        <v>12.763687147016</v>
      </c>
      <c r="I75" s="23">
        <f>[1]!thsiFinD("ths_pe_ttm_uss",C$6,$A75,100)</f>
        <v>16.795168633995001</v>
      </c>
      <c r="J75" s="23">
        <f>[1]!thsiFinD("ths_pe_ttm_uss",D$6,$A75,100)</f>
        <v>24.856772722363999</v>
      </c>
      <c r="K75" s="23">
        <f>[1]!thsiFinD("ths_pe_ttm_uss",E$6,$A75,100)</f>
        <v>10.832345326004001</v>
      </c>
      <c r="L75" s="23">
        <f>[1]!thsiFinD("ths_pe_ttm_uss",F$6,$A75,100)</f>
        <v>62.896784969446998</v>
      </c>
      <c r="M75" s="23">
        <f>[1]!thsiFinD("ths_pe_ttm_uss",G$6,$A75,100)</f>
        <v>8.2686399411548006</v>
      </c>
      <c r="N75" s="26">
        <f>[1]!thsiFinD("ths_ev2_to_ebitda_usk",N$6,$A75)</f>
        <v>5.6348922049976</v>
      </c>
      <c r="O75" s="26">
        <f>[1]!thsiFinD("ths_ev2_to_ebitda_usk",O$6,$A75)</f>
        <v>7.3671711761407996</v>
      </c>
      <c r="P75" s="26">
        <f>[1]!thsiFinD("ths_ev2_to_ebitda_usk",P$6,$A75)</f>
        <v>7.9697078261841998</v>
      </c>
      <c r="Q75" s="26">
        <f>[1]!thsiFinD("ths_ev2_to_ebitda_usk",Q$6,$A75)</f>
        <v>5.1401532134787997</v>
      </c>
      <c r="R75" s="26">
        <f>[1]!thsiFinD("ths_ev2_to_ebitda_usk",R$6,$A75)</f>
        <v>4.9901135608509</v>
      </c>
      <c r="S75" s="26">
        <f>[1]!thsiFinD("ths_ev2_to_ebitda_usk",S$6,$A75)</f>
        <v>4.0375759890858998</v>
      </c>
      <c r="T75" s="27">
        <f>[1]!thsiFinD("ths_pb_mrq_usk",T$6,$A75)</f>
        <v>1.7390998028819</v>
      </c>
      <c r="U75" s="27">
        <f>[1]!thsiFinD("ths_pb_mrq_usk",U$6,$A75)</f>
        <v>1.9307021622348</v>
      </c>
      <c r="V75" s="27">
        <f>[1]!thsiFinD("ths_pb_mrq_usk",V$6,$A75)</f>
        <v>1.6717565257561999</v>
      </c>
      <c r="W75" s="27">
        <f>[1]!thsiFinD("ths_pb_mrq_usk",W$6,$A75)</f>
        <v>1.9779715916394001</v>
      </c>
      <c r="X75" s="27">
        <f>[1]!thsiFinD("ths_pb_mrq_usk",X$6,$A75)</f>
        <v>1.639264466445</v>
      </c>
      <c r="Y75" s="27">
        <f>[1]!thsiFinD("ths_pb_mrq_usk",Y$6,$A75)</f>
        <v>1.4646535504886</v>
      </c>
      <c r="Z75" s="28">
        <f>[1]!thsiFinD("ths_ps_ttm_uss",Z$6,$A75,100)</f>
        <v>1.8181574316022999</v>
      </c>
      <c r="AA75" s="28">
        <f>[1]!thsiFinD("ths_ps_ttm_uss",AA$6,$A75,100)</f>
        <v>1.5090944398602999</v>
      </c>
      <c r="AB75" s="28">
        <f>[1]!thsiFinD("ths_ps_ttm_uss",AB$6,$A75,100)</f>
        <v>1.6327026613257001</v>
      </c>
      <c r="AC75" s="28">
        <f>[1]!thsiFinD("ths_ps_ttm_uss",AC$6,$A75,100)</f>
        <v>2.6530346628636998</v>
      </c>
      <c r="AD75" s="28">
        <f>[1]!thsiFinD("ths_ps_ttm_uss",AD$6,$A75,100)</f>
        <v>0.49497042216553</v>
      </c>
      <c r="AE75" s="28">
        <f>[1]!thsiFinD("ths_ps_ttm_uss",AE$6,$A75,100)</f>
        <v>1.2869165426445</v>
      </c>
      <c r="AJ75" s="44">
        <f>[1]!thsiFinD("ths_right_value_usk",AJ$6,$A75,"USD")/1000000</f>
        <v>112907.5765025</v>
      </c>
      <c r="AK75" s="44">
        <f>[1]!thsiFinD("ths_right_value_usk",AK$6,$A75,"USD")/1000000</f>
        <v>503065.68609406002</v>
      </c>
      <c r="AL75" s="44">
        <f>[1]!thsiFinD("ths_right_value_usk",AL$6,$A75,"USD")/1000000</f>
        <v>317371.27411914</v>
      </c>
      <c r="AM75" s="44">
        <f>[1]!thsiFinD("ths_right_value_usk",AM$6,$A75,"USD")/1000000</f>
        <v>59902.8696528</v>
      </c>
      <c r="AN75" s="44">
        <f>[1]!thsiFinD("ths_right_value_usk",AN$6,$A75,"USD")/1000000</f>
        <v>95477.319583619988</v>
      </c>
      <c r="AO75" s="44">
        <f>[1]!thsiFinD("ths_right_value_usk",AO$6,$A75,"USD")/1000000</f>
        <v>22482.432000000001</v>
      </c>
      <c r="AP75" s="44">
        <f>[1]!thsiFinD("ths_ev2_usk",AP$6,$A75,"USD")/1000000</f>
        <v>131129.57650249999</v>
      </c>
      <c r="AQ75" s="44">
        <f>[1]!thsiFinD("ths_ev2_usk",AQ$6,$A75,"USD")/1000000</f>
        <v>540094.68609405996</v>
      </c>
      <c r="AR75" s="44">
        <f>[1]!thsiFinD("ths_ev2_usk",AR$6,$A75,"USD")/1000000</f>
        <v>356947.27411914</v>
      </c>
      <c r="AS75" s="44">
        <f>[1]!thsiFinD("ths_ev2_usk",AS$6,$A75,"USD")/1000000</f>
        <v>64066.8696528</v>
      </c>
      <c r="AT75" s="44">
        <f>[1]!thsiFinD("ths_ev2_usk",AT$6,$A75,"USD")/1000000</f>
        <v>140157.31958362</v>
      </c>
      <c r="AU75" s="44">
        <f>[1]!thsiFinD("ths_ev2_usk",AU$6,$A75,"USD")/1000000</f>
        <v>29595.432000000001</v>
      </c>
    </row>
    <row r="76" spans="1:47" x14ac:dyDescent="0.45">
      <c r="A76" s="3"/>
      <c r="B76" s="13"/>
      <c r="H76" s="23">
        <f>[1]!thsiFinD("ths_pe_ttm_uss",B$6,$A76,100)</f>
        <v>12.763687147016</v>
      </c>
      <c r="I76" s="23">
        <f>[1]!thsiFinD("ths_pe_ttm_uss",C$6,$A76,100)</f>
        <v>16.795168633995001</v>
      </c>
      <c r="J76" s="23">
        <f>[1]!thsiFinD("ths_pe_ttm_uss",D$6,$A76,100)</f>
        <v>24.856772722363999</v>
      </c>
      <c r="K76" s="23">
        <f>[1]!thsiFinD("ths_pe_ttm_uss",E$6,$A76,100)</f>
        <v>10.832345326004001</v>
      </c>
      <c r="L76" s="23">
        <f>[1]!thsiFinD("ths_pe_ttm_uss",F$6,$A76,100)</f>
        <v>62.896784969446998</v>
      </c>
      <c r="M76" s="23">
        <f>[1]!thsiFinD("ths_pe_ttm_uss",G$6,$A76,100)</f>
        <v>8.2686399411548006</v>
      </c>
      <c r="N76" s="26">
        <f>[1]!thsiFinD("ths_ev2_to_ebitda_usk",N$6,$A76)</f>
        <v>5.6348922049976</v>
      </c>
      <c r="O76" s="26">
        <f>[1]!thsiFinD("ths_ev2_to_ebitda_usk",O$6,$A76)</f>
        <v>7.3671711761407996</v>
      </c>
      <c r="P76" s="26">
        <f>[1]!thsiFinD("ths_ev2_to_ebitda_usk",P$6,$A76)</f>
        <v>7.9697078261841998</v>
      </c>
      <c r="Q76" s="26">
        <f>[1]!thsiFinD("ths_ev2_to_ebitda_usk",Q$6,$A76)</f>
        <v>5.1401532134787997</v>
      </c>
      <c r="R76" s="26">
        <f>[1]!thsiFinD("ths_ev2_to_ebitda_usk",R$6,$A76)</f>
        <v>4.9901135608509</v>
      </c>
      <c r="S76" s="26">
        <f>[1]!thsiFinD("ths_ev2_to_ebitda_usk",S$6,$A76)</f>
        <v>4.0375759890858998</v>
      </c>
      <c r="T76" s="27">
        <f>[1]!thsiFinD("ths_pb_mrq_usk",T$6,$A76)</f>
        <v>1.7390998028819</v>
      </c>
      <c r="U76" s="27">
        <f>[1]!thsiFinD("ths_pb_mrq_usk",U$6,$A76)</f>
        <v>1.9307021622348</v>
      </c>
      <c r="V76" s="27">
        <f>[1]!thsiFinD("ths_pb_mrq_usk",V$6,$A76)</f>
        <v>1.6717565257561999</v>
      </c>
      <c r="W76" s="27">
        <f>[1]!thsiFinD("ths_pb_mrq_usk",W$6,$A76)</f>
        <v>1.9779715916394001</v>
      </c>
      <c r="X76" s="27">
        <f>[1]!thsiFinD("ths_pb_mrq_usk",X$6,$A76)</f>
        <v>1.639264466445</v>
      </c>
      <c r="Y76" s="27">
        <f>[1]!thsiFinD("ths_pb_mrq_usk",Y$6,$A76)</f>
        <v>1.4646535504886</v>
      </c>
      <c r="Z76" s="28">
        <f>[1]!thsiFinD("ths_ps_ttm_uss",Z$6,$A76,100)</f>
        <v>1.8181574316022999</v>
      </c>
      <c r="AA76" s="28">
        <f>[1]!thsiFinD("ths_ps_ttm_uss",AA$6,$A76,100)</f>
        <v>1.5090944398602999</v>
      </c>
      <c r="AB76" s="28">
        <f>[1]!thsiFinD("ths_ps_ttm_uss",AB$6,$A76,100)</f>
        <v>1.6327026613257001</v>
      </c>
      <c r="AC76" s="28">
        <f>[1]!thsiFinD("ths_ps_ttm_uss",AC$6,$A76,100)</f>
        <v>2.6530346628636998</v>
      </c>
      <c r="AD76" s="28">
        <f>[1]!thsiFinD("ths_ps_ttm_uss",AD$6,$A76,100)</f>
        <v>0.49497042216553</v>
      </c>
      <c r="AE76" s="28">
        <f>[1]!thsiFinD("ths_ps_ttm_uss",AE$6,$A76,100)</f>
        <v>1.2869165426445</v>
      </c>
      <c r="AJ76" s="44">
        <f>[1]!thsiFinD("ths_right_value_usk",AJ$6,$A76,"USD")/1000000</f>
        <v>112907.5765025</v>
      </c>
      <c r="AK76" s="44">
        <f>[1]!thsiFinD("ths_right_value_usk",AK$6,$A76,"USD")/1000000</f>
        <v>503065.68609406002</v>
      </c>
      <c r="AL76" s="44">
        <f>[1]!thsiFinD("ths_right_value_usk",AL$6,$A76,"USD")/1000000</f>
        <v>317371.27411914</v>
      </c>
      <c r="AM76" s="44">
        <f>[1]!thsiFinD("ths_right_value_usk",AM$6,$A76,"USD")/1000000</f>
        <v>59902.8696528</v>
      </c>
      <c r="AN76" s="44">
        <f>[1]!thsiFinD("ths_right_value_usk",AN$6,$A76,"USD")/1000000</f>
        <v>95477.319583619988</v>
      </c>
      <c r="AO76" s="44">
        <f>[1]!thsiFinD("ths_right_value_usk",AO$6,$A76,"USD")/1000000</f>
        <v>22482.432000000001</v>
      </c>
      <c r="AP76" s="44">
        <f>[1]!thsiFinD("ths_ev2_usk",AP$6,$A76,"USD")/1000000</f>
        <v>131129.57650249999</v>
      </c>
      <c r="AQ76" s="44">
        <f>[1]!thsiFinD("ths_ev2_usk",AQ$6,$A76,"USD")/1000000</f>
        <v>540094.68609405996</v>
      </c>
      <c r="AR76" s="44">
        <f>[1]!thsiFinD("ths_ev2_usk",AR$6,$A76,"USD")/1000000</f>
        <v>356947.27411914</v>
      </c>
      <c r="AS76" s="44">
        <f>[1]!thsiFinD("ths_ev2_usk",AS$6,$A76,"USD")/1000000</f>
        <v>64066.8696528</v>
      </c>
      <c r="AT76" s="44">
        <f>[1]!thsiFinD("ths_ev2_usk",AT$6,$A76,"USD")/1000000</f>
        <v>140157.31958362</v>
      </c>
      <c r="AU76" s="44">
        <f>[1]!thsiFinD("ths_ev2_usk",AU$6,$A76,"USD")/1000000</f>
        <v>29595.432000000001</v>
      </c>
    </row>
    <row r="77" spans="1:47" x14ac:dyDescent="0.45">
      <c r="A77" s="3"/>
      <c r="B77" s="13"/>
      <c r="H77" s="23">
        <f>[1]!thsiFinD("ths_pe_ttm_uss",B$6,$A77,100)</f>
        <v>12.763687147016</v>
      </c>
      <c r="I77" s="23">
        <f>[1]!thsiFinD("ths_pe_ttm_uss",C$6,$A77,100)</f>
        <v>16.795168633995001</v>
      </c>
      <c r="J77" s="23">
        <f>[1]!thsiFinD("ths_pe_ttm_uss",D$6,$A77,100)</f>
        <v>24.856772722363999</v>
      </c>
      <c r="K77" s="23">
        <f>[1]!thsiFinD("ths_pe_ttm_uss",E$6,$A77,100)</f>
        <v>10.832345326004001</v>
      </c>
      <c r="L77" s="23">
        <f>[1]!thsiFinD("ths_pe_ttm_uss",F$6,$A77,100)</f>
        <v>62.896784969446998</v>
      </c>
      <c r="M77" s="23">
        <f>[1]!thsiFinD("ths_pe_ttm_uss",G$6,$A77,100)</f>
        <v>8.2686399411548006</v>
      </c>
      <c r="N77" s="26">
        <f>[1]!thsiFinD("ths_ev2_to_ebitda_usk",N$6,$A77)</f>
        <v>5.6348922049976</v>
      </c>
      <c r="O77" s="26">
        <f>[1]!thsiFinD("ths_ev2_to_ebitda_usk",O$6,$A77)</f>
        <v>7.3671711761407996</v>
      </c>
      <c r="P77" s="26">
        <f>[1]!thsiFinD("ths_ev2_to_ebitda_usk",P$6,$A77)</f>
        <v>7.9697078261841998</v>
      </c>
      <c r="Q77" s="26">
        <f>[1]!thsiFinD("ths_ev2_to_ebitda_usk",Q$6,$A77)</f>
        <v>5.1401532134787997</v>
      </c>
      <c r="R77" s="26">
        <f>[1]!thsiFinD("ths_ev2_to_ebitda_usk",R$6,$A77)</f>
        <v>4.9901135608509</v>
      </c>
      <c r="S77" s="26">
        <f>[1]!thsiFinD("ths_ev2_to_ebitda_usk",S$6,$A77)</f>
        <v>4.0375759890858998</v>
      </c>
      <c r="T77" s="27">
        <f>[1]!thsiFinD("ths_pb_mrq_usk",T$6,$A77)</f>
        <v>1.7390998028819</v>
      </c>
      <c r="U77" s="27">
        <f>[1]!thsiFinD("ths_pb_mrq_usk",U$6,$A77)</f>
        <v>1.9307021622348</v>
      </c>
      <c r="V77" s="27">
        <f>[1]!thsiFinD("ths_pb_mrq_usk",V$6,$A77)</f>
        <v>1.6717565257561999</v>
      </c>
      <c r="W77" s="27">
        <f>[1]!thsiFinD("ths_pb_mrq_usk",W$6,$A77)</f>
        <v>1.9779715916394001</v>
      </c>
      <c r="X77" s="27">
        <f>[1]!thsiFinD("ths_pb_mrq_usk",X$6,$A77)</f>
        <v>1.639264466445</v>
      </c>
      <c r="Y77" s="27">
        <f>[1]!thsiFinD("ths_pb_mrq_usk",Y$6,$A77)</f>
        <v>1.4646535504886</v>
      </c>
      <c r="Z77" s="28">
        <f>[1]!thsiFinD("ths_ps_ttm_uss",Z$6,$A77,100)</f>
        <v>1.8181574316022999</v>
      </c>
      <c r="AA77" s="28">
        <f>[1]!thsiFinD("ths_ps_ttm_uss",AA$6,$A77,100)</f>
        <v>1.5090944398602999</v>
      </c>
      <c r="AB77" s="28">
        <f>[1]!thsiFinD("ths_ps_ttm_uss",AB$6,$A77,100)</f>
        <v>1.6327026613257001</v>
      </c>
      <c r="AC77" s="28">
        <f>[1]!thsiFinD("ths_ps_ttm_uss",AC$6,$A77,100)</f>
        <v>2.6530346628636998</v>
      </c>
      <c r="AD77" s="28">
        <f>[1]!thsiFinD("ths_ps_ttm_uss",AD$6,$A77,100)</f>
        <v>0.49497042216553</v>
      </c>
      <c r="AE77" s="28">
        <f>[1]!thsiFinD("ths_ps_ttm_uss",AE$6,$A77,100)</f>
        <v>1.2869165426445</v>
      </c>
      <c r="AJ77" s="44">
        <f>[1]!thsiFinD("ths_right_value_usk",AJ$6,$A77,"USD")/1000000</f>
        <v>112907.5765025</v>
      </c>
      <c r="AK77" s="44">
        <f>[1]!thsiFinD("ths_right_value_usk",AK$6,$A77,"USD")/1000000</f>
        <v>503065.68609406002</v>
      </c>
      <c r="AL77" s="44">
        <f>[1]!thsiFinD("ths_right_value_usk",AL$6,$A77,"USD")/1000000</f>
        <v>317371.27411914</v>
      </c>
      <c r="AM77" s="44">
        <f>[1]!thsiFinD("ths_right_value_usk",AM$6,$A77,"USD")/1000000</f>
        <v>59902.8696528</v>
      </c>
      <c r="AN77" s="44">
        <f>[1]!thsiFinD("ths_right_value_usk",AN$6,$A77,"USD")/1000000</f>
        <v>95477.319583619988</v>
      </c>
      <c r="AO77" s="44">
        <f>[1]!thsiFinD("ths_right_value_usk",AO$6,$A77,"USD")/1000000</f>
        <v>22482.432000000001</v>
      </c>
      <c r="AP77" s="44">
        <f>[1]!thsiFinD("ths_ev2_usk",AP$6,$A77,"USD")/1000000</f>
        <v>131129.57650249999</v>
      </c>
      <c r="AQ77" s="44">
        <f>[1]!thsiFinD("ths_ev2_usk",AQ$6,$A77,"USD")/1000000</f>
        <v>540094.68609405996</v>
      </c>
      <c r="AR77" s="44">
        <f>[1]!thsiFinD("ths_ev2_usk",AR$6,$A77,"USD")/1000000</f>
        <v>356947.27411914</v>
      </c>
      <c r="AS77" s="44">
        <f>[1]!thsiFinD("ths_ev2_usk",AS$6,$A77,"USD")/1000000</f>
        <v>64066.8696528</v>
      </c>
      <c r="AT77" s="44">
        <f>[1]!thsiFinD("ths_ev2_usk",AT$6,$A77,"USD")/1000000</f>
        <v>140157.31958362</v>
      </c>
      <c r="AU77" s="44">
        <f>[1]!thsiFinD("ths_ev2_usk",AU$6,$A77,"USD")/1000000</f>
        <v>29595.432000000001</v>
      </c>
    </row>
    <row r="78" spans="1:47" x14ac:dyDescent="0.45">
      <c r="A78" s="3"/>
      <c r="B78" s="13"/>
      <c r="H78" s="23">
        <f>[1]!thsiFinD("ths_pe_ttm_uss",B$6,$A78,100)</f>
        <v>12.763687147016</v>
      </c>
      <c r="I78" s="23">
        <f>[1]!thsiFinD("ths_pe_ttm_uss",C$6,$A78,100)</f>
        <v>16.795168633995001</v>
      </c>
      <c r="J78" s="23">
        <f>[1]!thsiFinD("ths_pe_ttm_uss",D$6,$A78,100)</f>
        <v>24.856772722363999</v>
      </c>
      <c r="K78" s="23">
        <f>[1]!thsiFinD("ths_pe_ttm_uss",E$6,$A78,100)</f>
        <v>10.832345326004001</v>
      </c>
      <c r="L78" s="23">
        <f>[1]!thsiFinD("ths_pe_ttm_uss",F$6,$A78,100)</f>
        <v>62.896784969446998</v>
      </c>
      <c r="M78" s="23">
        <f>[1]!thsiFinD("ths_pe_ttm_uss",G$6,$A78,100)</f>
        <v>8.2686399411548006</v>
      </c>
      <c r="N78" s="26">
        <f>[1]!thsiFinD("ths_ev2_to_ebitda_usk",N$6,$A78)</f>
        <v>5.6348922049976</v>
      </c>
      <c r="O78" s="26">
        <f>[1]!thsiFinD("ths_ev2_to_ebitda_usk",O$6,$A78)</f>
        <v>7.3671711761407996</v>
      </c>
      <c r="P78" s="26">
        <f>[1]!thsiFinD("ths_ev2_to_ebitda_usk",P$6,$A78)</f>
        <v>7.9697078261841998</v>
      </c>
      <c r="Q78" s="26">
        <f>[1]!thsiFinD("ths_ev2_to_ebitda_usk",Q$6,$A78)</f>
        <v>5.1401532134787997</v>
      </c>
      <c r="R78" s="26">
        <f>[1]!thsiFinD("ths_ev2_to_ebitda_usk",R$6,$A78)</f>
        <v>4.9901135608509</v>
      </c>
      <c r="S78" s="26">
        <f>[1]!thsiFinD("ths_ev2_to_ebitda_usk",S$6,$A78)</f>
        <v>4.0375759890858998</v>
      </c>
      <c r="T78" s="27">
        <f>[1]!thsiFinD("ths_pb_mrq_usk",T$6,$A78)</f>
        <v>1.7390998028819</v>
      </c>
      <c r="U78" s="27">
        <f>[1]!thsiFinD("ths_pb_mrq_usk",U$6,$A78)</f>
        <v>1.9307021622348</v>
      </c>
      <c r="V78" s="27">
        <f>[1]!thsiFinD("ths_pb_mrq_usk",V$6,$A78)</f>
        <v>1.6717565257561999</v>
      </c>
      <c r="W78" s="27">
        <f>[1]!thsiFinD("ths_pb_mrq_usk",W$6,$A78)</f>
        <v>1.9779715916394001</v>
      </c>
      <c r="X78" s="27">
        <f>[1]!thsiFinD("ths_pb_mrq_usk",X$6,$A78)</f>
        <v>1.639264466445</v>
      </c>
      <c r="Y78" s="27">
        <f>[1]!thsiFinD("ths_pb_mrq_usk",Y$6,$A78)</f>
        <v>1.4646535504886</v>
      </c>
      <c r="Z78" s="28">
        <f>[1]!thsiFinD("ths_ps_ttm_uss",Z$6,$A78,100)</f>
        <v>1.8181574316022999</v>
      </c>
      <c r="AA78" s="28">
        <f>[1]!thsiFinD("ths_ps_ttm_uss",AA$6,$A78,100)</f>
        <v>1.5090944398602999</v>
      </c>
      <c r="AB78" s="28">
        <f>[1]!thsiFinD("ths_ps_ttm_uss",AB$6,$A78,100)</f>
        <v>1.6327026613257001</v>
      </c>
      <c r="AC78" s="28">
        <f>[1]!thsiFinD("ths_ps_ttm_uss",AC$6,$A78,100)</f>
        <v>2.6530346628636998</v>
      </c>
      <c r="AD78" s="28">
        <f>[1]!thsiFinD("ths_ps_ttm_uss",AD$6,$A78,100)</f>
        <v>0.49497042216553</v>
      </c>
      <c r="AE78" s="28">
        <f>[1]!thsiFinD("ths_ps_ttm_uss",AE$6,$A78,100)</f>
        <v>1.2869165426445</v>
      </c>
      <c r="AJ78" s="44">
        <f>[1]!thsiFinD("ths_right_value_usk",AJ$6,$A78,"USD")/1000000</f>
        <v>112907.5765025</v>
      </c>
      <c r="AK78" s="44">
        <f>[1]!thsiFinD("ths_right_value_usk",AK$6,$A78,"USD")/1000000</f>
        <v>503065.68609406002</v>
      </c>
      <c r="AL78" s="44">
        <f>[1]!thsiFinD("ths_right_value_usk",AL$6,$A78,"USD")/1000000</f>
        <v>317371.27411914</v>
      </c>
      <c r="AM78" s="44">
        <f>[1]!thsiFinD("ths_right_value_usk",AM$6,$A78,"USD")/1000000</f>
        <v>59902.8696528</v>
      </c>
      <c r="AN78" s="44">
        <f>[1]!thsiFinD("ths_right_value_usk",AN$6,$A78,"USD")/1000000</f>
        <v>95477.319583619988</v>
      </c>
      <c r="AO78" s="44">
        <f>[1]!thsiFinD("ths_right_value_usk",AO$6,$A78,"USD")/1000000</f>
        <v>22482.432000000001</v>
      </c>
      <c r="AP78" s="44">
        <f>[1]!thsiFinD("ths_ev2_usk",AP$6,$A78,"USD")/1000000</f>
        <v>131129.57650249999</v>
      </c>
      <c r="AQ78" s="44">
        <f>[1]!thsiFinD("ths_ev2_usk",AQ$6,$A78,"USD")/1000000</f>
        <v>540094.68609405996</v>
      </c>
      <c r="AR78" s="44">
        <f>[1]!thsiFinD("ths_ev2_usk",AR$6,$A78,"USD")/1000000</f>
        <v>356947.27411914</v>
      </c>
      <c r="AS78" s="44">
        <f>[1]!thsiFinD("ths_ev2_usk",AS$6,$A78,"USD")/1000000</f>
        <v>64066.8696528</v>
      </c>
      <c r="AT78" s="44">
        <f>[1]!thsiFinD("ths_ev2_usk",AT$6,$A78,"USD")/1000000</f>
        <v>140157.31958362</v>
      </c>
      <c r="AU78" s="44">
        <f>[1]!thsiFinD("ths_ev2_usk",AU$6,$A78,"USD")/1000000</f>
        <v>29595.432000000001</v>
      </c>
    </row>
    <row r="79" spans="1:47" x14ac:dyDescent="0.45">
      <c r="A79" s="3"/>
      <c r="B79" s="13"/>
      <c r="H79" s="23">
        <f>[1]!thsiFinD("ths_pe_ttm_uss",B$6,$A79,100)</f>
        <v>12.763687147016</v>
      </c>
      <c r="I79" s="23">
        <f>[1]!thsiFinD("ths_pe_ttm_uss",C$6,$A79,100)</f>
        <v>16.795168633995001</v>
      </c>
      <c r="J79" s="23">
        <f>[1]!thsiFinD("ths_pe_ttm_uss",D$6,$A79,100)</f>
        <v>24.856772722363999</v>
      </c>
      <c r="K79" s="23">
        <f>[1]!thsiFinD("ths_pe_ttm_uss",E$6,$A79,100)</f>
        <v>10.832345326004001</v>
      </c>
      <c r="L79" s="23">
        <f>[1]!thsiFinD("ths_pe_ttm_uss",F$6,$A79,100)</f>
        <v>62.896784969446998</v>
      </c>
      <c r="M79" s="23">
        <f>[1]!thsiFinD("ths_pe_ttm_uss",G$6,$A79,100)</f>
        <v>8.2686399411548006</v>
      </c>
      <c r="N79" s="26">
        <f>[1]!thsiFinD("ths_ev2_to_ebitda_usk",N$6,$A79)</f>
        <v>5.6348922049976</v>
      </c>
      <c r="O79" s="26">
        <f>[1]!thsiFinD("ths_ev2_to_ebitda_usk",O$6,$A79)</f>
        <v>7.3671711761407996</v>
      </c>
      <c r="P79" s="26">
        <f>[1]!thsiFinD("ths_ev2_to_ebitda_usk",P$6,$A79)</f>
        <v>7.9697078261841998</v>
      </c>
      <c r="Q79" s="26">
        <f>[1]!thsiFinD("ths_ev2_to_ebitda_usk",Q$6,$A79)</f>
        <v>5.1401532134787997</v>
      </c>
      <c r="R79" s="26">
        <f>[1]!thsiFinD("ths_ev2_to_ebitda_usk",R$6,$A79)</f>
        <v>4.9901135608509</v>
      </c>
      <c r="S79" s="26">
        <f>[1]!thsiFinD("ths_ev2_to_ebitda_usk",S$6,$A79)</f>
        <v>4.0375759890858998</v>
      </c>
      <c r="T79" s="27">
        <f>[1]!thsiFinD("ths_pb_mrq_usk",T$6,$A79)</f>
        <v>1.7390998028819</v>
      </c>
      <c r="U79" s="27">
        <f>[1]!thsiFinD("ths_pb_mrq_usk",U$6,$A79)</f>
        <v>1.9307021622348</v>
      </c>
      <c r="V79" s="27">
        <f>[1]!thsiFinD("ths_pb_mrq_usk",V$6,$A79)</f>
        <v>1.6717565257561999</v>
      </c>
      <c r="W79" s="27">
        <f>[1]!thsiFinD("ths_pb_mrq_usk",W$6,$A79)</f>
        <v>1.9779715916394001</v>
      </c>
      <c r="X79" s="27">
        <f>[1]!thsiFinD("ths_pb_mrq_usk",X$6,$A79)</f>
        <v>1.639264466445</v>
      </c>
      <c r="Y79" s="27">
        <f>[1]!thsiFinD("ths_pb_mrq_usk",Y$6,$A79)</f>
        <v>1.4646535504886</v>
      </c>
      <c r="Z79" s="28">
        <f>[1]!thsiFinD("ths_ps_ttm_uss",Z$6,$A79,100)</f>
        <v>1.8181574316022999</v>
      </c>
      <c r="AA79" s="28">
        <f>[1]!thsiFinD("ths_ps_ttm_uss",AA$6,$A79,100)</f>
        <v>1.5090944398602999</v>
      </c>
      <c r="AB79" s="28">
        <f>[1]!thsiFinD("ths_ps_ttm_uss",AB$6,$A79,100)</f>
        <v>1.6327026613257001</v>
      </c>
      <c r="AC79" s="28">
        <f>[1]!thsiFinD("ths_ps_ttm_uss",AC$6,$A79,100)</f>
        <v>2.6530346628636998</v>
      </c>
      <c r="AD79" s="28">
        <f>[1]!thsiFinD("ths_ps_ttm_uss",AD$6,$A79,100)</f>
        <v>0.49497042216553</v>
      </c>
      <c r="AE79" s="28">
        <f>[1]!thsiFinD("ths_ps_ttm_uss",AE$6,$A79,100)</f>
        <v>1.2869165426445</v>
      </c>
      <c r="AJ79" s="44">
        <f>[1]!thsiFinD("ths_right_value_usk",AJ$6,$A79,"USD")/1000000</f>
        <v>112907.5765025</v>
      </c>
      <c r="AK79" s="44">
        <f>[1]!thsiFinD("ths_right_value_usk",AK$6,$A79,"USD")/1000000</f>
        <v>503065.68609406002</v>
      </c>
      <c r="AL79" s="44">
        <f>[1]!thsiFinD("ths_right_value_usk",AL$6,$A79,"USD")/1000000</f>
        <v>317371.27411914</v>
      </c>
      <c r="AM79" s="44">
        <f>[1]!thsiFinD("ths_right_value_usk",AM$6,$A79,"USD")/1000000</f>
        <v>59902.8696528</v>
      </c>
      <c r="AN79" s="44">
        <f>[1]!thsiFinD("ths_right_value_usk",AN$6,$A79,"USD")/1000000</f>
        <v>95477.319583619988</v>
      </c>
      <c r="AO79" s="44">
        <f>[1]!thsiFinD("ths_right_value_usk",AO$6,$A79,"USD")/1000000</f>
        <v>22482.432000000001</v>
      </c>
      <c r="AP79" s="44">
        <f>[1]!thsiFinD("ths_ev2_usk",AP$6,$A79,"USD")/1000000</f>
        <v>131129.57650249999</v>
      </c>
      <c r="AQ79" s="44">
        <f>[1]!thsiFinD("ths_ev2_usk",AQ$6,$A79,"USD")/1000000</f>
        <v>540094.68609405996</v>
      </c>
      <c r="AR79" s="44">
        <f>[1]!thsiFinD("ths_ev2_usk",AR$6,$A79,"USD")/1000000</f>
        <v>356947.27411914</v>
      </c>
      <c r="AS79" s="44">
        <f>[1]!thsiFinD("ths_ev2_usk",AS$6,$A79,"USD")/1000000</f>
        <v>64066.8696528</v>
      </c>
      <c r="AT79" s="44">
        <f>[1]!thsiFinD("ths_ev2_usk",AT$6,$A79,"USD")/1000000</f>
        <v>140157.31958362</v>
      </c>
      <c r="AU79" s="44">
        <f>[1]!thsiFinD("ths_ev2_usk",AU$6,$A79,"USD")/1000000</f>
        <v>29595.432000000001</v>
      </c>
    </row>
    <row r="80" spans="1:47" x14ac:dyDescent="0.45">
      <c r="A80" s="3"/>
      <c r="B80" s="13"/>
      <c r="H80" s="23">
        <f>[1]!thsiFinD("ths_pe_ttm_uss",B$6,$A80,100)</f>
        <v>12.763687147016</v>
      </c>
      <c r="I80" s="23">
        <f>[1]!thsiFinD("ths_pe_ttm_uss",C$6,$A80,100)</f>
        <v>16.795168633995001</v>
      </c>
      <c r="J80" s="23">
        <f>[1]!thsiFinD("ths_pe_ttm_uss",D$6,$A80,100)</f>
        <v>24.856772722363999</v>
      </c>
      <c r="K80" s="23">
        <f>[1]!thsiFinD("ths_pe_ttm_uss",E$6,$A80,100)</f>
        <v>10.832345326004001</v>
      </c>
      <c r="L80" s="23">
        <f>[1]!thsiFinD("ths_pe_ttm_uss",F$6,$A80,100)</f>
        <v>62.896784969446998</v>
      </c>
      <c r="M80" s="23">
        <f>[1]!thsiFinD("ths_pe_ttm_uss",G$6,$A80,100)</f>
        <v>8.2686399411548006</v>
      </c>
      <c r="N80" s="26">
        <f>[1]!thsiFinD("ths_ev2_to_ebitda_usk",N$6,$A80)</f>
        <v>5.6348922049976</v>
      </c>
      <c r="O80" s="26">
        <f>[1]!thsiFinD("ths_ev2_to_ebitda_usk",O$6,$A80)</f>
        <v>7.3671711761407996</v>
      </c>
      <c r="P80" s="26">
        <f>[1]!thsiFinD("ths_ev2_to_ebitda_usk",P$6,$A80)</f>
        <v>7.9697078261841998</v>
      </c>
      <c r="Q80" s="26">
        <f>[1]!thsiFinD("ths_ev2_to_ebitda_usk",Q$6,$A80)</f>
        <v>5.1401532134787997</v>
      </c>
      <c r="R80" s="26">
        <f>[1]!thsiFinD("ths_ev2_to_ebitda_usk",R$6,$A80)</f>
        <v>4.9901135608509</v>
      </c>
      <c r="S80" s="26">
        <f>[1]!thsiFinD("ths_ev2_to_ebitda_usk",S$6,$A80)</f>
        <v>4.0375759890858998</v>
      </c>
      <c r="T80" s="27">
        <f>[1]!thsiFinD("ths_pb_mrq_usk",T$6,$A80)</f>
        <v>1.7390998028819</v>
      </c>
      <c r="U80" s="27">
        <f>[1]!thsiFinD("ths_pb_mrq_usk",U$6,$A80)</f>
        <v>1.9307021622348</v>
      </c>
      <c r="V80" s="27">
        <f>[1]!thsiFinD("ths_pb_mrq_usk",V$6,$A80)</f>
        <v>1.6717565257561999</v>
      </c>
      <c r="W80" s="27">
        <f>[1]!thsiFinD("ths_pb_mrq_usk",W$6,$A80)</f>
        <v>1.9779715916394001</v>
      </c>
      <c r="X80" s="27">
        <f>[1]!thsiFinD("ths_pb_mrq_usk",X$6,$A80)</f>
        <v>1.639264466445</v>
      </c>
      <c r="Y80" s="27">
        <f>[1]!thsiFinD("ths_pb_mrq_usk",Y$6,$A80)</f>
        <v>1.4646535504886</v>
      </c>
      <c r="Z80" s="28">
        <f>[1]!thsiFinD("ths_ps_ttm_uss",Z$6,$A80,100)</f>
        <v>1.8181574316022999</v>
      </c>
      <c r="AA80" s="28">
        <f>[1]!thsiFinD("ths_ps_ttm_uss",AA$6,$A80,100)</f>
        <v>1.5090944398602999</v>
      </c>
      <c r="AB80" s="28">
        <f>[1]!thsiFinD("ths_ps_ttm_uss",AB$6,$A80,100)</f>
        <v>1.6327026613257001</v>
      </c>
      <c r="AC80" s="28">
        <f>[1]!thsiFinD("ths_ps_ttm_uss",AC$6,$A80,100)</f>
        <v>2.6530346628636998</v>
      </c>
      <c r="AD80" s="28">
        <f>[1]!thsiFinD("ths_ps_ttm_uss",AD$6,$A80,100)</f>
        <v>0.49497042216553</v>
      </c>
      <c r="AE80" s="28">
        <f>[1]!thsiFinD("ths_ps_ttm_uss",AE$6,$A80,100)</f>
        <v>1.2869165426445</v>
      </c>
      <c r="AJ80" s="44">
        <f>[1]!thsiFinD("ths_right_value_usk",AJ$6,$A80,"USD")/1000000</f>
        <v>112907.5765025</v>
      </c>
      <c r="AK80" s="44">
        <f>[1]!thsiFinD("ths_right_value_usk",AK$6,$A80,"USD")/1000000</f>
        <v>503065.68609406002</v>
      </c>
      <c r="AL80" s="44">
        <f>[1]!thsiFinD("ths_right_value_usk",AL$6,$A80,"USD")/1000000</f>
        <v>317371.27411914</v>
      </c>
      <c r="AM80" s="44">
        <f>[1]!thsiFinD("ths_right_value_usk",AM$6,$A80,"USD")/1000000</f>
        <v>59902.8696528</v>
      </c>
      <c r="AN80" s="44">
        <f>[1]!thsiFinD("ths_right_value_usk",AN$6,$A80,"USD")/1000000</f>
        <v>95477.319583619988</v>
      </c>
      <c r="AO80" s="44">
        <f>[1]!thsiFinD("ths_right_value_usk",AO$6,$A80,"USD")/1000000</f>
        <v>22482.432000000001</v>
      </c>
      <c r="AP80" s="44">
        <f>[1]!thsiFinD("ths_ev2_usk",AP$6,$A80,"USD")/1000000</f>
        <v>131129.57650249999</v>
      </c>
      <c r="AQ80" s="44">
        <f>[1]!thsiFinD("ths_ev2_usk",AQ$6,$A80,"USD")/1000000</f>
        <v>540094.68609405996</v>
      </c>
      <c r="AR80" s="44">
        <f>[1]!thsiFinD("ths_ev2_usk",AR$6,$A80,"USD")/1000000</f>
        <v>356947.27411914</v>
      </c>
      <c r="AS80" s="44">
        <f>[1]!thsiFinD("ths_ev2_usk",AS$6,$A80,"USD")/1000000</f>
        <v>64066.8696528</v>
      </c>
      <c r="AT80" s="44">
        <f>[1]!thsiFinD("ths_ev2_usk",AT$6,$A80,"USD")/1000000</f>
        <v>140157.31958362</v>
      </c>
      <c r="AU80" s="44">
        <f>[1]!thsiFinD("ths_ev2_usk",AU$6,$A80,"USD")/1000000</f>
        <v>29595.432000000001</v>
      </c>
    </row>
    <row r="81" spans="1:47" x14ac:dyDescent="0.45">
      <c r="A81" s="3"/>
      <c r="B81" s="13"/>
      <c r="H81" s="23">
        <f>[1]!thsiFinD("ths_pe_ttm_uss",B$6,$A81,100)</f>
        <v>12.763687147016</v>
      </c>
      <c r="I81" s="23">
        <f>[1]!thsiFinD("ths_pe_ttm_uss",C$6,$A81,100)</f>
        <v>16.795168633995001</v>
      </c>
      <c r="J81" s="23">
        <f>[1]!thsiFinD("ths_pe_ttm_uss",D$6,$A81,100)</f>
        <v>24.856772722363999</v>
      </c>
      <c r="K81" s="23">
        <f>[1]!thsiFinD("ths_pe_ttm_uss",E$6,$A81,100)</f>
        <v>10.832345326004001</v>
      </c>
      <c r="L81" s="23">
        <f>[1]!thsiFinD("ths_pe_ttm_uss",F$6,$A81,100)</f>
        <v>62.896784969446998</v>
      </c>
      <c r="M81" s="23">
        <f>[1]!thsiFinD("ths_pe_ttm_uss",G$6,$A81,100)</f>
        <v>8.2686399411548006</v>
      </c>
      <c r="N81" s="26">
        <f>[1]!thsiFinD("ths_ev2_to_ebitda_usk",N$6,$A81)</f>
        <v>5.6348922049976</v>
      </c>
      <c r="O81" s="26">
        <f>[1]!thsiFinD("ths_ev2_to_ebitda_usk",O$6,$A81)</f>
        <v>7.3671711761407996</v>
      </c>
      <c r="P81" s="26">
        <f>[1]!thsiFinD("ths_ev2_to_ebitda_usk",P$6,$A81)</f>
        <v>7.9697078261841998</v>
      </c>
      <c r="Q81" s="26">
        <f>[1]!thsiFinD("ths_ev2_to_ebitda_usk",Q$6,$A81)</f>
        <v>5.1401532134787997</v>
      </c>
      <c r="R81" s="26">
        <f>[1]!thsiFinD("ths_ev2_to_ebitda_usk",R$6,$A81)</f>
        <v>4.9901135608509</v>
      </c>
      <c r="S81" s="26">
        <f>[1]!thsiFinD("ths_ev2_to_ebitda_usk",S$6,$A81)</f>
        <v>4.0375759890858998</v>
      </c>
      <c r="T81" s="27">
        <f>[1]!thsiFinD("ths_pb_mrq_usk",T$6,$A81)</f>
        <v>1.7390998028819</v>
      </c>
      <c r="U81" s="27">
        <f>[1]!thsiFinD("ths_pb_mrq_usk",U$6,$A81)</f>
        <v>1.9307021622348</v>
      </c>
      <c r="V81" s="27">
        <f>[1]!thsiFinD("ths_pb_mrq_usk",V$6,$A81)</f>
        <v>1.6717565257561999</v>
      </c>
      <c r="W81" s="27">
        <f>[1]!thsiFinD("ths_pb_mrq_usk",W$6,$A81)</f>
        <v>1.9779715916394001</v>
      </c>
      <c r="X81" s="27">
        <f>[1]!thsiFinD("ths_pb_mrq_usk",X$6,$A81)</f>
        <v>1.639264466445</v>
      </c>
      <c r="Y81" s="27">
        <f>[1]!thsiFinD("ths_pb_mrq_usk",Y$6,$A81)</f>
        <v>1.4646535504886</v>
      </c>
      <c r="Z81" s="28">
        <f>[1]!thsiFinD("ths_ps_ttm_uss",Z$6,$A81,100)</f>
        <v>1.8181574316022999</v>
      </c>
      <c r="AA81" s="28">
        <f>[1]!thsiFinD("ths_ps_ttm_uss",AA$6,$A81,100)</f>
        <v>1.5090944398602999</v>
      </c>
      <c r="AB81" s="28">
        <f>[1]!thsiFinD("ths_ps_ttm_uss",AB$6,$A81,100)</f>
        <v>1.6327026613257001</v>
      </c>
      <c r="AC81" s="28">
        <f>[1]!thsiFinD("ths_ps_ttm_uss",AC$6,$A81,100)</f>
        <v>2.6530346628636998</v>
      </c>
      <c r="AD81" s="28">
        <f>[1]!thsiFinD("ths_ps_ttm_uss",AD$6,$A81,100)</f>
        <v>0.49497042216553</v>
      </c>
      <c r="AE81" s="28">
        <f>[1]!thsiFinD("ths_ps_ttm_uss",AE$6,$A81,100)</f>
        <v>1.2869165426445</v>
      </c>
      <c r="AJ81" s="44">
        <f>[1]!thsiFinD("ths_right_value_usk",AJ$6,$A81,"USD")/1000000</f>
        <v>112907.5765025</v>
      </c>
      <c r="AK81" s="44">
        <f>[1]!thsiFinD("ths_right_value_usk",AK$6,$A81,"USD")/1000000</f>
        <v>503065.68609406002</v>
      </c>
      <c r="AL81" s="44">
        <f>[1]!thsiFinD("ths_right_value_usk",AL$6,$A81,"USD")/1000000</f>
        <v>317371.27411914</v>
      </c>
      <c r="AM81" s="44">
        <f>[1]!thsiFinD("ths_right_value_usk",AM$6,$A81,"USD")/1000000</f>
        <v>59902.8696528</v>
      </c>
      <c r="AN81" s="44">
        <f>[1]!thsiFinD("ths_right_value_usk",AN$6,$A81,"USD")/1000000</f>
        <v>95477.319583619988</v>
      </c>
      <c r="AO81" s="44">
        <f>[1]!thsiFinD("ths_right_value_usk",AO$6,$A81,"USD")/1000000</f>
        <v>22482.432000000001</v>
      </c>
      <c r="AP81" s="44">
        <f>[1]!thsiFinD("ths_ev2_usk",AP$6,$A81,"USD")/1000000</f>
        <v>131129.57650249999</v>
      </c>
      <c r="AQ81" s="44">
        <f>[1]!thsiFinD("ths_ev2_usk",AQ$6,$A81,"USD")/1000000</f>
        <v>540094.68609405996</v>
      </c>
      <c r="AR81" s="44">
        <f>[1]!thsiFinD("ths_ev2_usk",AR$6,$A81,"USD")/1000000</f>
        <v>356947.27411914</v>
      </c>
      <c r="AS81" s="44">
        <f>[1]!thsiFinD("ths_ev2_usk",AS$6,$A81,"USD")/1000000</f>
        <v>64066.8696528</v>
      </c>
      <c r="AT81" s="44">
        <f>[1]!thsiFinD("ths_ev2_usk",AT$6,$A81,"USD")/1000000</f>
        <v>140157.31958362</v>
      </c>
      <c r="AU81" s="44">
        <f>[1]!thsiFinD("ths_ev2_usk",AU$6,$A81,"USD")/1000000</f>
        <v>29595.432000000001</v>
      </c>
    </row>
    <row r="82" spans="1:47" x14ac:dyDescent="0.45">
      <c r="A82" s="3"/>
      <c r="B82" s="13"/>
      <c r="H82" s="23">
        <f>[1]!thsiFinD("ths_pe_ttm_uss",B$6,$A82,100)</f>
        <v>12.763687147016</v>
      </c>
      <c r="I82" s="23">
        <f>[1]!thsiFinD("ths_pe_ttm_uss",C$6,$A82,100)</f>
        <v>16.795168633995001</v>
      </c>
      <c r="J82" s="23">
        <f>[1]!thsiFinD("ths_pe_ttm_uss",D$6,$A82,100)</f>
        <v>24.856772722363999</v>
      </c>
      <c r="K82" s="23">
        <f>[1]!thsiFinD("ths_pe_ttm_uss",E$6,$A82,100)</f>
        <v>10.832345326004001</v>
      </c>
      <c r="L82" s="23">
        <f>[1]!thsiFinD("ths_pe_ttm_uss",F$6,$A82,100)</f>
        <v>62.896784969446998</v>
      </c>
      <c r="M82" s="23">
        <f>[1]!thsiFinD("ths_pe_ttm_uss",G$6,$A82,100)</f>
        <v>8.2686399411548006</v>
      </c>
      <c r="N82" s="26">
        <f>[1]!thsiFinD("ths_ev2_to_ebitda_usk",N$6,$A82)</f>
        <v>5.6348922049976</v>
      </c>
      <c r="O82" s="26">
        <f>[1]!thsiFinD("ths_ev2_to_ebitda_usk",O$6,$A82)</f>
        <v>7.3671711761407996</v>
      </c>
      <c r="P82" s="26">
        <f>[1]!thsiFinD("ths_ev2_to_ebitda_usk",P$6,$A82)</f>
        <v>7.9697078261841998</v>
      </c>
      <c r="Q82" s="26">
        <f>[1]!thsiFinD("ths_ev2_to_ebitda_usk",Q$6,$A82)</f>
        <v>5.1401532134787997</v>
      </c>
      <c r="R82" s="26">
        <f>[1]!thsiFinD("ths_ev2_to_ebitda_usk",R$6,$A82)</f>
        <v>4.9901135608509</v>
      </c>
      <c r="S82" s="26">
        <f>[1]!thsiFinD("ths_ev2_to_ebitda_usk",S$6,$A82)</f>
        <v>4.0375759890858998</v>
      </c>
      <c r="T82" s="27">
        <f>[1]!thsiFinD("ths_pb_mrq_usk",T$6,$A82)</f>
        <v>1.7390998028819</v>
      </c>
      <c r="U82" s="27">
        <f>[1]!thsiFinD("ths_pb_mrq_usk",U$6,$A82)</f>
        <v>1.9307021622348</v>
      </c>
      <c r="V82" s="27">
        <f>[1]!thsiFinD("ths_pb_mrq_usk",V$6,$A82)</f>
        <v>1.6717565257561999</v>
      </c>
      <c r="W82" s="27">
        <f>[1]!thsiFinD("ths_pb_mrq_usk",W$6,$A82)</f>
        <v>1.9779715916394001</v>
      </c>
      <c r="X82" s="27">
        <f>[1]!thsiFinD("ths_pb_mrq_usk",X$6,$A82)</f>
        <v>1.639264466445</v>
      </c>
      <c r="Y82" s="27">
        <f>[1]!thsiFinD("ths_pb_mrq_usk",Y$6,$A82)</f>
        <v>1.4646535504886</v>
      </c>
      <c r="Z82" s="28">
        <f>[1]!thsiFinD("ths_ps_ttm_uss",Z$6,$A82,100)</f>
        <v>1.8181574316022999</v>
      </c>
      <c r="AA82" s="28">
        <f>[1]!thsiFinD("ths_ps_ttm_uss",AA$6,$A82,100)</f>
        <v>1.5090944398602999</v>
      </c>
      <c r="AB82" s="28">
        <f>[1]!thsiFinD("ths_ps_ttm_uss",AB$6,$A82,100)</f>
        <v>1.6327026613257001</v>
      </c>
      <c r="AC82" s="28">
        <f>[1]!thsiFinD("ths_ps_ttm_uss",AC$6,$A82,100)</f>
        <v>2.6530346628636998</v>
      </c>
      <c r="AD82" s="28">
        <f>[1]!thsiFinD("ths_ps_ttm_uss",AD$6,$A82,100)</f>
        <v>0.49497042216553</v>
      </c>
      <c r="AE82" s="28">
        <f>[1]!thsiFinD("ths_ps_ttm_uss",AE$6,$A82,100)</f>
        <v>1.2869165426445</v>
      </c>
      <c r="AJ82" s="44">
        <f>[1]!thsiFinD("ths_right_value_usk",AJ$6,$A82,"USD")/1000000</f>
        <v>112907.5765025</v>
      </c>
      <c r="AK82" s="44">
        <f>[1]!thsiFinD("ths_right_value_usk",AK$6,$A82,"USD")/1000000</f>
        <v>503065.68609406002</v>
      </c>
      <c r="AL82" s="44">
        <f>[1]!thsiFinD("ths_right_value_usk",AL$6,$A82,"USD")/1000000</f>
        <v>317371.27411914</v>
      </c>
      <c r="AM82" s="44">
        <f>[1]!thsiFinD("ths_right_value_usk",AM$6,$A82,"USD")/1000000</f>
        <v>59902.8696528</v>
      </c>
      <c r="AN82" s="44">
        <f>[1]!thsiFinD("ths_right_value_usk",AN$6,$A82,"USD")/1000000</f>
        <v>95477.319583619988</v>
      </c>
      <c r="AO82" s="44">
        <f>[1]!thsiFinD("ths_right_value_usk",AO$6,$A82,"USD")/1000000</f>
        <v>22482.432000000001</v>
      </c>
      <c r="AP82" s="44">
        <f>[1]!thsiFinD("ths_ev2_usk",AP$6,$A82,"USD")/1000000</f>
        <v>131129.57650249999</v>
      </c>
      <c r="AQ82" s="44">
        <f>[1]!thsiFinD("ths_ev2_usk",AQ$6,$A82,"USD")/1000000</f>
        <v>540094.68609405996</v>
      </c>
      <c r="AR82" s="44">
        <f>[1]!thsiFinD("ths_ev2_usk",AR$6,$A82,"USD")/1000000</f>
        <v>356947.27411914</v>
      </c>
      <c r="AS82" s="44">
        <f>[1]!thsiFinD("ths_ev2_usk",AS$6,$A82,"USD")/1000000</f>
        <v>64066.8696528</v>
      </c>
      <c r="AT82" s="44">
        <f>[1]!thsiFinD("ths_ev2_usk",AT$6,$A82,"USD")/1000000</f>
        <v>140157.31958362</v>
      </c>
      <c r="AU82" s="44">
        <f>[1]!thsiFinD("ths_ev2_usk",AU$6,$A82,"USD")/1000000</f>
        <v>29595.432000000001</v>
      </c>
    </row>
    <row r="83" spans="1:47" x14ac:dyDescent="0.45">
      <c r="A83" s="3"/>
      <c r="B83" s="13"/>
      <c r="H83" s="23">
        <f>[1]!thsiFinD("ths_pe_ttm_uss",B$6,$A83,100)</f>
        <v>12.763687147016</v>
      </c>
      <c r="I83" s="23">
        <f>[1]!thsiFinD("ths_pe_ttm_uss",C$6,$A83,100)</f>
        <v>16.795168633995001</v>
      </c>
      <c r="J83" s="23">
        <f>[1]!thsiFinD("ths_pe_ttm_uss",D$6,$A83,100)</f>
        <v>24.856772722363999</v>
      </c>
      <c r="K83" s="23">
        <f>[1]!thsiFinD("ths_pe_ttm_uss",E$6,$A83,100)</f>
        <v>10.832345326004001</v>
      </c>
      <c r="L83" s="23">
        <f>[1]!thsiFinD("ths_pe_ttm_uss",F$6,$A83,100)</f>
        <v>62.896784969446998</v>
      </c>
      <c r="M83" s="23">
        <f>[1]!thsiFinD("ths_pe_ttm_uss",G$6,$A83,100)</f>
        <v>8.2686399411548006</v>
      </c>
      <c r="N83" s="26">
        <f>[1]!thsiFinD("ths_ev2_to_ebitda_usk",N$6,$A83)</f>
        <v>5.6348922049976</v>
      </c>
      <c r="O83" s="26">
        <f>[1]!thsiFinD("ths_ev2_to_ebitda_usk",O$6,$A83)</f>
        <v>7.3671711761407996</v>
      </c>
      <c r="P83" s="26">
        <f>[1]!thsiFinD("ths_ev2_to_ebitda_usk",P$6,$A83)</f>
        <v>7.9697078261841998</v>
      </c>
      <c r="Q83" s="26">
        <f>[1]!thsiFinD("ths_ev2_to_ebitda_usk",Q$6,$A83)</f>
        <v>5.1401532134787997</v>
      </c>
      <c r="R83" s="26">
        <f>[1]!thsiFinD("ths_ev2_to_ebitda_usk",R$6,$A83)</f>
        <v>4.9901135608509</v>
      </c>
      <c r="S83" s="26">
        <f>[1]!thsiFinD("ths_ev2_to_ebitda_usk",S$6,$A83)</f>
        <v>4.0375759890858998</v>
      </c>
      <c r="T83" s="27">
        <f>[1]!thsiFinD("ths_pb_mrq_usk",T$6,$A83)</f>
        <v>1.7390998028819</v>
      </c>
      <c r="U83" s="27">
        <f>[1]!thsiFinD("ths_pb_mrq_usk",U$6,$A83)</f>
        <v>1.9307021622348</v>
      </c>
      <c r="V83" s="27">
        <f>[1]!thsiFinD("ths_pb_mrq_usk",V$6,$A83)</f>
        <v>1.6717565257561999</v>
      </c>
      <c r="W83" s="27">
        <f>[1]!thsiFinD("ths_pb_mrq_usk",W$6,$A83)</f>
        <v>1.9779715916394001</v>
      </c>
      <c r="X83" s="27">
        <f>[1]!thsiFinD("ths_pb_mrq_usk",X$6,$A83)</f>
        <v>1.639264466445</v>
      </c>
      <c r="Y83" s="27">
        <f>[1]!thsiFinD("ths_pb_mrq_usk",Y$6,$A83)</f>
        <v>1.4646535504886</v>
      </c>
      <c r="Z83" s="28">
        <f>[1]!thsiFinD("ths_ps_ttm_uss",Z$6,$A83,100)</f>
        <v>1.8181574316022999</v>
      </c>
      <c r="AA83" s="28">
        <f>[1]!thsiFinD("ths_ps_ttm_uss",AA$6,$A83,100)</f>
        <v>1.5090944398602999</v>
      </c>
      <c r="AB83" s="28">
        <f>[1]!thsiFinD("ths_ps_ttm_uss",AB$6,$A83,100)</f>
        <v>1.6327026613257001</v>
      </c>
      <c r="AC83" s="28">
        <f>[1]!thsiFinD("ths_ps_ttm_uss",AC$6,$A83,100)</f>
        <v>2.6530346628636998</v>
      </c>
      <c r="AD83" s="28">
        <f>[1]!thsiFinD("ths_ps_ttm_uss",AD$6,$A83,100)</f>
        <v>0.49497042216553</v>
      </c>
      <c r="AE83" s="28">
        <f>[1]!thsiFinD("ths_ps_ttm_uss",AE$6,$A83,100)</f>
        <v>1.2869165426445</v>
      </c>
      <c r="AJ83" s="44">
        <f>[1]!thsiFinD("ths_right_value_usk",AJ$6,$A83,"USD")/1000000</f>
        <v>112907.5765025</v>
      </c>
      <c r="AK83" s="44">
        <f>[1]!thsiFinD("ths_right_value_usk",AK$6,$A83,"USD")/1000000</f>
        <v>503065.68609406002</v>
      </c>
      <c r="AL83" s="44">
        <f>[1]!thsiFinD("ths_right_value_usk",AL$6,$A83,"USD")/1000000</f>
        <v>317371.27411914</v>
      </c>
      <c r="AM83" s="44">
        <f>[1]!thsiFinD("ths_right_value_usk",AM$6,$A83,"USD")/1000000</f>
        <v>59902.8696528</v>
      </c>
      <c r="AN83" s="44">
        <f>[1]!thsiFinD("ths_right_value_usk",AN$6,$A83,"USD")/1000000</f>
        <v>95477.319583619988</v>
      </c>
      <c r="AO83" s="44">
        <f>[1]!thsiFinD("ths_right_value_usk",AO$6,$A83,"USD")/1000000</f>
        <v>22482.432000000001</v>
      </c>
      <c r="AP83" s="44">
        <f>[1]!thsiFinD("ths_ev2_usk",AP$6,$A83,"USD")/1000000</f>
        <v>131129.57650249999</v>
      </c>
      <c r="AQ83" s="44">
        <f>[1]!thsiFinD("ths_ev2_usk",AQ$6,$A83,"USD")/1000000</f>
        <v>540094.68609405996</v>
      </c>
      <c r="AR83" s="44">
        <f>[1]!thsiFinD("ths_ev2_usk",AR$6,$A83,"USD")/1000000</f>
        <v>356947.27411914</v>
      </c>
      <c r="AS83" s="44">
        <f>[1]!thsiFinD("ths_ev2_usk",AS$6,$A83,"USD")/1000000</f>
        <v>64066.8696528</v>
      </c>
      <c r="AT83" s="44">
        <f>[1]!thsiFinD("ths_ev2_usk",AT$6,$A83,"USD")/1000000</f>
        <v>140157.31958362</v>
      </c>
      <c r="AU83" s="44">
        <f>[1]!thsiFinD("ths_ev2_usk",AU$6,$A83,"USD")/1000000</f>
        <v>29595.432000000001</v>
      </c>
    </row>
    <row r="84" spans="1:47" x14ac:dyDescent="0.45">
      <c r="A84" s="3"/>
      <c r="B84" s="13"/>
      <c r="H84" s="23">
        <f>[1]!thsiFinD("ths_pe_ttm_uss",B$6,$A84,100)</f>
        <v>12.763687147016</v>
      </c>
      <c r="I84" s="23">
        <f>[1]!thsiFinD("ths_pe_ttm_uss",C$6,$A84,100)</f>
        <v>16.795168633995001</v>
      </c>
      <c r="J84" s="23">
        <f>[1]!thsiFinD("ths_pe_ttm_uss",D$6,$A84,100)</f>
        <v>24.856772722363999</v>
      </c>
      <c r="K84" s="23">
        <f>[1]!thsiFinD("ths_pe_ttm_uss",E$6,$A84,100)</f>
        <v>10.832345326004001</v>
      </c>
      <c r="L84" s="23">
        <f>[1]!thsiFinD("ths_pe_ttm_uss",F$6,$A84,100)</f>
        <v>62.896784969446998</v>
      </c>
      <c r="M84" s="23">
        <f>[1]!thsiFinD("ths_pe_ttm_uss",G$6,$A84,100)</f>
        <v>8.2686399411548006</v>
      </c>
      <c r="N84" s="26">
        <f>[1]!thsiFinD("ths_ev2_to_ebitda_usk",N$6,$A84)</f>
        <v>5.6348922049976</v>
      </c>
      <c r="O84" s="26">
        <f>[1]!thsiFinD("ths_ev2_to_ebitda_usk",O$6,$A84)</f>
        <v>7.3671711761407996</v>
      </c>
      <c r="P84" s="26">
        <f>[1]!thsiFinD("ths_ev2_to_ebitda_usk",P$6,$A84)</f>
        <v>7.9697078261841998</v>
      </c>
      <c r="Q84" s="26">
        <f>[1]!thsiFinD("ths_ev2_to_ebitda_usk",Q$6,$A84)</f>
        <v>5.1401532134787997</v>
      </c>
      <c r="R84" s="26">
        <f>[1]!thsiFinD("ths_ev2_to_ebitda_usk",R$6,$A84)</f>
        <v>4.9901135608509</v>
      </c>
      <c r="S84" s="26">
        <f>[1]!thsiFinD("ths_ev2_to_ebitda_usk",S$6,$A84)</f>
        <v>4.0375759890858998</v>
      </c>
      <c r="T84" s="27">
        <f>[1]!thsiFinD("ths_pb_mrq_usk",T$6,$A84)</f>
        <v>1.7390998028819</v>
      </c>
      <c r="U84" s="27">
        <f>[1]!thsiFinD("ths_pb_mrq_usk",U$6,$A84)</f>
        <v>1.9307021622348</v>
      </c>
      <c r="V84" s="27">
        <f>[1]!thsiFinD("ths_pb_mrq_usk",V$6,$A84)</f>
        <v>1.6717565257561999</v>
      </c>
      <c r="W84" s="27">
        <f>[1]!thsiFinD("ths_pb_mrq_usk",W$6,$A84)</f>
        <v>1.9779715916394001</v>
      </c>
      <c r="X84" s="27">
        <f>[1]!thsiFinD("ths_pb_mrq_usk",X$6,$A84)</f>
        <v>1.639264466445</v>
      </c>
      <c r="Y84" s="27">
        <f>[1]!thsiFinD("ths_pb_mrq_usk",Y$6,$A84)</f>
        <v>1.4646535504886</v>
      </c>
      <c r="Z84" s="28">
        <f>[1]!thsiFinD("ths_ps_ttm_uss",Z$6,$A84,100)</f>
        <v>1.8181574316022999</v>
      </c>
      <c r="AA84" s="28">
        <f>[1]!thsiFinD("ths_ps_ttm_uss",AA$6,$A84,100)</f>
        <v>1.5090944398602999</v>
      </c>
      <c r="AB84" s="28">
        <f>[1]!thsiFinD("ths_ps_ttm_uss",AB$6,$A84,100)</f>
        <v>1.6327026613257001</v>
      </c>
      <c r="AC84" s="28">
        <f>[1]!thsiFinD("ths_ps_ttm_uss",AC$6,$A84,100)</f>
        <v>2.6530346628636998</v>
      </c>
      <c r="AD84" s="28">
        <f>[1]!thsiFinD("ths_ps_ttm_uss",AD$6,$A84,100)</f>
        <v>0.49497042216553</v>
      </c>
      <c r="AE84" s="28">
        <f>[1]!thsiFinD("ths_ps_ttm_uss",AE$6,$A84,100)</f>
        <v>1.2869165426445</v>
      </c>
      <c r="AJ84" s="44">
        <f>[1]!thsiFinD("ths_right_value_usk",AJ$6,$A84,"USD")/1000000</f>
        <v>112907.5765025</v>
      </c>
      <c r="AK84" s="44">
        <f>[1]!thsiFinD("ths_right_value_usk",AK$6,$A84,"USD")/1000000</f>
        <v>503065.68609406002</v>
      </c>
      <c r="AL84" s="44">
        <f>[1]!thsiFinD("ths_right_value_usk",AL$6,$A84,"USD")/1000000</f>
        <v>317371.27411914</v>
      </c>
      <c r="AM84" s="44">
        <f>[1]!thsiFinD("ths_right_value_usk",AM$6,$A84,"USD")/1000000</f>
        <v>59902.8696528</v>
      </c>
      <c r="AN84" s="44">
        <f>[1]!thsiFinD("ths_right_value_usk",AN$6,$A84,"USD")/1000000</f>
        <v>95477.319583619988</v>
      </c>
      <c r="AO84" s="44">
        <f>[1]!thsiFinD("ths_right_value_usk",AO$6,$A84,"USD")/1000000</f>
        <v>22482.432000000001</v>
      </c>
      <c r="AP84" s="44">
        <f>[1]!thsiFinD("ths_ev2_usk",AP$6,$A84,"USD")/1000000</f>
        <v>131129.57650249999</v>
      </c>
      <c r="AQ84" s="44">
        <f>[1]!thsiFinD("ths_ev2_usk",AQ$6,$A84,"USD")/1000000</f>
        <v>540094.68609405996</v>
      </c>
      <c r="AR84" s="44">
        <f>[1]!thsiFinD("ths_ev2_usk",AR$6,$A84,"USD")/1000000</f>
        <v>356947.27411914</v>
      </c>
      <c r="AS84" s="44">
        <f>[1]!thsiFinD("ths_ev2_usk",AS$6,$A84,"USD")/1000000</f>
        <v>64066.8696528</v>
      </c>
      <c r="AT84" s="44">
        <f>[1]!thsiFinD("ths_ev2_usk",AT$6,$A84,"USD")/1000000</f>
        <v>140157.31958362</v>
      </c>
      <c r="AU84" s="44">
        <f>[1]!thsiFinD("ths_ev2_usk",AU$6,$A84,"USD")/1000000</f>
        <v>29595.432000000001</v>
      </c>
    </row>
    <row r="85" spans="1:47" x14ac:dyDescent="0.45">
      <c r="A85" s="3"/>
      <c r="B85" s="13"/>
      <c r="H85" s="23">
        <f>[1]!thsiFinD("ths_pe_ttm_uss",B$6,$A85,100)</f>
        <v>12.763687147016</v>
      </c>
      <c r="I85" s="23">
        <f>[1]!thsiFinD("ths_pe_ttm_uss",C$6,$A85,100)</f>
        <v>16.795168633995001</v>
      </c>
      <c r="J85" s="23">
        <f>[1]!thsiFinD("ths_pe_ttm_uss",D$6,$A85,100)</f>
        <v>24.856772722363999</v>
      </c>
      <c r="K85" s="23">
        <f>[1]!thsiFinD("ths_pe_ttm_uss",E$6,$A85,100)</f>
        <v>10.832345326004001</v>
      </c>
      <c r="L85" s="23">
        <f>[1]!thsiFinD("ths_pe_ttm_uss",F$6,$A85,100)</f>
        <v>62.896784969446998</v>
      </c>
      <c r="M85" s="23">
        <f>[1]!thsiFinD("ths_pe_ttm_uss",G$6,$A85,100)</f>
        <v>8.2686399411548006</v>
      </c>
      <c r="N85" s="26">
        <f>[1]!thsiFinD("ths_ev2_to_ebitda_usk",N$6,$A85)</f>
        <v>5.6348922049976</v>
      </c>
      <c r="O85" s="26">
        <f>[1]!thsiFinD("ths_ev2_to_ebitda_usk",O$6,$A85)</f>
        <v>7.3671711761407996</v>
      </c>
      <c r="P85" s="26">
        <f>[1]!thsiFinD("ths_ev2_to_ebitda_usk",P$6,$A85)</f>
        <v>7.9697078261841998</v>
      </c>
      <c r="Q85" s="26">
        <f>[1]!thsiFinD("ths_ev2_to_ebitda_usk",Q$6,$A85)</f>
        <v>5.1401532134787997</v>
      </c>
      <c r="R85" s="26">
        <f>[1]!thsiFinD("ths_ev2_to_ebitda_usk",R$6,$A85)</f>
        <v>4.9901135608509</v>
      </c>
      <c r="S85" s="26">
        <f>[1]!thsiFinD("ths_ev2_to_ebitda_usk",S$6,$A85)</f>
        <v>4.0375759890858998</v>
      </c>
      <c r="T85" s="27">
        <f>[1]!thsiFinD("ths_pb_mrq_usk",T$6,$A85)</f>
        <v>1.7390998028819</v>
      </c>
      <c r="U85" s="27">
        <f>[1]!thsiFinD("ths_pb_mrq_usk",U$6,$A85)</f>
        <v>1.9307021622348</v>
      </c>
      <c r="V85" s="27">
        <f>[1]!thsiFinD("ths_pb_mrq_usk",V$6,$A85)</f>
        <v>1.6717565257561999</v>
      </c>
      <c r="W85" s="27">
        <f>[1]!thsiFinD("ths_pb_mrq_usk",W$6,$A85)</f>
        <v>1.9779715916394001</v>
      </c>
      <c r="X85" s="27">
        <f>[1]!thsiFinD("ths_pb_mrq_usk",X$6,$A85)</f>
        <v>1.639264466445</v>
      </c>
      <c r="Y85" s="27">
        <f>[1]!thsiFinD("ths_pb_mrq_usk",Y$6,$A85)</f>
        <v>1.4646535504886</v>
      </c>
      <c r="Z85" s="28">
        <f>[1]!thsiFinD("ths_ps_ttm_uss",Z$6,$A85,100)</f>
        <v>1.8181574316022999</v>
      </c>
      <c r="AA85" s="28">
        <f>[1]!thsiFinD("ths_ps_ttm_uss",AA$6,$A85,100)</f>
        <v>1.5090944398602999</v>
      </c>
      <c r="AB85" s="28">
        <f>[1]!thsiFinD("ths_ps_ttm_uss",AB$6,$A85,100)</f>
        <v>1.6327026613257001</v>
      </c>
      <c r="AC85" s="28">
        <f>[1]!thsiFinD("ths_ps_ttm_uss",AC$6,$A85,100)</f>
        <v>2.6530346628636998</v>
      </c>
      <c r="AD85" s="28">
        <f>[1]!thsiFinD("ths_ps_ttm_uss",AD$6,$A85,100)</f>
        <v>0.49497042216553</v>
      </c>
      <c r="AE85" s="28">
        <f>[1]!thsiFinD("ths_ps_ttm_uss",AE$6,$A85,100)</f>
        <v>1.2869165426445</v>
      </c>
      <c r="AJ85" s="44">
        <f>[1]!thsiFinD("ths_right_value_usk",AJ$6,$A85,"USD")/1000000</f>
        <v>112907.5765025</v>
      </c>
      <c r="AK85" s="44">
        <f>[1]!thsiFinD("ths_right_value_usk",AK$6,$A85,"USD")/1000000</f>
        <v>503065.68609406002</v>
      </c>
      <c r="AL85" s="44">
        <f>[1]!thsiFinD("ths_right_value_usk",AL$6,$A85,"USD")/1000000</f>
        <v>317371.27411914</v>
      </c>
      <c r="AM85" s="44">
        <f>[1]!thsiFinD("ths_right_value_usk",AM$6,$A85,"USD")/1000000</f>
        <v>59902.8696528</v>
      </c>
      <c r="AN85" s="44">
        <f>[1]!thsiFinD("ths_right_value_usk",AN$6,$A85,"USD")/1000000</f>
        <v>95477.319583619988</v>
      </c>
      <c r="AO85" s="44">
        <f>[1]!thsiFinD("ths_right_value_usk",AO$6,$A85,"USD")/1000000</f>
        <v>22482.432000000001</v>
      </c>
      <c r="AP85" s="44">
        <f>[1]!thsiFinD("ths_ev2_usk",AP$6,$A85,"USD")/1000000</f>
        <v>131129.57650249999</v>
      </c>
      <c r="AQ85" s="44">
        <f>[1]!thsiFinD("ths_ev2_usk",AQ$6,$A85,"USD")/1000000</f>
        <v>540094.68609405996</v>
      </c>
      <c r="AR85" s="44">
        <f>[1]!thsiFinD("ths_ev2_usk",AR$6,$A85,"USD")/1000000</f>
        <v>356947.27411914</v>
      </c>
      <c r="AS85" s="44">
        <f>[1]!thsiFinD("ths_ev2_usk",AS$6,$A85,"USD")/1000000</f>
        <v>64066.8696528</v>
      </c>
      <c r="AT85" s="44">
        <f>[1]!thsiFinD("ths_ev2_usk",AT$6,$A85,"USD")/1000000</f>
        <v>140157.31958362</v>
      </c>
      <c r="AU85" s="44">
        <f>[1]!thsiFinD("ths_ev2_usk",AU$6,$A85,"USD")/1000000</f>
        <v>29595.432000000001</v>
      </c>
    </row>
    <row r="86" spans="1:47" x14ac:dyDescent="0.45">
      <c r="A86" s="3"/>
      <c r="B86" s="13"/>
      <c r="H86" s="23">
        <f>[1]!thsiFinD("ths_pe_ttm_uss",B$6,$A86,100)</f>
        <v>12.763687147016</v>
      </c>
      <c r="I86" s="23">
        <f>[1]!thsiFinD("ths_pe_ttm_uss",C$6,$A86,100)</f>
        <v>16.795168633995001</v>
      </c>
      <c r="J86" s="23">
        <f>[1]!thsiFinD("ths_pe_ttm_uss",D$6,$A86,100)</f>
        <v>24.856772722363999</v>
      </c>
      <c r="K86" s="23">
        <f>[1]!thsiFinD("ths_pe_ttm_uss",E$6,$A86,100)</f>
        <v>10.832345326004001</v>
      </c>
      <c r="L86" s="23">
        <f>[1]!thsiFinD("ths_pe_ttm_uss",F$6,$A86,100)</f>
        <v>62.896784969446998</v>
      </c>
      <c r="M86" s="23">
        <f>[1]!thsiFinD("ths_pe_ttm_uss",G$6,$A86,100)</f>
        <v>8.2686399411548006</v>
      </c>
      <c r="N86" s="26">
        <f>[1]!thsiFinD("ths_ev2_to_ebitda_usk",N$6,$A86)</f>
        <v>5.6348922049976</v>
      </c>
      <c r="O86" s="26">
        <f>[1]!thsiFinD("ths_ev2_to_ebitda_usk",O$6,$A86)</f>
        <v>7.3671711761407996</v>
      </c>
      <c r="P86" s="26">
        <f>[1]!thsiFinD("ths_ev2_to_ebitda_usk",P$6,$A86)</f>
        <v>7.9697078261841998</v>
      </c>
      <c r="Q86" s="26">
        <f>[1]!thsiFinD("ths_ev2_to_ebitda_usk",Q$6,$A86)</f>
        <v>5.1401532134787997</v>
      </c>
      <c r="R86" s="26">
        <f>[1]!thsiFinD("ths_ev2_to_ebitda_usk",R$6,$A86)</f>
        <v>4.9901135608509</v>
      </c>
      <c r="S86" s="26">
        <f>[1]!thsiFinD("ths_ev2_to_ebitda_usk",S$6,$A86)</f>
        <v>4.0375759890858998</v>
      </c>
      <c r="T86" s="27">
        <f>[1]!thsiFinD("ths_pb_mrq_usk",T$6,$A86)</f>
        <v>1.7390998028819</v>
      </c>
      <c r="U86" s="27">
        <f>[1]!thsiFinD("ths_pb_mrq_usk",U$6,$A86)</f>
        <v>1.9307021622348</v>
      </c>
      <c r="V86" s="27">
        <f>[1]!thsiFinD("ths_pb_mrq_usk",V$6,$A86)</f>
        <v>1.6717565257561999</v>
      </c>
      <c r="W86" s="27">
        <f>[1]!thsiFinD("ths_pb_mrq_usk",W$6,$A86)</f>
        <v>1.9779715916394001</v>
      </c>
      <c r="X86" s="27">
        <f>[1]!thsiFinD("ths_pb_mrq_usk",X$6,$A86)</f>
        <v>1.639264466445</v>
      </c>
      <c r="Y86" s="27">
        <f>[1]!thsiFinD("ths_pb_mrq_usk",Y$6,$A86)</f>
        <v>1.4646535504886</v>
      </c>
      <c r="Z86" s="28">
        <f>[1]!thsiFinD("ths_ps_ttm_uss",Z$6,$A86,100)</f>
        <v>1.8181574316022999</v>
      </c>
      <c r="AA86" s="28">
        <f>[1]!thsiFinD("ths_ps_ttm_uss",AA$6,$A86,100)</f>
        <v>1.5090944398602999</v>
      </c>
      <c r="AB86" s="28">
        <f>[1]!thsiFinD("ths_ps_ttm_uss",AB$6,$A86,100)</f>
        <v>1.6327026613257001</v>
      </c>
      <c r="AC86" s="28">
        <f>[1]!thsiFinD("ths_ps_ttm_uss",AC$6,$A86,100)</f>
        <v>2.6530346628636998</v>
      </c>
      <c r="AD86" s="28">
        <f>[1]!thsiFinD("ths_ps_ttm_uss",AD$6,$A86,100)</f>
        <v>0.49497042216553</v>
      </c>
      <c r="AE86" s="28">
        <f>[1]!thsiFinD("ths_ps_ttm_uss",AE$6,$A86,100)</f>
        <v>1.2869165426445</v>
      </c>
      <c r="AJ86" s="44">
        <f>[1]!thsiFinD("ths_right_value_usk",AJ$6,$A86,"USD")/1000000</f>
        <v>112907.5765025</v>
      </c>
      <c r="AK86" s="44">
        <f>[1]!thsiFinD("ths_right_value_usk",AK$6,$A86,"USD")/1000000</f>
        <v>503065.68609406002</v>
      </c>
      <c r="AL86" s="44">
        <f>[1]!thsiFinD("ths_right_value_usk",AL$6,$A86,"USD")/1000000</f>
        <v>317371.27411914</v>
      </c>
      <c r="AM86" s="44">
        <f>[1]!thsiFinD("ths_right_value_usk",AM$6,$A86,"USD")/1000000</f>
        <v>59902.8696528</v>
      </c>
      <c r="AN86" s="44">
        <f>[1]!thsiFinD("ths_right_value_usk",AN$6,$A86,"USD")/1000000</f>
        <v>95477.319583619988</v>
      </c>
      <c r="AO86" s="44">
        <f>[1]!thsiFinD("ths_right_value_usk",AO$6,$A86,"USD")/1000000</f>
        <v>22482.432000000001</v>
      </c>
      <c r="AP86" s="44">
        <f>[1]!thsiFinD("ths_ev2_usk",AP$6,$A86,"USD")/1000000</f>
        <v>131129.57650249999</v>
      </c>
      <c r="AQ86" s="44">
        <f>[1]!thsiFinD("ths_ev2_usk",AQ$6,$A86,"USD")/1000000</f>
        <v>540094.68609405996</v>
      </c>
      <c r="AR86" s="44">
        <f>[1]!thsiFinD("ths_ev2_usk",AR$6,$A86,"USD")/1000000</f>
        <v>356947.27411914</v>
      </c>
      <c r="AS86" s="44">
        <f>[1]!thsiFinD("ths_ev2_usk",AS$6,$A86,"USD")/1000000</f>
        <v>64066.8696528</v>
      </c>
      <c r="AT86" s="44">
        <f>[1]!thsiFinD("ths_ev2_usk",AT$6,$A86,"USD")/1000000</f>
        <v>140157.31958362</v>
      </c>
      <c r="AU86" s="44">
        <f>[1]!thsiFinD("ths_ev2_usk",AU$6,$A86,"USD")/1000000</f>
        <v>29595.432000000001</v>
      </c>
    </row>
    <row r="87" spans="1:47" x14ac:dyDescent="0.45">
      <c r="A87" s="3"/>
      <c r="B87" s="13"/>
      <c r="H87" s="23">
        <f>[1]!thsiFinD("ths_pe_ttm_uss",B$6,$A87,100)</f>
        <v>12.763687147016</v>
      </c>
      <c r="I87" s="23">
        <f>[1]!thsiFinD("ths_pe_ttm_uss",C$6,$A87,100)</f>
        <v>16.795168633995001</v>
      </c>
      <c r="J87" s="23">
        <f>[1]!thsiFinD("ths_pe_ttm_uss",D$6,$A87,100)</f>
        <v>24.856772722363999</v>
      </c>
      <c r="K87" s="23">
        <f>[1]!thsiFinD("ths_pe_ttm_uss",E$6,$A87,100)</f>
        <v>10.832345326004001</v>
      </c>
      <c r="L87" s="23">
        <f>[1]!thsiFinD("ths_pe_ttm_uss",F$6,$A87,100)</f>
        <v>62.896784969446998</v>
      </c>
      <c r="M87" s="23">
        <f>[1]!thsiFinD("ths_pe_ttm_uss",G$6,$A87,100)</f>
        <v>8.2686399411548006</v>
      </c>
      <c r="N87" s="26">
        <f>[1]!thsiFinD("ths_ev2_to_ebitda_usk",N$6,$A87)</f>
        <v>5.6348922049976</v>
      </c>
      <c r="O87" s="26">
        <f>[1]!thsiFinD("ths_ev2_to_ebitda_usk",O$6,$A87)</f>
        <v>7.3671711761407996</v>
      </c>
      <c r="P87" s="26">
        <f>[1]!thsiFinD("ths_ev2_to_ebitda_usk",P$6,$A87)</f>
        <v>7.9697078261841998</v>
      </c>
      <c r="Q87" s="26">
        <f>[1]!thsiFinD("ths_ev2_to_ebitda_usk",Q$6,$A87)</f>
        <v>5.1401532134787997</v>
      </c>
      <c r="R87" s="26">
        <f>[1]!thsiFinD("ths_ev2_to_ebitda_usk",R$6,$A87)</f>
        <v>4.9901135608509</v>
      </c>
      <c r="S87" s="26">
        <f>[1]!thsiFinD("ths_ev2_to_ebitda_usk",S$6,$A87)</f>
        <v>4.0375759890858998</v>
      </c>
      <c r="T87" s="27">
        <f>[1]!thsiFinD("ths_pb_mrq_usk",T$6,$A87)</f>
        <v>1.7390998028819</v>
      </c>
      <c r="U87" s="27">
        <f>[1]!thsiFinD("ths_pb_mrq_usk",U$6,$A87)</f>
        <v>1.9307021622348</v>
      </c>
      <c r="V87" s="27">
        <f>[1]!thsiFinD("ths_pb_mrq_usk",V$6,$A87)</f>
        <v>1.6717565257561999</v>
      </c>
      <c r="W87" s="27">
        <f>[1]!thsiFinD("ths_pb_mrq_usk",W$6,$A87)</f>
        <v>1.9779715916394001</v>
      </c>
      <c r="X87" s="27">
        <f>[1]!thsiFinD("ths_pb_mrq_usk",X$6,$A87)</f>
        <v>1.639264466445</v>
      </c>
      <c r="Y87" s="27">
        <f>[1]!thsiFinD("ths_pb_mrq_usk",Y$6,$A87)</f>
        <v>1.4646535504886</v>
      </c>
      <c r="Z87" s="28">
        <f>[1]!thsiFinD("ths_ps_ttm_uss",Z$6,$A87,100)</f>
        <v>1.8181574316022999</v>
      </c>
      <c r="AA87" s="28">
        <f>[1]!thsiFinD("ths_ps_ttm_uss",AA$6,$A87,100)</f>
        <v>1.5090944398602999</v>
      </c>
      <c r="AB87" s="28">
        <f>[1]!thsiFinD("ths_ps_ttm_uss",AB$6,$A87,100)</f>
        <v>1.6327026613257001</v>
      </c>
      <c r="AC87" s="28">
        <f>[1]!thsiFinD("ths_ps_ttm_uss",AC$6,$A87,100)</f>
        <v>2.6530346628636998</v>
      </c>
      <c r="AD87" s="28">
        <f>[1]!thsiFinD("ths_ps_ttm_uss",AD$6,$A87,100)</f>
        <v>0.49497042216553</v>
      </c>
      <c r="AE87" s="28">
        <f>[1]!thsiFinD("ths_ps_ttm_uss",AE$6,$A87,100)</f>
        <v>1.2869165426445</v>
      </c>
      <c r="AJ87" s="44">
        <f>[1]!thsiFinD("ths_right_value_usk",AJ$6,$A87,"USD")/1000000</f>
        <v>112907.5765025</v>
      </c>
      <c r="AK87" s="44">
        <f>[1]!thsiFinD("ths_right_value_usk",AK$6,$A87,"USD")/1000000</f>
        <v>503065.68609406002</v>
      </c>
      <c r="AL87" s="44">
        <f>[1]!thsiFinD("ths_right_value_usk",AL$6,$A87,"USD")/1000000</f>
        <v>317371.27411914</v>
      </c>
      <c r="AM87" s="44">
        <f>[1]!thsiFinD("ths_right_value_usk",AM$6,$A87,"USD")/1000000</f>
        <v>59902.8696528</v>
      </c>
      <c r="AN87" s="44">
        <f>[1]!thsiFinD("ths_right_value_usk",AN$6,$A87,"USD")/1000000</f>
        <v>95477.319583619988</v>
      </c>
      <c r="AO87" s="44">
        <f>[1]!thsiFinD("ths_right_value_usk",AO$6,$A87,"USD")/1000000</f>
        <v>22482.432000000001</v>
      </c>
      <c r="AP87" s="44">
        <f>[1]!thsiFinD("ths_ev2_usk",AP$6,$A87,"USD")/1000000</f>
        <v>131129.57650249999</v>
      </c>
      <c r="AQ87" s="44">
        <f>[1]!thsiFinD("ths_ev2_usk",AQ$6,$A87,"USD")/1000000</f>
        <v>540094.68609405996</v>
      </c>
      <c r="AR87" s="44">
        <f>[1]!thsiFinD("ths_ev2_usk",AR$6,$A87,"USD")/1000000</f>
        <v>356947.27411914</v>
      </c>
      <c r="AS87" s="44">
        <f>[1]!thsiFinD("ths_ev2_usk",AS$6,$A87,"USD")/1000000</f>
        <v>64066.8696528</v>
      </c>
      <c r="AT87" s="44">
        <f>[1]!thsiFinD("ths_ev2_usk",AT$6,$A87,"USD")/1000000</f>
        <v>140157.31958362</v>
      </c>
      <c r="AU87" s="44">
        <f>[1]!thsiFinD("ths_ev2_usk",AU$6,$A87,"USD")/1000000</f>
        <v>29595.432000000001</v>
      </c>
    </row>
    <row r="88" spans="1:47" x14ac:dyDescent="0.45">
      <c r="A88" s="3"/>
      <c r="B88" s="13"/>
      <c r="H88" s="23">
        <f>[1]!thsiFinD("ths_pe_ttm_uss",B$6,$A88,100)</f>
        <v>12.763687147016</v>
      </c>
      <c r="I88" s="23">
        <f>[1]!thsiFinD("ths_pe_ttm_uss",C$6,$A88,100)</f>
        <v>16.795168633995001</v>
      </c>
      <c r="J88" s="23">
        <f>[1]!thsiFinD("ths_pe_ttm_uss",D$6,$A88,100)</f>
        <v>24.856772722363999</v>
      </c>
      <c r="K88" s="23">
        <f>[1]!thsiFinD("ths_pe_ttm_uss",E$6,$A88,100)</f>
        <v>10.832345326004001</v>
      </c>
      <c r="L88" s="23">
        <f>[1]!thsiFinD("ths_pe_ttm_uss",F$6,$A88,100)</f>
        <v>62.896784969446998</v>
      </c>
      <c r="M88" s="23">
        <f>[1]!thsiFinD("ths_pe_ttm_uss",G$6,$A88,100)</f>
        <v>8.2686399411548006</v>
      </c>
      <c r="N88" s="26">
        <f>[1]!thsiFinD("ths_ev2_to_ebitda_usk",N$6,$A88)</f>
        <v>5.6348922049976</v>
      </c>
      <c r="O88" s="26">
        <f>[1]!thsiFinD("ths_ev2_to_ebitda_usk",O$6,$A88)</f>
        <v>7.3671711761407996</v>
      </c>
      <c r="P88" s="26">
        <f>[1]!thsiFinD("ths_ev2_to_ebitda_usk",P$6,$A88)</f>
        <v>7.9697078261841998</v>
      </c>
      <c r="Q88" s="26">
        <f>[1]!thsiFinD("ths_ev2_to_ebitda_usk",Q$6,$A88)</f>
        <v>5.1401532134787997</v>
      </c>
      <c r="R88" s="26">
        <f>[1]!thsiFinD("ths_ev2_to_ebitda_usk",R$6,$A88)</f>
        <v>4.9901135608509</v>
      </c>
      <c r="S88" s="26">
        <f>[1]!thsiFinD("ths_ev2_to_ebitda_usk",S$6,$A88)</f>
        <v>4.0375759890858998</v>
      </c>
      <c r="T88" s="27">
        <f>[1]!thsiFinD("ths_pb_mrq_usk",T$6,$A88)</f>
        <v>1.7390998028819</v>
      </c>
      <c r="U88" s="27">
        <f>[1]!thsiFinD("ths_pb_mrq_usk",U$6,$A88)</f>
        <v>1.9307021622348</v>
      </c>
      <c r="V88" s="27">
        <f>[1]!thsiFinD("ths_pb_mrq_usk",V$6,$A88)</f>
        <v>1.6717565257561999</v>
      </c>
      <c r="W88" s="27">
        <f>[1]!thsiFinD("ths_pb_mrq_usk",W$6,$A88)</f>
        <v>1.9779715916394001</v>
      </c>
      <c r="X88" s="27">
        <f>[1]!thsiFinD("ths_pb_mrq_usk",X$6,$A88)</f>
        <v>1.639264466445</v>
      </c>
      <c r="Y88" s="27">
        <f>[1]!thsiFinD("ths_pb_mrq_usk",Y$6,$A88)</f>
        <v>1.4646535504886</v>
      </c>
      <c r="Z88" s="28">
        <f>[1]!thsiFinD("ths_ps_ttm_uss",Z$6,$A88,100)</f>
        <v>1.8181574316022999</v>
      </c>
      <c r="AA88" s="28">
        <f>[1]!thsiFinD("ths_ps_ttm_uss",AA$6,$A88,100)</f>
        <v>1.5090944398602999</v>
      </c>
      <c r="AB88" s="28">
        <f>[1]!thsiFinD("ths_ps_ttm_uss",AB$6,$A88,100)</f>
        <v>1.6327026613257001</v>
      </c>
      <c r="AC88" s="28">
        <f>[1]!thsiFinD("ths_ps_ttm_uss",AC$6,$A88,100)</f>
        <v>2.6530346628636998</v>
      </c>
      <c r="AD88" s="28">
        <f>[1]!thsiFinD("ths_ps_ttm_uss",AD$6,$A88,100)</f>
        <v>0.49497042216553</v>
      </c>
      <c r="AE88" s="28">
        <f>[1]!thsiFinD("ths_ps_ttm_uss",AE$6,$A88,100)</f>
        <v>1.2869165426445</v>
      </c>
      <c r="AJ88" s="44">
        <f>[1]!thsiFinD("ths_right_value_usk",AJ$6,$A88,"USD")/1000000</f>
        <v>112907.5765025</v>
      </c>
      <c r="AK88" s="44">
        <f>[1]!thsiFinD("ths_right_value_usk",AK$6,$A88,"USD")/1000000</f>
        <v>503065.68609406002</v>
      </c>
      <c r="AL88" s="44">
        <f>[1]!thsiFinD("ths_right_value_usk",AL$6,$A88,"USD")/1000000</f>
        <v>317371.27411914</v>
      </c>
      <c r="AM88" s="44">
        <f>[1]!thsiFinD("ths_right_value_usk",AM$6,$A88,"USD")/1000000</f>
        <v>59902.8696528</v>
      </c>
      <c r="AN88" s="44">
        <f>[1]!thsiFinD("ths_right_value_usk",AN$6,$A88,"USD")/1000000</f>
        <v>95477.319583619988</v>
      </c>
      <c r="AO88" s="44">
        <f>[1]!thsiFinD("ths_right_value_usk",AO$6,$A88,"USD")/1000000</f>
        <v>22482.432000000001</v>
      </c>
      <c r="AP88" s="44">
        <f>[1]!thsiFinD("ths_ev2_usk",AP$6,$A88,"USD")/1000000</f>
        <v>131129.57650249999</v>
      </c>
      <c r="AQ88" s="44">
        <f>[1]!thsiFinD("ths_ev2_usk",AQ$6,$A88,"USD")/1000000</f>
        <v>540094.68609405996</v>
      </c>
      <c r="AR88" s="44">
        <f>[1]!thsiFinD("ths_ev2_usk",AR$6,$A88,"USD")/1000000</f>
        <v>356947.27411914</v>
      </c>
      <c r="AS88" s="44">
        <f>[1]!thsiFinD("ths_ev2_usk",AS$6,$A88,"USD")/1000000</f>
        <v>64066.8696528</v>
      </c>
      <c r="AT88" s="44">
        <f>[1]!thsiFinD("ths_ev2_usk",AT$6,$A88,"USD")/1000000</f>
        <v>140157.31958362</v>
      </c>
      <c r="AU88" s="44">
        <f>[1]!thsiFinD("ths_ev2_usk",AU$6,$A88,"USD")/1000000</f>
        <v>29595.432000000001</v>
      </c>
    </row>
    <row r="89" spans="1:47" x14ac:dyDescent="0.45">
      <c r="A89" s="3"/>
      <c r="B89" s="13"/>
      <c r="H89" s="23">
        <f>[1]!thsiFinD("ths_pe_ttm_uss",B$6,$A89,100)</f>
        <v>12.763687147016</v>
      </c>
      <c r="I89" s="23">
        <f>[1]!thsiFinD("ths_pe_ttm_uss",C$6,$A89,100)</f>
        <v>16.795168633995001</v>
      </c>
      <c r="J89" s="23">
        <f>[1]!thsiFinD("ths_pe_ttm_uss",D$6,$A89,100)</f>
        <v>24.856772722363999</v>
      </c>
      <c r="K89" s="23">
        <f>[1]!thsiFinD("ths_pe_ttm_uss",E$6,$A89,100)</f>
        <v>10.832345326004001</v>
      </c>
      <c r="L89" s="23">
        <f>[1]!thsiFinD("ths_pe_ttm_uss",F$6,$A89,100)</f>
        <v>62.896784969446998</v>
      </c>
      <c r="M89" s="23">
        <f>[1]!thsiFinD("ths_pe_ttm_uss",G$6,$A89,100)</f>
        <v>8.2686399411548006</v>
      </c>
      <c r="N89" s="26">
        <f>[1]!thsiFinD("ths_ev2_to_ebitda_usk",N$6,$A89)</f>
        <v>5.6348922049976</v>
      </c>
      <c r="O89" s="26">
        <f>[1]!thsiFinD("ths_ev2_to_ebitda_usk",O$6,$A89)</f>
        <v>7.3671711761407996</v>
      </c>
      <c r="P89" s="26">
        <f>[1]!thsiFinD("ths_ev2_to_ebitda_usk",P$6,$A89)</f>
        <v>7.9697078261841998</v>
      </c>
      <c r="Q89" s="26">
        <f>[1]!thsiFinD("ths_ev2_to_ebitda_usk",Q$6,$A89)</f>
        <v>5.1401532134787997</v>
      </c>
      <c r="R89" s="26">
        <f>[1]!thsiFinD("ths_ev2_to_ebitda_usk",R$6,$A89)</f>
        <v>4.9901135608509</v>
      </c>
      <c r="S89" s="26">
        <f>[1]!thsiFinD("ths_ev2_to_ebitda_usk",S$6,$A89)</f>
        <v>4.0375759890858998</v>
      </c>
      <c r="T89" s="27">
        <f>[1]!thsiFinD("ths_pb_mrq_usk",T$6,$A89)</f>
        <v>1.7390998028819</v>
      </c>
      <c r="U89" s="27">
        <f>[1]!thsiFinD("ths_pb_mrq_usk",U$6,$A89)</f>
        <v>1.9307021622348</v>
      </c>
      <c r="V89" s="27">
        <f>[1]!thsiFinD("ths_pb_mrq_usk",V$6,$A89)</f>
        <v>1.6717565257561999</v>
      </c>
      <c r="W89" s="27">
        <f>[1]!thsiFinD("ths_pb_mrq_usk",W$6,$A89)</f>
        <v>1.9779715916394001</v>
      </c>
      <c r="X89" s="27">
        <f>[1]!thsiFinD("ths_pb_mrq_usk",X$6,$A89)</f>
        <v>1.639264466445</v>
      </c>
      <c r="Y89" s="27">
        <f>[1]!thsiFinD("ths_pb_mrq_usk",Y$6,$A89)</f>
        <v>1.4646535504886</v>
      </c>
      <c r="Z89" s="28">
        <f>[1]!thsiFinD("ths_ps_ttm_uss",Z$6,$A89,100)</f>
        <v>1.8181574316022999</v>
      </c>
      <c r="AA89" s="28">
        <f>[1]!thsiFinD("ths_ps_ttm_uss",AA$6,$A89,100)</f>
        <v>1.5090944398602999</v>
      </c>
      <c r="AB89" s="28">
        <f>[1]!thsiFinD("ths_ps_ttm_uss",AB$6,$A89,100)</f>
        <v>1.6327026613257001</v>
      </c>
      <c r="AC89" s="28">
        <f>[1]!thsiFinD("ths_ps_ttm_uss",AC$6,$A89,100)</f>
        <v>2.6530346628636998</v>
      </c>
      <c r="AD89" s="28">
        <f>[1]!thsiFinD("ths_ps_ttm_uss",AD$6,$A89,100)</f>
        <v>0.49497042216553</v>
      </c>
      <c r="AE89" s="28">
        <f>[1]!thsiFinD("ths_ps_ttm_uss",AE$6,$A89,100)</f>
        <v>1.2869165426445</v>
      </c>
      <c r="AJ89" s="44">
        <f>[1]!thsiFinD("ths_right_value_usk",AJ$6,$A89,"USD")/1000000</f>
        <v>112907.5765025</v>
      </c>
      <c r="AK89" s="44">
        <f>[1]!thsiFinD("ths_right_value_usk",AK$6,$A89,"USD")/1000000</f>
        <v>503065.68609406002</v>
      </c>
      <c r="AL89" s="44">
        <f>[1]!thsiFinD("ths_right_value_usk",AL$6,$A89,"USD")/1000000</f>
        <v>317371.27411914</v>
      </c>
      <c r="AM89" s="44">
        <f>[1]!thsiFinD("ths_right_value_usk",AM$6,$A89,"USD")/1000000</f>
        <v>59902.8696528</v>
      </c>
      <c r="AN89" s="44">
        <f>[1]!thsiFinD("ths_right_value_usk",AN$6,$A89,"USD")/1000000</f>
        <v>95477.319583619988</v>
      </c>
      <c r="AO89" s="44">
        <f>[1]!thsiFinD("ths_right_value_usk",AO$6,$A89,"USD")/1000000</f>
        <v>22482.432000000001</v>
      </c>
      <c r="AP89" s="44">
        <f>[1]!thsiFinD("ths_ev2_usk",AP$6,$A89,"USD")/1000000</f>
        <v>131129.57650249999</v>
      </c>
      <c r="AQ89" s="44">
        <f>[1]!thsiFinD("ths_ev2_usk",AQ$6,$A89,"USD")/1000000</f>
        <v>540094.68609405996</v>
      </c>
      <c r="AR89" s="44">
        <f>[1]!thsiFinD("ths_ev2_usk",AR$6,$A89,"USD")/1000000</f>
        <v>356947.27411914</v>
      </c>
      <c r="AS89" s="44">
        <f>[1]!thsiFinD("ths_ev2_usk",AS$6,$A89,"USD")/1000000</f>
        <v>64066.8696528</v>
      </c>
      <c r="AT89" s="44">
        <f>[1]!thsiFinD("ths_ev2_usk",AT$6,$A89,"USD")/1000000</f>
        <v>140157.31958362</v>
      </c>
      <c r="AU89" s="44">
        <f>[1]!thsiFinD("ths_ev2_usk",AU$6,$A89,"USD")/1000000</f>
        <v>29595.432000000001</v>
      </c>
    </row>
    <row r="90" spans="1:47" x14ac:dyDescent="0.45">
      <c r="A90" s="3"/>
      <c r="B90" s="13"/>
      <c r="H90" s="23">
        <f>[1]!thsiFinD("ths_pe_ttm_uss",B$6,$A90,100)</f>
        <v>12.763687147016</v>
      </c>
      <c r="I90" s="23">
        <f>[1]!thsiFinD("ths_pe_ttm_uss",C$6,$A90,100)</f>
        <v>16.795168633995001</v>
      </c>
      <c r="J90" s="23">
        <f>[1]!thsiFinD("ths_pe_ttm_uss",D$6,$A90,100)</f>
        <v>24.856772722363999</v>
      </c>
      <c r="K90" s="23">
        <f>[1]!thsiFinD("ths_pe_ttm_uss",E$6,$A90,100)</f>
        <v>10.832345326004001</v>
      </c>
      <c r="L90" s="23">
        <f>[1]!thsiFinD("ths_pe_ttm_uss",F$6,$A90,100)</f>
        <v>62.896784969446998</v>
      </c>
      <c r="M90" s="23">
        <f>[1]!thsiFinD("ths_pe_ttm_uss",G$6,$A90,100)</f>
        <v>8.2686399411548006</v>
      </c>
      <c r="N90" s="26">
        <f>[1]!thsiFinD("ths_ev2_to_ebitda_usk",N$6,$A90)</f>
        <v>5.6348922049976</v>
      </c>
      <c r="O90" s="26">
        <f>[1]!thsiFinD("ths_ev2_to_ebitda_usk",O$6,$A90)</f>
        <v>7.3671711761407996</v>
      </c>
      <c r="P90" s="26">
        <f>[1]!thsiFinD("ths_ev2_to_ebitda_usk",P$6,$A90)</f>
        <v>7.9697078261841998</v>
      </c>
      <c r="Q90" s="26">
        <f>[1]!thsiFinD("ths_ev2_to_ebitda_usk",Q$6,$A90)</f>
        <v>5.1401532134787997</v>
      </c>
      <c r="R90" s="26">
        <f>[1]!thsiFinD("ths_ev2_to_ebitda_usk",R$6,$A90)</f>
        <v>4.9901135608509</v>
      </c>
      <c r="S90" s="26">
        <f>[1]!thsiFinD("ths_ev2_to_ebitda_usk",S$6,$A90)</f>
        <v>4.0375759890858998</v>
      </c>
      <c r="T90" s="27">
        <f>[1]!thsiFinD("ths_pb_mrq_usk",T$6,$A90)</f>
        <v>1.7390998028819</v>
      </c>
      <c r="U90" s="27">
        <f>[1]!thsiFinD("ths_pb_mrq_usk",U$6,$A90)</f>
        <v>1.9307021622348</v>
      </c>
      <c r="V90" s="27">
        <f>[1]!thsiFinD("ths_pb_mrq_usk",V$6,$A90)</f>
        <v>1.6717565257561999</v>
      </c>
      <c r="W90" s="27">
        <f>[1]!thsiFinD("ths_pb_mrq_usk",W$6,$A90)</f>
        <v>1.9779715916394001</v>
      </c>
      <c r="X90" s="27">
        <f>[1]!thsiFinD("ths_pb_mrq_usk",X$6,$A90)</f>
        <v>1.639264466445</v>
      </c>
      <c r="Y90" s="27">
        <f>[1]!thsiFinD("ths_pb_mrq_usk",Y$6,$A90)</f>
        <v>1.4646535504886</v>
      </c>
      <c r="Z90" s="28">
        <f>[1]!thsiFinD("ths_ps_ttm_uss",Z$6,$A90,100)</f>
        <v>1.8181574316022999</v>
      </c>
      <c r="AA90" s="28">
        <f>[1]!thsiFinD("ths_ps_ttm_uss",AA$6,$A90,100)</f>
        <v>1.5090944398602999</v>
      </c>
      <c r="AB90" s="28">
        <f>[1]!thsiFinD("ths_ps_ttm_uss",AB$6,$A90,100)</f>
        <v>1.6327026613257001</v>
      </c>
      <c r="AC90" s="28">
        <f>[1]!thsiFinD("ths_ps_ttm_uss",AC$6,$A90,100)</f>
        <v>2.6530346628636998</v>
      </c>
      <c r="AD90" s="28">
        <f>[1]!thsiFinD("ths_ps_ttm_uss",AD$6,$A90,100)</f>
        <v>0.49497042216553</v>
      </c>
      <c r="AE90" s="28">
        <f>[1]!thsiFinD("ths_ps_ttm_uss",AE$6,$A90,100)</f>
        <v>1.2869165426445</v>
      </c>
      <c r="AJ90" s="44">
        <f>[1]!thsiFinD("ths_right_value_usk",AJ$6,$A90,"USD")/1000000</f>
        <v>112907.5765025</v>
      </c>
      <c r="AK90" s="44">
        <f>[1]!thsiFinD("ths_right_value_usk",AK$6,$A90,"USD")/1000000</f>
        <v>503065.68609406002</v>
      </c>
      <c r="AL90" s="44">
        <f>[1]!thsiFinD("ths_right_value_usk",AL$6,$A90,"USD")/1000000</f>
        <v>317371.27411914</v>
      </c>
      <c r="AM90" s="44">
        <f>[1]!thsiFinD("ths_right_value_usk",AM$6,$A90,"USD")/1000000</f>
        <v>59902.8696528</v>
      </c>
      <c r="AN90" s="44">
        <f>[1]!thsiFinD("ths_right_value_usk",AN$6,$A90,"USD")/1000000</f>
        <v>95477.319583619988</v>
      </c>
      <c r="AO90" s="44">
        <f>[1]!thsiFinD("ths_right_value_usk",AO$6,$A90,"USD")/1000000</f>
        <v>22482.432000000001</v>
      </c>
      <c r="AP90" s="44">
        <f>[1]!thsiFinD("ths_ev2_usk",AP$6,$A90,"USD")/1000000</f>
        <v>131129.57650249999</v>
      </c>
      <c r="AQ90" s="44">
        <f>[1]!thsiFinD("ths_ev2_usk",AQ$6,$A90,"USD")/1000000</f>
        <v>540094.68609405996</v>
      </c>
      <c r="AR90" s="44">
        <f>[1]!thsiFinD("ths_ev2_usk",AR$6,$A90,"USD")/1000000</f>
        <v>356947.27411914</v>
      </c>
      <c r="AS90" s="44">
        <f>[1]!thsiFinD("ths_ev2_usk",AS$6,$A90,"USD")/1000000</f>
        <v>64066.8696528</v>
      </c>
      <c r="AT90" s="44">
        <f>[1]!thsiFinD("ths_ev2_usk",AT$6,$A90,"USD")/1000000</f>
        <v>140157.31958362</v>
      </c>
      <c r="AU90" s="44">
        <f>[1]!thsiFinD("ths_ev2_usk",AU$6,$A90,"USD")/1000000</f>
        <v>29595.432000000001</v>
      </c>
    </row>
    <row r="91" spans="1:47" x14ac:dyDescent="0.45">
      <c r="A91" s="3"/>
      <c r="B91" s="13"/>
      <c r="H91" s="23">
        <f>[1]!thsiFinD("ths_pe_ttm_uss",B$6,$A91,100)</f>
        <v>12.763687147016</v>
      </c>
      <c r="I91" s="23">
        <f>[1]!thsiFinD("ths_pe_ttm_uss",C$6,$A91,100)</f>
        <v>16.795168633995001</v>
      </c>
      <c r="J91" s="23">
        <f>[1]!thsiFinD("ths_pe_ttm_uss",D$6,$A91,100)</f>
        <v>24.856772722363999</v>
      </c>
      <c r="K91" s="23">
        <f>[1]!thsiFinD("ths_pe_ttm_uss",E$6,$A91,100)</f>
        <v>10.832345326004001</v>
      </c>
      <c r="L91" s="23">
        <f>[1]!thsiFinD("ths_pe_ttm_uss",F$6,$A91,100)</f>
        <v>62.896784969446998</v>
      </c>
      <c r="M91" s="23">
        <f>[1]!thsiFinD("ths_pe_ttm_uss",G$6,$A91,100)</f>
        <v>8.2686399411548006</v>
      </c>
      <c r="N91" s="26">
        <f>[1]!thsiFinD("ths_ev2_to_ebitda_usk",N$6,$A91)</f>
        <v>5.6348922049976</v>
      </c>
      <c r="O91" s="26">
        <f>[1]!thsiFinD("ths_ev2_to_ebitda_usk",O$6,$A91)</f>
        <v>7.3671711761407996</v>
      </c>
      <c r="P91" s="26">
        <f>[1]!thsiFinD("ths_ev2_to_ebitda_usk",P$6,$A91)</f>
        <v>7.9697078261841998</v>
      </c>
      <c r="Q91" s="26">
        <f>[1]!thsiFinD("ths_ev2_to_ebitda_usk",Q$6,$A91)</f>
        <v>5.1401532134787997</v>
      </c>
      <c r="R91" s="26">
        <f>[1]!thsiFinD("ths_ev2_to_ebitda_usk",R$6,$A91)</f>
        <v>4.9901135608509</v>
      </c>
      <c r="S91" s="26">
        <f>[1]!thsiFinD("ths_ev2_to_ebitda_usk",S$6,$A91)</f>
        <v>4.0375759890858998</v>
      </c>
      <c r="T91" s="27">
        <f>[1]!thsiFinD("ths_pb_mrq_usk",T$6,$A91)</f>
        <v>1.7390998028819</v>
      </c>
      <c r="U91" s="27">
        <f>[1]!thsiFinD("ths_pb_mrq_usk",U$6,$A91)</f>
        <v>1.9307021622348</v>
      </c>
      <c r="V91" s="27">
        <f>[1]!thsiFinD("ths_pb_mrq_usk",V$6,$A91)</f>
        <v>1.6717565257561999</v>
      </c>
      <c r="W91" s="27">
        <f>[1]!thsiFinD("ths_pb_mrq_usk",W$6,$A91)</f>
        <v>1.9779715916394001</v>
      </c>
      <c r="X91" s="27">
        <f>[1]!thsiFinD("ths_pb_mrq_usk",X$6,$A91)</f>
        <v>1.639264466445</v>
      </c>
      <c r="Y91" s="27">
        <f>[1]!thsiFinD("ths_pb_mrq_usk",Y$6,$A91)</f>
        <v>1.4646535504886</v>
      </c>
      <c r="Z91" s="28">
        <f>[1]!thsiFinD("ths_ps_ttm_uss",Z$6,$A91,100)</f>
        <v>1.8181574316022999</v>
      </c>
      <c r="AA91" s="28">
        <f>[1]!thsiFinD("ths_ps_ttm_uss",AA$6,$A91,100)</f>
        <v>1.5090944398602999</v>
      </c>
      <c r="AB91" s="28">
        <f>[1]!thsiFinD("ths_ps_ttm_uss",AB$6,$A91,100)</f>
        <v>1.6327026613257001</v>
      </c>
      <c r="AC91" s="28">
        <f>[1]!thsiFinD("ths_ps_ttm_uss",AC$6,$A91,100)</f>
        <v>2.6530346628636998</v>
      </c>
      <c r="AD91" s="28">
        <f>[1]!thsiFinD("ths_ps_ttm_uss",AD$6,$A91,100)</f>
        <v>0.49497042216553</v>
      </c>
      <c r="AE91" s="28">
        <f>[1]!thsiFinD("ths_ps_ttm_uss",AE$6,$A91,100)</f>
        <v>1.2869165426445</v>
      </c>
      <c r="AJ91" s="44">
        <f>[1]!thsiFinD("ths_right_value_usk",AJ$6,$A91,"USD")/1000000</f>
        <v>112907.5765025</v>
      </c>
      <c r="AK91" s="44">
        <f>[1]!thsiFinD("ths_right_value_usk",AK$6,$A91,"USD")/1000000</f>
        <v>503065.68609406002</v>
      </c>
      <c r="AL91" s="44">
        <f>[1]!thsiFinD("ths_right_value_usk",AL$6,$A91,"USD")/1000000</f>
        <v>317371.27411914</v>
      </c>
      <c r="AM91" s="44">
        <f>[1]!thsiFinD("ths_right_value_usk",AM$6,$A91,"USD")/1000000</f>
        <v>59902.8696528</v>
      </c>
      <c r="AN91" s="44">
        <f>[1]!thsiFinD("ths_right_value_usk",AN$6,$A91,"USD")/1000000</f>
        <v>95477.319583619988</v>
      </c>
      <c r="AO91" s="44">
        <f>[1]!thsiFinD("ths_right_value_usk",AO$6,$A91,"USD")/1000000</f>
        <v>22482.432000000001</v>
      </c>
      <c r="AP91" s="44">
        <f>[1]!thsiFinD("ths_ev2_usk",AP$6,$A91,"USD")/1000000</f>
        <v>131129.57650249999</v>
      </c>
      <c r="AQ91" s="44">
        <f>[1]!thsiFinD("ths_ev2_usk",AQ$6,$A91,"USD")/1000000</f>
        <v>540094.68609405996</v>
      </c>
      <c r="AR91" s="44">
        <f>[1]!thsiFinD("ths_ev2_usk",AR$6,$A91,"USD")/1000000</f>
        <v>356947.27411914</v>
      </c>
      <c r="AS91" s="44">
        <f>[1]!thsiFinD("ths_ev2_usk",AS$6,$A91,"USD")/1000000</f>
        <v>64066.8696528</v>
      </c>
      <c r="AT91" s="44">
        <f>[1]!thsiFinD("ths_ev2_usk",AT$6,$A91,"USD")/1000000</f>
        <v>140157.31958362</v>
      </c>
      <c r="AU91" s="44">
        <f>[1]!thsiFinD("ths_ev2_usk",AU$6,$A91,"USD")/1000000</f>
        <v>29595.432000000001</v>
      </c>
    </row>
    <row r="92" spans="1:47" x14ac:dyDescent="0.45">
      <c r="A92" s="3"/>
      <c r="B92" s="13"/>
      <c r="H92" s="23">
        <f>[1]!thsiFinD("ths_pe_ttm_uss",B$6,$A92,100)</f>
        <v>12.763687147016</v>
      </c>
      <c r="I92" s="23">
        <f>[1]!thsiFinD("ths_pe_ttm_uss",C$6,$A92,100)</f>
        <v>16.795168633995001</v>
      </c>
      <c r="J92" s="23">
        <f>[1]!thsiFinD("ths_pe_ttm_uss",D$6,$A92,100)</f>
        <v>24.856772722363999</v>
      </c>
      <c r="K92" s="23">
        <f>[1]!thsiFinD("ths_pe_ttm_uss",E$6,$A92,100)</f>
        <v>10.832345326004001</v>
      </c>
      <c r="L92" s="23">
        <f>[1]!thsiFinD("ths_pe_ttm_uss",F$6,$A92,100)</f>
        <v>62.896784969446998</v>
      </c>
      <c r="M92" s="23">
        <f>[1]!thsiFinD("ths_pe_ttm_uss",G$6,$A92,100)</f>
        <v>8.2686399411548006</v>
      </c>
      <c r="N92" s="26">
        <f>[1]!thsiFinD("ths_ev2_to_ebitda_usk",N$6,$A92)</f>
        <v>5.6348922049976</v>
      </c>
      <c r="O92" s="26">
        <f>[1]!thsiFinD("ths_ev2_to_ebitda_usk",O$6,$A92)</f>
        <v>7.3671711761407996</v>
      </c>
      <c r="P92" s="26">
        <f>[1]!thsiFinD("ths_ev2_to_ebitda_usk",P$6,$A92)</f>
        <v>7.9697078261841998</v>
      </c>
      <c r="Q92" s="26">
        <f>[1]!thsiFinD("ths_ev2_to_ebitda_usk",Q$6,$A92)</f>
        <v>5.1401532134787997</v>
      </c>
      <c r="R92" s="26">
        <f>[1]!thsiFinD("ths_ev2_to_ebitda_usk",R$6,$A92)</f>
        <v>4.9901135608509</v>
      </c>
      <c r="S92" s="26">
        <f>[1]!thsiFinD("ths_ev2_to_ebitda_usk",S$6,$A92)</f>
        <v>4.0375759890858998</v>
      </c>
      <c r="T92" s="27">
        <f>[1]!thsiFinD("ths_pb_mrq_usk",T$6,$A92)</f>
        <v>1.7390998028819</v>
      </c>
      <c r="U92" s="27">
        <f>[1]!thsiFinD("ths_pb_mrq_usk",U$6,$A92)</f>
        <v>1.9307021622348</v>
      </c>
      <c r="V92" s="27">
        <f>[1]!thsiFinD("ths_pb_mrq_usk",V$6,$A92)</f>
        <v>1.6717565257561999</v>
      </c>
      <c r="W92" s="27">
        <f>[1]!thsiFinD("ths_pb_mrq_usk",W$6,$A92)</f>
        <v>1.9779715916394001</v>
      </c>
      <c r="X92" s="27">
        <f>[1]!thsiFinD("ths_pb_mrq_usk",X$6,$A92)</f>
        <v>1.639264466445</v>
      </c>
      <c r="Y92" s="27">
        <f>[1]!thsiFinD("ths_pb_mrq_usk",Y$6,$A92)</f>
        <v>1.4646535504886</v>
      </c>
      <c r="Z92" s="28">
        <f>[1]!thsiFinD("ths_ps_ttm_uss",Z$6,$A92,100)</f>
        <v>1.8181574316022999</v>
      </c>
      <c r="AA92" s="28">
        <f>[1]!thsiFinD("ths_ps_ttm_uss",AA$6,$A92,100)</f>
        <v>1.5090944398602999</v>
      </c>
      <c r="AB92" s="28">
        <f>[1]!thsiFinD("ths_ps_ttm_uss",AB$6,$A92,100)</f>
        <v>1.6327026613257001</v>
      </c>
      <c r="AC92" s="28">
        <f>[1]!thsiFinD("ths_ps_ttm_uss",AC$6,$A92,100)</f>
        <v>2.6530346628636998</v>
      </c>
      <c r="AD92" s="28">
        <f>[1]!thsiFinD("ths_ps_ttm_uss",AD$6,$A92,100)</f>
        <v>0.49497042216553</v>
      </c>
      <c r="AE92" s="28">
        <f>[1]!thsiFinD("ths_ps_ttm_uss",AE$6,$A92,100)</f>
        <v>1.2869165426445</v>
      </c>
      <c r="AJ92" s="44">
        <f>[1]!thsiFinD("ths_right_value_usk",AJ$6,$A92,"USD")/1000000</f>
        <v>112907.5765025</v>
      </c>
      <c r="AK92" s="44">
        <f>[1]!thsiFinD("ths_right_value_usk",AK$6,$A92,"USD")/1000000</f>
        <v>503065.68609406002</v>
      </c>
      <c r="AL92" s="44">
        <f>[1]!thsiFinD("ths_right_value_usk",AL$6,$A92,"USD")/1000000</f>
        <v>317371.27411914</v>
      </c>
      <c r="AM92" s="44">
        <f>[1]!thsiFinD("ths_right_value_usk",AM$6,$A92,"USD")/1000000</f>
        <v>59902.8696528</v>
      </c>
      <c r="AN92" s="44">
        <f>[1]!thsiFinD("ths_right_value_usk",AN$6,$A92,"USD")/1000000</f>
        <v>95477.319583619988</v>
      </c>
      <c r="AO92" s="44">
        <f>[1]!thsiFinD("ths_right_value_usk",AO$6,$A92,"USD")/1000000</f>
        <v>22482.432000000001</v>
      </c>
      <c r="AP92" s="44">
        <f>[1]!thsiFinD("ths_ev2_usk",AP$6,$A92,"USD")/1000000</f>
        <v>131129.57650249999</v>
      </c>
      <c r="AQ92" s="44">
        <f>[1]!thsiFinD("ths_ev2_usk",AQ$6,$A92,"USD")/1000000</f>
        <v>540094.68609405996</v>
      </c>
      <c r="AR92" s="44">
        <f>[1]!thsiFinD("ths_ev2_usk",AR$6,$A92,"USD")/1000000</f>
        <v>356947.27411914</v>
      </c>
      <c r="AS92" s="44">
        <f>[1]!thsiFinD("ths_ev2_usk",AS$6,$A92,"USD")/1000000</f>
        <v>64066.8696528</v>
      </c>
      <c r="AT92" s="44">
        <f>[1]!thsiFinD("ths_ev2_usk",AT$6,$A92,"USD")/1000000</f>
        <v>140157.31958362</v>
      </c>
      <c r="AU92" s="44">
        <f>[1]!thsiFinD("ths_ev2_usk",AU$6,$A92,"USD")/1000000</f>
        <v>29595.432000000001</v>
      </c>
    </row>
    <row r="93" spans="1:47" x14ac:dyDescent="0.45">
      <c r="A93" s="3"/>
      <c r="B93" s="13"/>
      <c r="H93" s="23">
        <f>[1]!thsiFinD("ths_pe_ttm_uss",B$6,$A93,100)</f>
        <v>12.763687147016</v>
      </c>
      <c r="I93" s="23">
        <f>[1]!thsiFinD("ths_pe_ttm_uss",C$6,$A93,100)</f>
        <v>16.795168633995001</v>
      </c>
      <c r="J93" s="23">
        <f>[1]!thsiFinD("ths_pe_ttm_uss",D$6,$A93,100)</f>
        <v>24.856772722363999</v>
      </c>
      <c r="K93" s="23">
        <f>[1]!thsiFinD("ths_pe_ttm_uss",E$6,$A93,100)</f>
        <v>10.832345326004001</v>
      </c>
      <c r="L93" s="23">
        <f>[1]!thsiFinD("ths_pe_ttm_uss",F$6,$A93,100)</f>
        <v>62.896784969446998</v>
      </c>
      <c r="M93" s="23">
        <f>[1]!thsiFinD("ths_pe_ttm_uss",G$6,$A93,100)</f>
        <v>8.2686399411548006</v>
      </c>
      <c r="N93" s="26">
        <f>[1]!thsiFinD("ths_ev2_to_ebitda_usk",N$6,$A93)</f>
        <v>5.6348922049976</v>
      </c>
      <c r="O93" s="26">
        <f>[1]!thsiFinD("ths_ev2_to_ebitda_usk",O$6,$A93)</f>
        <v>7.3671711761407996</v>
      </c>
      <c r="P93" s="26">
        <f>[1]!thsiFinD("ths_ev2_to_ebitda_usk",P$6,$A93)</f>
        <v>7.9697078261841998</v>
      </c>
      <c r="Q93" s="26">
        <f>[1]!thsiFinD("ths_ev2_to_ebitda_usk",Q$6,$A93)</f>
        <v>5.1401532134787997</v>
      </c>
      <c r="R93" s="26">
        <f>[1]!thsiFinD("ths_ev2_to_ebitda_usk",R$6,$A93)</f>
        <v>4.9901135608509</v>
      </c>
      <c r="S93" s="26">
        <f>[1]!thsiFinD("ths_ev2_to_ebitda_usk",S$6,$A93)</f>
        <v>4.0375759890858998</v>
      </c>
      <c r="T93" s="27">
        <f>[1]!thsiFinD("ths_pb_mrq_usk",T$6,$A93)</f>
        <v>1.7390998028819</v>
      </c>
      <c r="U93" s="27">
        <f>[1]!thsiFinD("ths_pb_mrq_usk",U$6,$A93)</f>
        <v>1.9307021622348</v>
      </c>
      <c r="V93" s="27">
        <f>[1]!thsiFinD("ths_pb_mrq_usk",V$6,$A93)</f>
        <v>1.6717565257561999</v>
      </c>
      <c r="W93" s="27">
        <f>[1]!thsiFinD("ths_pb_mrq_usk",W$6,$A93)</f>
        <v>1.9779715916394001</v>
      </c>
      <c r="X93" s="27">
        <f>[1]!thsiFinD("ths_pb_mrq_usk",X$6,$A93)</f>
        <v>1.639264466445</v>
      </c>
      <c r="Y93" s="27">
        <f>[1]!thsiFinD("ths_pb_mrq_usk",Y$6,$A93)</f>
        <v>1.4646535504886</v>
      </c>
      <c r="Z93" s="28">
        <f>[1]!thsiFinD("ths_ps_ttm_uss",Z$6,$A93,100)</f>
        <v>1.8181574316022999</v>
      </c>
      <c r="AA93" s="28">
        <f>[1]!thsiFinD("ths_ps_ttm_uss",AA$6,$A93,100)</f>
        <v>1.5090944398602999</v>
      </c>
      <c r="AB93" s="28">
        <f>[1]!thsiFinD("ths_ps_ttm_uss",AB$6,$A93,100)</f>
        <v>1.6327026613257001</v>
      </c>
      <c r="AC93" s="28">
        <f>[1]!thsiFinD("ths_ps_ttm_uss",AC$6,$A93,100)</f>
        <v>2.6530346628636998</v>
      </c>
      <c r="AD93" s="28">
        <f>[1]!thsiFinD("ths_ps_ttm_uss",AD$6,$A93,100)</f>
        <v>0.49497042216553</v>
      </c>
      <c r="AE93" s="28">
        <f>[1]!thsiFinD("ths_ps_ttm_uss",AE$6,$A93,100)</f>
        <v>1.2869165426445</v>
      </c>
      <c r="AJ93" s="44">
        <f>[1]!thsiFinD("ths_right_value_usk",AJ$6,$A93,"USD")/1000000</f>
        <v>112907.5765025</v>
      </c>
      <c r="AK93" s="44">
        <f>[1]!thsiFinD("ths_right_value_usk",AK$6,$A93,"USD")/1000000</f>
        <v>503065.68609406002</v>
      </c>
      <c r="AL93" s="44">
        <f>[1]!thsiFinD("ths_right_value_usk",AL$6,$A93,"USD")/1000000</f>
        <v>317371.27411914</v>
      </c>
      <c r="AM93" s="44">
        <f>[1]!thsiFinD("ths_right_value_usk",AM$6,$A93,"USD")/1000000</f>
        <v>59902.8696528</v>
      </c>
      <c r="AN93" s="44">
        <f>[1]!thsiFinD("ths_right_value_usk",AN$6,$A93,"USD")/1000000</f>
        <v>95477.319583619988</v>
      </c>
      <c r="AO93" s="44">
        <f>[1]!thsiFinD("ths_right_value_usk",AO$6,$A93,"USD")/1000000</f>
        <v>22482.432000000001</v>
      </c>
      <c r="AP93" s="44">
        <f>[1]!thsiFinD("ths_ev2_usk",AP$6,$A93,"USD")/1000000</f>
        <v>131129.57650249999</v>
      </c>
      <c r="AQ93" s="44">
        <f>[1]!thsiFinD("ths_ev2_usk",AQ$6,$A93,"USD")/1000000</f>
        <v>540094.68609405996</v>
      </c>
      <c r="AR93" s="44">
        <f>[1]!thsiFinD("ths_ev2_usk",AR$6,$A93,"USD")/1000000</f>
        <v>356947.27411914</v>
      </c>
      <c r="AS93" s="44">
        <f>[1]!thsiFinD("ths_ev2_usk",AS$6,$A93,"USD")/1000000</f>
        <v>64066.8696528</v>
      </c>
      <c r="AT93" s="44">
        <f>[1]!thsiFinD("ths_ev2_usk",AT$6,$A93,"USD")/1000000</f>
        <v>140157.31958362</v>
      </c>
      <c r="AU93" s="44">
        <f>[1]!thsiFinD("ths_ev2_usk",AU$6,$A93,"USD")/1000000</f>
        <v>29595.432000000001</v>
      </c>
    </row>
    <row r="94" spans="1:47" x14ac:dyDescent="0.45">
      <c r="A94" s="3"/>
      <c r="B94" s="13"/>
      <c r="H94" s="23">
        <f>[1]!thsiFinD("ths_pe_ttm_uss",B$6,$A94,100)</f>
        <v>12.763687147016</v>
      </c>
      <c r="I94" s="23">
        <f>[1]!thsiFinD("ths_pe_ttm_uss",C$6,$A94,100)</f>
        <v>16.795168633995001</v>
      </c>
      <c r="J94" s="23">
        <f>[1]!thsiFinD("ths_pe_ttm_uss",D$6,$A94,100)</f>
        <v>24.856772722363999</v>
      </c>
      <c r="K94" s="23">
        <f>[1]!thsiFinD("ths_pe_ttm_uss",E$6,$A94,100)</f>
        <v>10.832345326004001</v>
      </c>
      <c r="L94" s="23">
        <f>[1]!thsiFinD("ths_pe_ttm_uss",F$6,$A94,100)</f>
        <v>62.896784969446998</v>
      </c>
      <c r="M94" s="23">
        <f>[1]!thsiFinD("ths_pe_ttm_uss",G$6,$A94,100)</f>
        <v>8.2686399411548006</v>
      </c>
      <c r="N94" s="26">
        <f>[1]!thsiFinD("ths_ev2_to_ebitda_usk",N$6,$A94)</f>
        <v>5.6348922049976</v>
      </c>
      <c r="O94" s="26">
        <f>[1]!thsiFinD("ths_ev2_to_ebitda_usk",O$6,$A94)</f>
        <v>7.3671711761407996</v>
      </c>
      <c r="P94" s="26">
        <f>[1]!thsiFinD("ths_ev2_to_ebitda_usk",P$6,$A94)</f>
        <v>7.9697078261841998</v>
      </c>
      <c r="Q94" s="26">
        <f>[1]!thsiFinD("ths_ev2_to_ebitda_usk",Q$6,$A94)</f>
        <v>5.1401532134787997</v>
      </c>
      <c r="R94" s="26">
        <f>[1]!thsiFinD("ths_ev2_to_ebitda_usk",R$6,$A94)</f>
        <v>4.9901135608509</v>
      </c>
      <c r="S94" s="26">
        <f>[1]!thsiFinD("ths_ev2_to_ebitda_usk",S$6,$A94)</f>
        <v>4.0375759890858998</v>
      </c>
      <c r="T94" s="27">
        <f>[1]!thsiFinD("ths_pb_mrq_usk",T$6,$A94)</f>
        <v>1.7390998028819</v>
      </c>
      <c r="U94" s="27">
        <f>[1]!thsiFinD("ths_pb_mrq_usk",U$6,$A94)</f>
        <v>1.9307021622348</v>
      </c>
      <c r="V94" s="27">
        <f>[1]!thsiFinD("ths_pb_mrq_usk",V$6,$A94)</f>
        <v>1.6717565257561999</v>
      </c>
      <c r="W94" s="27">
        <f>[1]!thsiFinD("ths_pb_mrq_usk",W$6,$A94)</f>
        <v>1.9779715916394001</v>
      </c>
      <c r="X94" s="27">
        <f>[1]!thsiFinD("ths_pb_mrq_usk",X$6,$A94)</f>
        <v>1.639264466445</v>
      </c>
      <c r="Y94" s="27">
        <f>[1]!thsiFinD("ths_pb_mrq_usk",Y$6,$A94)</f>
        <v>1.4646535504886</v>
      </c>
      <c r="Z94" s="28">
        <f>[1]!thsiFinD("ths_ps_ttm_uss",Z$6,$A94,100)</f>
        <v>1.8181574316022999</v>
      </c>
      <c r="AA94" s="28">
        <f>[1]!thsiFinD("ths_ps_ttm_uss",AA$6,$A94,100)</f>
        <v>1.5090944398602999</v>
      </c>
      <c r="AB94" s="28">
        <f>[1]!thsiFinD("ths_ps_ttm_uss",AB$6,$A94,100)</f>
        <v>1.6327026613257001</v>
      </c>
      <c r="AC94" s="28">
        <f>[1]!thsiFinD("ths_ps_ttm_uss",AC$6,$A94,100)</f>
        <v>2.6530346628636998</v>
      </c>
      <c r="AD94" s="28">
        <f>[1]!thsiFinD("ths_ps_ttm_uss",AD$6,$A94,100)</f>
        <v>0.49497042216553</v>
      </c>
      <c r="AE94" s="28">
        <f>[1]!thsiFinD("ths_ps_ttm_uss",AE$6,$A94,100)</f>
        <v>1.2869165426445</v>
      </c>
      <c r="AJ94" s="44">
        <f>[1]!thsiFinD("ths_right_value_usk",AJ$6,$A94,"USD")/1000000</f>
        <v>112907.5765025</v>
      </c>
      <c r="AK94" s="44">
        <f>[1]!thsiFinD("ths_right_value_usk",AK$6,$A94,"USD")/1000000</f>
        <v>503065.68609406002</v>
      </c>
      <c r="AL94" s="44">
        <f>[1]!thsiFinD("ths_right_value_usk",AL$6,$A94,"USD")/1000000</f>
        <v>317371.27411914</v>
      </c>
      <c r="AM94" s="44">
        <f>[1]!thsiFinD("ths_right_value_usk",AM$6,$A94,"USD")/1000000</f>
        <v>59902.8696528</v>
      </c>
      <c r="AN94" s="44">
        <f>[1]!thsiFinD("ths_right_value_usk",AN$6,$A94,"USD")/1000000</f>
        <v>95477.319583619988</v>
      </c>
      <c r="AO94" s="44">
        <f>[1]!thsiFinD("ths_right_value_usk",AO$6,$A94,"USD")/1000000</f>
        <v>22482.432000000001</v>
      </c>
      <c r="AP94" s="44">
        <f>[1]!thsiFinD("ths_ev2_usk",AP$6,$A94,"USD")/1000000</f>
        <v>131129.57650249999</v>
      </c>
      <c r="AQ94" s="44">
        <f>[1]!thsiFinD("ths_ev2_usk",AQ$6,$A94,"USD")/1000000</f>
        <v>540094.68609405996</v>
      </c>
      <c r="AR94" s="44">
        <f>[1]!thsiFinD("ths_ev2_usk",AR$6,$A94,"USD")/1000000</f>
        <v>356947.27411914</v>
      </c>
      <c r="AS94" s="44">
        <f>[1]!thsiFinD("ths_ev2_usk",AS$6,$A94,"USD")/1000000</f>
        <v>64066.8696528</v>
      </c>
      <c r="AT94" s="44">
        <f>[1]!thsiFinD("ths_ev2_usk",AT$6,$A94,"USD")/1000000</f>
        <v>140157.31958362</v>
      </c>
      <c r="AU94" s="44">
        <f>[1]!thsiFinD("ths_ev2_usk",AU$6,$A94,"USD")/1000000</f>
        <v>29595.432000000001</v>
      </c>
    </row>
    <row r="95" spans="1:47" x14ac:dyDescent="0.45">
      <c r="A95" s="3"/>
      <c r="B95" s="13"/>
      <c r="H95" s="23">
        <f>[1]!thsiFinD("ths_pe_ttm_uss",B$6,$A95,100)</f>
        <v>12.763687147016</v>
      </c>
      <c r="I95" s="23">
        <f>[1]!thsiFinD("ths_pe_ttm_uss",C$6,$A95,100)</f>
        <v>16.795168633995001</v>
      </c>
      <c r="J95" s="23">
        <f>[1]!thsiFinD("ths_pe_ttm_uss",D$6,$A95,100)</f>
        <v>24.856772722363999</v>
      </c>
      <c r="K95" s="23">
        <f>[1]!thsiFinD("ths_pe_ttm_uss",E$6,$A95,100)</f>
        <v>10.832345326004001</v>
      </c>
      <c r="L95" s="23">
        <f>[1]!thsiFinD("ths_pe_ttm_uss",F$6,$A95,100)</f>
        <v>62.896784969446998</v>
      </c>
      <c r="M95" s="23">
        <f>[1]!thsiFinD("ths_pe_ttm_uss",G$6,$A95,100)</f>
        <v>8.2686399411548006</v>
      </c>
      <c r="N95" s="26">
        <f>[1]!thsiFinD("ths_ev2_to_ebitda_usk",N$6,$A95)</f>
        <v>5.6348922049976</v>
      </c>
      <c r="O95" s="26">
        <f>[1]!thsiFinD("ths_ev2_to_ebitda_usk",O$6,$A95)</f>
        <v>7.3671711761407996</v>
      </c>
      <c r="P95" s="26">
        <f>[1]!thsiFinD("ths_ev2_to_ebitda_usk",P$6,$A95)</f>
        <v>7.9697078261841998</v>
      </c>
      <c r="Q95" s="26">
        <f>[1]!thsiFinD("ths_ev2_to_ebitda_usk",Q$6,$A95)</f>
        <v>5.1401532134787997</v>
      </c>
      <c r="R95" s="26">
        <f>[1]!thsiFinD("ths_ev2_to_ebitda_usk",R$6,$A95)</f>
        <v>4.9901135608509</v>
      </c>
      <c r="S95" s="26">
        <f>[1]!thsiFinD("ths_ev2_to_ebitda_usk",S$6,$A95)</f>
        <v>4.0375759890858998</v>
      </c>
      <c r="T95" s="27">
        <f>[1]!thsiFinD("ths_pb_mrq_usk",T$6,$A95)</f>
        <v>1.7390998028819</v>
      </c>
      <c r="U95" s="27">
        <f>[1]!thsiFinD("ths_pb_mrq_usk",U$6,$A95)</f>
        <v>1.9307021622348</v>
      </c>
      <c r="V95" s="27">
        <f>[1]!thsiFinD("ths_pb_mrq_usk",V$6,$A95)</f>
        <v>1.6717565257561999</v>
      </c>
      <c r="W95" s="27">
        <f>[1]!thsiFinD("ths_pb_mrq_usk",W$6,$A95)</f>
        <v>1.9779715916394001</v>
      </c>
      <c r="X95" s="27">
        <f>[1]!thsiFinD("ths_pb_mrq_usk",X$6,$A95)</f>
        <v>1.639264466445</v>
      </c>
      <c r="Y95" s="27">
        <f>[1]!thsiFinD("ths_pb_mrq_usk",Y$6,$A95)</f>
        <v>1.4646535504886</v>
      </c>
      <c r="Z95" s="28">
        <f>[1]!thsiFinD("ths_ps_ttm_uss",Z$6,$A95,100)</f>
        <v>1.8181574316022999</v>
      </c>
      <c r="AA95" s="28">
        <f>[1]!thsiFinD("ths_ps_ttm_uss",AA$6,$A95,100)</f>
        <v>1.5090944398602999</v>
      </c>
      <c r="AB95" s="28">
        <f>[1]!thsiFinD("ths_ps_ttm_uss",AB$6,$A95,100)</f>
        <v>1.6327026613257001</v>
      </c>
      <c r="AC95" s="28">
        <f>[1]!thsiFinD("ths_ps_ttm_uss",AC$6,$A95,100)</f>
        <v>2.6530346628636998</v>
      </c>
      <c r="AD95" s="28">
        <f>[1]!thsiFinD("ths_ps_ttm_uss",AD$6,$A95,100)</f>
        <v>0.49497042216553</v>
      </c>
      <c r="AE95" s="28">
        <f>[1]!thsiFinD("ths_ps_ttm_uss",AE$6,$A95,100)</f>
        <v>1.2869165426445</v>
      </c>
      <c r="AJ95" s="44">
        <f>[1]!thsiFinD("ths_right_value_usk",AJ$6,$A95,"USD")/1000000</f>
        <v>112907.5765025</v>
      </c>
      <c r="AK95" s="44">
        <f>[1]!thsiFinD("ths_right_value_usk",AK$6,$A95,"USD")/1000000</f>
        <v>503065.68609406002</v>
      </c>
      <c r="AL95" s="44">
        <f>[1]!thsiFinD("ths_right_value_usk",AL$6,$A95,"USD")/1000000</f>
        <v>317371.27411914</v>
      </c>
      <c r="AM95" s="44">
        <f>[1]!thsiFinD("ths_right_value_usk",AM$6,$A95,"USD")/1000000</f>
        <v>59902.8696528</v>
      </c>
      <c r="AN95" s="44">
        <f>[1]!thsiFinD("ths_right_value_usk",AN$6,$A95,"USD")/1000000</f>
        <v>95477.319583619988</v>
      </c>
      <c r="AO95" s="44">
        <f>[1]!thsiFinD("ths_right_value_usk",AO$6,$A95,"USD")/1000000</f>
        <v>22482.432000000001</v>
      </c>
      <c r="AP95" s="44">
        <f>[1]!thsiFinD("ths_ev2_usk",AP$6,$A95,"USD")/1000000</f>
        <v>131129.57650249999</v>
      </c>
      <c r="AQ95" s="44">
        <f>[1]!thsiFinD("ths_ev2_usk",AQ$6,$A95,"USD")/1000000</f>
        <v>540094.68609405996</v>
      </c>
      <c r="AR95" s="44">
        <f>[1]!thsiFinD("ths_ev2_usk",AR$6,$A95,"USD")/1000000</f>
        <v>356947.27411914</v>
      </c>
      <c r="AS95" s="44">
        <f>[1]!thsiFinD("ths_ev2_usk",AS$6,$A95,"USD")/1000000</f>
        <v>64066.8696528</v>
      </c>
      <c r="AT95" s="44">
        <f>[1]!thsiFinD("ths_ev2_usk",AT$6,$A95,"USD")/1000000</f>
        <v>140157.31958362</v>
      </c>
      <c r="AU95" s="44">
        <f>[1]!thsiFinD("ths_ev2_usk",AU$6,$A95,"USD")/1000000</f>
        <v>29595.432000000001</v>
      </c>
    </row>
    <row r="96" spans="1:47" x14ac:dyDescent="0.45">
      <c r="A96" s="3"/>
      <c r="B96" s="13"/>
      <c r="H96" s="23">
        <f>[1]!thsiFinD("ths_pe_ttm_uss",B$6,$A96,100)</f>
        <v>12.763687147016</v>
      </c>
      <c r="I96" s="23">
        <f>[1]!thsiFinD("ths_pe_ttm_uss",C$6,$A96,100)</f>
        <v>16.795168633995001</v>
      </c>
      <c r="J96" s="23">
        <f>[1]!thsiFinD("ths_pe_ttm_uss",D$6,$A96,100)</f>
        <v>24.856772722363999</v>
      </c>
      <c r="K96" s="23">
        <f>[1]!thsiFinD("ths_pe_ttm_uss",E$6,$A96,100)</f>
        <v>10.832345326004001</v>
      </c>
      <c r="L96" s="23">
        <f>[1]!thsiFinD("ths_pe_ttm_uss",F$6,$A96,100)</f>
        <v>62.896784969446998</v>
      </c>
      <c r="M96" s="23">
        <f>[1]!thsiFinD("ths_pe_ttm_uss",G$6,$A96,100)</f>
        <v>8.2686399411548006</v>
      </c>
      <c r="N96" s="26">
        <f>[1]!thsiFinD("ths_ev2_to_ebitda_usk",N$6,$A96)</f>
        <v>5.6348922049976</v>
      </c>
      <c r="O96" s="26">
        <f>[1]!thsiFinD("ths_ev2_to_ebitda_usk",O$6,$A96)</f>
        <v>7.3671711761407996</v>
      </c>
      <c r="P96" s="26">
        <f>[1]!thsiFinD("ths_ev2_to_ebitda_usk",P$6,$A96)</f>
        <v>7.9697078261841998</v>
      </c>
      <c r="Q96" s="26">
        <f>[1]!thsiFinD("ths_ev2_to_ebitda_usk",Q$6,$A96)</f>
        <v>5.1401532134787997</v>
      </c>
      <c r="R96" s="26">
        <f>[1]!thsiFinD("ths_ev2_to_ebitda_usk",R$6,$A96)</f>
        <v>4.9901135608509</v>
      </c>
      <c r="S96" s="26">
        <f>[1]!thsiFinD("ths_ev2_to_ebitda_usk",S$6,$A96)</f>
        <v>4.0375759890858998</v>
      </c>
      <c r="T96" s="27">
        <f>[1]!thsiFinD("ths_pb_mrq_usk",T$6,$A96)</f>
        <v>1.7390998028819</v>
      </c>
      <c r="U96" s="27">
        <f>[1]!thsiFinD("ths_pb_mrq_usk",U$6,$A96)</f>
        <v>1.9307021622348</v>
      </c>
      <c r="V96" s="27">
        <f>[1]!thsiFinD("ths_pb_mrq_usk",V$6,$A96)</f>
        <v>1.6717565257561999</v>
      </c>
      <c r="W96" s="27">
        <f>[1]!thsiFinD("ths_pb_mrq_usk",W$6,$A96)</f>
        <v>1.9779715916394001</v>
      </c>
      <c r="X96" s="27">
        <f>[1]!thsiFinD("ths_pb_mrq_usk",X$6,$A96)</f>
        <v>1.639264466445</v>
      </c>
      <c r="Y96" s="27">
        <f>[1]!thsiFinD("ths_pb_mrq_usk",Y$6,$A96)</f>
        <v>1.4646535504886</v>
      </c>
      <c r="Z96" s="28">
        <f>[1]!thsiFinD("ths_ps_ttm_uss",Z$6,$A96,100)</f>
        <v>1.8181574316022999</v>
      </c>
      <c r="AA96" s="28">
        <f>[1]!thsiFinD("ths_ps_ttm_uss",AA$6,$A96,100)</f>
        <v>1.5090944398602999</v>
      </c>
      <c r="AB96" s="28">
        <f>[1]!thsiFinD("ths_ps_ttm_uss",AB$6,$A96,100)</f>
        <v>1.6327026613257001</v>
      </c>
      <c r="AC96" s="28">
        <f>[1]!thsiFinD("ths_ps_ttm_uss",AC$6,$A96,100)</f>
        <v>2.6530346628636998</v>
      </c>
      <c r="AD96" s="28">
        <f>[1]!thsiFinD("ths_ps_ttm_uss",AD$6,$A96,100)</f>
        <v>0.49497042216553</v>
      </c>
      <c r="AE96" s="28">
        <f>[1]!thsiFinD("ths_ps_ttm_uss",AE$6,$A96,100)</f>
        <v>1.2869165426445</v>
      </c>
      <c r="AJ96" s="44">
        <f>[1]!thsiFinD("ths_right_value_usk",AJ$6,$A96,"USD")/1000000</f>
        <v>112907.5765025</v>
      </c>
      <c r="AK96" s="44">
        <f>[1]!thsiFinD("ths_right_value_usk",AK$6,$A96,"USD")/1000000</f>
        <v>503065.68609406002</v>
      </c>
      <c r="AL96" s="44">
        <f>[1]!thsiFinD("ths_right_value_usk",AL$6,$A96,"USD")/1000000</f>
        <v>317371.27411914</v>
      </c>
      <c r="AM96" s="44">
        <f>[1]!thsiFinD("ths_right_value_usk",AM$6,$A96,"USD")/1000000</f>
        <v>59902.8696528</v>
      </c>
      <c r="AN96" s="44">
        <f>[1]!thsiFinD("ths_right_value_usk",AN$6,$A96,"USD")/1000000</f>
        <v>95477.319583619988</v>
      </c>
      <c r="AO96" s="44">
        <f>[1]!thsiFinD("ths_right_value_usk",AO$6,$A96,"USD")/1000000</f>
        <v>22482.432000000001</v>
      </c>
      <c r="AP96" s="44">
        <f>[1]!thsiFinD("ths_ev2_usk",AP$6,$A96,"USD")/1000000</f>
        <v>131129.57650249999</v>
      </c>
      <c r="AQ96" s="44">
        <f>[1]!thsiFinD("ths_ev2_usk",AQ$6,$A96,"USD")/1000000</f>
        <v>540094.68609405996</v>
      </c>
      <c r="AR96" s="44">
        <f>[1]!thsiFinD("ths_ev2_usk",AR$6,$A96,"USD")/1000000</f>
        <v>356947.27411914</v>
      </c>
      <c r="AS96" s="44">
        <f>[1]!thsiFinD("ths_ev2_usk",AS$6,$A96,"USD")/1000000</f>
        <v>64066.8696528</v>
      </c>
      <c r="AT96" s="44">
        <f>[1]!thsiFinD("ths_ev2_usk",AT$6,$A96,"USD")/1000000</f>
        <v>140157.31958362</v>
      </c>
      <c r="AU96" s="44">
        <f>[1]!thsiFinD("ths_ev2_usk",AU$6,$A96,"USD")/1000000</f>
        <v>29595.432000000001</v>
      </c>
    </row>
    <row r="97" spans="1:47" x14ac:dyDescent="0.45">
      <c r="A97" s="3"/>
      <c r="B97" s="13"/>
      <c r="H97" s="23">
        <f>[1]!thsiFinD("ths_pe_ttm_uss",B$6,$A97,100)</f>
        <v>12.763687147016</v>
      </c>
      <c r="I97" s="23">
        <f>[1]!thsiFinD("ths_pe_ttm_uss",C$6,$A97,100)</f>
        <v>16.795168633995001</v>
      </c>
      <c r="J97" s="23">
        <f>[1]!thsiFinD("ths_pe_ttm_uss",D$6,$A97,100)</f>
        <v>24.856772722363999</v>
      </c>
      <c r="K97" s="23">
        <f>[1]!thsiFinD("ths_pe_ttm_uss",E$6,$A97,100)</f>
        <v>10.832345326004001</v>
      </c>
      <c r="L97" s="23">
        <f>[1]!thsiFinD("ths_pe_ttm_uss",F$6,$A97,100)</f>
        <v>62.896784969446998</v>
      </c>
      <c r="M97" s="23">
        <f>[1]!thsiFinD("ths_pe_ttm_uss",G$6,$A97,100)</f>
        <v>8.2686399411548006</v>
      </c>
      <c r="N97" s="26">
        <f>[1]!thsiFinD("ths_ev2_to_ebitda_usk",N$6,$A97)</f>
        <v>5.6348922049976</v>
      </c>
      <c r="O97" s="26">
        <f>[1]!thsiFinD("ths_ev2_to_ebitda_usk",O$6,$A97)</f>
        <v>7.3671711761407996</v>
      </c>
      <c r="P97" s="26">
        <f>[1]!thsiFinD("ths_ev2_to_ebitda_usk",P$6,$A97)</f>
        <v>7.9697078261841998</v>
      </c>
      <c r="Q97" s="26">
        <f>[1]!thsiFinD("ths_ev2_to_ebitda_usk",Q$6,$A97)</f>
        <v>5.1401532134787997</v>
      </c>
      <c r="R97" s="26">
        <f>[1]!thsiFinD("ths_ev2_to_ebitda_usk",R$6,$A97)</f>
        <v>4.9901135608509</v>
      </c>
      <c r="S97" s="26">
        <f>[1]!thsiFinD("ths_ev2_to_ebitda_usk",S$6,$A97)</f>
        <v>4.0375759890858998</v>
      </c>
      <c r="T97" s="27">
        <f>[1]!thsiFinD("ths_pb_mrq_usk",T$6,$A97)</f>
        <v>1.7390998028819</v>
      </c>
      <c r="U97" s="27">
        <f>[1]!thsiFinD("ths_pb_mrq_usk",U$6,$A97)</f>
        <v>1.9307021622348</v>
      </c>
      <c r="V97" s="27">
        <f>[1]!thsiFinD("ths_pb_mrq_usk",V$6,$A97)</f>
        <v>1.6717565257561999</v>
      </c>
      <c r="W97" s="27">
        <f>[1]!thsiFinD("ths_pb_mrq_usk",W$6,$A97)</f>
        <v>1.9779715916394001</v>
      </c>
      <c r="X97" s="27">
        <f>[1]!thsiFinD("ths_pb_mrq_usk",X$6,$A97)</f>
        <v>1.639264466445</v>
      </c>
      <c r="Y97" s="27">
        <f>[1]!thsiFinD("ths_pb_mrq_usk",Y$6,$A97)</f>
        <v>1.4646535504886</v>
      </c>
      <c r="Z97" s="28">
        <f>[1]!thsiFinD("ths_ps_ttm_uss",Z$6,$A97,100)</f>
        <v>1.8181574316022999</v>
      </c>
      <c r="AA97" s="28">
        <f>[1]!thsiFinD("ths_ps_ttm_uss",AA$6,$A97,100)</f>
        <v>1.5090944398602999</v>
      </c>
      <c r="AB97" s="28">
        <f>[1]!thsiFinD("ths_ps_ttm_uss",AB$6,$A97,100)</f>
        <v>1.6327026613257001</v>
      </c>
      <c r="AC97" s="28">
        <f>[1]!thsiFinD("ths_ps_ttm_uss",AC$6,$A97,100)</f>
        <v>2.6530346628636998</v>
      </c>
      <c r="AD97" s="28">
        <f>[1]!thsiFinD("ths_ps_ttm_uss",AD$6,$A97,100)</f>
        <v>0.49497042216553</v>
      </c>
      <c r="AE97" s="28">
        <f>[1]!thsiFinD("ths_ps_ttm_uss",AE$6,$A97,100)</f>
        <v>1.2869165426445</v>
      </c>
      <c r="AJ97" s="44">
        <f>[1]!thsiFinD("ths_right_value_usk",AJ$6,$A97,"USD")/1000000</f>
        <v>112907.5765025</v>
      </c>
      <c r="AK97" s="44">
        <f>[1]!thsiFinD("ths_right_value_usk",AK$6,$A97,"USD")/1000000</f>
        <v>503065.68609406002</v>
      </c>
      <c r="AL97" s="44">
        <f>[1]!thsiFinD("ths_right_value_usk",AL$6,$A97,"USD")/1000000</f>
        <v>317371.27411914</v>
      </c>
      <c r="AM97" s="44">
        <f>[1]!thsiFinD("ths_right_value_usk",AM$6,$A97,"USD")/1000000</f>
        <v>59902.8696528</v>
      </c>
      <c r="AN97" s="44">
        <f>[1]!thsiFinD("ths_right_value_usk",AN$6,$A97,"USD")/1000000</f>
        <v>95477.319583619988</v>
      </c>
      <c r="AO97" s="44">
        <f>[1]!thsiFinD("ths_right_value_usk",AO$6,$A97,"USD")/1000000</f>
        <v>22482.432000000001</v>
      </c>
      <c r="AP97" s="44">
        <f>[1]!thsiFinD("ths_ev2_usk",AP$6,$A97,"USD")/1000000</f>
        <v>131129.57650249999</v>
      </c>
      <c r="AQ97" s="44">
        <f>[1]!thsiFinD("ths_ev2_usk",AQ$6,$A97,"USD")/1000000</f>
        <v>540094.68609405996</v>
      </c>
      <c r="AR97" s="44">
        <f>[1]!thsiFinD("ths_ev2_usk",AR$6,$A97,"USD")/1000000</f>
        <v>356947.27411914</v>
      </c>
      <c r="AS97" s="44">
        <f>[1]!thsiFinD("ths_ev2_usk",AS$6,$A97,"USD")/1000000</f>
        <v>64066.8696528</v>
      </c>
      <c r="AT97" s="44">
        <f>[1]!thsiFinD("ths_ev2_usk",AT$6,$A97,"USD")/1000000</f>
        <v>140157.31958362</v>
      </c>
      <c r="AU97" s="44">
        <f>[1]!thsiFinD("ths_ev2_usk",AU$6,$A97,"USD")/1000000</f>
        <v>29595.432000000001</v>
      </c>
    </row>
    <row r="98" spans="1:47" x14ac:dyDescent="0.45">
      <c r="A98" s="3"/>
      <c r="B98" s="13"/>
      <c r="H98" s="23">
        <f>[1]!thsiFinD("ths_pe_ttm_uss",B$6,$A98,100)</f>
        <v>12.763687147016</v>
      </c>
      <c r="I98" s="23">
        <f>[1]!thsiFinD("ths_pe_ttm_uss",C$6,$A98,100)</f>
        <v>16.795168633995001</v>
      </c>
      <c r="J98" s="23">
        <f>[1]!thsiFinD("ths_pe_ttm_uss",D$6,$A98,100)</f>
        <v>24.856772722363999</v>
      </c>
      <c r="K98" s="23">
        <f>[1]!thsiFinD("ths_pe_ttm_uss",E$6,$A98,100)</f>
        <v>10.832345326004001</v>
      </c>
      <c r="L98" s="23">
        <f>[1]!thsiFinD("ths_pe_ttm_uss",F$6,$A98,100)</f>
        <v>62.896784969446998</v>
      </c>
      <c r="M98" s="23">
        <f>[1]!thsiFinD("ths_pe_ttm_uss",G$6,$A98,100)</f>
        <v>8.2686399411548006</v>
      </c>
      <c r="N98" s="26">
        <f>[1]!thsiFinD("ths_ev2_to_ebitda_usk",N$6,$A98)</f>
        <v>5.6348922049976</v>
      </c>
      <c r="O98" s="26">
        <f>[1]!thsiFinD("ths_ev2_to_ebitda_usk",O$6,$A98)</f>
        <v>7.3671711761407996</v>
      </c>
      <c r="P98" s="26">
        <f>[1]!thsiFinD("ths_ev2_to_ebitda_usk",P$6,$A98)</f>
        <v>7.9697078261841998</v>
      </c>
      <c r="Q98" s="26">
        <f>[1]!thsiFinD("ths_ev2_to_ebitda_usk",Q$6,$A98)</f>
        <v>5.1401532134787997</v>
      </c>
      <c r="R98" s="26">
        <f>[1]!thsiFinD("ths_ev2_to_ebitda_usk",R$6,$A98)</f>
        <v>4.9901135608509</v>
      </c>
      <c r="S98" s="26">
        <f>[1]!thsiFinD("ths_ev2_to_ebitda_usk",S$6,$A98)</f>
        <v>4.0375759890858998</v>
      </c>
      <c r="T98" s="27">
        <f>[1]!thsiFinD("ths_pb_mrq_usk",T$6,$A98)</f>
        <v>1.7390998028819</v>
      </c>
      <c r="U98" s="27">
        <f>[1]!thsiFinD("ths_pb_mrq_usk",U$6,$A98)</f>
        <v>1.9307021622348</v>
      </c>
      <c r="V98" s="27">
        <f>[1]!thsiFinD("ths_pb_mrq_usk",V$6,$A98)</f>
        <v>1.6717565257561999</v>
      </c>
      <c r="W98" s="27">
        <f>[1]!thsiFinD("ths_pb_mrq_usk",W$6,$A98)</f>
        <v>1.9779715916394001</v>
      </c>
      <c r="X98" s="27">
        <f>[1]!thsiFinD("ths_pb_mrq_usk",X$6,$A98)</f>
        <v>1.639264466445</v>
      </c>
      <c r="Y98" s="27">
        <f>[1]!thsiFinD("ths_pb_mrq_usk",Y$6,$A98)</f>
        <v>1.4646535504886</v>
      </c>
      <c r="Z98" s="28">
        <f>[1]!thsiFinD("ths_ps_ttm_uss",Z$6,$A98,100)</f>
        <v>1.8181574316022999</v>
      </c>
      <c r="AA98" s="28">
        <f>[1]!thsiFinD("ths_ps_ttm_uss",AA$6,$A98,100)</f>
        <v>1.5090944398602999</v>
      </c>
      <c r="AB98" s="28">
        <f>[1]!thsiFinD("ths_ps_ttm_uss",AB$6,$A98,100)</f>
        <v>1.6327026613257001</v>
      </c>
      <c r="AC98" s="28">
        <f>[1]!thsiFinD("ths_ps_ttm_uss",AC$6,$A98,100)</f>
        <v>2.6530346628636998</v>
      </c>
      <c r="AD98" s="28">
        <f>[1]!thsiFinD("ths_ps_ttm_uss",AD$6,$A98,100)</f>
        <v>0.49497042216553</v>
      </c>
      <c r="AE98" s="28">
        <f>[1]!thsiFinD("ths_ps_ttm_uss",AE$6,$A98,100)</f>
        <v>1.2869165426445</v>
      </c>
      <c r="AJ98" s="44">
        <f>[1]!thsiFinD("ths_right_value_usk",AJ$6,$A98,"USD")/1000000</f>
        <v>112907.5765025</v>
      </c>
      <c r="AK98" s="44">
        <f>[1]!thsiFinD("ths_right_value_usk",AK$6,$A98,"USD")/1000000</f>
        <v>503065.68609406002</v>
      </c>
      <c r="AL98" s="44">
        <f>[1]!thsiFinD("ths_right_value_usk",AL$6,$A98,"USD")/1000000</f>
        <v>317371.27411914</v>
      </c>
      <c r="AM98" s="44">
        <f>[1]!thsiFinD("ths_right_value_usk",AM$6,$A98,"USD")/1000000</f>
        <v>59902.8696528</v>
      </c>
      <c r="AN98" s="44">
        <f>[1]!thsiFinD("ths_right_value_usk",AN$6,$A98,"USD")/1000000</f>
        <v>95477.319583619988</v>
      </c>
      <c r="AO98" s="44">
        <f>[1]!thsiFinD("ths_right_value_usk",AO$6,$A98,"USD")/1000000</f>
        <v>22482.432000000001</v>
      </c>
      <c r="AP98" s="44">
        <f>[1]!thsiFinD("ths_ev2_usk",AP$6,$A98,"USD")/1000000</f>
        <v>131129.57650249999</v>
      </c>
      <c r="AQ98" s="44">
        <f>[1]!thsiFinD("ths_ev2_usk",AQ$6,$A98,"USD")/1000000</f>
        <v>540094.68609405996</v>
      </c>
      <c r="AR98" s="44">
        <f>[1]!thsiFinD("ths_ev2_usk",AR$6,$A98,"USD")/1000000</f>
        <v>356947.27411914</v>
      </c>
      <c r="AS98" s="44">
        <f>[1]!thsiFinD("ths_ev2_usk",AS$6,$A98,"USD")/1000000</f>
        <v>64066.8696528</v>
      </c>
      <c r="AT98" s="44">
        <f>[1]!thsiFinD("ths_ev2_usk",AT$6,$A98,"USD")/1000000</f>
        <v>140157.31958362</v>
      </c>
      <c r="AU98" s="44">
        <f>[1]!thsiFinD("ths_ev2_usk",AU$6,$A98,"USD")/1000000</f>
        <v>29595.432000000001</v>
      </c>
    </row>
    <row r="99" spans="1:47" x14ac:dyDescent="0.45">
      <c r="A99" s="3"/>
      <c r="B99" s="13"/>
      <c r="H99" s="23">
        <f>[1]!thsiFinD("ths_pe_ttm_uss",B$6,$A99,100)</f>
        <v>12.763687147016</v>
      </c>
      <c r="I99" s="23">
        <f>[1]!thsiFinD("ths_pe_ttm_uss",C$6,$A99,100)</f>
        <v>16.795168633995001</v>
      </c>
      <c r="J99" s="23">
        <f>[1]!thsiFinD("ths_pe_ttm_uss",D$6,$A99,100)</f>
        <v>24.856772722363999</v>
      </c>
      <c r="K99" s="23">
        <f>[1]!thsiFinD("ths_pe_ttm_uss",E$6,$A99,100)</f>
        <v>10.832345326004001</v>
      </c>
      <c r="L99" s="23">
        <f>[1]!thsiFinD("ths_pe_ttm_uss",F$6,$A99,100)</f>
        <v>62.896784969446998</v>
      </c>
      <c r="M99" s="23">
        <f>[1]!thsiFinD("ths_pe_ttm_uss",G$6,$A99,100)</f>
        <v>8.2686399411548006</v>
      </c>
      <c r="N99" s="26">
        <f>[1]!thsiFinD("ths_ev2_to_ebitda_usk",N$6,$A99)</f>
        <v>5.6348922049976</v>
      </c>
      <c r="O99" s="26">
        <f>[1]!thsiFinD("ths_ev2_to_ebitda_usk",O$6,$A99)</f>
        <v>7.3671711761407996</v>
      </c>
      <c r="P99" s="26">
        <f>[1]!thsiFinD("ths_ev2_to_ebitda_usk",P$6,$A99)</f>
        <v>7.9697078261841998</v>
      </c>
      <c r="Q99" s="26">
        <f>[1]!thsiFinD("ths_ev2_to_ebitda_usk",Q$6,$A99)</f>
        <v>5.1401532134787997</v>
      </c>
      <c r="R99" s="26">
        <f>[1]!thsiFinD("ths_ev2_to_ebitda_usk",R$6,$A99)</f>
        <v>4.9901135608509</v>
      </c>
      <c r="S99" s="26">
        <f>[1]!thsiFinD("ths_ev2_to_ebitda_usk",S$6,$A99)</f>
        <v>4.0375759890858998</v>
      </c>
      <c r="T99" s="27">
        <f>[1]!thsiFinD("ths_pb_mrq_usk",T$6,$A99)</f>
        <v>1.7390998028819</v>
      </c>
      <c r="U99" s="27">
        <f>[1]!thsiFinD("ths_pb_mrq_usk",U$6,$A99)</f>
        <v>1.9307021622348</v>
      </c>
      <c r="V99" s="27">
        <f>[1]!thsiFinD("ths_pb_mrq_usk",V$6,$A99)</f>
        <v>1.6717565257561999</v>
      </c>
      <c r="W99" s="27">
        <f>[1]!thsiFinD("ths_pb_mrq_usk",W$6,$A99)</f>
        <v>1.9779715916394001</v>
      </c>
      <c r="X99" s="27">
        <f>[1]!thsiFinD("ths_pb_mrq_usk",X$6,$A99)</f>
        <v>1.639264466445</v>
      </c>
      <c r="Y99" s="27">
        <f>[1]!thsiFinD("ths_pb_mrq_usk",Y$6,$A99)</f>
        <v>1.4646535504886</v>
      </c>
      <c r="Z99" s="28">
        <f>[1]!thsiFinD("ths_ps_ttm_uss",Z$6,$A99,100)</f>
        <v>1.8181574316022999</v>
      </c>
      <c r="AA99" s="28">
        <f>[1]!thsiFinD("ths_ps_ttm_uss",AA$6,$A99,100)</f>
        <v>1.5090944398602999</v>
      </c>
      <c r="AB99" s="28">
        <f>[1]!thsiFinD("ths_ps_ttm_uss",AB$6,$A99,100)</f>
        <v>1.6327026613257001</v>
      </c>
      <c r="AC99" s="28">
        <f>[1]!thsiFinD("ths_ps_ttm_uss",AC$6,$A99,100)</f>
        <v>2.6530346628636998</v>
      </c>
      <c r="AD99" s="28">
        <f>[1]!thsiFinD("ths_ps_ttm_uss",AD$6,$A99,100)</f>
        <v>0.49497042216553</v>
      </c>
      <c r="AE99" s="28">
        <f>[1]!thsiFinD("ths_ps_ttm_uss",AE$6,$A99,100)</f>
        <v>1.2869165426445</v>
      </c>
      <c r="AJ99" s="44">
        <f>[1]!thsiFinD("ths_right_value_usk",AJ$6,$A99,"USD")/1000000</f>
        <v>112907.5765025</v>
      </c>
      <c r="AK99" s="44">
        <f>[1]!thsiFinD("ths_right_value_usk",AK$6,$A99,"USD")/1000000</f>
        <v>503065.68609406002</v>
      </c>
      <c r="AL99" s="44">
        <f>[1]!thsiFinD("ths_right_value_usk",AL$6,$A99,"USD")/1000000</f>
        <v>317371.27411914</v>
      </c>
      <c r="AM99" s="44">
        <f>[1]!thsiFinD("ths_right_value_usk",AM$6,$A99,"USD")/1000000</f>
        <v>59902.8696528</v>
      </c>
      <c r="AN99" s="44">
        <f>[1]!thsiFinD("ths_right_value_usk",AN$6,$A99,"USD")/1000000</f>
        <v>95477.319583619988</v>
      </c>
      <c r="AO99" s="44">
        <f>[1]!thsiFinD("ths_right_value_usk",AO$6,$A99,"USD")/1000000</f>
        <v>22482.432000000001</v>
      </c>
      <c r="AP99" s="44">
        <f>[1]!thsiFinD("ths_ev2_usk",AP$6,$A99,"USD")/1000000</f>
        <v>131129.57650249999</v>
      </c>
      <c r="AQ99" s="44">
        <f>[1]!thsiFinD("ths_ev2_usk",AQ$6,$A99,"USD")/1000000</f>
        <v>540094.68609405996</v>
      </c>
      <c r="AR99" s="44">
        <f>[1]!thsiFinD("ths_ev2_usk",AR$6,$A99,"USD")/1000000</f>
        <v>356947.27411914</v>
      </c>
      <c r="AS99" s="44">
        <f>[1]!thsiFinD("ths_ev2_usk",AS$6,$A99,"USD")/1000000</f>
        <v>64066.8696528</v>
      </c>
      <c r="AT99" s="44">
        <f>[1]!thsiFinD("ths_ev2_usk",AT$6,$A99,"USD")/1000000</f>
        <v>140157.31958362</v>
      </c>
      <c r="AU99" s="44">
        <f>[1]!thsiFinD("ths_ev2_usk",AU$6,$A99,"USD")/1000000</f>
        <v>29595.432000000001</v>
      </c>
    </row>
    <row r="100" spans="1:47" x14ac:dyDescent="0.45">
      <c r="A100" s="3"/>
      <c r="B100" s="13"/>
      <c r="H100" s="23">
        <f>[1]!thsiFinD("ths_pe_ttm_uss",B$6,$A100,100)</f>
        <v>12.763687147016</v>
      </c>
      <c r="I100" s="23">
        <f>[1]!thsiFinD("ths_pe_ttm_uss",C$6,$A100,100)</f>
        <v>16.795168633995001</v>
      </c>
      <c r="J100" s="23">
        <f>[1]!thsiFinD("ths_pe_ttm_uss",D$6,$A100,100)</f>
        <v>24.856772722363999</v>
      </c>
      <c r="K100" s="23">
        <f>[1]!thsiFinD("ths_pe_ttm_uss",E$6,$A100,100)</f>
        <v>10.832345326004001</v>
      </c>
      <c r="L100" s="23">
        <f>[1]!thsiFinD("ths_pe_ttm_uss",F$6,$A100,100)</f>
        <v>62.896784969446998</v>
      </c>
      <c r="M100" s="23">
        <f>[1]!thsiFinD("ths_pe_ttm_uss",G$6,$A100,100)</f>
        <v>8.2686399411548006</v>
      </c>
      <c r="N100" s="26">
        <f>[1]!thsiFinD("ths_ev2_to_ebitda_usk",N$6,$A100)</f>
        <v>5.6348922049976</v>
      </c>
      <c r="O100" s="26">
        <f>[1]!thsiFinD("ths_ev2_to_ebitda_usk",O$6,$A100)</f>
        <v>7.3671711761407996</v>
      </c>
      <c r="P100" s="26">
        <f>[1]!thsiFinD("ths_ev2_to_ebitda_usk",P$6,$A100)</f>
        <v>7.9697078261841998</v>
      </c>
      <c r="Q100" s="26">
        <f>[1]!thsiFinD("ths_ev2_to_ebitda_usk",Q$6,$A100)</f>
        <v>5.1401532134787997</v>
      </c>
      <c r="R100" s="26">
        <f>[1]!thsiFinD("ths_ev2_to_ebitda_usk",R$6,$A100)</f>
        <v>4.9901135608509</v>
      </c>
      <c r="S100" s="26">
        <f>[1]!thsiFinD("ths_ev2_to_ebitda_usk",S$6,$A100)</f>
        <v>4.0375759890858998</v>
      </c>
      <c r="T100" s="27">
        <f>[1]!thsiFinD("ths_pb_mrq_usk",T$6,$A100)</f>
        <v>1.7390998028819</v>
      </c>
      <c r="U100" s="27">
        <f>[1]!thsiFinD("ths_pb_mrq_usk",U$6,$A100)</f>
        <v>1.9307021622348</v>
      </c>
      <c r="V100" s="27">
        <f>[1]!thsiFinD("ths_pb_mrq_usk",V$6,$A100)</f>
        <v>1.6717565257561999</v>
      </c>
      <c r="W100" s="27">
        <f>[1]!thsiFinD("ths_pb_mrq_usk",W$6,$A100)</f>
        <v>1.9779715916394001</v>
      </c>
      <c r="X100" s="27">
        <f>[1]!thsiFinD("ths_pb_mrq_usk",X$6,$A100)</f>
        <v>1.639264466445</v>
      </c>
      <c r="Y100" s="27">
        <f>[1]!thsiFinD("ths_pb_mrq_usk",Y$6,$A100)</f>
        <v>1.4646535504886</v>
      </c>
      <c r="Z100" s="28">
        <f>[1]!thsiFinD("ths_ps_ttm_uss",Z$6,$A100,100)</f>
        <v>1.8181574316022999</v>
      </c>
      <c r="AA100" s="28">
        <f>[1]!thsiFinD("ths_ps_ttm_uss",AA$6,$A100,100)</f>
        <v>1.5090944398602999</v>
      </c>
      <c r="AB100" s="28">
        <f>[1]!thsiFinD("ths_ps_ttm_uss",AB$6,$A100,100)</f>
        <v>1.6327026613257001</v>
      </c>
      <c r="AC100" s="28">
        <f>[1]!thsiFinD("ths_ps_ttm_uss",AC$6,$A100,100)</f>
        <v>2.6530346628636998</v>
      </c>
      <c r="AD100" s="28">
        <f>[1]!thsiFinD("ths_ps_ttm_uss",AD$6,$A100,100)</f>
        <v>0.49497042216553</v>
      </c>
      <c r="AE100" s="28">
        <f>[1]!thsiFinD("ths_ps_ttm_uss",AE$6,$A100,100)</f>
        <v>1.2869165426445</v>
      </c>
      <c r="AJ100" s="44">
        <f>[1]!thsiFinD("ths_right_value_usk",AJ$6,$A100,"USD")/1000000</f>
        <v>112907.5765025</v>
      </c>
      <c r="AK100" s="44">
        <f>[1]!thsiFinD("ths_right_value_usk",AK$6,$A100,"USD")/1000000</f>
        <v>503065.68609406002</v>
      </c>
      <c r="AL100" s="44">
        <f>[1]!thsiFinD("ths_right_value_usk",AL$6,$A100,"USD")/1000000</f>
        <v>317371.27411914</v>
      </c>
      <c r="AM100" s="44">
        <f>[1]!thsiFinD("ths_right_value_usk",AM$6,$A100,"USD")/1000000</f>
        <v>59902.8696528</v>
      </c>
      <c r="AN100" s="44">
        <f>[1]!thsiFinD("ths_right_value_usk",AN$6,$A100,"USD")/1000000</f>
        <v>95477.319583619988</v>
      </c>
      <c r="AO100" s="44">
        <f>[1]!thsiFinD("ths_right_value_usk",AO$6,$A100,"USD")/1000000</f>
        <v>22482.432000000001</v>
      </c>
      <c r="AP100" s="44">
        <f>[1]!thsiFinD("ths_ev2_usk",AP$6,$A100,"USD")/1000000</f>
        <v>131129.57650249999</v>
      </c>
      <c r="AQ100" s="44">
        <f>[1]!thsiFinD("ths_ev2_usk",AQ$6,$A100,"USD")/1000000</f>
        <v>540094.68609405996</v>
      </c>
      <c r="AR100" s="44">
        <f>[1]!thsiFinD("ths_ev2_usk",AR$6,$A100,"USD")/1000000</f>
        <v>356947.27411914</v>
      </c>
      <c r="AS100" s="44">
        <f>[1]!thsiFinD("ths_ev2_usk",AS$6,$A100,"USD")/1000000</f>
        <v>64066.8696528</v>
      </c>
      <c r="AT100" s="44">
        <f>[1]!thsiFinD("ths_ev2_usk",AT$6,$A100,"USD")/1000000</f>
        <v>140157.31958362</v>
      </c>
      <c r="AU100" s="44">
        <f>[1]!thsiFinD("ths_ev2_usk",AU$6,$A100,"USD")/1000000</f>
        <v>29595.432000000001</v>
      </c>
    </row>
    <row r="101" spans="1:47" x14ac:dyDescent="0.45">
      <c r="A101" s="3"/>
      <c r="B101" s="13"/>
      <c r="H101" s="23">
        <f>[1]!thsiFinD("ths_pe_ttm_uss",B$6,$A101,100)</f>
        <v>12.763687147016</v>
      </c>
      <c r="I101" s="23">
        <f>[1]!thsiFinD("ths_pe_ttm_uss",C$6,$A101,100)</f>
        <v>16.795168633995001</v>
      </c>
      <c r="J101" s="23">
        <f>[1]!thsiFinD("ths_pe_ttm_uss",D$6,$A101,100)</f>
        <v>24.856772722363999</v>
      </c>
      <c r="K101" s="23">
        <f>[1]!thsiFinD("ths_pe_ttm_uss",E$6,$A101,100)</f>
        <v>10.832345326004001</v>
      </c>
      <c r="L101" s="23">
        <f>[1]!thsiFinD("ths_pe_ttm_uss",F$6,$A101,100)</f>
        <v>62.896784969446998</v>
      </c>
      <c r="M101" s="23">
        <f>[1]!thsiFinD("ths_pe_ttm_uss",G$6,$A101,100)</f>
        <v>8.2686399411548006</v>
      </c>
      <c r="N101" s="26">
        <f>[1]!thsiFinD("ths_ev2_to_ebitda_usk",N$6,$A101)</f>
        <v>5.6348922049976</v>
      </c>
      <c r="O101" s="26">
        <f>[1]!thsiFinD("ths_ev2_to_ebitda_usk",O$6,$A101)</f>
        <v>7.3671711761407996</v>
      </c>
      <c r="P101" s="26">
        <f>[1]!thsiFinD("ths_ev2_to_ebitda_usk",P$6,$A101)</f>
        <v>7.9697078261841998</v>
      </c>
      <c r="Q101" s="26">
        <f>[1]!thsiFinD("ths_ev2_to_ebitda_usk",Q$6,$A101)</f>
        <v>5.1401532134787997</v>
      </c>
      <c r="R101" s="26">
        <f>[1]!thsiFinD("ths_ev2_to_ebitda_usk",R$6,$A101)</f>
        <v>4.9901135608509</v>
      </c>
      <c r="S101" s="26">
        <f>[1]!thsiFinD("ths_ev2_to_ebitda_usk",S$6,$A101)</f>
        <v>4.0375759890858998</v>
      </c>
      <c r="T101" s="27">
        <f>[1]!thsiFinD("ths_pb_mrq_usk",T$6,$A101)</f>
        <v>1.7390998028819</v>
      </c>
      <c r="U101" s="27">
        <f>[1]!thsiFinD("ths_pb_mrq_usk",U$6,$A101)</f>
        <v>1.9307021622348</v>
      </c>
      <c r="V101" s="27">
        <f>[1]!thsiFinD("ths_pb_mrq_usk",V$6,$A101)</f>
        <v>1.6717565257561999</v>
      </c>
      <c r="W101" s="27">
        <f>[1]!thsiFinD("ths_pb_mrq_usk",W$6,$A101)</f>
        <v>1.9779715916394001</v>
      </c>
      <c r="X101" s="27">
        <f>[1]!thsiFinD("ths_pb_mrq_usk",X$6,$A101)</f>
        <v>1.639264466445</v>
      </c>
      <c r="Y101" s="27">
        <f>[1]!thsiFinD("ths_pb_mrq_usk",Y$6,$A101)</f>
        <v>1.4646535504886</v>
      </c>
      <c r="Z101" s="28">
        <f>[1]!thsiFinD("ths_ps_ttm_uss",Z$6,$A101,100)</f>
        <v>1.8181574316022999</v>
      </c>
      <c r="AA101" s="28">
        <f>[1]!thsiFinD("ths_ps_ttm_uss",AA$6,$A101,100)</f>
        <v>1.5090944398602999</v>
      </c>
      <c r="AB101" s="28">
        <f>[1]!thsiFinD("ths_ps_ttm_uss",AB$6,$A101,100)</f>
        <v>1.6327026613257001</v>
      </c>
      <c r="AC101" s="28">
        <f>[1]!thsiFinD("ths_ps_ttm_uss",AC$6,$A101,100)</f>
        <v>2.6530346628636998</v>
      </c>
      <c r="AD101" s="28">
        <f>[1]!thsiFinD("ths_ps_ttm_uss",AD$6,$A101,100)</f>
        <v>0.49497042216553</v>
      </c>
      <c r="AE101" s="28">
        <f>[1]!thsiFinD("ths_ps_ttm_uss",AE$6,$A101,100)</f>
        <v>1.2869165426445</v>
      </c>
      <c r="AJ101" s="44">
        <f>[1]!thsiFinD("ths_right_value_usk",AJ$6,$A101,"USD")/1000000</f>
        <v>112907.5765025</v>
      </c>
      <c r="AK101" s="44">
        <f>[1]!thsiFinD("ths_right_value_usk",AK$6,$A101,"USD")/1000000</f>
        <v>503065.68609406002</v>
      </c>
      <c r="AL101" s="44">
        <f>[1]!thsiFinD("ths_right_value_usk",AL$6,$A101,"USD")/1000000</f>
        <v>317371.27411914</v>
      </c>
      <c r="AM101" s="44">
        <f>[1]!thsiFinD("ths_right_value_usk",AM$6,$A101,"USD")/1000000</f>
        <v>59902.8696528</v>
      </c>
      <c r="AN101" s="44">
        <f>[1]!thsiFinD("ths_right_value_usk",AN$6,$A101,"USD")/1000000</f>
        <v>95477.319583619988</v>
      </c>
      <c r="AO101" s="44">
        <f>[1]!thsiFinD("ths_right_value_usk",AO$6,$A101,"USD")/1000000</f>
        <v>22482.432000000001</v>
      </c>
      <c r="AP101" s="44">
        <f>[1]!thsiFinD("ths_ev2_usk",AP$6,$A101,"USD")/1000000</f>
        <v>131129.57650249999</v>
      </c>
      <c r="AQ101" s="44">
        <f>[1]!thsiFinD("ths_ev2_usk",AQ$6,$A101,"USD")/1000000</f>
        <v>540094.68609405996</v>
      </c>
      <c r="AR101" s="44">
        <f>[1]!thsiFinD("ths_ev2_usk",AR$6,$A101,"USD")/1000000</f>
        <v>356947.27411914</v>
      </c>
      <c r="AS101" s="44">
        <f>[1]!thsiFinD("ths_ev2_usk",AS$6,$A101,"USD")/1000000</f>
        <v>64066.8696528</v>
      </c>
      <c r="AT101" s="44">
        <f>[1]!thsiFinD("ths_ev2_usk",AT$6,$A101,"USD")/1000000</f>
        <v>140157.31958362</v>
      </c>
      <c r="AU101" s="44">
        <f>[1]!thsiFinD("ths_ev2_usk",AU$6,$A101,"USD")/1000000</f>
        <v>29595.432000000001</v>
      </c>
    </row>
    <row r="102" spans="1:47" x14ac:dyDescent="0.45">
      <c r="A102" s="3"/>
      <c r="B102" s="13"/>
      <c r="H102" s="23">
        <f>[1]!thsiFinD("ths_pe_ttm_uss",B$6,$A102,100)</f>
        <v>12.763687147016</v>
      </c>
      <c r="I102" s="23">
        <f>[1]!thsiFinD("ths_pe_ttm_uss",C$6,$A102,100)</f>
        <v>16.795168633995001</v>
      </c>
      <c r="J102" s="23">
        <f>[1]!thsiFinD("ths_pe_ttm_uss",D$6,$A102,100)</f>
        <v>24.856772722363999</v>
      </c>
      <c r="K102" s="23">
        <f>[1]!thsiFinD("ths_pe_ttm_uss",E$6,$A102,100)</f>
        <v>10.832345326004001</v>
      </c>
      <c r="L102" s="23">
        <f>[1]!thsiFinD("ths_pe_ttm_uss",F$6,$A102,100)</f>
        <v>62.896784969446998</v>
      </c>
      <c r="M102" s="23">
        <f>[1]!thsiFinD("ths_pe_ttm_uss",G$6,$A102,100)</f>
        <v>8.2686399411548006</v>
      </c>
      <c r="N102" s="26">
        <f>[1]!thsiFinD("ths_ev2_to_ebitda_usk",N$6,$A102)</f>
        <v>5.6348922049976</v>
      </c>
      <c r="O102" s="26">
        <f>[1]!thsiFinD("ths_ev2_to_ebitda_usk",O$6,$A102)</f>
        <v>7.3671711761407996</v>
      </c>
      <c r="P102" s="26">
        <f>[1]!thsiFinD("ths_ev2_to_ebitda_usk",P$6,$A102)</f>
        <v>7.9697078261841998</v>
      </c>
      <c r="Q102" s="26">
        <f>[1]!thsiFinD("ths_ev2_to_ebitda_usk",Q$6,$A102)</f>
        <v>5.1401532134787997</v>
      </c>
      <c r="R102" s="26">
        <f>[1]!thsiFinD("ths_ev2_to_ebitda_usk",R$6,$A102)</f>
        <v>4.9901135608509</v>
      </c>
      <c r="S102" s="26">
        <f>[1]!thsiFinD("ths_ev2_to_ebitda_usk",S$6,$A102)</f>
        <v>4.0375759890858998</v>
      </c>
      <c r="T102" s="27">
        <f>[1]!thsiFinD("ths_pb_mrq_usk",T$6,$A102)</f>
        <v>1.7390998028819</v>
      </c>
      <c r="U102" s="27">
        <f>[1]!thsiFinD("ths_pb_mrq_usk",U$6,$A102)</f>
        <v>1.9307021622348</v>
      </c>
      <c r="V102" s="27">
        <f>[1]!thsiFinD("ths_pb_mrq_usk",V$6,$A102)</f>
        <v>1.6717565257561999</v>
      </c>
      <c r="W102" s="27">
        <f>[1]!thsiFinD("ths_pb_mrq_usk",W$6,$A102)</f>
        <v>1.9779715916394001</v>
      </c>
      <c r="X102" s="27">
        <f>[1]!thsiFinD("ths_pb_mrq_usk",X$6,$A102)</f>
        <v>1.639264466445</v>
      </c>
      <c r="Y102" s="27">
        <f>[1]!thsiFinD("ths_pb_mrq_usk",Y$6,$A102)</f>
        <v>1.4646535504886</v>
      </c>
      <c r="Z102" s="28">
        <f>[1]!thsiFinD("ths_ps_ttm_uss",Z$6,$A102,100)</f>
        <v>1.8181574316022999</v>
      </c>
      <c r="AA102" s="28">
        <f>[1]!thsiFinD("ths_ps_ttm_uss",AA$6,$A102,100)</f>
        <v>1.5090944398602999</v>
      </c>
      <c r="AB102" s="28">
        <f>[1]!thsiFinD("ths_ps_ttm_uss",AB$6,$A102,100)</f>
        <v>1.6327026613257001</v>
      </c>
      <c r="AC102" s="28">
        <f>[1]!thsiFinD("ths_ps_ttm_uss",AC$6,$A102,100)</f>
        <v>2.6530346628636998</v>
      </c>
      <c r="AD102" s="28">
        <f>[1]!thsiFinD("ths_ps_ttm_uss",AD$6,$A102,100)</f>
        <v>0.49497042216553</v>
      </c>
      <c r="AE102" s="28">
        <f>[1]!thsiFinD("ths_ps_ttm_uss",AE$6,$A102,100)</f>
        <v>1.2869165426445</v>
      </c>
      <c r="AJ102" s="44">
        <f>[1]!thsiFinD("ths_right_value_usk",AJ$6,$A102,"USD")/1000000</f>
        <v>112907.5765025</v>
      </c>
      <c r="AK102" s="44">
        <f>[1]!thsiFinD("ths_right_value_usk",AK$6,$A102,"USD")/1000000</f>
        <v>503065.68609406002</v>
      </c>
      <c r="AL102" s="44">
        <f>[1]!thsiFinD("ths_right_value_usk",AL$6,$A102,"USD")/1000000</f>
        <v>317371.27411914</v>
      </c>
      <c r="AM102" s="44">
        <f>[1]!thsiFinD("ths_right_value_usk",AM$6,$A102,"USD")/1000000</f>
        <v>59902.8696528</v>
      </c>
      <c r="AN102" s="44">
        <f>[1]!thsiFinD("ths_right_value_usk",AN$6,$A102,"USD")/1000000</f>
        <v>95477.319583619988</v>
      </c>
      <c r="AO102" s="44">
        <f>[1]!thsiFinD("ths_right_value_usk",AO$6,$A102,"USD")/1000000</f>
        <v>22482.432000000001</v>
      </c>
      <c r="AP102" s="44">
        <f>[1]!thsiFinD("ths_ev2_usk",AP$6,$A102,"USD")/1000000</f>
        <v>131129.57650249999</v>
      </c>
      <c r="AQ102" s="44">
        <f>[1]!thsiFinD("ths_ev2_usk",AQ$6,$A102,"USD")/1000000</f>
        <v>540094.68609405996</v>
      </c>
      <c r="AR102" s="44">
        <f>[1]!thsiFinD("ths_ev2_usk",AR$6,$A102,"USD")/1000000</f>
        <v>356947.27411914</v>
      </c>
      <c r="AS102" s="44">
        <f>[1]!thsiFinD("ths_ev2_usk",AS$6,$A102,"USD")/1000000</f>
        <v>64066.8696528</v>
      </c>
      <c r="AT102" s="44">
        <f>[1]!thsiFinD("ths_ev2_usk",AT$6,$A102,"USD")/1000000</f>
        <v>140157.31958362</v>
      </c>
      <c r="AU102" s="44">
        <f>[1]!thsiFinD("ths_ev2_usk",AU$6,$A102,"USD")/1000000</f>
        <v>29595.432000000001</v>
      </c>
    </row>
    <row r="103" spans="1:47" x14ac:dyDescent="0.45">
      <c r="A103" s="3"/>
      <c r="B103" s="13"/>
      <c r="H103" s="23">
        <f>[1]!thsiFinD("ths_pe_ttm_uss",B$6,$A103,100)</f>
        <v>12.763687147016</v>
      </c>
      <c r="I103" s="23">
        <f>[1]!thsiFinD("ths_pe_ttm_uss",C$6,$A103,100)</f>
        <v>16.795168633995001</v>
      </c>
      <c r="J103" s="23">
        <f>[1]!thsiFinD("ths_pe_ttm_uss",D$6,$A103,100)</f>
        <v>24.856772722363999</v>
      </c>
      <c r="K103" s="23">
        <f>[1]!thsiFinD("ths_pe_ttm_uss",E$6,$A103,100)</f>
        <v>10.832345326004001</v>
      </c>
      <c r="L103" s="23">
        <f>[1]!thsiFinD("ths_pe_ttm_uss",F$6,$A103,100)</f>
        <v>62.896784969446998</v>
      </c>
      <c r="M103" s="23">
        <f>[1]!thsiFinD("ths_pe_ttm_uss",G$6,$A103,100)</f>
        <v>8.2686399411548006</v>
      </c>
      <c r="N103" s="26">
        <f>[1]!thsiFinD("ths_ev2_to_ebitda_usk",N$6,$A103)</f>
        <v>5.6348922049976</v>
      </c>
      <c r="O103" s="26">
        <f>[1]!thsiFinD("ths_ev2_to_ebitda_usk",O$6,$A103)</f>
        <v>7.3671711761407996</v>
      </c>
      <c r="P103" s="26">
        <f>[1]!thsiFinD("ths_ev2_to_ebitda_usk",P$6,$A103)</f>
        <v>7.9697078261841998</v>
      </c>
      <c r="Q103" s="26">
        <f>[1]!thsiFinD("ths_ev2_to_ebitda_usk",Q$6,$A103)</f>
        <v>5.1401532134787997</v>
      </c>
      <c r="R103" s="26">
        <f>[1]!thsiFinD("ths_ev2_to_ebitda_usk",R$6,$A103)</f>
        <v>4.9901135608509</v>
      </c>
      <c r="S103" s="26">
        <f>[1]!thsiFinD("ths_ev2_to_ebitda_usk",S$6,$A103)</f>
        <v>4.0375759890858998</v>
      </c>
      <c r="T103" s="27">
        <f>[1]!thsiFinD("ths_pb_mrq_usk",T$6,$A103)</f>
        <v>1.7390998028819</v>
      </c>
      <c r="U103" s="27">
        <f>[1]!thsiFinD("ths_pb_mrq_usk",U$6,$A103)</f>
        <v>1.9307021622348</v>
      </c>
      <c r="V103" s="27">
        <f>[1]!thsiFinD("ths_pb_mrq_usk",V$6,$A103)</f>
        <v>1.6717565257561999</v>
      </c>
      <c r="W103" s="27">
        <f>[1]!thsiFinD("ths_pb_mrq_usk",W$6,$A103)</f>
        <v>1.9779715916394001</v>
      </c>
      <c r="X103" s="27">
        <f>[1]!thsiFinD("ths_pb_mrq_usk",X$6,$A103)</f>
        <v>1.639264466445</v>
      </c>
      <c r="Y103" s="27">
        <f>[1]!thsiFinD("ths_pb_mrq_usk",Y$6,$A103)</f>
        <v>1.4646535504886</v>
      </c>
      <c r="Z103" s="28">
        <f>[1]!thsiFinD("ths_ps_ttm_uss",Z$6,$A103,100)</f>
        <v>1.8181574316022999</v>
      </c>
      <c r="AA103" s="28">
        <f>[1]!thsiFinD("ths_ps_ttm_uss",AA$6,$A103,100)</f>
        <v>1.5090944398602999</v>
      </c>
      <c r="AB103" s="28">
        <f>[1]!thsiFinD("ths_ps_ttm_uss",AB$6,$A103,100)</f>
        <v>1.6327026613257001</v>
      </c>
      <c r="AC103" s="28">
        <f>[1]!thsiFinD("ths_ps_ttm_uss",AC$6,$A103,100)</f>
        <v>2.6530346628636998</v>
      </c>
      <c r="AD103" s="28">
        <f>[1]!thsiFinD("ths_ps_ttm_uss",AD$6,$A103,100)</f>
        <v>0.49497042216553</v>
      </c>
      <c r="AE103" s="28">
        <f>[1]!thsiFinD("ths_ps_ttm_uss",AE$6,$A103,100)</f>
        <v>1.2869165426445</v>
      </c>
      <c r="AJ103" s="44">
        <f>[1]!thsiFinD("ths_right_value_usk",AJ$6,$A103,"USD")/1000000</f>
        <v>112907.5765025</v>
      </c>
      <c r="AK103" s="44">
        <f>[1]!thsiFinD("ths_right_value_usk",AK$6,$A103,"USD")/1000000</f>
        <v>503065.68609406002</v>
      </c>
      <c r="AL103" s="44">
        <f>[1]!thsiFinD("ths_right_value_usk",AL$6,$A103,"USD")/1000000</f>
        <v>317371.27411914</v>
      </c>
      <c r="AM103" s="44">
        <f>[1]!thsiFinD("ths_right_value_usk",AM$6,$A103,"USD")/1000000</f>
        <v>59902.8696528</v>
      </c>
      <c r="AN103" s="44">
        <f>[1]!thsiFinD("ths_right_value_usk",AN$6,$A103,"USD")/1000000</f>
        <v>95477.319583619988</v>
      </c>
      <c r="AO103" s="44">
        <f>[1]!thsiFinD("ths_right_value_usk",AO$6,$A103,"USD")/1000000</f>
        <v>22482.432000000001</v>
      </c>
      <c r="AP103" s="44">
        <f>[1]!thsiFinD("ths_ev2_usk",AP$6,$A103,"USD")/1000000</f>
        <v>131129.57650249999</v>
      </c>
      <c r="AQ103" s="44">
        <f>[1]!thsiFinD("ths_ev2_usk",AQ$6,$A103,"USD")/1000000</f>
        <v>540094.68609405996</v>
      </c>
      <c r="AR103" s="44">
        <f>[1]!thsiFinD("ths_ev2_usk",AR$6,$A103,"USD")/1000000</f>
        <v>356947.27411914</v>
      </c>
      <c r="AS103" s="44">
        <f>[1]!thsiFinD("ths_ev2_usk",AS$6,$A103,"USD")/1000000</f>
        <v>64066.8696528</v>
      </c>
      <c r="AT103" s="44">
        <f>[1]!thsiFinD("ths_ev2_usk",AT$6,$A103,"USD")/1000000</f>
        <v>140157.31958362</v>
      </c>
      <c r="AU103" s="44">
        <f>[1]!thsiFinD("ths_ev2_usk",AU$6,$A103,"USD")/1000000</f>
        <v>29595.432000000001</v>
      </c>
    </row>
    <row r="104" spans="1:47" x14ac:dyDescent="0.45">
      <c r="A104" s="3"/>
      <c r="B104" s="13"/>
      <c r="H104" s="23">
        <f>[1]!thsiFinD("ths_pe_ttm_uss",B$6,$A104,100)</f>
        <v>12.763687147016</v>
      </c>
      <c r="I104" s="23">
        <f>[1]!thsiFinD("ths_pe_ttm_uss",C$6,$A104,100)</f>
        <v>16.795168633995001</v>
      </c>
      <c r="J104" s="23">
        <f>[1]!thsiFinD("ths_pe_ttm_uss",D$6,$A104,100)</f>
        <v>24.856772722363999</v>
      </c>
      <c r="K104" s="23">
        <f>[1]!thsiFinD("ths_pe_ttm_uss",E$6,$A104,100)</f>
        <v>10.832345326004001</v>
      </c>
      <c r="L104" s="23">
        <f>[1]!thsiFinD("ths_pe_ttm_uss",F$6,$A104,100)</f>
        <v>62.896784969446998</v>
      </c>
      <c r="M104" s="23">
        <f>[1]!thsiFinD("ths_pe_ttm_uss",G$6,$A104,100)</f>
        <v>8.2686399411548006</v>
      </c>
      <c r="N104" s="26">
        <f>[1]!thsiFinD("ths_ev2_to_ebitda_usk",N$6,$A104)</f>
        <v>5.6348922049976</v>
      </c>
      <c r="O104" s="26">
        <f>[1]!thsiFinD("ths_ev2_to_ebitda_usk",O$6,$A104)</f>
        <v>7.3671711761407996</v>
      </c>
      <c r="P104" s="26">
        <f>[1]!thsiFinD("ths_ev2_to_ebitda_usk",P$6,$A104)</f>
        <v>7.9697078261841998</v>
      </c>
      <c r="Q104" s="26">
        <f>[1]!thsiFinD("ths_ev2_to_ebitda_usk",Q$6,$A104)</f>
        <v>5.1401532134787997</v>
      </c>
      <c r="R104" s="26">
        <f>[1]!thsiFinD("ths_ev2_to_ebitda_usk",R$6,$A104)</f>
        <v>4.9901135608509</v>
      </c>
      <c r="S104" s="26">
        <f>[1]!thsiFinD("ths_ev2_to_ebitda_usk",S$6,$A104)</f>
        <v>4.0375759890858998</v>
      </c>
      <c r="T104" s="27">
        <f>[1]!thsiFinD("ths_pb_mrq_usk",T$6,$A104)</f>
        <v>1.7390998028819</v>
      </c>
      <c r="U104" s="27">
        <f>[1]!thsiFinD("ths_pb_mrq_usk",U$6,$A104)</f>
        <v>1.9307021622348</v>
      </c>
      <c r="V104" s="27">
        <f>[1]!thsiFinD("ths_pb_mrq_usk",V$6,$A104)</f>
        <v>1.6717565257561999</v>
      </c>
      <c r="W104" s="27">
        <f>[1]!thsiFinD("ths_pb_mrq_usk",W$6,$A104)</f>
        <v>1.9779715916394001</v>
      </c>
      <c r="X104" s="27">
        <f>[1]!thsiFinD("ths_pb_mrq_usk",X$6,$A104)</f>
        <v>1.639264466445</v>
      </c>
      <c r="Y104" s="27">
        <f>[1]!thsiFinD("ths_pb_mrq_usk",Y$6,$A104)</f>
        <v>1.4646535504886</v>
      </c>
      <c r="Z104" s="28">
        <f>[1]!thsiFinD("ths_ps_ttm_uss",Z$6,$A104,100)</f>
        <v>1.8181574316022999</v>
      </c>
      <c r="AA104" s="28">
        <f>[1]!thsiFinD("ths_ps_ttm_uss",AA$6,$A104,100)</f>
        <v>1.5090944398602999</v>
      </c>
      <c r="AB104" s="28">
        <f>[1]!thsiFinD("ths_ps_ttm_uss",AB$6,$A104,100)</f>
        <v>1.6327026613257001</v>
      </c>
      <c r="AC104" s="28">
        <f>[1]!thsiFinD("ths_ps_ttm_uss",AC$6,$A104,100)</f>
        <v>2.6530346628636998</v>
      </c>
      <c r="AD104" s="28">
        <f>[1]!thsiFinD("ths_ps_ttm_uss",AD$6,$A104,100)</f>
        <v>0.49497042216553</v>
      </c>
      <c r="AE104" s="28">
        <f>[1]!thsiFinD("ths_ps_ttm_uss",AE$6,$A104,100)</f>
        <v>1.2869165426445</v>
      </c>
      <c r="AJ104" s="44">
        <f>[1]!thsiFinD("ths_right_value_usk",AJ$6,$A104,"USD")/1000000</f>
        <v>112907.5765025</v>
      </c>
      <c r="AK104" s="44">
        <f>[1]!thsiFinD("ths_right_value_usk",AK$6,$A104,"USD")/1000000</f>
        <v>503065.68609406002</v>
      </c>
      <c r="AL104" s="44">
        <f>[1]!thsiFinD("ths_right_value_usk",AL$6,$A104,"USD")/1000000</f>
        <v>317371.27411914</v>
      </c>
      <c r="AM104" s="44">
        <f>[1]!thsiFinD("ths_right_value_usk",AM$6,$A104,"USD")/1000000</f>
        <v>59902.8696528</v>
      </c>
      <c r="AN104" s="44">
        <f>[1]!thsiFinD("ths_right_value_usk",AN$6,$A104,"USD")/1000000</f>
        <v>95477.319583619988</v>
      </c>
      <c r="AO104" s="44">
        <f>[1]!thsiFinD("ths_right_value_usk",AO$6,$A104,"USD")/1000000</f>
        <v>22482.432000000001</v>
      </c>
      <c r="AP104" s="44">
        <f>[1]!thsiFinD("ths_ev2_usk",AP$6,$A104,"USD")/1000000</f>
        <v>131129.57650249999</v>
      </c>
      <c r="AQ104" s="44">
        <f>[1]!thsiFinD("ths_ev2_usk",AQ$6,$A104,"USD")/1000000</f>
        <v>540094.68609405996</v>
      </c>
      <c r="AR104" s="44">
        <f>[1]!thsiFinD("ths_ev2_usk",AR$6,$A104,"USD")/1000000</f>
        <v>356947.27411914</v>
      </c>
      <c r="AS104" s="44">
        <f>[1]!thsiFinD("ths_ev2_usk",AS$6,$A104,"USD")/1000000</f>
        <v>64066.8696528</v>
      </c>
      <c r="AT104" s="44">
        <f>[1]!thsiFinD("ths_ev2_usk",AT$6,$A104,"USD")/1000000</f>
        <v>140157.31958362</v>
      </c>
      <c r="AU104" s="44">
        <f>[1]!thsiFinD("ths_ev2_usk",AU$6,$A104,"USD")/1000000</f>
        <v>29595.432000000001</v>
      </c>
    </row>
    <row r="105" spans="1:47" x14ac:dyDescent="0.45">
      <c r="A105" s="3"/>
      <c r="B105" s="13"/>
      <c r="H105" s="23">
        <f>[1]!thsiFinD("ths_pe_ttm_uss",B$6,$A105,100)</f>
        <v>12.763687147016</v>
      </c>
      <c r="I105" s="23">
        <f>[1]!thsiFinD("ths_pe_ttm_uss",C$6,$A105,100)</f>
        <v>16.795168633995001</v>
      </c>
      <c r="J105" s="23">
        <f>[1]!thsiFinD("ths_pe_ttm_uss",D$6,$A105,100)</f>
        <v>24.856772722363999</v>
      </c>
      <c r="K105" s="23">
        <f>[1]!thsiFinD("ths_pe_ttm_uss",E$6,$A105,100)</f>
        <v>10.832345326004001</v>
      </c>
      <c r="L105" s="23">
        <f>[1]!thsiFinD("ths_pe_ttm_uss",F$6,$A105,100)</f>
        <v>62.896784969446998</v>
      </c>
      <c r="M105" s="23">
        <f>[1]!thsiFinD("ths_pe_ttm_uss",G$6,$A105,100)</f>
        <v>8.2686399411548006</v>
      </c>
      <c r="N105" s="26">
        <f>[1]!thsiFinD("ths_ev2_to_ebitda_usk",N$6,$A105)</f>
        <v>5.6348922049976</v>
      </c>
      <c r="O105" s="26">
        <f>[1]!thsiFinD("ths_ev2_to_ebitda_usk",O$6,$A105)</f>
        <v>7.3671711761407996</v>
      </c>
      <c r="P105" s="26">
        <f>[1]!thsiFinD("ths_ev2_to_ebitda_usk",P$6,$A105)</f>
        <v>7.9697078261841998</v>
      </c>
      <c r="Q105" s="26">
        <f>[1]!thsiFinD("ths_ev2_to_ebitda_usk",Q$6,$A105)</f>
        <v>5.1401532134787997</v>
      </c>
      <c r="R105" s="26">
        <f>[1]!thsiFinD("ths_ev2_to_ebitda_usk",R$6,$A105)</f>
        <v>4.9901135608509</v>
      </c>
      <c r="S105" s="26">
        <f>[1]!thsiFinD("ths_ev2_to_ebitda_usk",S$6,$A105)</f>
        <v>4.0375759890858998</v>
      </c>
      <c r="T105" s="27">
        <f>[1]!thsiFinD("ths_pb_mrq_usk",T$6,$A105)</f>
        <v>1.7390998028819</v>
      </c>
      <c r="U105" s="27">
        <f>[1]!thsiFinD("ths_pb_mrq_usk",U$6,$A105)</f>
        <v>1.9307021622348</v>
      </c>
      <c r="V105" s="27">
        <f>[1]!thsiFinD("ths_pb_mrq_usk",V$6,$A105)</f>
        <v>1.6717565257561999</v>
      </c>
      <c r="W105" s="27">
        <f>[1]!thsiFinD("ths_pb_mrq_usk",W$6,$A105)</f>
        <v>1.9779715916394001</v>
      </c>
      <c r="X105" s="27">
        <f>[1]!thsiFinD("ths_pb_mrq_usk",X$6,$A105)</f>
        <v>1.639264466445</v>
      </c>
      <c r="Y105" s="27">
        <f>[1]!thsiFinD("ths_pb_mrq_usk",Y$6,$A105)</f>
        <v>1.4646535504886</v>
      </c>
      <c r="Z105" s="28">
        <f>[1]!thsiFinD("ths_ps_ttm_uss",Z$6,$A105,100)</f>
        <v>1.8181574316022999</v>
      </c>
      <c r="AA105" s="28">
        <f>[1]!thsiFinD("ths_ps_ttm_uss",AA$6,$A105,100)</f>
        <v>1.5090944398602999</v>
      </c>
      <c r="AB105" s="28">
        <f>[1]!thsiFinD("ths_ps_ttm_uss",AB$6,$A105,100)</f>
        <v>1.6327026613257001</v>
      </c>
      <c r="AC105" s="28">
        <f>[1]!thsiFinD("ths_ps_ttm_uss",AC$6,$A105,100)</f>
        <v>2.6530346628636998</v>
      </c>
      <c r="AD105" s="28">
        <f>[1]!thsiFinD("ths_ps_ttm_uss",AD$6,$A105,100)</f>
        <v>0.49497042216553</v>
      </c>
      <c r="AE105" s="28">
        <f>[1]!thsiFinD("ths_ps_ttm_uss",AE$6,$A105,100)</f>
        <v>1.2869165426445</v>
      </c>
      <c r="AJ105" s="44">
        <f>[1]!thsiFinD("ths_right_value_usk",AJ$6,$A105,"USD")/1000000</f>
        <v>112907.5765025</v>
      </c>
      <c r="AK105" s="44">
        <f>[1]!thsiFinD("ths_right_value_usk",AK$6,$A105,"USD")/1000000</f>
        <v>503065.68609406002</v>
      </c>
      <c r="AL105" s="44">
        <f>[1]!thsiFinD("ths_right_value_usk",AL$6,$A105,"USD")/1000000</f>
        <v>317371.27411914</v>
      </c>
      <c r="AM105" s="44">
        <f>[1]!thsiFinD("ths_right_value_usk",AM$6,$A105,"USD")/1000000</f>
        <v>59902.8696528</v>
      </c>
      <c r="AN105" s="44">
        <f>[1]!thsiFinD("ths_right_value_usk",AN$6,$A105,"USD")/1000000</f>
        <v>95477.319583619988</v>
      </c>
      <c r="AO105" s="44">
        <f>[1]!thsiFinD("ths_right_value_usk",AO$6,$A105,"USD")/1000000</f>
        <v>22482.432000000001</v>
      </c>
      <c r="AP105" s="44">
        <f>[1]!thsiFinD("ths_ev2_usk",AP$6,$A105,"USD")/1000000</f>
        <v>131129.57650249999</v>
      </c>
      <c r="AQ105" s="44">
        <f>[1]!thsiFinD("ths_ev2_usk",AQ$6,$A105,"USD")/1000000</f>
        <v>540094.68609405996</v>
      </c>
      <c r="AR105" s="44">
        <f>[1]!thsiFinD("ths_ev2_usk",AR$6,$A105,"USD")/1000000</f>
        <v>356947.27411914</v>
      </c>
      <c r="AS105" s="44">
        <f>[1]!thsiFinD("ths_ev2_usk",AS$6,$A105,"USD")/1000000</f>
        <v>64066.8696528</v>
      </c>
      <c r="AT105" s="44">
        <f>[1]!thsiFinD("ths_ev2_usk",AT$6,$A105,"USD")/1000000</f>
        <v>140157.31958362</v>
      </c>
      <c r="AU105" s="44">
        <f>[1]!thsiFinD("ths_ev2_usk",AU$6,$A105,"USD")/1000000</f>
        <v>29595.432000000001</v>
      </c>
    </row>
    <row r="106" spans="1:47" x14ac:dyDescent="0.45">
      <c r="A106" s="3"/>
      <c r="B106" s="13"/>
      <c r="H106" s="23">
        <f>[1]!thsiFinD("ths_pe_ttm_uss",B$6,$A106,100)</f>
        <v>12.763687147016</v>
      </c>
      <c r="I106" s="23">
        <f>[1]!thsiFinD("ths_pe_ttm_uss",C$6,$A106,100)</f>
        <v>16.795168633995001</v>
      </c>
      <c r="J106" s="23">
        <f>[1]!thsiFinD("ths_pe_ttm_uss",D$6,$A106,100)</f>
        <v>24.856772722363999</v>
      </c>
      <c r="K106" s="23">
        <f>[1]!thsiFinD("ths_pe_ttm_uss",E$6,$A106,100)</f>
        <v>10.832345326004001</v>
      </c>
      <c r="L106" s="23">
        <f>[1]!thsiFinD("ths_pe_ttm_uss",F$6,$A106,100)</f>
        <v>62.896784969446998</v>
      </c>
      <c r="M106" s="23">
        <f>[1]!thsiFinD("ths_pe_ttm_uss",G$6,$A106,100)</f>
        <v>8.2686399411548006</v>
      </c>
      <c r="N106" s="26">
        <f>[1]!thsiFinD("ths_ev2_to_ebitda_usk",N$6,$A106)</f>
        <v>5.6348922049976</v>
      </c>
      <c r="O106" s="26">
        <f>[1]!thsiFinD("ths_ev2_to_ebitda_usk",O$6,$A106)</f>
        <v>7.3671711761407996</v>
      </c>
      <c r="P106" s="26">
        <f>[1]!thsiFinD("ths_ev2_to_ebitda_usk",P$6,$A106)</f>
        <v>7.9697078261841998</v>
      </c>
      <c r="Q106" s="26">
        <f>[1]!thsiFinD("ths_ev2_to_ebitda_usk",Q$6,$A106)</f>
        <v>5.1401532134787997</v>
      </c>
      <c r="R106" s="26">
        <f>[1]!thsiFinD("ths_ev2_to_ebitda_usk",R$6,$A106)</f>
        <v>4.9901135608509</v>
      </c>
      <c r="S106" s="26">
        <f>[1]!thsiFinD("ths_ev2_to_ebitda_usk",S$6,$A106)</f>
        <v>4.0375759890858998</v>
      </c>
      <c r="T106" s="27">
        <f>[1]!thsiFinD("ths_pb_mrq_usk",T$6,$A106)</f>
        <v>1.7390998028819</v>
      </c>
      <c r="U106" s="27">
        <f>[1]!thsiFinD("ths_pb_mrq_usk",U$6,$A106)</f>
        <v>1.9307021622348</v>
      </c>
      <c r="V106" s="27">
        <f>[1]!thsiFinD("ths_pb_mrq_usk",V$6,$A106)</f>
        <v>1.6717565257561999</v>
      </c>
      <c r="W106" s="27">
        <f>[1]!thsiFinD("ths_pb_mrq_usk",W$6,$A106)</f>
        <v>1.9779715916394001</v>
      </c>
      <c r="X106" s="27">
        <f>[1]!thsiFinD("ths_pb_mrq_usk",X$6,$A106)</f>
        <v>1.639264466445</v>
      </c>
      <c r="Y106" s="27">
        <f>[1]!thsiFinD("ths_pb_mrq_usk",Y$6,$A106)</f>
        <v>1.4646535504886</v>
      </c>
      <c r="Z106" s="28">
        <f>[1]!thsiFinD("ths_ps_ttm_uss",Z$6,$A106,100)</f>
        <v>1.8181574316022999</v>
      </c>
      <c r="AA106" s="28">
        <f>[1]!thsiFinD("ths_ps_ttm_uss",AA$6,$A106,100)</f>
        <v>1.5090944398602999</v>
      </c>
      <c r="AB106" s="28">
        <f>[1]!thsiFinD("ths_ps_ttm_uss",AB$6,$A106,100)</f>
        <v>1.6327026613257001</v>
      </c>
      <c r="AC106" s="28">
        <f>[1]!thsiFinD("ths_ps_ttm_uss",AC$6,$A106,100)</f>
        <v>2.6530346628636998</v>
      </c>
      <c r="AD106" s="28">
        <f>[1]!thsiFinD("ths_ps_ttm_uss",AD$6,$A106,100)</f>
        <v>0.49497042216553</v>
      </c>
      <c r="AE106" s="28">
        <f>[1]!thsiFinD("ths_ps_ttm_uss",AE$6,$A106,100)</f>
        <v>1.2869165426445</v>
      </c>
      <c r="AJ106" s="44">
        <f>[1]!thsiFinD("ths_right_value_usk",AJ$6,$A106,"USD")/1000000</f>
        <v>112907.5765025</v>
      </c>
      <c r="AK106" s="44">
        <f>[1]!thsiFinD("ths_right_value_usk",AK$6,$A106,"USD")/1000000</f>
        <v>503065.68609406002</v>
      </c>
      <c r="AL106" s="44">
        <f>[1]!thsiFinD("ths_right_value_usk",AL$6,$A106,"USD")/1000000</f>
        <v>317371.27411914</v>
      </c>
      <c r="AM106" s="44">
        <f>[1]!thsiFinD("ths_right_value_usk",AM$6,$A106,"USD")/1000000</f>
        <v>59902.8696528</v>
      </c>
      <c r="AN106" s="44">
        <f>[1]!thsiFinD("ths_right_value_usk",AN$6,$A106,"USD")/1000000</f>
        <v>95477.319583619988</v>
      </c>
      <c r="AO106" s="44">
        <f>[1]!thsiFinD("ths_right_value_usk",AO$6,$A106,"USD")/1000000</f>
        <v>22482.432000000001</v>
      </c>
      <c r="AP106" s="44">
        <f>[1]!thsiFinD("ths_ev2_usk",AP$6,$A106,"USD")/1000000</f>
        <v>131129.57650249999</v>
      </c>
      <c r="AQ106" s="44">
        <f>[1]!thsiFinD("ths_ev2_usk",AQ$6,$A106,"USD")/1000000</f>
        <v>540094.68609405996</v>
      </c>
      <c r="AR106" s="44">
        <f>[1]!thsiFinD("ths_ev2_usk",AR$6,$A106,"USD")/1000000</f>
        <v>356947.27411914</v>
      </c>
      <c r="AS106" s="44">
        <f>[1]!thsiFinD("ths_ev2_usk",AS$6,$A106,"USD")/1000000</f>
        <v>64066.8696528</v>
      </c>
      <c r="AT106" s="44">
        <f>[1]!thsiFinD("ths_ev2_usk",AT$6,$A106,"USD")/1000000</f>
        <v>140157.31958362</v>
      </c>
      <c r="AU106" s="44">
        <f>[1]!thsiFinD("ths_ev2_usk",AU$6,$A106,"USD")/1000000</f>
        <v>29595.432000000001</v>
      </c>
    </row>
    <row r="107" spans="1:47" x14ac:dyDescent="0.45">
      <c r="A107" s="3"/>
      <c r="B107" s="13"/>
      <c r="H107" s="23">
        <f>[1]!thsiFinD("ths_pe_ttm_uss",B$6,$A107,100)</f>
        <v>12.763687147016</v>
      </c>
      <c r="I107" s="23">
        <f>[1]!thsiFinD("ths_pe_ttm_uss",C$6,$A107,100)</f>
        <v>16.795168633995001</v>
      </c>
      <c r="J107" s="23">
        <f>[1]!thsiFinD("ths_pe_ttm_uss",D$6,$A107,100)</f>
        <v>24.856772722363999</v>
      </c>
      <c r="K107" s="23">
        <f>[1]!thsiFinD("ths_pe_ttm_uss",E$6,$A107,100)</f>
        <v>10.832345326004001</v>
      </c>
      <c r="L107" s="23">
        <f>[1]!thsiFinD("ths_pe_ttm_uss",F$6,$A107,100)</f>
        <v>62.896784969446998</v>
      </c>
      <c r="M107" s="23">
        <f>[1]!thsiFinD("ths_pe_ttm_uss",G$6,$A107,100)</f>
        <v>8.2686399411548006</v>
      </c>
      <c r="N107" s="26">
        <f>[1]!thsiFinD("ths_ev2_to_ebitda_usk",N$6,$A107)</f>
        <v>5.6348922049976</v>
      </c>
      <c r="O107" s="26">
        <f>[1]!thsiFinD("ths_ev2_to_ebitda_usk",O$6,$A107)</f>
        <v>7.3671711761407996</v>
      </c>
      <c r="P107" s="26">
        <f>[1]!thsiFinD("ths_ev2_to_ebitda_usk",P$6,$A107)</f>
        <v>7.9697078261841998</v>
      </c>
      <c r="Q107" s="26">
        <f>[1]!thsiFinD("ths_ev2_to_ebitda_usk",Q$6,$A107)</f>
        <v>5.1401532134787997</v>
      </c>
      <c r="R107" s="26">
        <f>[1]!thsiFinD("ths_ev2_to_ebitda_usk",R$6,$A107)</f>
        <v>4.9901135608509</v>
      </c>
      <c r="S107" s="26">
        <f>[1]!thsiFinD("ths_ev2_to_ebitda_usk",S$6,$A107)</f>
        <v>4.0375759890858998</v>
      </c>
      <c r="T107" s="27">
        <f>[1]!thsiFinD("ths_pb_mrq_usk",T$6,$A107)</f>
        <v>1.7390998028819</v>
      </c>
      <c r="U107" s="27">
        <f>[1]!thsiFinD("ths_pb_mrq_usk",U$6,$A107)</f>
        <v>1.9307021622348</v>
      </c>
      <c r="V107" s="27">
        <f>[1]!thsiFinD("ths_pb_mrq_usk",V$6,$A107)</f>
        <v>1.6717565257561999</v>
      </c>
      <c r="W107" s="27">
        <f>[1]!thsiFinD("ths_pb_mrq_usk",W$6,$A107)</f>
        <v>1.9779715916394001</v>
      </c>
      <c r="X107" s="27">
        <f>[1]!thsiFinD("ths_pb_mrq_usk",X$6,$A107)</f>
        <v>1.639264466445</v>
      </c>
      <c r="Y107" s="27">
        <f>[1]!thsiFinD("ths_pb_mrq_usk",Y$6,$A107)</f>
        <v>1.4646535504886</v>
      </c>
      <c r="Z107" s="28">
        <f>[1]!thsiFinD("ths_ps_ttm_uss",Z$6,$A107,100)</f>
        <v>1.8181574316022999</v>
      </c>
      <c r="AA107" s="28">
        <f>[1]!thsiFinD("ths_ps_ttm_uss",AA$6,$A107,100)</f>
        <v>1.5090944398602999</v>
      </c>
      <c r="AB107" s="28">
        <f>[1]!thsiFinD("ths_ps_ttm_uss",AB$6,$A107,100)</f>
        <v>1.6327026613257001</v>
      </c>
      <c r="AC107" s="28">
        <f>[1]!thsiFinD("ths_ps_ttm_uss",AC$6,$A107,100)</f>
        <v>2.6530346628636998</v>
      </c>
      <c r="AD107" s="28">
        <f>[1]!thsiFinD("ths_ps_ttm_uss",AD$6,$A107,100)</f>
        <v>0.49497042216553</v>
      </c>
      <c r="AE107" s="28">
        <f>[1]!thsiFinD("ths_ps_ttm_uss",AE$6,$A107,100)</f>
        <v>1.2869165426445</v>
      </c>
      <c r="AJ107" s="44">
        <f>[1]!thsiFinD("ths_right_value_usk",AJ$6,$A107,"USD")/1000000</f>
        <v>112907.5765025</v>
      </c>
      <c r="AK107" s="44">
        <f>[1]!thsiFinD("ths_right_value_usk",AK$6,$A107,"USD")/1000000</f>
        <v>503065.68609406002</v>
      </c>
      <c r="AL107" s="44">
        <f>[1]!thsiFinD("ths_right_value_usk",AL$6,$A107,"USD")/1000000</f>
        <v>317371.27411914</v>
      </c>
      <c r="AM107" s="44">
        <f>[1]!thsiFinD("ths_right_value_usk",AM$6,$A107,"USD")/1000000</f>
        <v>59902.8696528</v>
      </c>
      <c r="AN107" s="44">
        <f>[1]!thsiFinD("ths_right_value_usk",AN$6,$A107,"USD")/1000000</f>
        <v>95477.319583619988</v>
      </c>
      <c r="AO107" s="44">
        <f>[1]!thsiFinD("ths_right_value_usk",AO$6,$A107,"USD")/1000000</f>
        <v>22482.432000000001</v>
      </c>
      <c r="AP107" s="44">
        <f>[1]!thsiFinD("ths_ev2_usk",AP$6,$A107,"USD")/1000000</f>
        <v>131129.57650249999</v>
      </c>
      <c r="AQ107" s="44">
        <f>[1]!thsiFinD("ths_ev2_usk",AQ$6,$A107,"USD")/1000000</f>
        <v>540094.68609405996</v>
      </c>
      <c r="AR107" s="44">
        <f>[1]!thsiFinD("ths_ev2_usk",AR$6,$A107,"USD")/1000000</f>
        <v>356947.27411914</v>
      </c>
      <c r="AS107" s="44">
        <f>[1]!thsiFinD("ths_ev2_usk",AS$6,$A107,"USD")/1000000</f>
        <v>64066.8696528</v>
      </c>
      <c r="AT107" s="44">
        <f>[1]!thsiFinD("ths_ev2_usk",AT$6,$A107,"USD")/1000000</f>
        <v>140157.31958362</v>
      </c>
      <c r="AU107" s="44">
        <f>[1]!thsiFinD("ths_ev2_usk",AU$6,$A107,"USD")/1000000</f>
        <v>29595.432000000001</v>
      </c>
    </row>
    <row r="108" spans="1:47" x14ac:dyDescent="0.45">
      <c r="A108" s="3"/>
      <c r="B108" s="13"/>
      <c r="H108" s="23">
        <f>[1]!thsiFinD("ths_pe_ttm_uss",B$6,$A108,100)</f>
        <v>12.763687147016</v>
      </c>
      <c r="I108" s="23">
        <f>[1]!thsiFinD("ths_pe_ttm_uss",C$6,$A108,100)</f>
        <v>16.795168633995001</v>
      </c>
      <c r="J108" s="23">
        <f>[1]!thsiFinD("ths_pe_ttm_uss",D$6,$A108,100)</f>
        <v>24.856772722363999</v>
      </c>
      <c r="K108" s="23">
        <f>[1]!thsiFinD("ths_pe_ttm_uss",E$6,$A108,100)</f>
        <v>10.832345326004001</v>
      </c>
      <c r="L108" s="23">
        <f>[1]!thsiFinD("ths_pe_ttm_uss",F$6,$A108,100)</f>
        <v>62.896784969446998</v>
      </c>
      <c r="M108" s="23">
        <f>[1]!thsiFinD("ths_pe_ttm_uss",G$6,$A108,100)</f>
        <v>8.2686399411548006</v>
      </c>
      <c r="N108" s="26">
        <f>[1]!thsiFinD("ths_ev2_to_ebitda_usk",N$6,$A108)</f>
        <v>5.6348922049976</v>
      </c>
      <c r="O108" s="26">
        <f>[1]!thsiFinD("ths_ev2_to_ebitda_usk",O$6,$A108)</f>
        <v>7.3671711761407996</v>
      </c>
      <c r="P108" s="26">
        <f>[1]!thsiFinD("ths_ev2_to_ebitda_usk",P$6,$A108)</f>
        <v>7.9697078261841998</v>
      </c>
      <c r="Q108" s="26">
        <f>[1]!thsiFinD("ths_ev2_to_ebitda_usk",Q$6,$A108)</f>
        <v>5.1401532134787997</v>
      </c>
      <c r="R108" s="26">
        <f>[1]!thsiFinD("ths_ev2_to_ebitda_usk",R$6,$A108)</f>
        <v>4.9901135608509</v>
      </c>
      <c r="S108" s="26">
        <f>[1]!thsiFinD("ths_ev2_to_ebitda_usk",S$6,$A108)</f>
        <v>4.0375759890858998</v>
      </c>
      <c r="T108" s="27">
        <f>[1]!thsiFinD("ths_pb_mrq_usk",T$6,$A108)</f>
        <v>1.7390998028819</v>
      </c>
      <c r="U108" s="27">
        <f>[1]!thsiFinD("ths_pb_mrq_usk",U$6,$A108)</f>
        <v>1.9307021622348</v>
      </c>
      <c r="V108" s="27">
        <f>[1]!thsiFinD("ths_pb_mrq_usk",V$6,$A108)</f>
        <v>1.6717565257561999</v>
      </c>
      <c r="W108" s="27">
        <f>[1]!thsiFinD("ths_pb_mrq_usk",W$6,$A108)</f>
        <v>1.9779715916394001</v>
      </c>
      <c r="X108" s="27">
        <f>[1]!thsiFinD("ths_pb_mrq_usk",X$6,$A108)</f>
        <v>1.639264466445</v>
      </c>
      <c r="Y108" s="27">
        <f>[1]!thsiFinD("ths_pb_mrq_usk",Y$6,$A108)</f>
        <v>1.4646535504886</v>
      </c>
      <c r="Z108" s="28">
        <f>[1]!thsiFinD("ths_ps_ttm_uss",Z$6,$A108,100)</f>
        <v>1.8181574316022999</v>
      </c>
      <c r="AA108" s="28">
        <f>[1]!thsiFinD("ths_ps_ttm_uss",AA$6,$A108,100)</f>
        <v>1.5090944398602999</v>
      </c>
      <c r="AB108" s="28">
        <f>[1]!thsiFinD("ths_ps_ttm_uss",AB$6,$A108,100)</f>
        <v>1.6327026613257001</v>
      </c>
      <c r="AC108" s="28">
        <f>[1]!thsiFinD("ths_ps_ttm_uss",AC$6,$A108,100)</f>
        <v>2.6530346628636998</v>
      </c>
      <c r="AD108" s="28">
        <f>[1]!thsiFinD("ths_ps_ttm_uss",AD$6,$A108,100)</f>
        <v>0.49497042216553</v>
      </c>
      <c r="AE108" s="28">
        <f>[1]!thsiFinD("ths_ps_ttm_uss",AE$6,$A108,100)</f>
        <v>1.2869165426445</v>
      </c>
      <c r="AJ108" s="44">
        <f>[1]!thsiFinD("ths_right_value_usk",AJ$6,$A108,"USD")/1000000</f>
        <v>112907.5765025</v>
      </c>
      <c r="AK108" s="44">
        <f>[1]!thsiFinD("ths_right_value_usk",AK$6,$A108,"USD")/1000000</f>
        <v>503065.68609406002</v>
      </c>
      <c r="AL108" s="44">
        <f>[1]!thsiFinD("ths_right_value_usk",AL$6,$A108,"USD")/1000000</f>
        <v>317371.27411914</v>
      </c>
      <c r="AM108" s="44">
        <f>[1]!thsiFinD("ths_right_value_usk",AM$6,$A108,"USD")/1000000</f>
        <v>59902.8696528</v>
      </c>
      <c r="AN108" s="44">
        <f>[1]!thsiFinD("ths_right_value_usk",AN$6,$A108,"USD")/1000000</f>
        <v>95477.319583619988</v>
      </c>
      <c r="AO108" s="44">
        <f>[1]!thsiFinD("ths_right_value_usk",AO$6,$A108,"USD")/1000000</f>
        <v>22482.432000000001</v>
      </c>
      <c r="AP108" s="44">
        <f>[1]!thsiFinD("ths_ev2_usk",AP$6,$A108,"USD")/1000000</f>
        <v>131129.57650249999</v>
      </c>
      <c r="AQ108" s="44">
        <f>[1]!thsiFinD("ths_ev2_usk",AQ$6,$A108,"USD")/1000000</f>
        <v>540094.68609405996</v>
      </c>
      <c r="AR108" s="44">
        <f>[1]!thsiFinD("ths_ev2_usk",AR$6,$A108,"USD")/1000000</f>
        <v>356947.27411914</v>
      </c>
      <c r="AS108" s="44">
        <f>[1]!thsiFinD("ths_ev2_usk",AS$6,$A108,"USD")/1000000</f>
        <v>64066.8696528</v>
      </c>
      <c r="AT108" s="44">
        <f>[1]!thsiFinD("ths_ev2_usk",AT$6,$A108,"USD")/1000000</f>
        <v>140157.31958362</v>
      </c>
      <c r="AU108" s="44">
        <f>[1]!thsiFinD("ths_ev2_usk",AU$6,$A108,"USD")/1000000</f>
        <v>29595.432000000001</v>
      </c>
    </row>
    <row r="109" spans="1:47" x14ac:dyDescent="0.45">
      <c r="A109" s="3"/>
      <c r="B109" s="13"/>
      <c r="H109" s="23">
        <f>[1]!thsiFinD("ths_pe_ttm_uss",B$6,$A109,100)</f>
        <v>12.763687147016</v>
      </c>
      <c r="I109" s="23">
        <f>[1]!thsiFinD("ths_pe_ttm_uss",C$6,$A109,100)</f>
        <v>16.795168633995001</v>
      </c>
      <c r="J109" s="23">
        <f>[1]!thsiFinD("ths_pe_ttm_uss",D$6,$A109,100)</f>
        <v>24.856772722363999</v>
      </c>
      <c r="K109" s="23">
        <f>[1]!thsiFinD("ths_pe_ttm_uss",E$6,$A109,100)</f>
        <v>10.832345326004001</v>
      </c>
      <c r="L109" s="23">
        <f>[1]!thsiFinD("ths_pe_ttm_uss",F$6,$A109,100)</f>
        <v>62.896784969446998</v>
      </c>
      <c r="M109" s="23">
        <f>[1]!thsiFinD("ths_pe_ttm_uss",G$6,$A109,100)</f>
        <v>8.2686399411548006</v>
      </c>
      <c r="N109" s="26">
        <f>[1]!thsiFinD("ths_ev2_to_ebitda_usk",N$6,$A109)</f>
        <v>5.6348922049976</v>
      </c>
      <c r="O109" s="26">
        <f>[1]!thsiFinD("ths_ev2_to_ebitda_usk",O$6,$A109)</f>
        <v>7.3671711761407996</v>
      </c>
      <c r="P109" s="26">
        <f>[1]!thsiFinD("ths_ev2_to_ebitda_usk",P$6,$A109)</f>
        <v>7.9697078261841998</v>
      </c>
      <c r="Q109" s="26">
        <f>[1]!thsiFinD("ths_ev2_to_ebitda_usk",Q$6,$A109)</f>
        <v>5.1401532134787997</v>
      </c>
      <c r="R109" s="26">
        <f>[1]!thsiFinD("ths_ev2_to_ebitda_usk",R$6,$A109)</f>
        <v>4.9901135608509</v>
      </c>
      <c r="S109" s="26">
        <f>[1]!thsiFinD("ths_ev2_to_ebitda_usk",S$6,$A109)</f>
        <v>4.0375759890858998</v>
      </c>
      <c r="T109" s="27">
        <f>[1]!thsiFinD("ths_pb_mrq_usk",T$6,$A109)</f>
        <v>1.7390998028819</v>
      </c>
      <c r="U109" s="27">
        <f>[1]!thsiFinD("ths_pb_mrq_usk",U$6,$A109)</f>
        <v>1.9307021622348</v>
      </c>
      <c r="V109" s="27">
        <f>[1]!thsiFinD("ths_pb_mrq_usk",V$6,$A109)</f>
        <v>1.6717565257561999</v>
      </c>
      <c r="W109" s="27">
        <f>[1]!thsiFinD("ths_pb_mrq_usk",W$6,$A109)</f>
        <v>1.9779715916394001</v>
      </c>
      <c r="X109" s="27">
        <f>[1]!thsiFinD("ths_pb_mrq_usk",X$6,$A109)</f>
        <v>1.639264466445</v>
      </c>
      <c r="Y109" s="27">
        <f>[1]!thsiFinD("ths_pb_mrq_usk",Y$6,$A109)</f>
        <v>1.4646535504886</v>
      </c>
      <c r="Z109" s="28">
        <f>[1]!thsiFinD("ths_ps_ttm_uss",Z$6,$A109,100)</f>
        <v>1.8181574316022999</v>
      </c>
      <c r="AA109" s="28">
        <f>[1]!thsiFinD("ths_ps_ttm_uss",AA$6,$A109,100)</f>
        <v>1.5090944398602999</v>
      </c>
      <c r="AB109" s="28">
        <f>[1]!thsiFinD("ths_ps_ttm_uss",AB$6,$A109,100)</f>
        <v>1.6327026613257001</v>
      </c>
      <c r="AC109" s="28">
        <f>[1]!thsiFinD("ths_ps_ttm_uss",AC$6,$A109,100)</f>
        <v>2.6530346628636998</v>
      </c>
      <c r="AD109" s="28">
        <f>[1]!thsiFinD("ths_ps_ttm_uss",AD$6,$A109,100)</f>
        <v>0.49497042216553</v>
      </c>
      <c r="AE109" s="28">
        <f>[1]!thsiFinD("ths_ps_ttm_uss",AE$6,$A109,100)</f>
        <v>1.2869165426445</v>
      </c>
      <c r="AJ109" s="44">
        <f>[1]!thsiFinD("ths_right_value_usk",AJ$6,$A109,"USD")/1000000</f>
        <v>112907.5765025</v>
      </c>
      <c r="AK109" s="44">
        <f>[1]!thsiFinD("ths_right_value_usk",AK$6,$A109,"USD")/1000000</f>
        <v>503065.68609406002</v>
      </c>
      <c r="AL109" s="44">
        <f>[1]!thsiFinD("ths_right_value_usk",AL$6,$A109,"USD")/1000000</f>
        <v>317371.27411914</v>
      </c>
      <c r="AM109" s="44">
        <f>[1]!thsiFinD("ths_right_value_usk",AM$6,$A109,"USD")/1000000</f>
        <v>59902.8696528</v>
      </c>
      <c r="AN109" s="44">
        <f>[1]!thsiFinD("ths_right_value_usk",AN$6,$A109,"USD")/1000000</f>
        <v>95477.319583619988</v>
      </c>
      <c r="AO109" s="44">
        <f>[1]!thsiFinD("ths_right_value_usk",AO$6,$A109,"USD")/1000000</f>
        <v>22482.432000000001</v>
      </c>
      <c r="AP109" s="44">
        <f>[1]!thsiFinD("ths_ev2_usk",AP$6,$A109,"USD")/1000000</f>
        <v>131129.57650249999</v>
      </c>
      <c r="AQ109" s="44">
        <f>[1]!thsiFinD("ths_ev2_usk",AQ$6,$A109,"USD")/1000000</f>
        <v>540094.68609405996</v>
      </c>
      <c r="AR109" s="44">
        <f>[1]!thsiFinD("ths_ev2_usk",AR$6,$A109,"USD")/1000000</f>
        <v>356947.27411914</v>
      </c>
      <c r="AS109" s="44">
        <f>[1]!thsiFinD("ths_ev2_usk",AS$6,$A109,"USD")/1000000</f>
        <v>64066.8696528</v>
      </c>
      <c r="AT109" s="44">
        <f>[1]!thsiFinD("ths_ev2_usk",AT$6,$A109,"USD")/1000000</f>
        <v>140157.31958362</v>
      </c>
      <c r="AU109" s="44">
        <f>[1]!thsiFinD("ths_ev2_usk",AU$6,$A109,"USD")/1000000</f>
        <v>29595.432000000001</v>
      </c>
    </row>
    <row r="110" spans="1:47" x14ac:dyDescent="0.45">
      <c r="A110" s="3"/>
      <c r="B110" s="13"/>
      <c r="H110" s="23">
        <f>[1]!thsiFinD("ths_pe_ttm_uss",B$6,$A110,100)</f>
        <v>12.763687147016</v>
      </c>
      <c r="I110" s="23">
        <f>[1]!thsiFinD("ths_pe_ttm_uss",C$6,$A110,100)</f>
        <v>16.795168633995001</v>
      </c>
      <c r="J110" s="23">
        <f>[1]!thsiFinD("ths_pe_ttm_uss",D$6,$A110,100)</f>
        <v>24.856772722363999</v>
      </c>
      <c r="K110" s="23">
        <f>[1]!thsiFinD("ths_pe_ttm_uss",E$6,$A110,100)</f>
        <v>10.832345326004001</v>
      </c>
      <c r="L110" s="23">
        <f>[1]!thsiFinD("ths_pe_ttm_uss",F$6,$A110,100)</f>
        <v>62.896784969446998</v>
      </c>
      <c r="M110" s="23">
        <f>[1]!thsiFinD("ths_pe_ttm_uss",G$6,$A110,100)</f>
        <v>8.2686399411548006</v>
      </c>
      <c r="N110" s="26">
        <f>[1]!thsiFinD("ths_ev2_to_ebitda_usk",N$6,$A110)</f>
        <v>5.6348922049976</v>
      </c>
      <c r="O110" s="26">
        <f>[1]!thsiFinD("ths_ev2_to_ebitda_usk",O$6,$A110)</f>
        <v>7.3671711761407996</v>
      </c>
      <c r="P110" s="26">
        <f>[1]!thsiFinD("ths_ev2_to_ebitda_usk",P$6,$A110)</f>
        <v>7.9697078261841998</v>
      </c>
      <c r="Q110" s="26">
        <f>[1]!thsiFinD("ths_ev2_to_ebitda_usk",Q$6,$A110)</f>
        <v>5.1401532134787997</v>
      </c>
      <c r="R110" s="26">
        <f>[1]!thsiFinD("ths_ev2_to_ebitda_usk",R$6,$A110)</f>
        <v>4.9901135608509</v>
      </c>
      <c r="S110" s="26">
        <f>[1]!thsiFinD("ths_ev2_to_ebitda_usk",S$6,$A110)</f>
        <v>4.0375759890858998</v>
      </c>
      <c r="T110" s="27">
        <f>[1]!thsiFinD("ths_pb_mrq_usk",T$6,$A110)</f>
        <v>1.7390998028819</v>
      </c>
      <c r="U110" s="27">
        <f>[1]!thsiFinD("ths_pb_mrq_usk",U$6,$A110)</f>
        <v>1.9307021622348</v>
      </c>
      <c r="V110" s="27">
        <f>[1]!thsiFinD("ths_pb_mrq_usk",V$6,$A110)</f>
        <v>1.6717565257561999</v>
      </c>
      <c r="W110" s="27">
        <f>[1]!thsiFinD("ths_pb_mrq_usk",W$6,$A110)</f>
        <v>1.9779715916394001</v>
      </c>
      <c r="X110" s="27">
        <f>[1]!thsiFinD("ths_pb_mrq_usk",X$6,$A110)</f>
        <v>1.639264466445</v>
      </c>
      <c r="Y110" s="27">
        <f>[1]!thsiFinD("ths_pb_mrq_usk",Y$6,$A110)</f>
        <v>1.4646535504886</v>
      </c>
      <c r="Z110" s="28">
        <f>[1]!thsiFinD("ths_ps_ttm_uss",Z$6,$A110,100)</f>
        <v>1.8181574316022999</v>
      </c>
      <c r="AA110" s="28">
        <f>[1]!thsiFinD("ths_ps_ttm_uss",AA$6,$A110,100)</f>
        <v>1.5090944398602999</v>
      </c>
      <c r="AB110" s="28">
        <f>[1]!thsiFinD("ths_ps_ttm_uss",AB$6,$A110,100)</f>
        <v>1.6327026613257001</v>
      </c>
      <c r="AC110" s="28">
        <f>[1]!thsiFinD("ths_ps_ttm_uss",AC$6,$A110,100)</f>
        <v>2.6530346628636998</v>
      </c>
      <c r="AD110" s="28">
        <f>[1]!thsiFinD("ths_ps_ttm_uss",AD$6,$A110,100)</f>
        <v>0.49497042216553</v>
      </c>
      <c r="AE110" s="28">
        <f>[1]!thsiFinD("ths_ps_ttm_uss",AE$6,$A110,100)</f>
        <v>1.2869165426445</v>
      </c>
      <c r="AJ110" s="44">
        <f>[1]!thsiFinD("ths_right_value_usk",AJ$6,$A110,"USD")/1000000</f>
        <v>112907.5765025</v>
      </c>
      <c r="AK110" s="44">
        <f>[1]!thsiFinD("ths_right_value_usk",AK$6,$A110,"USD")/1000000</f>
        <v>503065.68609406002</v>
      </c>
      <c r="AL110" s="44">
        <f>[1]!thsiFinD("ths_right_value_usk",AL$6,$A110,"USD")/1000000</f>
        <v>317371.27411914</v>
      </c>
      <c r="AM110" s="44">
        <f>[1]!thsiFinD("ths_right_value_usk",AM$6,$A110,"USD")/1000000</f>
        <v>59902.8696528</v>
      </c>
      <c r="AN110" s="44">
        <f>[1]!thsiFinD("ths_right_value_usk",AN$6,$A110,"USD")/1000000</f>
        <v>95477.319583619988</v>
      </c>
      <c r="AO110" s="44">
        <f>[1]!thsiFinD("ths_right_value_usk",AO$6,$A110,"USD")/1000000</f>
        <v>22482.432000000001</v>
      </c>
      <c r="AP110" s="44">
        <f>[1]!thsiFinD("ths_ev2_usk",AP$6,$A110,"USD")/1000000</f>
        <v>131129.57650249999</v>
      </c>
      <c r="AQ110" s="44">
        <f>[1]!thsiFinD("ths_ev2_usk",AQ$6,$A110,"USD")/1000000</f>
        <v>540094.68609405996</v>
      </c>
      <c r="AR110" s="44">
        <f>[1]!thsiFinD("ths_ev2_usk",AR$6,$A110,"USD")/1000000</f>
        <v>356947.27411914</v>
      </c>
      <c r="AS110" s="44">
        <f>[1]!thsiFinD("ths_ev2_usk",AS$6,$A110,"USD")/1000000</f>
        <v>64066.8696528</v>
      </c>
      <c r="AT110" s="44">
        <f>[1]!thsiFinD("ths_ev2_usk",AT$6,$A110,"USD")/1000000</f>
        <v>140157.31958362</v>
      </c>
      <c r="AU110" s="44">
        <f>[1]!thsiFinD("ths_ev2_usk",AU$6,$A110,"USD")/1000000</f>
        <v>29595.432000000001</v>
      </c>
    </row>
    <row r="111" spans="1:47" x14ac:dyDescent="0.45">
      <c r="A111" s="3"/>
      <c r="B111" s="13"/>
      <c r="H111" s="23">
        <f>[1]!thsiFinD("ths_pe_ttm_uss",B$6,$A111,100)</f>
        <v>12.763687147016</v>
      </c>
      <c r="I111" s="23">
        <f>[1]!thsiFinD("ths_pe_ttm_uss",C$6,$A111,100)</f>
        <v>16.795168633995001</v>
      </c>
      <c r="J111" s="23">
        <f>[1]!thsiFinD("ths_pe_ttm_uss",D$6,$A111,100)</f>
        <v>24.856772722363999</v>
      </c>
      <c r="K111" s="23">
        <f>[1]!thsiFinD("ths_pe_ttm_uss",E$6,$A111,100)</f>
        <v>10.832345326004001</v>
      </c>
      <c r="L111" s="23">
        <f>[1]!thsiFinD("ths_pe_ttm_uss",F$6,$A111,100)</f>
        <v>62.896784969446998</v>
      </c>
      <c r="M111" s="23">
        <f>[1]!thsiFinD("ths_pe_ttm_uss",G$6,$A111,100)</f>
        <v>8.2686399411548006</v>
      </c>
      <c r="N111" s="26">
        <f>[1]!thsiFinD("ths_ev2_to_ebitda_usk",N$6,$A111)</f>
        <v>5.6348922049976</v>
      </c>
      <c r="O111" s="26">
        <f>[1]!thsiFinD("ths_ev2_to_ebitda_usk",O$6,$A111)</f>
        <v>7.3671711761407996</v>
      </c>
      <c r="P111" s="26">
        <f>[1]!thsiFinD("ths_ev2_to_ebitda_usk",P$6,$A111)</f>
        <v>7.9697078261841998</v>
      </c>
      <c r="Q111" s="26">
        <f>[1]!thsiFinD("ths_ev2_to_ebitda_usk",Q$6,$A111)</f>
        <v>5.1401532134787997</v>
      </c>
      <c r="R111" s="26">
        <f>[1]!thsiFinD("ths_ev2_to_ebitda_usk",R$6,$A111)</f>
        <v>4.9901135608509</v>
      </c>
      <c r="S111" s="26">
        <f>[1]!thsiFinD("ths_ev2_to_ebitda_usk",S$6,$A111)</f>
        <v>4.0375759890858998</v>
      </c>
      <c r="T111" s="27">
        <f>[1]!thsiFinD("ths_pb_mrq_usk",T$6,$A111)</f>
        <v>1.7390998028819</v>
      </c>
      <c r="U111" s="27">
        <f>[1]!thsiFinD("ths_pb_mrq_usk",U$6,$A111)</f>
        <v>1.9307021622348</v>
      </c>
      <c r="V111" s="27">
        <f>[1]!thsiFinD("ths_pb_mrq_usk",V$6,$A111)</f>
        <v>1.6717565257561999</v>
      </c>
      <c r="W111" s="27">
        <f>[1]!thsiFinD("ths_pb_mrq_usk",W$6,$A111)</f>
        <v>1.9779715916394001</v>
      </c>
      <c r="X111" s="27">
        <f>[1]!thsiFinD("ths_pb_mrq_usk",X$6,$A111)</f>
        <v>1.639264466445</v>
      </c>
      <c r="Y111" s="27">
        <f>[1]!thsiFinD("ths_pb_mrq_usk",Y$6,$A111)</f>
        <v>1.4646535504886</v>
      </c>
      <c r="Z111" s="28">
        <f>[1]!thsiFinD("ths_ps_ttm_uss",Z$6,$A111,100)</f>
        <v>1.8181574316022999</v>
      </c>
      <c r="AA111" s="28">
        <f>[1]!thsiFinD("ths_ps_ttm_uss",AA$6,$A111,100)</f>
        <v>1.5090944398602999</v>
      </c>
      <c r="AB111" s="28">
        <f>[1]!thsiFinD("ths_ps_ttm_uss",AB$6,$A111,100)</f>
        <v>1.6327026613257001</v>
      </c>
      <c r="AC111" s="28">
        <f>[1]!thsiFinD("ths_ps_ttm_uss",AC$6,$A111,100)</f>
        <v>2.6530346628636998</v>
      </c>
      <c r="AD111" s="28">
        <f>[1]!thsiFinD("ths_ps_ttm_uss",AD$6,$A111,100)</f>
        <v>0.49497042216553</v>
      </c>
      <c r="AE111" s="28">
        <f>[1]!thsiFinD("ths_ps_ttm_uss",AE$6,$A111,100)</f>
        <v>1.2869165426445</v>
      </c>
      <c r="AJ111" s="44">
        <f>[1]!thsiFinD("ths_right_value_usk",AJ$6,$A111,"USD")/1000000</f>
        <v>112907.5765025</v>
      </c>
      <c r="AK111" s="44">
        <f>[1]!thsiFinD("ths_right_value_usk",AK$6,$A111,"USD")/1000000</f>
        <v>503065.68609406002</v>
      </c>
      <c r="AL111" s="44">
        <f>[1]!thsiFinD("ths_right_value_usk",AL$6,$A111,"USD")/1000000</f>
        <v>317371.27411914</v>
      </c>
      <c r="AM111" s="44">
        <f>[1]!thsiFinD("ths_right_value_usk",AM$6,$A111,"USD")/1000000</f>
        <v>59902.8696528</v>
      </c>
      <c r="AN111" s="44">
        <f>[1]!thsiFinD("ths_right_value_usk",AN$6,$A111,"USD")/1000000</f>
        <v>95477.319583619988</v>
      </c>
      <c r="AO111" s="44">
        <f>[1]!thsiFinD("ths_right_value_usk",AO$6,$A111,"USD")/1000000</f>
        <v>22482.432000000001</v>
      </c>
      <c r="AP111" s="44">
        <f>[1]!thsiFinD("ths_ev2_usk",AP$6,$A111,"USD")/1000000</f>
        <v>131129.57650249999</v>
      </c>
      <c r="AQ111" s="44">
        <f>[1]!thsiFinD("ths_ev2_usk",AQ$6,$A111,"USD")/1000000</f>
        <v>540094.68609405996</v>
      </c>
      <c r="AR111" s="44">
        <f>[1]!thsiFinD("ths_ev2_usk",AR$6,$A111,"USD")/1000000</f>
        <v>356947.27411914</v>
      </c>
      <c r="AS111" s="44">
        <f>[1]!thsiFinD("ths_ev2_usk",AS$6,$A111,"USD")/1000000</f>
        <v>64066.8696528</v>
      </c>
      <c r="AT111" s="44">
        <f>[1]!thsiFinD("ths_ev2_usk",AT$6,$A111,"USD")/1000000</f>
        <v>140157.31958362</v>
      </c>
      <c r="AU111" s="44">
        <f>[1]!thsiFinD("ths_ev2_usk",AU$6,$A111,"USD")/1000000</f>
        <v>29595.432000000001</v>
      </c>
    </row>
    <row r="112" spans="1:47" x14ac:dyDescent="0.45">
      <c r="A112" s="3"/>
      <c r="B112" s="13"/>
      <c r="H112" s="23">
        <f>[1]!thsiFinD("ths_pe_ttm_uss",B$6,$A112,100)</f>
        <v>12.763687147016</v>
      </c>
      <c r="I112" s="23">
        <f>[1]!thsiFinD("ths_pe_ttm_uss",C$6,$A112,100)</f>
        <v>16.795168633995001</v>
      </c>
      <c r="J112" s="23">
        <f>[1]!thsiFinD("ths_pe_ttm_uss",D$6,$A112,100)</f>
        <v>24.856772722363999</v>
      </c>
      <c r="K112" s="23">
        <f>[1]!thsiFinD("ths_pe_ttm_uss",E$6,$A112,100)</f>
        <v>10.832345326004001</v>
      </c>
      <c r="L112" s="23">
        <f>[1]!thsiFinD("ths_pe_ttm_uss",F$6,$A112,100)</f>
        <v>62.896784969446998</v>
      </c>
      <c r="M112" s="23">
        <f>[1]!thsiFinD("ths_pe_ttm_uss",G$6,$A112,100)</f>
        <v>8.2686399411548006</v>
      </c>
      <c r="N112" s="26">
        <f>[1]!thsiFinD("ths_ev2_to_ebitda_usk",N$6,$A112)</f>
        <v>5.6348922049976</v>
      </c>
      <c r="O112" s="26">
        <f>[1]!thsiFinD("ths_ev2_to_ebitda_usk",O$6,$A112)</f>
        <v>7.3671711761407996</v>
      </c>
      <c r="P112" s="26">
        <f>[1]!thsiFinD("ths_ev2_to_ebitda_usk",P$6,$A112)</f>
        <v>7.9697078261841998</v>
      </c>
      <c r="Q112" s="26">
        <f>[1]!thsiFinD("ths_ev2_to_ebitda_usk",Q$6,$A112)</f>
        <v>5.1401532134787997</v>
      </c>
      <c r="R112" s="26">
        <f>[1]!thsiFinD("ths_ev2_to_ebitda_usk",R$6,$A112)</f>
        <v>4.9901135608509</v>
      </c>
      <c r="S112" s="26">
        <f>[1]!thsiFinD("ths_ev2_to_ebitda_usk",S$6,$A112)</f>
        <v>4.0375759890858998</v>
      </c>
      <c r="T112" s="27">
        <f>[1]!thsiFinD("ths_pb_mrq_usk",T$6,$A112)</f>
        <v>1.7390998028819</v>
      </c>
      <c r="U112" s="27">
        <f>[1]!thsiFinD("ths_pb_mrq_usk",U$6,$A112)</f>
        <v>1.9307021622348</v>
      </c>
      <c r="V112" s="27">
        <f>[1]!thsiFinD("ths_pb_mrq_usk",V$6,$A112)</f>
        <v>1.6717565257561999</v>
      </c>
      <c r="W112" s="27">
        <f>[1]!thsiFinD("ths_pb_mrq_usk",W$6,$A112)</f>
        <v>1.9779715916394001</v>
      </c>
      <c r="X112" s="27">
        <f>[1]!thsiFinD("ths_pb_mrq_usk",X$6,$A112)</f>
        <v>1.639264466445</v>
      </c>
      <c r="Y112" s="27">
        <f>[1]!thsiFinD("ths_pb_mrq_usk",Y$6,$A112)</f>
        <v>1.4646535504886</v>
      </c>
      <c r="Z112" s="28">
        <f>[1]!thsiFinD("ths_ps_ttm_uss",Z$6,$A112,100)</f>
        <v>1.8181574316022999</v>
      </c>
      <c r="AA112" s="28">
        <f>[1]!thsiFinD("ths_ps_ttm_uss",AA$6,$A112,100)</f>
        <v>1.5090944398602999</v>
      </c>
      <c r="AB112" s="28">
        <f>[1]!thsiFinD("ths_ps_ttm_uss",AB$6,$A112,100)</f>
        <v>1.6327026613257001</v>
      </c>
      <c r="AC112" s="28">
        <f>[1]!thsiFinD("ths_ps_ttm_uss",AC$6,$A112,100)</f>
        <v>2.6530346628636998</v>
      </c>
      <c r="AD112" s="28">
        <f>[1]!thsiFinD("ths_ps_ttm_uss",AD$6,$A112,100)</f>
        <v>0.49497042216553</v>
      </c>
      <c r="AE112" s="28">
        <f>[1]!thsiFinD("ths_ps_ttm_uss",AE$6,$A112,100)</f>
        <v>1.2869165426445</v>
      </c>
      <c r="AJ112" s="44">
        <f>[1]!thsiFinD("ths_right_value_usk",AJ$6,$A112,"USD")/1000000</f>
        <v>112907.5765025</v>
      </c>
      <c r="AK112" s="44">
        <f>[1]!thsiFinD("ths_right_value_usk",AK$6,$A112,"USD")/1000000</f>
        <v>503065.68609406002</v>
      </c>
      <c r="AL112" s="44">
        <f>[1]!thsiFinD("ths_right_value_usk",AL$6,$A112,"USD")/1000000</f>
        <v>317371.27411914</v>
      </c>
      <c r="AM112" s="44">
        <f>[1]!thsiFinD("ths_right_value_usk",AM$6,$A112,"USD")/1000000</f>
        <v>59902.8696528</v>
      </c>
      <c r="AN112" s="44">
        <f>[1]!thsiFinD("ths_right_value_usk",AN$6,$A112,"USD")/1000000</f>
        <v>95477.319583619988</v>
      </c>
      <c r="AO112" s="44">
        <f>[1]!thsiFinD("ths_right_value_usk",AO$6,$A112,"USD")/1000000</f>
        <v>22482.432000000001</v>
      </c>
      <c r="AP112" s="44">
        <f>[1]!thsiFinD("ths_ev2_usk",AP$6,$A112,"USD")/1000000</f>
        <v>131129.57650249999</v>
      </c>
      <c r="AQ112" s="44">
        <f>[1]!thsiFinD("ths_ev2_usk",AQ$6,$A112,"USD")/1000000</f>
        <v>540094.68609405996</v>
      </c>
      <c r="AR112" s="44">
        <f>[1]!thsiFinD("ths_ev2_usk",AR$6,$A112,"USD")/1000000</f>
        <v>356947.27411914</v>
      </c>
      <c r="AS112" s="44">
        <f>[1]!thsiFinD("ths_ev2_usk",AS$6,$A112,"USD")/1000000</f>
        <v>64066.8696528</v>
      </c>
      <c r="AT112" s="44">
        <f>[1]!thsiFinD("ths_ev2_usk",AT$6,$A112,"USD")/1000000</f>
        <v>140157.31958362</v>
      </c>
      <c r="AU112" s="44">
        <f>[1]!thsiFinD("ths_ev2_usk",AU$6,$A112,"USD")/1000000</f>
        <v>29595.432000000001</v>
      </c>
    </row>
    <row r="113" spans="1:47" x14ac:dyDescent="0.45">
      <c r="A113" s="3"/>
      <c r="B113" s="13"/>
      <c r="H113" s="23">
        <f>[1]!thsiFinD("ths_pe_ttm_uss",B$6,$A113,100)</f>
        <v>12.763687147016</v>
      </c>
      <c r="I113" s="23">
        <f>[1]!thsiFinD("ths_pe_ttm_uss",C$6,$A113,100)</f>
        <v>16.795168633995001</v>
      </c>
      <c r="J113" s="23">
        <f>[1]!thsiFinD("ths_pe_ttm_uss",D$6,$A113,100)</f>
        <v>24.856772722363999</v>
      </c>
      <c r="K113" s="23">
        <f>[1]!thsiFinD("ths_pe_ttm_uss",E$6,$A113,100)</f>
        <v>10.832345326004001</v>
      </c>
      <c r="L113" s="23">
        <f>[1]!thsiFinD("ths_pe_ttm_uss",F$6,$A113,100)</f>
        <v>62.896784969446998</v>
      </c>
      <c r="M113" s="23">
        <f>[1]!thsiFinD("ths_pe_ttm_uss",G$6,$A113,100)</f>
        <v>8.2686399411548006</v>
      </c>
      <c r="N113" s="26">
        <f>[1]!thsiFinD("ths_ev2_to_ebitda_usk",N$6,$A113)</f>
        <v>5.6348922049976</v>
      </c>
      <c r="O113" s="26">
        <f>[1]!thsiFinD("ths_ev2_to_ebitda_usk",O$6,$A113)</f>
        <v>7.3671711761407996</v>
      </c>
      <c r="P113" s="26">
        <f>[1]!thsiFinD("ths_ev2_to_ebitda_usk",P$6,$A113)</f>
        <v>7.9697078261841998</v>
      </c>
      <c r="Q113" s="26">
        <f>[1]!thsiFinD("ths_ev2_to_ebitda_usk",Q$6,$A113)</f>
        <v>5.1401532134787997</v>
      </c>
      <c r="R113" s="26">
        <f>[1]!thsiFinD("ths_ev2_to_ebitda_usk",R$6,$A113)</f>
        <v>4.9901135608509</v>
      </c>
      <c r="S113" s="26">
        <f>[1]!thsiFinD("ths_ev2_to_ebitda_usk",S$6,$A113)</f>
        <v>4.0375759890858998</v>
      </c>
      <c r="T113" s="27">
        <f>[1]!thsiFinD("ths_pb_mrq_usk",T$6,$A113)</f>
        <v>1.7390998028819</v>
      </c>
      <c r="U113" s="27">
        <f>[1]!thsiFinD("ths_pb_mrq_usk",U$6,$A113)</f>
        <v>1.9307021622348</v>
      </c>
      <c r="V113" s="27">
        <f>[1]!thsiFinD("ths_pb_mrq_usk",V$6,$A113)</f>
        <v>1.6717565257561999</v>
      </c>
      <c r="W113" s="27">
        <f>[1]!thsiFinD("ths_pb_mrq_usk",W$6,$A113)</f>
        <v>1.9779715916394001</v>
      </c>
      <c r="X113" s="27">
        <f>[1]!thsiFinD("ths_pb_mrq_usk",X$6,$A113)</f>
        <v>1.639264466445</v>
      </c>
      <c r="Y113" s="27">
        <f>[1]!thsiFinD("ths_pb_mrq_usk",Y$6,$A113)</f>
        <v>1.4646535504886</v>
      </c>
      <c r="Z113" s="28">
        <f>[1]!thsiFinD("ths_ps_ttm_uss",Z$6,$A113,100)</f>
        <v>1.8181574316022999</v>
      </c>
      <c r="AA113" s="28">
        <f>[1]!thsiFinD("ths_ps_ttm_uss",AA$6,$A113,100)</f>
        <v>1.5090944398602999</v>
      </c>
      <c r="AB113" s="28">
        <f>[1]!thsiFinD("ths_ps_ttm_uss",AB$6,$A113,100)</f>
        <v>1.6327026613257001</v>
      </c>
      <c r="AC113" s="28">
        <f>[1]!thsiFinD("ths_ps_ttm_uss",AC$6,$A113,100)</f>
        <v>2.6530346628636998</v>
      </c>
      <c r="AD113" s="28">
        <f>[1]!thsiFinD("ths_ps_ttm_uss",AD$6,$A113,100)</f>
        <v>0.49497042216553</v>
      </c>
      <c r="AE113" s="28">
        <f>[1]!thsiFinD("ths_ps_ttm_uss",AE$6,$A113,100)</f>
        <v>1.2869165426445</v>
      </c>
      <c r="AJ113" s="44">
        <f>[1]!thsiFinD("ths_right_value_usk",AJ$6,$A113,"USD")/1000000</f>
        <v>112907.5765025</v>
      </c>
      <c r="AK113" s="44">
        <f>[1]!thsiFinD("ths_right_value_usk",AK$6,$A113,"USD")/1000000</f>
        <v>503065.68609406002</v>
      </c>
      <c r="AL113" s="44">
        <f>[1]!thsiFinD("ths_right_value_usk",AL$6,$A113,"USD")/1000000</f>
        <v>317371.27411914</v>
      </c>
      <c r="AM113" s="44">
        <f>[1]!thsiFinD("ths_right_value_usk",AM$6,$A113,"USD")/1000000</f>
        <v>59902.8696528</v>
      </c>
      <c r="AN113" s="44">
        <f>[1]!thsiFinD("ths_right_value_usk",AN$6,$A113,"USD")/1000000</f>
        <v>95477.319583619988</v>
      </c>
      <c r="AO113" s="44">
        <f>[1]!thsiFinD("ths_right_value_usk",AO$6,$A113,"USD")/1000000</f>
        <v>22482.432000000001</v>
      </c>
      <c r="AP113" s="44">
        <f>[1]!thsiFinD("ths_ev2_usk",AP$6,$A113,"USD")/1000000</f>
        <v>131129.57650249999</v>
      </c>
      <c r="AQ113" s="44">
        <f>[1]!thsiFinD("ths_ev2_usk",AQ$6,$A113,"USD")/1000000</f>
        <v>540094.68609405996</v>
      </c>
      <c r="AR113" s="44">
        <f>[1]!thsiFinD("ths_ev2_usk",AR$6,$A113,"USD")/1000000</f>
        <v>356947.27411914</v>
      </c>
      <c r="AS113" s="44">
        <f>[1]!thsiFinD("ths_ev2_usk",AS$6,$A113,"USD")/1000000</f>
        <v>64066.8696528</v>
      </c>
      <c r="AT113" s="44">
        <f>[1]!thsiFinD("ths_ev2_usk",AT$6,$A113,"USD")/1000000</f>
        <v>140157.31958362</v>
      </c>
      <c r="AU113" s="44">
        <f>[1]!thsiFinD("ths_ev2_usk",AU$6,$A113,"USD")/1000000</f>
        <v>29595.432000000001</v>
      </c>
    </row>
    <row r="114" spans="1:47" x14ac:dyDescent="0.45">
      <c r="A114" s="3"/>
      <c r="B114" s="13"/>
      <c r="H114" s="23">
        <f>[1]!thsiFinD("ths_pe_ttm_uss",B$6,$A114,100)</f>
        <v>12.763687147016</v>
      </c>
      <c r="I114" s="23">
        <f>[1]!thsiFinD("ths_pe_ttm_uss",C$6,$A114,100)</f>
        <v>16.795168633995001</v>
      </c>
      <c r="J114" s="23">
        <f>[1]!thsiFinD("ths_pe_ttm_uss",D$6,$A114,100)</f>
        <v>24.856772722363999</v>
      </c>
      <c r="K114" s="23">
        <f>[1]!thsiFinD("ths_pe_ttm_uss",E$6,$A114,100)</f>
        <v>10.832345326004001</v>
      </c>
      <c r="L114" s="23">
        <f>[1]!thsiFinD("ths_pe_ttm_uss",F$6,$A114,100)</f>
        <v>62.896784969446998</v>
      </c>
      <c r="M114" s="23">
        <f>[1]!thsiFinD("ths_pe_ttm_uss",G$6,$A114,100)</f>
        <v>8.2686399411548006</v>
      </c>
      <c r="N114" s="26">
        <f>[1]!thsiFinD("ths_ev2_to_ebitda_usk",N$6,$A114)</f>
        <v>5.6348922049976</v>
      </c>
      <c r="O114" s="26">
        <f>[1]!thsiFinD("ths_ev2_to_ebitda_usk",O$6,$A114)</f>
        <v>7.3671711761407996</v>
      </c>
      <c r="P114" s="26">
        <f>[1]!thsiFinD("ths_ev2_to_ebitda_usk",P$6,$A114)</f>
        <v>7.9697078261841998</v>
      </c>
      <c r="Q114" s="26">
        <f>[1]!thsiFinD("ths_ev2_to_ebitda_usk",Q$6,$A114)</f>
        <v>5.1401532134787997</v>
      </c>
      <c r="R114" s="26">
        <f>[1]!thsiFinD("ths_ev2_to_ebitda_usk",R$6,$A114)</f>
        <v>4.9901135608509</v>
      </c>
      <c r="S114" s="26">
        <f>[1]!thsiFinD("ths_ev2_to_ebitda_usk",S$6,$A114)</f>
        <v>4.0375759890858998</v>
      </c>
      <c r="T114" s="27">
        <f>[1]!thsiFinD("ths_pb_mrq_usk",T$6,$A114)</f>
        <v>1.7390998028819</v>
      </c>
      <c r="U114" s="27">
        <f>[1]!thsiFinD("ths_pb_mrq_usk",U$6,$A114)</f>
        <v>1.9307021622348</v>
      </c>
      <c r="V114" s="27">
        <f>[1]!thsiFinD("ths_pb_mrq_usk",V$6,$A114)</f>
        <v>1.6717565257561999</v>
      </c>
      <c r="W114" s="27">
        <f>[1]!thsiFinD("ths_pb_mrq_usk",W$6,$A114)</f>
        <v>1.9779715916394001</v>
      </c>
      <c r="X114" s="27">
        <f>[1]!thsiFinD("ths_pb_mrq_usk",X$6,$A114)</f>
        <v>1.639264466445</v>
      </c>
      <c r="Y114" s="27">
        <f>[1]!thsiFinD("ths_pb_mrq_usk",Y$6,$A114)</f>
        <v>1.4646535504886</v>
      </c>
      <c r="Z114" s="28">
        <f>[1]!thsiFinD("ths_ps_ttm_uss",Z$6,$A114,100)</f>
        <v>1.8181574316022999</v>
      </c>
      <c r="AA114" s="28">
        <f>[1]!thsiFinD("ths_ps_ttm_uss",AA$6,$A114,100)</f>
        <v>1.5090944398602999</v>
      </c>
      <c r="AB114" s="28">
        <f>[1]!thsiFinD("ths_ps_ttm_uss",AB$6,$A114,100)</f>
        <v>1.6327026613257001</v>
      </c>
      <c r="AC114" s="28">
        <f>[1]!thsiFinD("ths_ps_ttm_uss",AC$6,$A114,100)</f>
        <v>2.6530346628636998</v>
      </c>
      <c r="AD114" s="28">
        <f>[1]!thsiFinD("ths_ps_ttm_uss",AD$6,$A114,100)</f>
        <v>0.49497042216553</v>
      </c>
      <c r="AE114" s="28">
        <f>[1]!thsiFinD("ths_ps_ttm_uss",AE$6,$A114,100)</f>
        <v>1.2869165426445</v>
      </c>
      <c r="AJ114" s="44">
        <f>[1]!thsiFinD("ths_right_value_usk",AJ$6,$A114,"USD")/1000000</f>
        <v>112907.5765025</v>
      </c>
      <c r="AK114" s="44">
        <f>[1]!thsiFinD("ths_right_value_usk",AK$6,$A114,"USD")/1000000</f>
        <v>503065.68609406002</v>
      </c>
      <c r="AL114" s="44">
        <f>[1]!thsiFinD("ths_right_value_usk",AL$6,$A114,"USD")/1000000</f>
        <v>317371.27411914</v>
      </c>
      <c r="AM114" s="44">
        <f>[1]!thsiFinD("ths_right_value_usk",AM$6,$A114,"USD")/1000000</f>
        <v>59902.8696528</v>
      </c>
      <c r="AN114" s="44">
        <f>[1]!thsiFinD("ths_right_value_usk",AN$6,$A114,"USD")/1000000</f>
        <v>95477.319583619988</v>
      </c>
      <c r="AO114" s="44">
        <f>[1]!thsiFinD("ths_right_value_usk",AO$6,$A114,"USD")/1000000</f>
        <v>22482.432000000001</v>
      </c>
      <c r="AP114" s="44">
        <f>[1]!thsiFinD("ths_ev2_usk",AP$6,$A114,"USD")/1000000</f>
        <v>131129.57650249999</v>
      </c>
      <c r="AQ114" s="44">
        <f>[1]!thsiFinD("ths_ev2_usk",AQ$6,$A114,"USD")/1000000</f>
        <v>540094.68609405996</v>
      </c>
      <c r="AR114" s="44">
        <f>[1]!thsiFinD("ths_ev2_usk",AR$6,$A114,"USD")/1000000</f>
        <v>356947.27411914</v>
      </c>
      <c r="AS114" s="44">
        <f>[1]!thsiFinD("ths_ev2_usk",AS$6,$A114,"USD")/1000000</f>
        <v>64066.8696528</v>
      </c>
      <c r="AT114" s="44">
        <f>[1]!thsiFinD("ths_ev2_usk",AT$6,$A114,"USD")/1000000</f>
        <v>140157.31958362</v>
      </c>
      <c r="AU114" s="44">
        <f>[1]!thsiFinD("ths_ev2_usk",AU$6,$A114,"USD")/1000000</f>
        <v>29595.432000000001</v>
      </c>
    </row>
    <row r="115" spans="1:47" x14ac:dyDescent="0.45">
      <c r="A115" s="3"/>
      <c r="B115" s="13"/>
      <c r="H115" s="23">
        <f>[1]!thsiFinD("ths_pe_ttm_uss",B$6,$A115,100)</f>
        <v>12.763687147016</v>
      </c>
      <c r="I115" s="23">
        <f>[1]!thsiFinD("ths_pe_ttm_uss",C$6,$A115,100)</f>
        <v>16.795168633995001</v>
      </c>
      <c r="J115" s="23">
        <f>[1]!thsiFinD("ths_pe_ttm_uss",D$6,$A115,100)</f>
        <v>24.856772722363999</v>
      </c>
      <c r="K115" s="23">
        <f>[1]!thsiFinD("ths_pe_ttm_uss",E$6,$A115,100)</f>
        <v>10.832345326004001</v>
      </c>
      <c r="L115" s="23">
        <f>[1]!thsiFinD("ths_pe_ttm_uss",F$6,$A115,100)</f>
        <v>62.896784969446998</v>
      </c>
      <c r="M115" s="23">
        <f>[1]!thsiFinD("ths_pe_ttm_uss",G$6,$A115,100)</f>
        <v>8.2686399411548006</v>
      </c>
      <c r="N115" s="26">
        <f>[1]!thsiFinD("ths_ev2_to_ebitda_usk",N$6,$A115)</f>
        <v>5.6348922049976</v>
      </c>
      <c r="O115" s="26">
        <f>[1]!thsiFinD("ths_ev2_to_ebitda_usk",O$6,$A115)</f>
        <v>7.3671711761407996</v>
      </c>
      <c r="P115" s="26">
        <f>[1]!thsiFinD("ths_ev2_to_ebitda_usk",P$6,$A115)</f>
        <v>7.9697078261841998</v>
      </c>
      <c r="Q115" s="26">
        <f>[1]!thsiFinD("ths_ev2_to_ebitda_usk",Q$6,$A115)</f>
        <v>5.1401532134787997</v>
      </c>
      <c r="R115" s="26">
        <f>[1]!thsiFinD("ths_ev2_to_ebitda_usk",R$6,$A115)</f>
        <v>4.9901135608509</v>
      </c>
      <c r="S115" s="26">
        <f>[1]!thsiFinD("ths_ev2_to_ebitda_usk",S$6,$A115)</f>
        <v>4.0375759890858998</v>
      </c>
      <c r="T115" s="27">
        <f>[1]!thsiFinD("ths_pb_mrq_usk",T$6,$A115)</f>
        <v>1.7390998028819</v>
      </c>
      <c r="U115" s="27">
        <f>[1]!thsiFinD("ths_pb_mrq_usk",U$6,$A115)</f>
        <v>1.9307021622348</v>
      </c>
      <c r="V115" s="27">
        <f>[1]!thsiFinD("ths_pb_mrq_usk",V$6,$A115)</f>
        <v>1.6717565257561999</v>
      </c>
      <c r="W115" s="27">
        <f>[1]!thsiFinD("ths_pb_mrq_usk",W$6,$A115)</f>
        <v>1.9779715916394001</v>
      </c>
      <c r="X115" s="27">
        <f>[1]!thsiFinD("ths_pb_mrq_usk",X$6,$A115)</f>
        <v>1.639264466445</v>
      </c>
      <c r="Y115" s="27">
        <f>[1]!thsiFinD("ths_pb_mrq_usk",Y$6,$A115)</f>
        <v>1.4646535504886</v>
      </c>
      <c r="Z115" s="28">
        <f>[1]!thsiFinD("ths_ps_ttm_uss",Z$6,$A115,100)</f>
        <v>1.8181574316022999</v>
      </c>
      <c r="AA115" s="28">
        <f>[1]!thsiFinD("ths_ps_ttm_uss",AA$6,$A115,100)</f>
        <v>1.5090944398602999</v>
      </c>
      <c r="AB115" s="28">
        <f>[1]!thsiFinD("ths_ps_ttm_uss",AB$6,$A115,100)</f>
        <v>1.6327026613257001</v>
      </c>
      <c r="AC115" s="28">
        <f>[1]!thsiFinD("ths_ps_ttm_uss",AC$6,$A115,100)</f>
        <v>2.6530346628636998</v>
      </c>
      <c r="AD115" s="28">
        <f>[1]!thsiFinD("ths_ps_ttm_uss",AD$6,$A115,100)</f>
        <v>0.49497042216553</v>
      </c>
      <c r="AE115" s="28">
        <f>[1]!thsiFinD("ths_ps_ttm_uss",AE$6,$A115,100)</f>
        <v>1.2869165426445</v>
      </c>
      <c r="AJ115" s="44">
        <f>[1]!thsiFinD("ths_right_value_usk",AJ$6,$A115,"USD")/1000000</f>
        <v>112907.5765025</v>
      </c>
      <c r="AK115" s="44">
        <f>[1]!thsiFinD("ths_right_value_usk",AK$6,$A115,"USD")/1000000</f>
        <v>503065.68609406002</v>
      </c>
      <c r="AL115" s="44">
        <f>[1]!thsiFinD("ths_right_value_usk",AL$6,$A115,"USD")/1000000</f>
        <v>317371.27411914</v>
      </c>
      <c r="AM115" s="44">
        <f>[1]!thsiFinD("ths_right_value_usk",AM$6,$A115,"USD")/1000000</f>
        <v>59902.8696528</v>
      </c>
      <c r="AN115" s="44">
        <f>[1]!thsiFinD("ths_right_value_usk",AN$6,$A115,"USD")/1000000</f>
        <v>95477.319583619988</v>
      </c>
      <c r="AO115" s="44">
        <f>[1]!thsiFinD("ths_right_value_usk",AO$6,$A115,"USD")/1000000</f>
        <v>22482.432000000001</v>
      </c>
      <c r="AP115" s="44">
        <f>[1]!thsiFinD("ths_ev2_usk",AP$6,$A115,"USD")/1000000</f>
        <v>131129.57650249999</v>
      </c>
      <c r="AQ115" s="44">
        <f>[1]!thsiFinD("ths_ev2_usk",AQ$6,$A115,"USD")/1000000</f>
        <v>540094.68609405996</v>
      </c>
      <c r="AR115" s="44">
        <f>[1]!thsiFinD("ths_ev2_usk",AR$6,$A115,"USD")/1000000</f>
        <v>356947.27411914</v>
      </c>
      <c r="AS115" s="44">
        <f>[1]!thsiFinD("ths_ev2_usk",AS$6,$A115,"USD")/1000000</f>
        <v>64066.8696528</v>
      </c>
      <c r="AT115" s="44">
        <f>[1]!thsiFinD("ths_ev2_usk",AT$6,$A115,"USD")/1000000</f>
        <v>140157.31958362</v>
      </c>
      <c r="AU115" s="44">
        <f>[1]!thsiFinD("ths_ev2_usk",AU$6,$A115,"USD")/1000000</f>
        <v>29595.432000000001</v>
      </c>
    </row>
    <row r="116" spans="1:47" x14ac:dyDescent="0.45">
      <c r="A116" s="3"/>
      <c r="B116" s="13"/>
      <c r="H116" s="23">
        <f>[1]!thsiFinD("ths_pe_ttm_uss",B$6,$A116,100)</f>
        <v>12.763687147016</v>
      </c>
      <c r="I116" s="23">
        <f>[1]!thsiFinD("ths_pe_ttm_uss",C$6,$A116,100)</f>
        <v>16.795168633995001</v>
      </c>
      <c r="J116" s="23">
        <f>[1]!thsiFinD("ths_pe_ttm_uss",D$6,$A116,100)</f>
        <v>24.856772722363999</v>
      </c>
      <c r="K116" s="23">
        <f>[1]!thsiFinD("ths_pe_ttm_uss",E$6,$A116,100)</f>
        <v>10.832345326004001</v>
      </c>
      <c r="L116" s="23">
        <f>[1]!thsiFinD("ths_pe_ttm_uss",F$6,$A116,100)</f>
        <v>62.896784969446998</v>
      </c>
      <c r="M116" s="23">
        <f>[1]!thsiFinD("ths_pe_ttm_uss",G$6,$A116,100)</f>
        <v>8.2686399411548006</v>
      </c>
      <c r="N116" s="26">
        <f>[1]!thsiFinD("ths_ev2_to_ebitda_usk",N$6,$A116)</f>
        <v>5.6348922049976</v>
      </c>
      <c r="O116" s="26">
        <f>[1]!thsiFinD("ths_ev2_to_ebitda_usk",O$6,$A116)</f>
        <v>7.3671711761407996</v>
      </c>
      <c r="P116" s="26">
        <f>[1]!thsiFinD("ths_ev2_to_ebitda_usk",P$6,$A116)</f>
        <v>7.9697078261841998</v>
      </c>
      <c r="Q116" s="26">
        <f>[1]!thsiFinD("ths_ev2_to_ebitda_usk",Q$6,$A116)</f>
        <v>5.1401532134787997</v>
      </c>
      <c r="R116" s="26">
        <f>[1]!thsiFinD("ths_ev2_to_ebitda_usk",R$6,$A116)</f>
        <v>4.9901135608509</v>
      </c>
      <c r="S116" s="26">
        <f>[1]!thsiFinD("ths_ev2_to_ebitda_usk",S$6,$A116)</f>
        <v>4.0375759890858998</v>
      </c>
      <c r="T116" s="27">
        <f>[1]!thsiFinD("ths_pb_mrq_usk",T$6,$A116)</f>
        <v>1.7390998028819</v>
      </c>
      <c r="U116" s="27">
        <f>[1]!thsiFinD("ths_pb_mrq_usk",U$6,$A116)</f>
        <v>1.9307021622348</v>
      </c>
      <c r="V116" s="27">
        <f>[1]!thsiFinD("ths_pb_mrq_usk",V$6,$A116)</f>
        <v>1.6717565257561999</v>
      </c>
      <c r="W116" s="27">
        <f>[1]!thsiFinD("ths_pb_mrq_usk",W$6,$A116)</f>
        <v>1.9779715916394001</v>
      </c>
      <c r="X116" s="27">
        <f>[1]!thsiFinD("ths_pb_mrq_usk",X$6,$A116)</f>
        <v>1.639264466445</v>
      </c>
      <c r="Y116" s="27">
        <f>[1]!thsiFinD("ths_pb_mrq_usk",Y$6,$A116)</f>
        <v>1.4646535504886</v>
      </c>
      <c r="Z116" s="28">
        <f>[1]!thsiFinD("ths_ps_ttm_uss",Z$6,$A116,100)</f>
        <v>1.8181574316022999</v>
      </c>
      <c r="AA116" s="28">
        <f>[1]!thsiFinD("ths_ps_ttm_uss",AA$6,$A116,100)</f>
        <v>1.5090944398602999</v>
      </c>
      <c r="AB116" s="28">
        <f>[1]!thsiFinD("ths_ps_ttm_uss",AB$6,$A116,100)</f>
        <v>1.6327026613257001</v>
      </c>
      <c r="AC116" s="28">
        <f>[1]!thsiFinD("ths_ps_ttm_uss",AC$6,$A116,100)</f>
        <v>2.6530346628636998</v>
      </c>
      <c r="AD116" s="28">
        <f>[1]!thsiFinD("ths_ps_ttm_uss",AD$6,$A116,100)</f>
        <v>0.49497042216553</v>
      </c>
      <c r="AE116" s="28">
        <f>[1]!thsiFinD("ths_ps_ttm_uss",AE$6,$A116,100)</f>
        <v>1.2869165426445</v>
      </c>
      <c r="AJ116" s="44">
        <f>[1]!thsiFinD("ths_right_value_usk",AJ$6,$A116,"USD")/1000000</f>
        <v>112907.5765025</v>
      </c>
      <c r="AK116" s="44">
        <f>[1]!thsiFinD("ths_right_value_usk",AK$6,$A116,"USD")/1000000</f>
        <v>503065.68609406002</v>
      </c>
      <c r="AL116" s="44">
        <f>[1]!thsiFinD("ths_right_value_usk",AL$6,$A116,"USD")/1000000</f>
        <v>317371.27411914</v>
      </c>
      <c r="AM116" s="44">
        <f>[1]!thsiFinD("ths_right_value_usk",AM$6,$A116,"USD")/1000000</f>
        <v>59902.8696528</v>
      </c>
      <c r="AN116" s="44">
        <f>[1]!thsiFinD("ths_right_value_usk",AN$6,$A116,"USD")/1000000</f>
        <v>95477.319583619988</v>
      </c>
      <c r="AO116" s="44">
        <f>[1]!thsiFinD("ths_right_value_usk",AO$6,$A116,"USD")/1000000</f>
        <v>22482.432000000001</v>
      </c>
      <c r="AP116" s="44">
        <f>[1]!thsiFinD("ths_ev2_usk",AP$6,$A116,"USD")/1000000</f>
        <v>131129.57650249999</v>
      </c>
      <c r="AQ116" s="44">
        <f>[1]!thsiFinD("ths_ev2_usk",AQ$6,$A116,"USD")/1000000</f>
        <v>540094.68609405996</v>
      </c>
      <c r="AR116" s="44">
        <f>[1]!thsiFinD("ths_ev2_usk",AR$6,$A116,"USD")/1000000</f>
        <v>356947.27411914</v>
      </c>
      <c r="AS116" s="44">
        <f>[1]!thsiFinD("ths_ev2_usk",AS$6,$A116,"USD")/1000000</f>
        <v>64066.8696528</v>
      </c>
      <c r="AT116" s="44">
        <f>[1]!thsiFinD("ths_ev2_usk",AT$6,$A116,"USD")/1000000</f>
        <v>140157.31958362</v>
      </c>
      <c r="AU116" s="44">
        <f>[1]!thsiFinD("ths_ev2_usk",AU$6,$A116,"USD")/1000000</f>
        <v>29595.432000000001</v>
      </c>
    </row>
    <row r="117" spans="1:47" x14ac:dyDescent="0.45">
      <c r="A117" s="3"/>
      <c r="B117" s="13"/>
      <c r="H117" s="23">
        <f>[1]!thsiFinD("ths_pe_ttm_uss",B$6,$A117,100)</f>
        <v>12.763687147016</v>
      </c>
      <c r="I117" s="23">
        <f>[1]!thsiFinD("ths_pe_ttm_uss",C$6,$A117,100)</f>
        <v>16.795168633995001</v>
      </c>
      <c r="J117" s="23">
        <f>[1]!thsiFinD("ths_pe_ttm_uss",D$6,$A117,100)</f>
        <v>24.856772722363999</v>
      </c>
      <c r="K117" s="23">
        <f>[1]!thsiFinD("ths_pe_ttm_uss",E$6,$A117,100)</f>
        <v>10.832345326004001</v>
      </c>
      <c r="L117" s="23">
        <f>[1]!thsiFinD("ths_pe_ttm_uss",F$6,$A117,100)</f>
        <v>62.896784969446998</v>
      </c>
      <c r="M117" s="23">
        <f>[1]!thsiFinD("ths_pe_ttm_uss",G$6,$A117,100)</f>
        <v>8.2686399411548006</v>
      </c>
      <c r="N117" s="26">
        <f>[1]!thsiFinD("ths_ev2_to_ebitda_usk",N$6,$A117)</f>
        <v>5.6348922049976</v>
      </c>
      <c r="O117" s="26">
        <f>[1]!thsiFinD("ths_ev2_to_ebitda_usk",O$6,$A117)</f>
        <v>7.3671711761407996</v>
      </c>
      <c r="P117" s="26">
        <f>[1]!thsiFinD("ths_ev2_to_ebitda_usk",P$6,$A117)</f>
        <v>7.9697078261841998</v>
      </c>
      <c r="Q117" s="26">
        <f>[1]!thsiFinD("ths_ev2_to_ebitda_usk",Q$6,$A117)</f>
        <v>5.1401532134787997</v>
      </c>
      <c r="R117" s="26">
        <f>[1]!thsiFinD("ths_ev2_to_ebitda_usk",R$6,$A117)</f>
        <v>4.9901135608509</v>
      </c>
      <c r="S117" s="26">
        <f>[1]!thsiFinD("ths_ev2_to_ebitda_usk",S$6,$A117)</f>
        <v>4.0375759890858998</v>
      </c>
      <c r="T117" s="27">
        <f>[1]!thsiFinD("ths_pb_mrq_usk",T$6,$A117)</f>
        <v>1.7390998028819</v>
      </c>
      <c r="U117" s="27">
        <f>[1]!thsiFinD("ths_pb_mrq_usk",U$6,$A117)</f>
        <v>1.9307021622348</v>
      </c>
      <c r="V117" s="27">
        <f>[1]!thsiFinD("ths_pb_mrq_usk",V$6,$A117)</f>
        <v>1.6717565257561999</v>
      </c>
      <c r="W117" s="27">
        <f>[1]!thsiFinD("ths_pb_mrq_usk",W$6,$A117)</f>
        <v>1.9779715916394001</v>
      </c>
      <c r="X117" s="27">
        <f>[1]!thsiFinD("ths_pb_mrq_usk",X$6,$A117)</f>
        <v>1.639264466445</v>
      </c>
      <c r="Y117" s="27">
        <f>[1]!thsiFinD("ths_pb_mrq_usk",Y$6,$A117)</f>
        <v>1.4646535504886</v>
      </c>
      <c r="Z117" s="28">
        <f>[1]!thsiFinD("ths_ps_ttm_uss",Z$6,$A117,100)</f>
        <v>1.8181574316022999</v>
      </c>
      <c r="AA117" s="28">
        <f>[1]!thsiFinD("ths_ps_ttm_uss",AA$6,$A117,100)</f>
        <v>1.5090944398602999</v>
      </c>
      <c r="AB117" s="28">
        <f>[1]!thsiFinD("ths_ps_ttm_uss",AB$6,$A117,100)</f>
        <v>1.6327026613257001</v>
      </c>
      <c r="AC117" s="28">
        <f>[1]!thsiFinD("ths_ps_ttm_uss",AC$6,$A117,100)</f>
        <v>2.6530346628636998</v>
      </c>
      <c r="AD117" s="28">
        <f>[1]!thsiFinD("ths_ps_ttm_uss",AD$6,$A117,100)</f>
        <v>0.49497042216553</v>
      </c>
      <c r="AE117" s="28">
        <f>[1]!thsiFinD("ths_ps_ttm_uss",AE$6,$A117,100)</f>
        <v>1.2869165426445</v>
      </c>
      <c r="AJ117" s="44">
        <f>[1]!thsiFinD("ths_right_value_usk",AJ$6,$A117,"USD")/1000000</f>
        <v>112907.5765025</v>
      </c>
      <c r="AK117" s="44">
        <f>[1]!thsiFinD("ths_right_value_usk",AK$6,$A117,"USD")/1000000</f>
        <v>503065.68609406002</v>
      </c>
      <c r="AL117" s="44">
        <f>[1]!thsiFinD("ths_right_value_usk",AL$6,$A117,"USD")/1000000</f>
        <v>317371.27411914</v>
      </c>
      <c r="AM117" s="44">
        <f>[1]!thsiFinD("ths_right_value_usk",AM$6,$A117,"USD")/1000000</f>
        <v>59902.8696528</v>
      </c>
      <c r="AN117" s="44">
        <f>[1]!thsiFinD("ths_right_value_usk",AN$6,$A117,"USD")/1000000</f>
        <v>95477.319583619988</v>
      </c>
      <c r="AO117" s="44">
        <f>[1]!thsiFinD("ths_right_value_usk",AO$6,$A117,"USD")/1000000</f>
        <v>22482.432000000001</v>
      </c>
      <c r="AP117" s="44">
        <f>[1]!thsiFinD("ths_ev2_usk",AP$6,$A117,"USD")/1000000</f>
        <v>131129.57650249999</v>
      </c>
      <c r="AQ117" s="44">
        <f>[1]!thsiFinD("ths_ev2_usk",AQ$6,$A117,"USD")/1000000</f>
        <v>540094.68609405996</v>
      </c>
      <c r="AR117" s="44">
        <f>[1]!thsiFinD("ths_ev2_usk",AR$6,$A117,"USD")/1000000</f>
        <v>356947.27411914</v>
      </c>
      <c r="AS117" s="44">
        <f>[1]!thsiFinD("ths_ev2_usk",AS$6,$A117,"USD")/1000000</f>
        <v>64066.8696528</v>
      </c>
      <c r="AT117" s="44">
        <f>[1]!thsiFinD("ths_ev2_usk",AT$6,$A117,"USD")/1000000</f>
        <v>140157.31958362</v>
      </c>
      <c r="AU117" s="44">
        <f>[1]!thsiFinD("ths_ev2_usk",AU$6,$A117,"USD")/1000000</f>
        <v>29595.432000000001</v>
      </c>
    </row>
    <row r="118" spans="1:47" x14ac:dyDescent="0.45">
      <c r="A118" s="3"/>
      <c r="B118" s="13"/>
      <c r="H118" s="23">
        <f>[1]!thsiFinD("ths_pe_ttm_uss",B$6,$A118,100)</f>
        <v>12.763687147016</v>
      </c>
      <c r="I118" s="23">
        <f>[1]!thsiFinD("ths_pe_ttm_uss",C$6,$A118,100)</f>
        <v>16.795168633995001</v>
      </c>
      <c r="J118" s="23">
        <f>[1]!thsiFinD("ths_pe_ttm_uss",D$6,$A118,100)</f>
        <v>24.856772722363999</v>
      </c>
      <c r="K118" s="23">
        <f>[1]!thsiFinD("ths_pe_ttm_uss",E$6,$A118,100)</f>
        <v>10.832345326004001</v>
      </c>
      <c r="L118" s="23">
        <f>[1]!thsiFinD("ths_pe_ttm_uss",F$6,$A118,100)</f>
        <v>62.896784969446998</v>
      </c>
      <c r="M118" s="23">
        <f>[1]!thsiFinD("ths_pe_ttm_uss",G$6,$A118,100)</f>
        <v>8.2686399411548006</v>
      </c>
      <c r="N118" s="26">
        <f>[1]!thsiFinD("ths_ev2_to_ebitda_usk",N$6,$A118)</f>
        <v>5.6348922049976</v>
      </c>
      <c r="O118" s="26">
        <f>[1]!thsiFinD("ths_ev2_to_ebitda_usk",O$6,$A118)</f>
        <v>7.3671711761407996</v>
      </c>
      <c r="P118" s="26">
        <f>[1]!thsiFinD("ths_ev2_to_ebitda_usk",P$6,$A118)</f>
        <v>7.9697078261841998</v>
      </c>
      <c r="Q118" s="26">
        <f>[1]!thsiFinD("ths_ev2_to_ebitda_usk",Q$6,$A118)</f>
        <v>5.1401532134787997</v>
      </c>
      <c r="R118" s="26">
        <f>[1]!thsiFinD("ths_ev2_to_ebitda_usk",R$6,$A118)</f>
        <v>4.9901135608509</v>
      </c>
      <c r="S118" s="26">
        <f>[1]!thsiFinD("ths_ev2_to_ebitda_usk",S$6,$A118)</f>
        <v>4.0375759890858998</v>
      </c>
      <c r="T118" s="27">
        <f>[1]!thsiFinD("ths_pb_mrq_usk",T$6,$A118)</f>
        <v>1.7390998028819</v>
      </c>
      <c r="U118" s="27">
        <f>[1]!thsiFinD("ths_pb_mrq_usk",U$6,$A118)</f>
        <v>1.9307021622348</v>
      </c>
      <c r="V118" s="27">
        <f>[1]!thsiFinD("ths_pb_mrq_usk",V$6,$A118)</f>
        <v>1.6717565257561999</v>
      </c>
      <c r="W118" s="27">
        <f>[1]!thsiFinD("ths_pb_mrq_usk",W$6,$A118)</f>
        <v>1.9779715916394001</v>
      </c>
      <c r="X118" s="27">
        <f>[1]!thsiFinD("ths_pb_mrq_usk",X$6,$A118)</f>
        <v>1.639264466445</v>
      </c>
      <c r="Y118" s="27">
        <f>[1]!thsiFinD("ths_pb_mrq_usk",Y$6,$A118)</f>
        <v>1.4646535504886</v>
      </c>
      <c r="Z118" s="28">
        <f>[1]!thsiFinD("ths_ps_ttm_uss",Z$6,$A118,100)</f>
        <v>1.8181574316022999</v>
      </c>
      <c r="AA118" s="28">
        <f>[1]!thsiFinD("ths_ps_ttm_uss",AA$6,$A118,100)</f>
        <v>1.5090944398602999</v>
      </c>
      <c r="AB118" s="28">
        <f>[1]!thsiFinD("ths_ps_ttm_uss",AB$6,$A118,100)</f>
        <v>1.6327026613257001</v>
      </c>
      <c r="AC118" s="28">
        <f>[1]!thsiFinD("ths_ps_ttm_uss",AC$6,$A118,100)</f>
        <v>2.6530346628636998</v>
      </c>
      <c r="AD118" s="28">
        <f>[1]!thsiFinD("ths_ps_ttm_uss",AD$6,$A118,100)</f>
        <v>0.49497042216553</v>
      </c>
      <c r="AE118" s="28">
        <f>[1]!thsiFinD("ths_ps_ttm_uss",AE$6,$A118,100)</f>
        <v>1.2869165426445</v>
      </c>
      <c r="AJ118" s="44">
        <f>[1]!thsiFinD("ths_right_value_usk",AJ$6,$A118,"USD")/1000000</f>
        <v>112907.5765025</v>
      </c>
      <c r="AK118" s="44">
        <f>[1]!thsiFinD("ths_right_value_usk",AK$6,$A118,"USD")/1000000</f>
        <v>503065.68609406002</v>
      </c>
      <c r="AL118" s="44">
        <f>[1]!thsiFinD("ths_right_value_usk",AL$6,$A118,"USD")/1000000</f>
        <v>317371.27411914</v>
      </c>
      <c r="AM118" s="44">
        <f>[1]!thsiFinD("ths_right_value_usk",AM$6,$A118,"USD")/1000000</f>
        <v>59902.8696528</v>
      </c>
      <c r="AN118" s="44">
        <f>[1]!thsiFinD("ths_right_value_usk",AN$6,$A118,"USD")/1000000</f>
        <v>95477.319583619988</v>
      </c>
      <c r="AO118" s="44">
        <f>[1]!thsiFinD("ths_right_value_usk",AO$6,$A118,"USD")/1000000</f>
        <v>22482.432000000001</v>
      </c>
      <c r="AP118" s="44">
        <f>[1]!thsiFinD("ths_ev2_usk",AP$6,$A118,"USD")/1000000</f>
        <v>131129.57650249999</v>
      </c>
      <c r="AQ118" s="44">
        <f>[1]!thsiFinD("ths_ev2_usk",AQ$6,$A118,"USD")/1000000</f>
        <v>540094.68609405996</v>
      </c>
      <c r="AR118" s="44">
        <f>[1]!thsiFinD("ths_ev2_usk",AR$6,$A118,"USD")/1000000</f>
        <v>356947.27411914</v>
      </c>
      <c r="AS118" s="44">
        <f>[1]!thsiFinD("ths_ev2_usk",AS$6,$A118,"USD")/1000000</f>
        <v>64066.8696528</v>
      </c>
      <c r="AT118" s="44">
        <f>[1]!thsiFinD("ths_ev2_usk",AT$6,$A118,"USD")/1000000</f>
        <v>140157.31958362</v>
      </c>
      <c r="AU118" s="44">
        <f>[1]!thsiFinD("ths_ev2_usk",AU$6,$A118,"USD")/1000000</f>
        <v>29595.432000000001</v>
      </c>
    </row>
    <row r="119" spans="1:47" x14ac:dyDescent="0.45">
      <c r="A119" s="3"/>
      <c r="B119" s="13"/>
      <c r="H119" s="23">
        <f>[1]!thsiFinD("ths_pe_ttm_uss",B$6,$A119,100)</f>
        <v>12.763687147016</v>
      </c>
      <c r="I119" s="23">
        <f>[1]!thsiFinD("ths_pe_ttm_uss",C$6,$A119,100)</f>
        <v>16.795168633995001</v>
      </c>
      <c r="J119" s="23">
        <f>[1]!thsiFinD("ths_pe_ttm_uss",D$6,$A119,100)</f>
        <v>24.856772722363999</v>
      </c>
      <c r="K119" s="23">
        <f>[1]!thsiFinD("ths_pe_ttm_uss",E$6,$A119,100)</f>
        <v>10.832345326004001</v>
      </c>
      <c r="L119" s="23">
        <f>[1]!thsiFinD("ths_pe_ttm_uss",F$6,$A119,100)</f>
        <v>62.896784969446998</v>
      </c>
      <c r="M119" s="23">
        <f>[1]!thsiFinD("ths_pe_ttm_uss",G$6,$A119,100)</f>
        <v>8.2686399411548006</v>
      </c>
      <c r="N119" s="26">
        <f>[1]!thsiFinD("ths_ev2_to_ebitda_usk",N$6,$A119)</f>
        <v>5.6348922049976</v>
      </c>
      <c r="O119" s="26">
        <f>[1]!thsiFinD("ths_ev2_to_ebitda_usk",O$6,$A119)</f>
        <v>7.3671711761407996</v>
      </c>
      <c r="P119" s="26">
        <f>[1]!thsiFinD("ths_ev2_to_ebitda_usk",P$6,$A119)</f>
        <v>7.9697078261841998</v>
      </c>
      <c r="Q119" s="26">
        <f>[1]!thsiFinD("ths_ev2_to_ebitda_usk",Q$6,$A119)</f>
        <v>5.1401532134787997</v>
      </c>
      <c r="R119" s="26">
        <f>[1]!thsiFinD("ths_ev2_to_ebitda_usk",R$6,$A119)</f>
        <v>4.9901135608509</v>
      </c>
      <c r="S119" s="26">
        <f>[1]!thsiFinD("ths_ev2_to_ebitda_usk",S$6,$A119)</f>
        <v>4.0375759890858998</v>
      </c>
      <c r="T119" s="27">
        <f>[1]!thsiFinD("ths_pb_mrq_usk",T$6,$A119)</f>
        <v>1.7390998028819</v>
      </c>
      <c r="U119" s="27">
        <f>[1]!thsiFinD("ths_pb_mrq_usk",U$6,$A119)</f>
        <v>1.9307021622348</v>
      </c>
      <c r="V119" s="27">
        <f>[1]!thsiFinD("ths_pb_mrq_usk",V$6,$A119)</f>
        <v>1.6717565257561999</v>
      </c>
      <c r="W119" s="27">
        <f>[1]!thsiFinD("ths_pb_mrq_usk",W$6,$A119)</f>
        <v>1.9779715916394001</v>
      </c>
      <c r="X119" s="27">
        <f>[1]!thsiFinD("ths_pb_mrq_usk",X$6,$A119)</f>
        <v>1.639264466445</v>
      </c>
      <c r="Y119" s="27">
        <f>[1]!thsiFinD("ths_pb_mrq_usk",Y$6,$A119)</f>
        <v>1.4646535504886</v>
      </c>
      <c r="Z119" s="28">
        <f>[1]!thsiFinD("ths_ps_ttm_uss",Z$6,$A119,100)</f>
        <v>1.8181574316022999</v>
      </c>
      <c r="AA119" s="28">
        <f>[1]!thsiFinD("ths_ps_ttm_uss",AA$6,$A119,100)</f>
        <v>1.5090944398602999</v>
      </c>
      <c r="AB119" s="28">
        <f>[1]!thsiFinD("ths_ps_ttm_uss",AB$6,$A119,100)</f>
        <v>1.6327026613257001</v>
      </c>
      <c r="AC119" s="28">
        <f>[1]!thsiFinD("ths_ps_ttm_uss",AC$6,$A119,100)</f>
        <v>2.6530346628636998</v>
      </c>
      <c r="AD119" s="28">
        <f>[1]!thsiFinD("ths_ps_ttm_uss",AD$6,$A119,100)</f>
        <v>0.49497042216553</v>
      </c>
      <c r="AE119" s="28">
        <f>[1]!thsiFinD("ths_ps_ttm_uss",AE$6,$A119,100)</f>
        <v>1.2869165426445</v>
      </c>
      <c r="AJ119" s="44">
        <f>[1]!thsiFinD("ths_right_value_usk",AJ$6,$A119,"USD")/1000000</f>
        <v>112907.5765025</v>
      </c>
      <c r="AK119" s="44">
        <f>[1]!thsiFinD("ths_right_value_usk",AK$6,$A119,"USD")/1000000</f>
        <v>503065.68609406002</v>
      </c>
      <c r="AL119" s="44">
        <f>[1]!thsiFinD("ths_right_value_usk",AL$6,$A119,"USD")/1000000</f>
        <v>317371.27411914</v>
      </c>
      <c r="AM119" s="44">
        <f>[1]!thsiFinD("ths_right_value_usk",AM$6,$A119,"USD")/1000000</f>
        <v>59902.8696528</v>
      </c>
      <c r="AN119" s="44">
        <f>[1]!thsiFinD("ths_right_value_usk",AN$6,$A119,"USD")/1000000</f>
        <v>95477.319583619988</v>
      </c>
      <c r="AO119" s="44">
        <f>[1]!thsiFinD("ths_right_value_usk",AO$6,$A119,"USD")/1000000</f>
        <v>22482.432000000001</v>
      </c>
      <c r="AP119" s="44">
        <f>[1]!thsiFinD("ths_ev2_usk",AP$6,$A119,"USD")/1000000</f>
        <v>131129.57650249999</v>
      </c>
      <c r="AQ119" s="44">
        <f>[1]!thsiFinD("ths_ev2_usk",AQ$6,$A119,"USD")/1000000</f>
        <v>540094.68609405996</v>
      </c>
      <c r="AR119" s="44">
        <f>[1]!thsiFinD("ths_ev2_usk",AR$6,$A119,"USD")/1000000</f>
        <v>356947.27411914</v>
      </c>
      <c r="AS119" s="44">
        <f>[1]!thsiFinD("ths_ev2_usk",AS$6,$A119,"USD")/1000000</f>
        <v>64066.8696528</v>
      </c>
      <c r="AT119" s="44">
        <f>[1]!thsiFinD("ths_ev2_usk",AT$6,$A119,"USD")/1000000</f>
        <v>140157.31958362</v>
      </c>
      <c r="AU119" s="44">
        <f>[1]!thsiFinD("ths_ev2_usk",AU$6,$A119,"USD")/1000000</f>
        <v>29595.432000000001</v>
      </c>
    </row>
    <row r="120" spans="1:47" x14ac:dyDescent="0.45">
      <c r="A120" s="3"/>
      <c r="B120" s="13"/>
      <c r="H120" s="23">
        <f>[1]!thsiFinD("ths_pe_ttm_uss",B$6,$A120,100)</f>
        <v>12.763687147016</v>
      </c>
      <c r="I120" s="23">
        <f>[1]!thsiFinD("ths_pe_ttm_uss",C$6,$A120,100)</f>
        <v>16.795168633995001</v>
      </c>
      <c r="J120" s="23">
        <f>[1]!thsiFinD("ths_pe_ttm_uss",D$6,$A120,100)</f>
        <v>24.856772722363999</v>
      </c>
      <c r="K120" s="23">
        <f>[1]!thsiFinD("ths_pe_ttm_uss",E$6,$A120,100)</f>
        <v>10.832345326004001</v>
      </c>
      <c r="L120" s="23">
        <f>[1]!thsiFinD("ths_pe_ttm_uss",F$6,$A120,100)</f>
        <v>62.896784969446998</v>
      </c>
      <c r="M120" s="23">
        <f>[1]!thsiFinD("ths_pe_ttm_uss",G$6,$A120,100)</f>
        <v>8.2686399411548006</v>
      </c>
      <c r="N120" s="26">
        <f>[1]!thsiFinD("ths_ev2_to_ebitda_usk",N$6,$A120)</f>
        <v>5.6348922049976</v>
      </c>
      <c r="O120" s="26">
        <f>[1]!thsiFinD("ths_ev2_to_ebitda_usk",O$6,$A120)</f>
        <v>7.3671711761407996</v>
      </c>
      <c r="P120" s="26">
        <f>[1]!thsiFinD("ths_ev2_to_ebitda_usk",P$6,$A120)</f>
        <v>7.9697078261841998</v>
      </c>
      <c r="Q120" s="26">
        <f>[1]!thsiFinD("ths_ev2_to_ebitda_usk",Q$6,$A120)</f>
        <v>5.1401532134787997</v>
      </c>
      <c r="R120" s="26">
        <f>[1]!thsiFinD("ths_ev2_to_ebitda_usk",R$6,$A120)</f>
        <v>4.9901135608509</v>
      </c>
      <c r="S120" s="26">
        <f>[1]!thsiFinD("ths_ev2_to_ebitda_usk",S$6,$A120)</f>
        <v>4.0375759890858998</v>
      </c>
      <c r="T120" s="27">
        <f>[1]!thsiFinD("ths_pb_mrq_usk",T$6,$A120)</f>
        <v>1.7390998028819</v>
      </c>
      <c r="U120" s="27">
        <f>[1]!thsiFinD("ths_pb_mrq_usk",U$6,$A120)</f>
        <v>1.9307021622348</v>
      </c>
      <c r="V120" s="27">
        <f>[1]!thsiFinD("ths_pb_mrq_usk",V$6,$A120)</f>
        <v>1.6717565257561999</v>
      </c>
      <c r="W120" s="27">
        <f>[1]!thsiFinD("ths_pb_mrq_usk",W$6,$A120)</f>
        <v>1.9779715916394001</v>
      </c>
      <c r="X120" s="27">
        <f>[1]!thsiFinD("ths_pb_mrq_usk",X$6,$A120)</f>
        <v>1.639264466445</v>
      </c>
      <c r="Y120" s="27">
        <f>[1]!thsiFinD("ths_pb_mrq_usk",Y$6,$A120)</f>
        <v>1.4646535504886</v>
      </c>
      <c r="Z120" s="28">
        <f>[1]!thsiFinD("ths_ps_ttm_uss",Z$6,$A120,100)</f>
        <v>1.8181574316022999</v>
      </c>
      <c r="AA120" s="28">
        <f>[1]!thsiFinD("ths_ps_ttm_uss",AA$6,$A120,100)</f>
        <v>1.5090944398602999</v>
      </c>
      <c r="AB120" s="28">
        <f>[1]!thsiFinD("ths_ps_ttm_uss",AB$6,$A120,100)</f>
        <v>1.6327026613257001</v>
      </c>
      <c r="AC120" s="28">
        <f>[1]!thsiFinD("ths_ps_ttm_uss",AC$6,$A120,100)</f>
        <v>2.6530346628636998</v>
      </c>
      <c r="AD120" s="28">
        <f>[1]!thsiFinD("ths_ps_ttm_uss",AD$6,$A120,100)</f>
        <v>0.49497042216553</v>
      </c>
      <c r="AE120" s="28">
        <f>[1]!thsiFinD("ths_ps_ttm_uss",AE$6,$A120,100)</f>
        <v>1.2869165426445</v>
      </c>
      <c r="AJ120" s="44">
        <f>[1]!thsiFinD("ths_right_value_usk",AJ$6,$A120,"USD")/1000000</f>
        <v>112907.5765025</v>
      </c>
      <c r="AK120" s="44">
        <f>[1]!thsiFinD("ths_right_value_usk",AK$6,$A120,"USD")/1000000</f>
        <v>503065.68609406002</v>
      </c>
      <c r="AL120" s="44">
        <f>[1]!thsiFinD("ths_right_value_usk",AL$6,$A120,"USD")/1000000</f>
        <v>317371.27411914</v>
      </c>
      <c r="AM120" s="44">
        <f>[1]!thsiFinD("ths_right_value_usk",AM$6,$A120,"USD")/1000000</f>
        <v>59902.8696528</v>
      </c>
      <c r="AN120" s="44">
        <f>[1]!thsiFinD("ths_right_value_usk",AN$6,$A120,"USD")/1000000</f>
        <v>95477.319583619988</v>
      </c>
      <c r="AO120" s="44">
        <f>[1]!thsiFinD("ths_right_value_usk",AO$6,$A120,"USD")/1000000</f>
        <v>22482.432000000001</v>
      </c>
      <c r="AP120" s="44">
        <f>[1]!thsiFinD("ths_ev2_usk",AP$6,$A120,"USD")/1000000</f>
        <v>131129.57650249999</v>
      </c>
      <c r="AQ120" s="44">
        <f>[1]!thsiFinD("ths_ev2_usk",AQ$6,$A120,"USD")/1000000</f>
        <v>540094.68609405996</v>
      </c>
      <c r="AR120" s="44">
        <f>[1]!thsiFinD("ths_ev2_usk",AR$6,$A120,"USD")/1000000</f>
        <v>356947.27411914</v>
      </c>
      <c r="AS120" s="44">
        <f>[1]!thsiFinD("ths_ev2_usk",AS$6,$A120,"USD")/1000000</f>
        <v>64066.8696528</v>
      </c>
      <c r="AT120" s="44">
        <f>[1]!thsiFinD("ths_ev2_usk",AT$6,$A120,"USD")/1000000</f>
        <v>140157.31958362</v>
      </c>
      <c r="AU120" s="44">
        <f>[1]!thsiFinD("ths_ev2_usk",AU$6,$A120,"USD")/1000000</f>
        <v>29595.432000000001</v>
      </c>
    </row>
    <row r="121" spans="1:47" x14ac:dyDescent="0.45">
      <c r="A121" s="3"/>
      <c r="B121" s="13"/>
      <c r="H121" s="23">
        <f>[1]!thsiFinD("ths_pe_ttm_uss",B$6,$A121,100)</f>
        <v>12.763687147016</v>
      </c>
      <c r="I121" s="23">
        <f>[1]!thsiFinD("ths_pe_ttm_uss",C$6,$A121,100)</f>
        <v>16.795168633995001</v>
      </c>
      <c r="J121" s="23">
        <f>[1]!thsiFinD("ths_pe_ttm_uss",D$6,$A121,100)</f>
        <v>24.856772722363999</v>
      </c>
      <c r="K121" s="23">
        <f>[1]!thsiFinD("ths_pe_ttm_uss",E$6,$A121,100)</f>
        <v>10.832345326004001</v>
      </c>
      <c r="L121" s="23">
        <f>[1]!thsiFinD("ths_pe_ttm_uss",F$6,$A121,100)</f>
        <v>62.896784969446998</v>
      </c>
      <c r="M121" s="23">
        <f>[1]!thsiFinD("ths_pe_ttm_uss",G$6,$A121,100)</f>
        <v>8.2686399411548006</v>
      </c>
      <c r="N121" s="26">
        <f>[1]!thsiFinD("ths_ev2_to_ebitda_usk",N$6,$A121)</f>
        <v>5.6348922049976</v>
      </c>
      <c r="O121" s="26">
        <f>[1]!thsiFinD("ths_ev2_to_ebitda_usk",O$6,$A121)</f>
        <v>7.3671711761407996</v>
      </c>
      <c r="P121" s="26">
        <f>[1]!thsiFinD("ths_ev2_to_ebitda_usk",P$6,$A121)</f>
        <v>7.9697078261841998</v>
      </c>
      <c r="Q121" s="26">
        <f>[1]!thsiFinD("ths_ev2_to_ebitda_usk",Q$6,$A121)</f>
        <v>5.1401532134787997</v>
      </c>
      <c r="R121" s="26">
        <f>[1]!thsiFinD("ths_ev2_to_ebitda_usk",R$6,$A121)</f>
        <v>4.9901135608509</v>
      </c>
      <c r="S121" s="26">
        <f>[1]!thsiFinD("ths_ev2_to_ebitda_usk",S$6,$A121)</f>
        <v>4.0375759890858998</v>
      </c>
      <c r="T121" s="27">
        <f>[1]!thsiFinD("ths_pb_mrq_usk",T$6,$A121)</f>
        <v>1.7390998028819</v>
      </c>
      <c r="U121" s="27">
        <f>[1]!thsiFinD("ths_pb_mrq_usk",U$6,$A121)</f>
        <v>1.9307021622348</v>
      </c>
      <c r="V121" s="27">
        <f>[1]!thsiFinD("ths_pb_mrq_usk",V$6,$A121)</f>
        <v>1.6717565257561999</v>
      </c>
      <c r="W121" s="27">
        <f>[1]!thsiFinD("ths_pb_mrq_usk",W$6,$A121)</f>
        <v>1.9779715916394001</v>
      </c>
      <c r="X121" s="27">
        <f>[1]!thsiFinD("ths_pb_mrq_usk",X$6,$A121)</f>
        <v>1.639264466445</v>
      </c>
      <c r="Y121" s="27">
        <f>[1]!thsiFinD("ths_pb_mrq_usk",Y$6,$A121)</f>
        <v>1.4646535504886</v>
      </c>
      <c r="Z121" s="28">
        <f>[1]!thsiFinD("ths_ps_ttm_uss",Z$6,$A121,100)</f>
        <v>1.8181574316022999</v>
      </c>
      <c r="AA121" s="28">
        <f>[1]!thsiFinD("ths_ps_ttm_uss",AA$6,$A121,100)</f>
        <v>1.5090944398602999</v>
      </c>
      <c r="AB121" s="28">
        <f>[1]!thsiFinD("ths_ps_ttm_uss",AB$6,$A121,100)</f>
        <v>1.6327026613257001</v>
      </c>
      <c r="AC121" s="28">
        <f>[1]!thsiFinD("ths_ps_ttm_uss",AC$6,$A121,100)</f>
        <v>2.6530346628636998</v>
      </c>
      <c r="AD121" s="28">
        <f>[1]!thsiFinD("ths_ps_ttm_uss",AD$6,$A121,100)</f>
        <v>0.49497042216553</v>
      </c>
      <c r="AE121" s="28">
        <f>[1]!thsiFinD("ths_ps_ttm_uss",AE$6,$A121,100)</f>
        <v>1.2869165426445</v>
      </c>
      <c r="AJ121" s="44">
        <f>[1]!thsiFinD("ths_right_value_usk",AJ$6,$A121,"USD")/1000000</f>
        <v>112907.5765025</v>
      </c>
      <c r="AK121" s="44">
        <f>[1]!thsiFinD("ths_right_value_usk",AK$6,$A121,"USD")/1000000</f>
        <v>503065.68609406002</v>
      </c>
      <c r="AL121" s="44">
        <f>[1]!thsiFinD("ths_right_value_usk",AL$6,$A121,"USD")/1000000</f>
        <v>317371.27411914</v>
      </c>
      <c r="AM121" s="44">
        <f>[1]!thsiFinD("ths_right_value_usk",AM$6,$A121,"USD")/1000000</f>
        <v>59902.8696528</v>
      </c>
      <c r="AN121" s="44">
        <f>[1]!thsiFinD("ths_right_value_usk",AN$6,$A121,"USD")/1000000</f>
        <v>95477.319583619988</v>
      </c>
      <c r="AO121" s="44">
        <f>[1]!thsiFinD("ths_right_value_usk",AO$6,$A121,"USD")/1000000</f>
        <v>22482.432000000001</v>
      </c>
      <c r="AP121" s="44">
        <f>[1]!thsiFinD("ths_ev2_usk",AP$6,$A121,"USD")/1000000</f>
        <v>131129.57650249999</v>
      </c>
      <c r="AQ121" s="44">
        <f>[1]!thsiFinD("ths_ev2_usk",AQ$6,$A121,"USD")/1000000</f>
        <v>540094.68609405996</v>
      </c>
      <c r="AR121" s="44">
        <f>[1]!thsiFinD("ths_ev2_usk",AR$6,$A121,"USD")/1000000</f>
        <v>356947.27411914</v>
      </c>
      <c r="AS121" s="44">
        <f>[1]!thsiFinD("ths_ev2_usk",AS$6,$A121,"USD")/1000000</f>
        <v>64066.8696528</v>
      </c>
      <c r="AT121" s="44">
        <f>[1]!thsiFinD("ths_ev2_usk",AT$6,$A121,"USD")/1000000</f>
        <v>140157.31958362</v>
      </c>
      <c r="AU121" s="44">
        <f>[1]!thsiFinD("ths_ev2_usk",AU$6,$A121,"USD")/1000000</f>
        <v>29595.432000000001</v>
      </c>
    </row>
    <row r="122" spans="1:47" x14ac:dyDescent="0.45">
      <c r="A122" s="3"/>
      <c r="B122" s="13"/>
      <c r="H122" s="23">
        <f>[1]!thsiFinD("ths_pe_ttm_uss",B$6,$A122,100)</f>
        <v>12.763687147016</v>
      </c>
      <c r="I122" s="23">
        <f>[1]!thsiFinD("ths_pe_ttm_uss",C$6,$A122,100)</f>
        <v>16.795168633995001</v>
      </c>
      <c r="J122" s="23">
        <f>[1]!thsiFinD("ths_pe_ttm_uss",D$6,$A122,100)</f>
        <v>24.856772722363999</v>
      </c>
      <c r="K122" s="23">
        <f>[1]!thsiFinD("ths_pe_ttm_uss",E$6,$A122,100)</f>
        <v>10.832345326004001</v>
      </c>
      <c r="L122" s="23">
        <f>[1]!thsiFinD("ths_pe_ttm_uss",F$6,$A122,100)</f>
        <v>62.896784969446998</v>
      </c>
      <c r="M122" s="23">
        <f>[1]!thsiFinD("ths_pe_ttm_uss",G$6,$A122,100)</f>
        <v>8.2686399411548006</v>
      </c>
      <c r="N122" s="26">
        <f>[1]!thsiFinD("ths_ev2_to_ebitda_usk",N$6,$A122)</f>
        <v>5.6348922049976</v>
      </c>
      <c r="O122" s="26">
        <f>[1]!thsiFinD("ths_ev2_to_ebitda_usk",O$6,$A122)</f>
        <v>7.3671711761407996</v>
      </c>
      <c r="P122" s="26">
        <f>[1]!thsiFinD("ths_ev2_to_ebitda_usk",P$6,$A122)</f>
        <v>7.9697078261841998</v>
      </c>
      <c r="Q122" s="26">
        <f>[1]!thsiFinD("ths_ev2_to_ebitda_usk",Q$6,$A122)</f>
        <v>5.1401532134787997</v>
      </c>
      <c r="R122" s="26">
        <f>[1]!thsiFinD("ths_ev2_to_ebitda_usk",R$6,$A122)</f>
        <v>4.9901135608509</v>
      </c>
      <c r="S122" s="26">
        <f>[1]!thsiFinD("ths_ev2_to_ebitda_usk",S$6,$A122)</f>
        <v>4.0375759890858998</v>
      </c>
      <c r="T122" s="27">
        <f>[1]!thsiFinD("ths_pb_mrq_usk",T$6,$A122)</f>
        <v>1.7390998028819</v>
      </c>
      <c r="U122" s="27">
        <f>[1]!thsiFinD("ths_pb_mrq_usk",U$6,$A122)</f>
        <v>1.9307021622348</v>
      </c>
      <c r="V122" s="27">
        <f>[1]!thsiFinD("ths_pb_mrq_usk",V$6,$A122)</f>
        <v>1.6717565257561999</v>
      </c>
      <c r="W122" s="27">
        <f>[1]!thsiFinD("ths_pb_mrq_usk",W$6,$A122)</f>
        <v>1.9779715916394001</v>
      </c>
      <c r="X122" s="27">
        <f>[1]!thsiFinD("ths_pb_mrq_usk",X$6,$A122)</f>
        <v>1.639264466445</v>
      </c>
      <c r="Y122" s="27">
        <f>[1]!thsiFinD("ths_pb_mrq_usk",Y$6,$A122)</f>
        <v>1.4646535504886</v>
      </c>
      <c r="Z122" s="28">
        <f>[1]!thsiFinD("ths_ps_ttm_uss",Z$6,$A122,100)</f>
        <v>1.8181574316022999</v>
      </c>
      <c r="AA122" s="28">
        <f>[1]!thsiFinD("ths_ps_ttm_uss",AA$6,$A122,100)</f>
        <v>1.5090944398602999</v>
      </c>
      <c r="AB122" s="28">
        <f>[1]!thsiFinD("ths_ps_ttm_uss",AB$6,$A122,100)</f>
        <v>1.6327026613257001</v>
      </c>
      <c r="AC122" s="28">
        <f>[1]!thsiFinD("ths_ps_ttm_uss",AC$6,$A122,100)</f>
        <v>2.6530346628636998</v>
      </c>
      <c r="AD122" s="28">
        <f>[1]!thsiFinD("ths_ps_ttm_uss",AD$6,$A122,100)</f>
        <v>0.49497042216553</v>
      </c>
      <c r="AE122" s="28">
        <f>[1]!thsiFinD("ths_ps_ttm_uss",AE$6,$A122,100)</f>
        <v>1.2869165426445</v>
      </c>
      <c r="AJ122" s="44">
        <f>[1]!thsiFinD("ths_right_value_usk",AJ$6,$A122,"USD")/1000000</f>
        <v>112907.5765025</v>
      </c>
      <c r="AK122" s="44">
        <f>[1]!thsiFinD("ths_right_value_usk",AK$6,$A122,"USD")/1000000</f>
        <v>503065.68609406002</v>
      </c>
      <c r="AL122" s="44">
        <f>[1]!thsiFinD("ths_right_value_usk",AL$6,$A122,"USD")/1000000</f>
        <v>317371.27411914</v>
      </c>
      <c r="AM122" s="44">
        <f>[1]!thsiFinD("ths_right_value_usk",AM$6,$A122,"USD")/1000000</f>
        <v>59902.8696528</v>
      </c>
      <c r="AN122" s="44">
        <f>[1]!thsiFinD("ths_right_value_usk",AN$6,$A122,"USD")/1000000</f>
        <v>95477.319583619988</v>
      </c>
      <c r="AO122" s="44">
        <f>[1]!thsiFinD("ths_right_value_usk",AO$6,$A122,"USD")/1000000</f>
        <v>22482.432000000001</v>
      </c>
      <c r="AP122" s="44">
        <f>[1]!thsiFinD("ths_ev2_usk",AP$6,$A122,"USD")/1000000</f>
        <v>131129.57650249999</v>
      </c>
      <c r="AQ122" s="44">
        <f>[1]!thsiFinD("ths_ev2_usk",AQ$6,$A122,"USD")/1000000</f>
        <v>540094.68609405996</v>
      </c>
      <c r="AR122" s="44">
        <f>[1]!thsiFinD("ths_ev2_usk",AR$6,$A122,"USD")/1000000</f>
        <v>356947.27411914</v>
      </c>
      <c r="AS122" s="44">
        <f>[1]!thsiFinD("ths_ev2_usk",AS$6,$A122,"USD")/1000000</f>
        <v>64066.8696528</v>
      </c>
      <c r="AT122" s="44">
        <f>[1]!thsiFinD("ths_ev2_usk",AT$6,$A122,"USD")/1000000</f>
        <v>140157.31958362</v>
      </c>
      <c r="AU122" s="44">
        <f>[1]!thsiFinD("ths_ev2_usk",AU$6,$A122,"USD")/1000000</f>
        <v>29595.432000000001</v>
      </c>
    </row>
    <row r="123" spans="1:47" x14ac:dyDescent="0.45">
      <c r="A123" s="3"/>
      <c r="B123" s="13"/>
      <c r="H123" s="23">
        <f>[1]!thsiFinD("ths_pe_ttm_uss",B$6,$A123,100)</f>
        <v>12.763687147016</v>
      </c>
      <c r="I123" s="23">
        <f>[1]!thsiFinD("ths_pe_ttm_uss",C$6,$A123,100)</f>
        <v>16.795168633995001</v>
      </c>
      <c r="J123" s="23">
        <f>[1]!thsiFinD("ths_pe_ttm_uss",D$6,$A123,100)</f>
        <v>24.856772722363999</v>
      </c>
      <c r="K123" s="23">
        <f>[1]!thsiFinD("ths_pe_ttm_uss",E$6,$A123,100)</f>
        <v>10.832345326004001</v>
      </c>
      <c r="L123" s="23">
        <f>[1]!thsiFinD("ths_pe_ttm_uss",F$6,$A123,100)</f>
        <v>62.896784969446998</v>
      </c>
      <c r="M123" s="23">
        <f>[1]!thsiFinD("ths_pe_ttm_uss",G$6,$A123,100)</f>
        <v>8.2686399411548006</v>
      </c>
      <c r="N123" s="26">
        <f>[1]!thsiFinD("ths_ev2_to_ebitda_usk",N$6,$A123)</f>
        <v>5.6348922049976</v>
      </c>
      <c r="O123" s="26">
        <f>[1]!thsiFinD("ths_ev2_to_ebitda_usk",O$6,$A123)</f>
        <v>7.3671711761407996</v>
      </c>
      <c r="P123" s="26">
        <f>[1]!thsiFinD("ths_ev2_to_ebitda_usk",P$6,$A123)</f>
        <v>7.9697078261841998</v>
      </c>
      <c r="Q123" s="26">
        <f>[1]!thsiFinD("ths_ev2_to_ebitda_usk",Q$6,$A123)</f>
        <v>5.1401532134787997</v>
      </c>
      <c r="R123" s="26">
        <f>[1]!thsiFinD("ths_ev2_to_ebitda_usk",R$6,$A123)</f>
        <v>4.9901135608509</v>
      </c>
      <c r="S123" s="26">
        <f>[1]!thsiFinD("ths_ev2_to_ebitda_usk",S$6,$A123)</f>
        <v>4.0375759890858998</v>
      </c>
      <c r="T123" s="27">
        <f>[1]!thsiFinD("ths_pb_mrq_usk",T$6,$A123)</f>
        <v>1.7390998028819</v>
      </c>
      <c r="U123" s="27">
        <f>[1]!thsiFinD("ths_pb_mrq_usk",U$6,$A123)</f>
        <v>1.9307021622348</v>
      </c>
      <c r="V123" s="27">
        <f>[1]!thsiFinD("ths_pb_mrq_usk",V$6,$A123)</f>
        <v>1.6717565257561999</v>
      </c>
      <c r="W123" s="27">
        <f>[1]!thsiFinD("ths_pb_mrq_usk",W$6,$A123)</f>
        <v>1.9779715916394001</v>
      </c>
      <c r="X123" s="27">
        <f>[1]!thsiFinD("ths_pb_mrq_usk",X$6,$A123)</f>
        <v>1.639264466445</v>
      </c>
      <c r="Y123" s="27">
        <f>[1]!thsiFinD("ths_pb_mrq_usk",Y$6,$A123)</f>
        <v>1.4646535504886</v>
      </c>
      <c r="Z123" s="28">
        <f>[1]!thsiFinD("ths_ps_ttm_uss",Z$6,$A123,100)</f>
        <v>1.8181574316022999</v>
      </c>
      <c r="AA123" s="28">
        <f>[1]!thsiFinD("ths_ps_ttm_uss",AA$6,$A123,100)</f>
        <v>1.5090944398602999</v>
      </c>
      <c r="AB123" s="28">
        <f>[1]!thsiFinD("ths_ps_ttm_uss",AB$6,$A123,100)</f>
        <v>1.6327026613257001</v>
      </c>
      <c r="AC123" s="28">
        <f>[1]!thsiFinD("ths_ps_ttm_uss",AC$6,$A123,100)</f>
        <v>2.6530346628636998</v>
      </c>
      <c r="AD123" s="28">
        <f>[1]!thsiFinD("ths_ps_ttm_uss",AD$6,$A123,100)</f>
        <v>0.49497042216553</v>
      </c>
      <c r="AE123" s="28">
        <f>[1]!thsiFinD("ths_ps_ttm_uss",AE$6,$A123,100)</f>
        <v>1.2869165426445</v>
      </c>
      <c r="AJ123" s="44">
        <f>[1]!thsiFinD("ths_right_value_usk",AJ$6,$A123,"USD")/1000000</f>
        <v>112907.5765025</v>
      </c>
      <c r="AK123" s="44">
        <f>[1]!thsiFinD("ths_right_value_usk",AK$6,$A123,"USD")/1000000</f>
        <v>503065.68609406002</v>
      </c>
      <c r="AL123" s="44">
        <f>[1]!thsiFinD("ths_right_value_usk",AL$6,$A123,"USD")/1000000</f>
        <v>317371.27411914</v>
      </c>
      <c r="AM123" s="44">
        <f>[1]!thsiFinD("ths_right_value_usk",AM$6,$A123,"USD")/1000000</f>
        <v>59902.8696528</v>
      </c>
      <c r="AN123" s="44">
        <f>[1]!thsiFinD("ths_right_value_usk",AN$6,$A123,"USD")/1000000</f>
        <v>95477.319583619988</v>
      </c>
      <c r="AO123" s="44">
        <f>[1]!thsiFinD("ths_right_value_usk",AO$6,$A123,"USD")/1000000</f>
        <v>22482.432000000001</v>
      </c>
      <c r="AP123" s="44">
        <f>[1]!thsiFinD("ths_ev2_usk",AP$6,$A123,"USD")/1000000</f>
        <v>131129.57650249999</v>
      </c>
      <c r="AQ123" s="44">
        <f>[1]!thsiFinD("ths_ev2_usk",AQ$6,$A123,"USD")/1000000</f>
        <v>540094.68609405996</v>
      </c>
      <c r="AR123" s="44">
        <f>[1]!thsiFinD("ths_ev2_usk",AR$6,$A123,"USD")/1000000</f>
        <v>356947.27411914</v>
      </c>
      <c r="AS123" s="44">
        <f>[1]!thsiFinD("ths_ev2_usk",AS$6,$A123,"USD")/1000000</f>
        <v>64066.8696528</v>
      </c>
      <c r="AT123" s="44">
        <f>[1]!thsiFinD("ths_ev2_usk",AT$6,$A123,"USD")/1000000</f>
        <v>140157.31958362</v>
      </c>
      <c r="AU123" s="44">
        <f>[1]!thsiFinD("ths_ev2_usk",AU$6,$A123,"USD")/1000000</f>
        <v>29595.432000000001</v>
      </c>
    </row>
    <row r="124" spans="1:47" x14ac:dyDescent="0.45">
      <c r="A124" s="3"/>
      <c r="B124" s="13"/>
      <c r="H124" s="23">
        <f>[1]!thsiFinD("ths_pe_ttm_uss",B$6,$A124,100)</f>
        <v>12.763687147016</v>
      </c>
      <c r="I124" s="23">
        <f>[1]!thsiFinD("ths_pe_ttm_uss",C$6,$A124,100)</f>
        <v>16.795168633995001</v>
      </c>
      <c r="J124" s="23">
        <f>[1]!thsiFinD("ths_pe_ttm_uss",D$6,$A124,100)</f>
        <v>24.856772722363999</v>
      </c>
      <c r="K124" s="23">
        <f>[1]!thsiFinD("ths_pe_ttm_uss",E$6,$A124,100)</f>
        <v>10.832345326004001</v>
      </c>
      <c r="L124" s="23">
        <f>[1]!thsiFinD("ths_pe_ttm_uss",F$6,$A124,100)</f>
        <v>62.896784969446998</v>
      </c>
      <c r="M124" s="23">
        <f>[1]!thsiFinD("ths_pe_ttm_uss",G$6,$A124,100)</f>
        <v>8.2686399411548006</v>
      </c>
      <c r="N124" s="26">
        <f>[1]!thsiFinD("ths_ev2_to_ebitda_usk",N$6,$A124)</f>
        <v>5.6348922049976</v>
      </c>
      <c r="O124" s="26">
        <f>[1]!thsiFinD("ths_ev2_to_ebitda_usk",O$6,$A124)</f>
        <v>7.3671711761407996</v>
      </c>
      <c r="P124" s="26">
        <f>[1]!thsiFinD("ths_ev2_to_ebitda_usk",P$6,$A124)</f>
        <v>7.9697078261841998</v>
      </c>
      <c r="Q124" s="26">
        <f>[1]!thsiFinD("ths_ev2_to_ebitda_usk",Q$6,$A124)</f>
        <v>5.1401532134787997</v>
      </c>
      <c r="R124" s="26">
        <f>[1]!thsiFinD("ths_ev2_to_ebitda_usk",R$6,$A124)</f>
        <v>4.9901135608509</v>
      </c>
      <c r="S124" s="26">
        <f>[1]!thsiFinD("ths_ev2_to_ebitda_usk",S$6,$A124)</f>
        <v>4.0375759890858998</v>
      </c>
      <c r="T124" s="27">
        <f>[1]!thsiFinD("ths_pb_mrq_usk",T$6,$A124)</f>
        <v>1.7390998028819</v>
      </c>
      <c r="U124" s="27">
        <f>[1]!thsiFinD("ths_pb_mrq_usk",U$6,$A124)</f>
        <v>1.9307021622348</v>
      </c>
      <c r="V124" s="27">
        <f>[1]!thsiFinD("ths_pb_mrq_usk",V$6,$A124)</f>
        <v>1.6717565257561999</v>
      </c>
      <c r="W124" s="27">
        <f>[1]!thsiFinD("ths_pb_mrq_usk",W$6,$A124)</f>
        <v>1.9779715916394001</v>
      </c>
      <c r="X124" s="27">
        <f>[1]!thsiFinD("ths_pb_mrq_usk",X$6,$A124)</f>
        <v>1.639264466445</v>
      </c>
      <c r="Y124" s="27">
        <f>[1]!thsiFinD("ths_pb_mrq_usk",Y$6,$A124)</f>
        <v>1.4646535504886</v>
      </c>
      <c r="Z124" s="28">
        <f>[1]!thsiFinD("ths_ps_ttm_uss",Z$6,$A124,100)</f>
        <v>1.8181574316022999</v>
      </c>
      <c r="AA124" s="28">
        <f>[1]!thsiFinD("ths_ps_ttm_uss",AA$6,$A124,100)</f>
        <v>1.5090944398602999</v>
      </c>
      <c r="AB124" s="28">
        <f>[1]!thsiFinD("ths_ps_ttm_uss",AB$6,$A124,100)</f>
        <v>1.6327026613257001</v>
      </c>
      <c r="AC124" s="28">
        <f>[1]!thsiFinD("ths_ps_ttm_uss",AC$6,$A124,100)</f>
        <v>2.6530346628636998</v>
      </c>
      <c r="AD124" s="28">
        <f>[1]!thsiFinD("ths_ps_ttm_uss",AD$6,$A124,100)</f>
        <v>0.49497042216553</v>
      </c>
      <c r="AE124" s="28">
        <f>[1]!thsiFinD("ths_ps_ttm_uss",AE$6,$A124,100)</f>
        <v>1.2869165426445</v>
      </c>
      <c r="AJ124" s="44">
        <f>[1]!thsiFinD("ths_right_value_usk",AJ$6,$A124,"USD")/1000000</f>
        <v>112907.5765025</v>
      </c>
      <c r="AK124" s="44">
        <f>[1]!thsiFinD("ths_right_value_usk",AK$6,$A124,"USD")/1000000</f>
        <v>503065.68609406002</v>
      </c>
      <c r="AL124" s="44">
        <f>[1]!thsiFinD("ths_right_value_usk",AL$6,$A124,"USD")/1000000</f>
        <v>317371.27411914</v>
      </c>
      <c r="AM124" s="44">
        <f>[1]!thsiFinD("ths_right_value_usk",AM$6,$A124,"USD")/1000000</f>
        <v>59902.8696528</v>
      </c>
      <c r="AN124" s="44">
        <f>[1]!thsiFinD("ths_right_value_usk",AN$6,$A124,"USD")/1000000</f>
        <v>95477.319583619988</v>
      </c>
      <c r="AO124" s="44">
        <f>[1]!thsiFinD("ths_right_value_usk",AO$6,$A124,"USD")/1000000</f>
        <v>22482.432000000001</v>
      </c>
      <c r="AP124" s="44">
        <f>[1]!thsiFinD("ths_ev2_usk",AP$6,$A124,"USD")/1000000</f>
        <v>131129.57650249999</v>
      </c>
      <c r="AQ124" s="44">
        <f>[1]!thsiFinD("ths_ev2_usk",AQ$6,$A124,"USD")/1000000</f>
        <v>540094.68609405996</v>
      </c>
      <c r="AR124" s="44">
        <f>[1]!thsiFinD("ths_ev2_usk",AR$6,$A124,"USD")/1000000</f>
        <v>356947.27411914</v>
      </c>
      <c r="AS124" s="44">
        <f>[1]!thsiFinD("ths_ev2_usk",AS$6,$A124,"USD")/1000000</f>
        <v>64066.8696528</v>
      </c>
      <c r="AT124" s="44">
        <f>[1]!thsiFinD("ths_ev2_usk",AT$6,$A124,"USD")/1000000</f>
        <v>140157.31958362</v>
      </c>
      <c r="AU124" s="44">
        <f>[1]!thsiFinD("ths_ev2_usk",AU$6,$A124,"USD")/1000000</f>
        <v>29595.432000000001</v>
      </c>
    </row>
    <row r="125" spans="1:47" x14ac:dyDescent="0.45">
      <c r="A125" s="3"/>
      <c r="B125" s="13"/>
      <c r="H125" s="23">
        <f>[1]!thsiFinD("ths_pe_ttm_uss",B$6,$A125,100)</f>
        <v>12.763687147016</v>
      </c>
      <c r="I125" s="23">
        <f>[1]!thsiFinD("ths_pe_ttm_uss",C$6,$A125,100)</f>
        <v>16.795168633995001</v>
      </c>
      <c r="J125" s="23">
        <f>[1]!thsiFinD("ths_pe_ttm_uss",D$6,$A125,100)</f>
        <v>24.856772722363999</v>
      </c>
      <c r="K125" s="23">
        <f>[1]!thsiFinD("ths_pe_ttm_uss",E$6,$A125,100)</f>
        <v>10.832345326004001</v>
      </c>
      <c r="L125" s="23">
        <f>[1]!thsiFinD("ths_pe_ttm_uss",F$6,$A125,100)</f>
        <v>62.896784969446998</v>
      </c>
      <c r="M125" s="23">
        <f>[1]!thsiFinD("ths_pe_ttm_uss",G$6,$A125,100)</f>
        <v>8.2686399411548006</v>
      </c>
      <c r="N125" s="26">
        <f>[1]!thsiFinD("ths_ev2_to_ebitda_usk",N$6,$A125)</f>
        <v>5.6348922049976</v>
      </c>
      <c r="O125" s="26">
        <f>[1]!thsiFinD("ths_ev2_to_ebitda_usk",O$6,$A125)</f>
        <v>7.3671711761407996</v>
      </c>
      <c r="P125" s="26">
        <f>[1]!thsiFinD("ths_ev2_to_ebitda_usk",P$6,$A125)</f>
        <v>7.9697078261841998</v>
      </c>
      <c r="Q125" s="26">
        <f>[1]!thsiFinD("ths_ev2_to_ebitda_usk",Q$6,$A125)</f>
        <v>5.1401532134787997</v>
      </c>
      <c r="R125" s="26">
        <f>[1]!thsiFinD("ths_ev2_to_ebitda_usk",R$6,$A125)</f>
        <v>4.9901135608509</v>
      </c>
      <c r="S125" s="26">
        <f>[1]!thsiFinD("ths_ev2_to_ebitda_usk",S$6,$A125)</f>
        <v>4.0375759890858998</v>
      </c>
      <c r="T125" s="27">
        <f>[1]!thsiFinD("ths_pb_mrq_usk",T$6,$A125)</f>
        <v>1.7390998028819</v>
      </c>
      <c r="U125" s="27">
        <f>[1]!thsiFinD("ths_pb_mrq_usk",U$6,$A125)</f>
        <v>1.9307021622348</v>
      </c>
      <c r="V125" s="27">
        <f>[1]!thsiFinD("ths_pb_mrq_usk",V$6,$A125)</f>
        <v>1.6717565257561999</v>
      </c>
      <c r="W125" s="27">
        <f>[1]!thsiFinD("ths_pb_mrq_usk",W$6,$A125)</f>
        <v>1.9779715916394001</v>
      </c>
      <c r="X125" s="27">
        <f>[1]!thsiFinD("ths_pb_mrq_usk",X$6,$A125)</f>
        <v>1.639264466445</v>
      </c>
      <c r="Y125" s="27">
        <f>[1]!thsiFinD("ths_pb_mrq_usk",Y$6,$A125)</f>
        <v>1.4646535504886</v>
      </c>
      <c r="Z125" s="28">
        <f>[1]!thsiFinD("ths_ps_ttm_uss",Z$6,$A125,100)</f>
        <v>1.8181574316022999</v>
      </c>
      <c r="AA125" s="28">
        <f>[1]!thsiFinD("ths_ps_ttm_uss",AA$6,$A125,100)</f>
        <v>1.5090944398602999</v>
      </c>
      <c r="AB125" s="28">
        <f>[1]!thsiFinD("ths_ps_ttm_uss",AB$6,$A125,100)</f>
        <v>1.6327026613257001</v>
      </c>
      <c r="AC125" s="28">
        <f>[1]!thsiFinD("ths_ps_ttm_uss",AC$6,$A125,100)</f>
        <v>2.6530346628636998</v>
      </c>
      <c r="AD125" s="28">
        <f>[1]!thsiFinD("ths_ps_ttm_uss",AD$6,$A125,100)</f>
        <v>0.49497042216553</v>
      </c>
      <c r="AE125" s="28">
        <f>[1]!thsiFinD("ths_ps_ttm_uss",AE$6,$A125,100)</f>
        <v>1.2869165426445</v>
      </c>
      <c r="AJ125" s="44">
        <f>[1]!thsiFinD("ths_right_value_usk",AJ$6,$A125,"USD")/1000000</f>
        <v>112907.5765025</v>
      </c>
      <c r="AK125" s="44">
        <f>[1]!thsiFinD("ths_right_value_usk",AK$6,$A125,"USD")/1000000</f>
        <v>503065.68609406002</v>
      </c>
      <c r="AL125" s="44">
        <f>[1]!thsiFinD("ths_right_value_usk",AL$6,$A125,"USD")/1000000</f>
        <v>317371.27411914</v>
      </c>
      <c r="AM125" s="44">
        <f>[1]!thsiFinD("ths_right_value_usk",AM$6,$A125,"USD")/1000000</f>
        <v>59902.8696528</v>
      </c>
      <c r="AN125" s="44">
        <f>[1]!thsiFinD("ths_right_value_usk",AN$6,$A125,"USD")/1000000</f>
        <v>95477.319583619988</v>
      </c>
      <c r="AO125" s="44">
        <f>[1]!thsiFinD("ths_right_value_usk",AO$6,$A125,"USD")/1000000</f>
        <v>22482.432000000001</v>
      </c>
      <c r="AP125" s="44">
        <f>[1]!thsiFinD("ths_ev2_usk",AP$6,$A125,"USD")/1000000</f>
        <v>131129.57650249999</v>
      </c>
      <c r="AQ125" s="44">
        <f>[1]!thsiFinD("ths_ev2_usk",AQ$6,$A125,"USD")/1000000</f>
        <v>540094.68609405996</v>
      </c>
      <c r="AR125" s="44">
        <f>[1]!thsiFinD("ths_ev2_usk",AR$6,$A125,"USD")/1000000</f>
        <v>356947.27411914</v>
      </c>
      <c r="AS125" s="44">
        <f>[1]!thsiFinD("ths_ev2_usk",AS$6,$A125,"USD")/1000000</f>
        <v>64066.8696528</v>
      </c>
      <c r="AT125" s="44">
        <f>[1]!thsiFinD("ths_ev2_usk",AT$6,$A125,"USD")/1000000</f>
        <v>140157.31958362</v>
      </c>
      <c r="AU125" s="44">
        <f>[1]!thsiFinD("ths_ev2_usk",AU$6,$A125,"USD")/1000000</f>
        <v>29595.432000000001</v>
      </c>
    </row>
    <row r="126" spans="1:47" x14ac:dyDescent="0.45">
      <c r="A126" s="3"/>
      <c r="B126" s="13"/>
      <c r="H126" s="23">
        <f>[1]!thsiFinD("ths_pe_ttm_uss",B$6,$A126,100)</f>
        <v>12.763687147016</v>
      </c>
      <c r="I126" s="23">
        <f>[1]!thsiFinD("ths_pe_ttm_uss",C$6,$A126,100)</f>
        <v>16.795168633995001</v>
      </c>
      <c r="J126" s="23">
        <f>[1]!thsiFinD("ths_pe_ttm_uss",D$6,$A126,100)</f>
        <v>24.856772722363999</v>
      </c>
      <c r="K126" s="23">
        <f>[1]!thsiFinD("ths_pe_ttm_uss",E$6,$A126,100)</f>
        <v>10.832345326004001</v>
      </c>
      <c r="L126" s="23">
        <f>[1]!thsiFinD("ths_pe_ttm_uss",F$6,$A126,100)</f>
        <v>62.896784969446998</v>
      </c>
      <c r="M126" s="23">
        <f>[1]!thsiFinD("ths_pe_ttm_uss",G$6,$A126,100)</f>
        <v>8.2686399411548006</v>
      </c>
      <c r="N126" s="26">
        <f>[1]!thsiFinD("ths_ev2_to_ebitda_usk",N$6,$A126)</f>
        <v>5.6348922049976</v>
      </c>
      <c r="O126" s="26">
        <f>[1]!thsiFinD("ths_ev2_to_ebitda_usk",O$6,$A126)</f>
        <v>7.3671711761407996</v>
      </c>
      <c r="P126" s="26">
        <f>[1]!thsiFinD("ths_ev2_to_ebitda_usk",P$6,$A126)</f>
        <v>7.9697078261841998</v>
      </c>
      <c r="Q126" s="26">
        <f>[1]!thsiFinD("ths_ev2_to_ebitda_usk",Q$6,$A126)</f>
        <v>5.1401532134787997</v>
      </c>
      <c r="R126" s="26">
        <f>[1]!thsiFinD("ths_ev2_to_ebitda_usk",R$6,$A126)</f>
        <v>4.9901135608509</v>
      </c>
      <c r="S126" s="26">
        <f>[1]!thsiFinD("ths_ev2_to_ebitda_usk",S$6,$A126)</f>
        <v>4.0375759890858998</v>
      </c>
      <c r="T126" s="27">
        <f>[1]!thsiFinD("ths_pb_mrq_usk",T$6,$A126)</f>
        <v>1.7390998028819</v>
      </c>
      <c r="U126" s="27">
        <f>[1]!thsiFinD("ths_pb_mrq_usk",U$6,$A126)</f>
        <v>1.9307021622348</v>
      </c>
      <c r="V126" s="27">
        <f>[1]!thsiFinD("ths_pb_mrq_usk",V$6,$A126)</f>
        <v>1.6717565257561999</v>
      </c>
      <c r="W126" s="27">
        <f>[1]!thsiFinD("ths_pb_mrq_usk",W$6,$A126)</f>
        <v>1.9779715916394001</v>
      </c>
      <c r="X126" s="27">
        <f>[1]!thsiFinD("ths_pb_mrq_usk",X$6,$A126)</f>
        <v>1.639264466445</v>
      </c>
      <c r="Y126" s="27">
        <f>[1]!thsiFinD("ths_pb_mrq_usk",Y$6,$A126)</f>
        <v>1.4646535504886</v>
      </c>
      <c r="Z126" s="28">
        <f>[1]!thsiFinD("ths_ps_ttm_uss",Z$6,$A126,100)</f>
        <v>1.8181574316022999</v>
      </c>
      <c r="AA126" s="28">
        <f>[1]!thsiFinD("ths_ps_ttm_uss",AA$6,$A126,100)</f>
        <v>1.5090944398602999</v>
      </c>
      <c r="AB126" s="28">
        <f>[1]!thsiFinD("ths_ps_ttm_uss",AB$6,$A126,100)</f>
        <v>1.6327026613257001</v>
      </c>
      <c r="AC126" s="28">
        <f>[1]!thsiFinD("ths_ps_ttm_uss",AC$6,$A126,100)</f>
        <v>2.6530346628636998</v>
      </c>
      <c r="AD126" s="28">
        <f>[1]!thsiFinD("ths_ps_ttm_uss",AD$6,$A126,100)</f>
        <v>0.49497042216553</v>
      </c>
      <c r="AE126" s="28">
        <f>[1]!thsiFinD("ths_ps_ttm_uss",AE$6,$A126,100)</f>
        <v>1.2869165426445</v>
      </c>
      <c r="AJ126" s="44">
        <f>[1]!thsiFinD("ths_right_value_usk",AJ$6,$A126,"USD")/1000000</f>
        <v>112907.5765025</v>
      </c>
      <c r="AK126" s="44">
        <f>[1]!thsiFinD("ths_right_value_usk",AK$6,$A126,"USD")/1000000</f>
        <v>503065.68609406002</v>
      </c>
      <c r="AL126" s="44">
        <f>[1]!thsiFinD("ths_right_value_usk",AL$6,$A126,"USD")/1000000</f>
        <v>317371.27411914</v>
      </c>
      <c r="AM126" s="44">
        <f>[1]!thsiFinD("ths_right_value_usk",AM$6,$A126,"USD")/1000000</f>
        <v>59902.8696528</v>
      </c>
      <c r="AN126" s="44">
        <f>[1]!thsiFinD("ths_right_value_usk",AN$6,$A126,"USD")/1000000</f>
        <v>95477.319583619988</v>
      </c>
      <c r="AO126" s="44">
        <f>[1]!thsiFinD("ths_right_value_usk",AO$6,$A126,"USD")/1000000</f>
        <v>22482.432000000001</v>
      </c>
      <c r="AP126" s="44">
        <f>[1]!thsiFinD("ths_ev2_usk",AP$6,$A126,"USD")/1000000</f>
        <v>131129.57650249999</v>
      </c>
      <c r="AQ126" s="44">
        <f>[1]!thsiFinD("ths_ev2_usk",AQ$6,$A126,"USD")/1000000</f>
        <v>540094.68609405996</v>
      </c>
      <c r="AR126" s="44">
        <f>[1]!thsiFinD("ths_ev2_usk",AR$6,$A126,"USD")/1000000</f>
        <v>356947.27411914</v>
      </c>
      <c r="AS126" s="44">
        <f>[1]!thsiFinD("ths_ev2_usk",AS$6,$A126,"USD")/1000000</f>
        <v>64066.8696528</v>
      </c>
      <c r="AT126" s="44">
        <f>[1]!thsiFinD("ths_ev2_usk",AT$6,$A126,"USD")/1000000</f>
        <v>140157.31958362</v>
      </c>
      <c r="AU126" s="44">
        <f>[1]!thsiFinD("ths_ev2_usk",AU$6,$A126,"USD")/1000000</f>
        <v>29595.432000000001</v>
      </c>
    </row>
    <row r="127" spans="1:47" x14ac:dyDescent="0.45">
      <c r="A127" s="3"/>
      <c r="B127" s="13"/>
      <c r="H127" s="23">
        <f>[1]!thsiFinD("ths_pe_ttm_uss",B$6,$A127,100)</f>
        <v>12.763687147016</v>
      </c>
      <c r="I127" s="23">
        <f>[1]!thsiFinD("ths_pe_ttm_uss",C$6,$A127,100)</f>
        <v>16.795168633995001</v>
      </c>
      <c r="J127" s="23">
        <f>[1]!thsiFinD("ths_pe_ttm_uss",D$6,$A127,100)</f>
        <v>24.856772722363999</v>
      </c>
      <c r="K127" s="23">
        <f>[1]!thsiFinD("ths_pe_ttm_uss",E$6,$A127,100)</f>
        <v>10.832345326004001</v>
      </c>
      <c r="L127" s="23">
        <f>[1]!thsiFinD("ths_pe_ttm_uss",F$6,$A127,100)</f>
        <v>62.896784969446998</v>
      </c>
      <c r="M127" s="23">
        <f>[1]!thsiFinD("ths_pe_ttm_uss",G$6,$A127,100)</f>
        <v>8.2686399411548006</v>
      </c>
      <c r="N127" s="26">
        <f>[1]!thsiFinD("ths_ev2_to_ebitda_usk",N$6,$A127)</f>
        <v>5.6348922049976</v>
      </c>
      <c r="O127" s="26">
        <f>[1]!thsiFinD("ths_ev2_to_ebitda_usk",O$6,$A127)</f>
        <v>7.3671711761407996</v>
      </c>
      <c r="P127" s="26">
        <f>[1]!thsiFinD("ths_ev2_to_ebitda_usk",P$6,$A127)</f>
        <v>7.9697078261841998</v>
      </c>
      <c r="Q127" s="26">
        <f>[1]!thsiFinD("ths_ev2_to_ebitda_usk",Q$6,$A127)</f>
        <v>5.1401532134787997</v>
      </c>
      <c r="R127" s="26">
        <f>[1]!thsiFinD("ths_ev2_to_ebitda_usk",R$6,$A127)</f>
        <v>4.9901135608509</v>
      </c>
      <c r="S127" s="26">
        <f>[1]!thsiFinD("ths_ev2_to_ebitda_usk",S$6,$A127)</f>
        <v>4.0375759890858998</v>
      </c>
      <c r="T127" s="27">
        <f>[1]!thsiFinD("ths_pb_mrq_usk",T$6,$A127)</f>
        <v>1.7390998028819</v>
      </c>
      <c r="U127" s="27">
        <f>[1]!thsiFinD("ths_pb_mrq_usk",U$6,$A127)</f>
        <v>1.9307021622348</v>
      </c>
      <c r="V127" s="27">
        <f>[1]!thsiFinD("ths_pb_mrq_usk",V$6,$A127)</f>
        <v>1.6717565257561999</v>
      </c>
      <c r="W127" s="27">
        <f>[1]!thsiFinD("ths_pb_mrq_usk",W$6,$A127)</f>
        <v>1.9779715916394001</v>
      </c>
      <c r="X127" s="27">
        <f>[1]!thsiFinD("ths_pb_mrq_usk",X$6,$A127)</f>
        <v>1.639264466445</v>
      </c>
      <c r="Y127" s="27">
        <f>[1]!thsiFinD("ths_pb_mrq_usk",Y$6,$A127)</f>
        <v>1.4646535504886</v>
      </c>
      <c r="Z127" s="28">
        <f>[1]!thsiFinD("ths_ps_ttm_uss",Z$6,$A127,100)</f>
        <v>1.8181574316022999</v>
      </c>
      <c r="AA127" s="28">
        <f>[1]!thsiFinD("ths_ps_ttm_uss",AA$6,$A127,100)</f>
        <v>1.5090944398602999</v>
      </c>
      <c r="AB127" s="28">
        <f>[1]!thsiFinD("ths_ps_ttm_uss",AB$6,$A127,100)</f>
        <v>1.6327026613257001</v>
      </c>
      <c r="AC127" s="28">
        <f>[1]!thsiFinD("ths_ps_ttm_uss",AC$6,$A127,100)</f>
        <v>2.6530346628636998</v>
      </c>
      <c r="AD127" s="28">
        <f>[1]!thsiFinD("ths_ps_ttm_uss",AD$6,$A127,100)</f>
        <v>0.49497042216553</v>
      </c>
      <c r="AE127" s="28">
        <f>[1]!thsiFinD("ths_ps_ttm_uss",AE$6,$A127,100)</f>
        <v>1.2869165426445</v>
      </c>
      <c r="AJ127" s="44">
        <f>[1]!thsiFinD("ths_right_value_usk",AJ$6,$A127,"USD")/1000000</f>
        <v>112907.5765025</v>
      </c>
      <c r="AK127" s="44">
        <f>[1]!thsiFinD("ths_right_value_usk",AK$6,$A127,"USD")/1000000</f>
        <v>503065.68609406002</v>
      </c>
      <c r="AL127" s="44">
        <f>[1]!thsiFinD("ths_right_value_usk",AL$6,$A127,"USD")/1000000</f>
        <v>317371.27411914</v>
      </c>
      <c r="AM127" s="44">
        <f>[1]!thsiFinD("ths_right_value_usk",AM$6,$A127,"USD")/1000000</f>
        <v>59902.8696528</v>
      </c>
      <c r="AN127" s="44">
        <f>[1]!thsiFinD("ths_right_value_usk",AN$6,$A127,"USD")/1000000</f>
        <v>95477.319583619988</v>
      </c>
      <c r="AO127" s="44">
        <f>[1]!thsiFinD("ths_right_value_usk",AO$6,$A127,"USD")/1000000</f>
        <v>22482.432000000001</v>
      </c>
      <c r="AP127" s="44">
        <f>[1]!thsiFinD("ths_ev2_usk",AP$6,$A127,"USD")/1000000</f>
        <v>131129.57650249999</v>
      </c>
      <c r="AQ127" s="44">
        <f>[1]!thsiFinD("ths_ev2_usk",AQ$6,$A127,"USD")/1000000</f>
        <v>540094.68609405996</v>
      </c>
      <c r="AR127" s="44">
        <f>[1]!thsiFinD("ths_ev2_usk",AR$6,$A127,"USD")/1000000</f>
        <v>356947.27411914</v>
      </c>
      <c r="AS127" s="44">
        <f>[1]!thsiFinD("ths_ev2_usk",AS$6,$A127,"USD")/1000000</f>
        <v>64066.8696528</v>
      </c>
      <c r="AT127" s="44">
        <f>[1]!thsiFinD("ths_ev2_usk",AT$6,$A127,"USD")/1000000</f>
        <v>140157.31958362</v>
      </c>
      <c r="AU127" s="44">
        <f>[1]!thsiFinD("ths_ev2_usk",AU$6,$A127,"USD")/1000000</f>
        <v>29595.432000000001</v>
      </c>
    </row>
    <row r="128" spans="1:47" x14ac:dyDescent="0.45">
      <c r="A128" s="3"/>
      <c r="B128" s="13"/>
      <c r="H128" s="23">
        <f>[1]!thsiFinD("ths_pe_ttm_uss",B$6,$A128,100)</f>
        <v>12.763687147016</v>
      </c>
      <c r="I128" s="23">
        <f>[1]!thsiFinD("ths_pe_ttm_uss",C$6,$A128,100)</f>
        <v>16.795168633995001</v>
      </c>
      <c r="J128" s="23">
        <f>[1]!thsiFinD("ths_pe_ttm_uss",D$6,$A128,100)</f>
        <v>24.856772722363999</v>
      </c>
      <c r="K128" s="23">
        <f>[1]!thsiFinD("ths_pe_ttm_uss",E$6,$A128,100)</f>
        <v>10.832345326004001</v>
      </c>
      <c r="L128" s="23">
        <f>[1]!thsiFinD("ths_pe_ttm_uss",F$6,$A128,100)</f>
        <v>62.896784969446998</v>
      </c>
      <c r="M128" s="23">
        <f>[1]!thsiFinD("ths_pe_ttm_uss",G$6,$A128,100)</f>
        <v>8.2686399411548006</v>
      </c>
      <c r="N128" s="26">
        <f>[1]!thsiFinD("ths_ev2_to_ebitda_usk",N$6,$A128)</f>
        <v>5.6348922049976</v>
      </c>
      <c r="O128" s="26">
        <f>[1]!thsiFinD("ths_ev2_to_ebitda_usk",O$6,$A128)</f>
        <v>7.3671711761407996</v>
      </c>
      <c r="P128" s="26">
        <f>[1]!thsiFinD("ths_ev2_to_ebitda_usk",P$6,$A128)</f>
        <v>7.9697078261841998</v>
      </c>
      <c r="Q128" s="26">
        <f>[1]!thsiFinD("ths_ev2_to_ebitda_usk",Q$6,$A128)</f>
        <v>5.1401532134787997</v>
      </c>
      <c r="R128" s="26">
        <f>[1]!thsiFinD("ths_ev2_to_ebitda_usk",R$6,$A128)</f>
        <v>4.9901135608509</v>
      </c>
      <c r="S128" s="26">
        <f>[1]!thsiFinD("ths_ev2_to_ebitda_usk",S$6,$A128)</f>
        <v>4.0375759890858998</v>
      </c>
      <c r="T128" s="27">
        <f>[1]!thsiFinD("ths_pb_mrq_usk",T$6,$A128)</f>
        <v>1.7390998028819</v>
      </c>
      <c r="U128" s="27">
        <f>[1]!thsiFinD("ths_pb_mrq_usk",U$6,$A128)</f>
        <v>1.9307021622348</v>
      </c>
      <c r="V128" s="27">
        <f>[1]!thsiFinD("ths_pb_mrq_usk",V$6,$A128)</f>
        <v>1.6717565257561999</v>
      </c>
      <c r="W128" s="27">
        <f>[1]!thsiFinD("ths_pb_mrq_usk",W$6,$A128)</f>
        <v>1.9779715916394001</v>
      </c>
      <c r="X128" s="27">
        <f>[1]!thsiFinD("ths_pb_mrq_usk",X$6,$A128)</f>
        <v>1.639264466445</v>
      </c>
      <c r="Y128" s="27">
        <f>[1]!thsiFinD("ths_pb_mrq_usk",Y$6,$A128)</f>
        <v>1.4646535504886</v>
      </c>
      <c r="Z128" s="28">
        <f>[1]!thsiFinD("ths_ps_ttm_uss",Z$6,$A128,100)</f>
        <v>1.8181574316022999</v>
      </c>
      <c r="AA128" s="28">
        <f>[1]!thsiFinD("ths_ps_ttm_uss",AA$6,$A128,100)</f>
        <v>1.5090944398602999</v>
      </c>
      <c r="AB128" s="28">
        <f>[1]!thsiFinD("ths_ps_ttm_uss",AB$6,$A128,100)</f>
        <v>1.6327026613257001</v>
      </c>
      <c r="AC128" s="28">
        <f>[1]!thsiFinD("ths_ps_ttm_uss",AC$6,$A128,100)</f>
        <v>2.6530346628636998</v>
      </c>
      <c r="AD128" s="28">
        <f>[1]!thsiFinD("ths_ps_ttm_uss",AD$6,$A128,100)</f>
        <v>0.49497042216553</v>
      </c>
      <c r="AE128" s="28">
        <f>[1]!thsiFinD("ths_ps_ttm_uss",AE$6,$A128,100)</f>
        <v>1.2869165426445</v>
      </c>
      <c r="AJ128" s="44">
        <f>[1]!thsiFinD("ths_right_value_usk",AJ$6,$A128,"USD")/1000000</f>
        <v>112907.5765025</v>
      </c>
      <c r="AK128" s="44">
        <f>[1]!thsiFinD("ths_right_value_usk",AK$6,$A128,"USD")/1000000</f>
        <v>503065.68609406002</v>
      </c>
      <c r="AL128" s="44">
        <f>[1]!thsiFinD("ths_right_value_usk",AL$6,$A128,"USD")/1000000</f>
        <v>317371.27411914</v>
      </c>
      <c r="AM128" s="44">
        <f>[1]!thsiFinD("ths_right_value_usk",AM$6,$A128,"USD")/1000000</f>
        <v>59902.8696528</v>
      </c>
      <c r="AN128" s="44">
        <f>[1]!thsiFinD("ths_right_value_usk",AN$6,$A128,"USD")/1000000</f>
        <v>95477.319583619988</v>
      </c>
      <c r="AO128" s="44">
        <f>[1]!thsiFinD("ths_right_value_usk",AO$6,$A128,"USD")/1000000</f>
        <v>22482.432000000001</v>
      </c>
      <c r="AP128" s="44">
        <f>[1]!thsiFinD("ths_ev2_usk",AP$6,$A128,"USD")/1000000</f>
        <v>131129.57650249999</v>
      </c>
      <c r="AQ128" s="44">
        <f>[1]!thsiFinD("ths_ev2_usk",AQ$6,$A128,"USD")/1000000</f>
        <v>540094.68609405996</v>
      </c>
      <c r="AR128" s="44">
        <f>[1]!thsiFinD("ths_ev2_usk",AR$6,$A128,"USD")/1000000</f>
        <v>356947.27411914</v>
      </c>
      <c r="AS128" s="44">
        <f>[1]!thsiFinD("ths_ev2_usk",AS$6,$A128,"USD")/1000000</f>
        <v>64066.8696528</v>
      </c>
      <c r="AT128" s="44">
        <f>[1]!thsiFinD("ths_ev2_usk",AT$6,$A128,"USD")/1000000</f>
        <v>140157.31958362</v>
      </c>
      <c r="AU128" s="44">
        <f>[1]!thsiFinD("ths_ev2_usk",AU$6,$A128,"USD")/1000000</f>
        <v>29595.432000000001</v>
      </c>
    </row>
    <row r="129" spans="1:47" x14ac:dyDescent="0.45">
      <c r="A129" s="3"/>
      <c r="B129" s="13"/>
      <c r="H129" s="23">
        <f>[1]!thsiFinD("ths_pe_ttm_uss",B$6,$A129,100)</f>
        <v>12.763687147016</v>
      </c>
      <c r="I129" s="23">
        <f>[1]!thsiFinD("ths_pe_ttm_uss",C$6,$A129,100)</f>
        <v>16.795168633995001</v>
      </c>
      <c r="J129" s="23">
        <f>[1]!thsiFinD("ths_pe_ttm_uss",D$6,$A129,100)</f>
        <v>24.856772722363999</v>
      </c>
      <c r="K129" s="23">
        <f>[1]!thsiFinD("ths_pe_ttm_uss",E$6,$A129,100)</f>
        <v>10.832345326004001</v>
      </c>
      <c r="L129" s="23">
        <f>[1]!thsiFinD("ths_pe_ttm_uss",F$6,$A129,100)</f>
        <v>62.896784969446998</v>
      </c>
      <c r="M129" s="23">
        <f>[1]!thsiFinD("ths_pe_ttm_uss",G$6,$A129,100)</f>
        <v>8.2686399411548006</v>
      </c>
      <c r="N129" s="26">
        <f>[1]!thsiFinD("ths_ev2_to_ebitda_usk",N$6,$A129)</f>
        <v>5.6348922049976</v>
      </c>
      <c r="O129" s="26">
        <f>[1]!thsiFinD("ths_ev2_to_ebitda_usk",O$6,$A129)</f>
        <v>7.3671711761407996</v>
      </c>
      <c r="P129" s="26">
        <f>[1]!thsiFinD("ths_ev2_to_ebitda_usk",P$6,$A129)</f>
        <v>7.9697078261841998</v>
      </c>
      <c r="Q129" s="26">
        <f>[1]!thsiFinD("ths_ev2_to_ebitda_usk",Q$6,$A129)</f>
        <v>5.1401532134787997</v>
      </c>
      <c r="R129" s="26">
        <f>[1]!thsiFinD("ths_ev2_to_ebitda_usk",R$6,$A129)</f>
        <v>4.9901135608509</v>
      </c>
      <c r="S129" s="26">
        <f>[1]!thsiFinD("ths_ev2_to_ebitda_usk",S$6,$A129)</f>
        <v>4.0375759890858998</v>
      </c>
      <c r="T129" s="27">
        <f>[1]!thsiFinD("ths_pb_mrq_usk",T$6,$A129)</f>
        <v>1.7390998028819</v>
      </c>
      <c r="U129" s="27">
        <f>[1]!thsiFinD("ths_pb_mrq_usk",U$6,$A129)</f>
        <v>1.9307021622348</v>
      </c>
      <c r="V129" s="27">
        <f>[1]!thsiFinD("ths_pb_mrq_usk",V$6,$A129)</f>
        <v>1.6717565257561999</v>
      </c>
      <c r="W129" s="27">
        <f>[1]!thsiFinD("ths_pb_mrq_usk",W$6,$A129)</f>
        <v>1.9779715916394001</v>
      </c>
      <c r="X129" s="27">
        <f>[1]!thsiFinD("ths_pb_mrq_usk",X$6,$A129)</f>
        <v>1.639264466445</v>
      </c>
      <c r="Y129" s="27">
        <f>[1]!thsiFinD("ths_pb_mrq_usk",Y$6,$A129)</f>
        <v>1.4646535504886</v>
      </c>
      <c r="Z129" s="28">
        <f>[1]!thsiFinD("ths_ps_ttm_uss",Z$6,$A129,100)</f>
        <v>1.8181574316022999</v>
      </c>
      <c r="AA129" s="28">
        <f>[1]!thsiFinD("ths_ps_ttm_uss",AA$6,$A129,100)</f>
        <v>1.5090944398602999</v>
      </c>
      <c r="AB129" s="28">
        <f>[1]!thsiFinD("ths_ps_ttm_uss",AB$6,$A129,100)</f>
        <v>1.6327026613257001</v>
      </c>
      <c r="AC129" s="28">
        <f>[1]!thsiFinD("ths_ps_ttm_uss",AC$6,$A129,100)</f>
        <v>2.6530346628636998</v>
      </c>
      <c r="AD129" s="28">
        <f>[1]!thsiFinD("ths_ps_ttm_uss",AD$6,$A129,100)</f>
        <v>0.49497042216553</v>
      </c>
      <c r="AE129" s="28">
        <f>[1]!thsiFinD("ths_ps_ttm_uss",AE$6,$A129,100)</f>
        <v>1.2869165426445</v>
      </c>
      <c r="AJ129" s="44">
        <f>[1]!thsiFinD("ths_right_value_usk",AJ$6,$A129,"USD")/1000000</f>
        <v>112907.5765025</v>
      </c>
      <c r="AK129" s="44">
        <f>[1]!thsiFinD("ths_right_value_usk",AK$6,$A129,"USD")/1000000</f>
        <v>503065.68609406002</v>
      </c>
      <c r="AL129" s="44">
        <f>[1]!thsiFinD("ths_right_value_usk",AL$6,$A129,"USD")/1000000</f>
        <v>317371.27411914</v>
      </c>
      <c r="AM129" s="44">
        <f>[1]!thsiFinD("ths_right_value_usk",AM$6,$A129,"USD")/1000000</f>
        <v>59902.8696528</v>
      </c>
      <c r="AN129" s="44">
        <f>[1]!thsiFinD("ths_right_value_usk",AN$6,$A129,"USD")/1000000</f>
        <v>95477.319583619988</v>
      </c>
      <c r="AO129" s="44">
        <f>[1]!thsiFinD("ths_right_value_usk",AO$6,$A129,"USD")/1000000</f>
        <v>22482.432000000001</v>
      </c>
      <c r="AP129" s="44">
        <f>[1]!thsiFinD("ths_ev2_usk",AP$6,$A129,"USD")/1000000</f>
        <v>131129.57650249999</v>
      </c>
      <c r="AQ129" s="44">
        <f>[1]!thsiFinD("ths_ev2_usk",AQ$6,$A129,"USD")/1000000</f>
        <v>540094.68609405996</v>
      </c>
      <c r="AR129" s="44">
        <f>[1]!thsiFinD("ths_ev2_usk",AR$6,$A129,"USD")/1000000</f>
        <v>356947.27411914</v>
      </c>
      <c r="AS129" s="44">
        <f>[1]!thsiFinD("ths_ev2_usk",AS$6,$A129,"USD")/1000000</f>
        <v>64066.8696528</v>
      </c>
      <c r="AT129" s="44">
        <f>[1]!thsiFinD("ths_ev2_usk",AT$6,$A129,"USD")/1000000</f>
        <v>140157.31958362</v>
      </c>
      <c r="AU129" s="44">
        <f>[1]!thsiFinD("ths_ev2_usk",AU$6,$A129,"USD")/1000000</f>
        <v>29595.432000000001</v>
      </c>
    </row>
    <row r="130" spans="1:47" x14ac:dyDescent="0.45">
      <c r="A130" s="3"/>
      <c r="B130" s="13"/>
      <c r="H130" s="23">
        <f>[1]!thsiFinD("ths_pe_ttm_uss",B$6,$A130,100)</f>
        <v>12.763687147016</v>
      </c>
      <c r="I130" s="23">
        <f>[1]!thsiFinD("ths_pe_ttm_uss",C$6,$A130,100)</f>
        <v>16.795168633995001</v>
      </c>
      <c r="J130" s="23">
        <f>[1]!thsiFinD("ths_pe_ttm_uss",D$6,$A130,100)</f>
        <v>24.856772722363999</v>
      </c>
      <c r="K130" s="23">
        <f>[1]!thsiFinD("ths_pe_ttm_uss",E$6,$A130,100)</f>
        <v>10.832345326004001</v>
      </c>
      <c r="L130" s="23">
        <f>[1]!thsiFinD("ths_pe_ttm_uss",F$6,$A130,100)</f>
        <v>62.896784969446998</v>
      </c>
      <c r="M130" s="23">
        <f>[1]!thsiFinD("ths_pe_ttm_uss",G$6,$A130,100)</f>
        <v>8.2686399411548006</v>
      </c>
      <c r="N130" s="26">
        <f>[1]!thsiFinD("ths_ev2_to_ebitda_usk",N$6,$A130)</f>
        <v>5.6348922049976</v>
      </c>
      <c r="O130" s="26">
        <f>[1]!thsiFinD("ths_ev2_to_ebitda_usk",O$6,$A130)</f>
        <v>7.3671711761407996</v>
      </c>
      <c r="P130" s="26">
        <f>[1]!thsiFinD("ths_ev2_to_ebitda_usk",P$6,$A130)</f>
        <v>7.9697078261841998</v>
      </c>
      <c r="Q130" s="26">
        <f>[1]!thsiFinD("ths_ev2_to_ebitda_usk",Q$6,$A130)</f>
        <v>5.1401532134787997</v>
      </c>
      <c r="R130" s="26">
        <f>[1]!thsiFinD("ths_ev2_to_ebitda_usk",R$6,$A130)</f>
        <v>4.9901135608509</v>
      </c>
      <c r="S130" s="26">
        <f>[1]!thsiFinD("ths_ev2_to_ebitda_usk",S$6,$A130)</f>
        <v>4.0375759890858998</v>
      </c>
      <c r="T130" s="27">
        <f>[1]!thsiFinD("ths_pb_mrq_usk",T$6,$A130)</f>
        <v>1.7390998028819</v>
      </c>
      <c r="U130" s="27">
        <f>[1]!thsiFinD("ths_pb_mrq_usk",U$6,$A130)</f>
        <v>1.9307021622348</v>
      </c>
      <c r="V130" s="27">
        <f>[1]!thsiFinD("ths_pb_mrq_usk",V$6,$A130)</f>
        <v>1.6717565257561999</v>
      </c>
      <c r="W130" s="27">
        <f>[1]!thsiFinD("ths_pb_mrq_usk",W$6,$A130)</f>
        <v>1.9779715916394001</v>
      </c>
      <c r="X130" s="27">
        <f>[1]!thsiFinD("ths_pb_mrq_usk",X$6,$A130)</f>
        <v>1.639264466445</v>
      </c>
      <c r="Y130" s="27">
        <f>[1]!thsiFinD("ths_pb_mrq_usk",Y$6,$A130)</f>
        <v>1.4646535504886</v>
      </c>
      <c r="Z130" s="28">
        <f>[1]!thsiFinD("ths_ps_ttm_uss",Z$6,$A130,100)</f>
        <v>1.8181574316022999</v>
      </c>
      <c r="AA130" s="28">
        <f>[1]!thsiFinD("ths_ps_ttm_uss",AA$6,$A130,100)</f>
        <v>1.5090944398602999</v>
      </c>
      <c r="AB130" s="28">
        <f>[1]!thsiFinD("ths_ps_ttm_uss",AB$6,$A130,100)</f>
        <v>1.6327026613257001</v>
      </c>
      <c r="AC130" s="28">
        <f>[1]!thsiFinD("ths_ps_ttm_uss",AC$6,$A130,100)</f>
        <v>2.6530346628636998</v>
      </c>
      <c r="AD130" s="28">
        <f>[1]!thsiFinD("ths_ps_ttm_uss",AD$6,$A130,100)</f>
        <v>0.49497042216553</v>
      </c>
      <c r="AE130" s="28">
        <f>[1]!thsiFinD("ths_ps_ttm_uss",AE$6,$A130,100)</f>
        <v>1.2869165426445</v>
      </c>
      <c r="AJ130" s="44">
        <f>[1]!thsiFinD("ths_right_value_usk",AJ$6,$A130,"USD")/1000000</f>
        <v>112907.5765025</v>
      </c>
      <c r="AK130" s="44">
        <f>[1]!thsiFinD("ths_right_value_usk",AK$6,$A130,"USD")/1000000</f>
        <v>503065.68609406002</v>
      </c>
      <c r="AL130" s="44">
        <f>[1]!thsiFinD("ths_right_value_usk",AL$6,$A130,"USD")/1000000</f>
        <v>317371.27411914</v>
      </c>
      <c r="AM130" s="44">
        <f>[1]!thsiFinD("ths_right_value_usk",AM$6,$A130,"USD")/1000000</f>
        <v>59902.8696528</v>
      </c>
      <c r="AN130" s="44">
        <f>[1]!thsiFinD("ths_right_value_usk",AN$6,$A130,"USD")/1000000</f>
        <v>95477.319583619988</v>
      </c>
      <c r="AO130" s="44">
        <f>[1]!thsiFinD("ths_right_value_usk",AO$6,$A130,"USD")/1000000</f>
        <v>22482.432000000001</v>
      </c>
      <c r="AP130" s="44">
        <f>[1]!thsiFinD("ths_ev2_usk",AP$6,$A130,"USD")/1000000</f>
        <v>131129.57650249999</v>
      </c>
      <c r="AQ130" s="44">
        <f>[1]!thsiFinD("ths_ev2_usk",AQ$6,$A130,"USD")/1000000</f>
        <v>540094.68609405996</v>
      </c>
      <c r="AR130" s="44">
        <f>[1]!thsiFinD("ths_ev2_usk",AR$6,$A130,"USD")/1000000</f>
        <v>356947.27411914</v>
      </c>
      <c r="AS130" s="44">
        <f>[1]!thsiFinD("ths_ev2_usk",AS$6,$A130,"USD")/1000000</f>
        <v>64066.8696528</v>
      </c>
      <c r="AT130" s="44">
        <f>[1]!thsiFinD("ths_ev2_usk",AT$6,$A130,"USD")/1000000</f>
        <v>140157.31958362</v>
      </c>
      <c r="AU130" s="44">
        <f>[1]!thsiFinD("ths_ev2_usk",AU$6,$A130,"USD")/1000000</f>
        <v>29595.432000000001</v>
      </c>
    </row>
    <row r="131" spans="1:47" x14ac:dyDescent="0.45">
      <c r="A131" s="3"/>
      <c r="B131" s="13"/>
      <c r="H131" s="23">
        <f>[1]!thsiFinD("ths_pe_ttm_uss",B$6,$A131,100)</f>
        <v>12.763687147016</v>
      </c>
      <c r="I131" s="23">
        <f>[1]!thsiFinD("ths_pe_ttm_uss",C$6,$A131,100)</f>
        <v>16.795168633995001</v>
      </c>
      <c r="J131" s="23">
        <f>[1]!thsiFinD("ths_pe_ttm_uss",D$6,$A131,100)</f>
        <v>24.856772722363999</v>
      </c>
      <c r="K131" s="23">
        <f>[1]!thsiFinD("ths_pe_ttm_uss",E$6,$A131,100)</f>
        <v>10.832345326004001</v>
      </c>
      <c r="L131" s="23">
        <f>[1]!thsiFinD("ths_pe_ttm_uss",F$6,$A131,100)</f>
        <v>62.896784969446998</v>
      </c>
      <c r="M131" s="23">
        <f>[1]!thsiFinD("ths_pe_ttm_uss",G$6,$A131,100)</f>
        <v>8.2686399411548006</v>
      </c>
      <c r="N131" s="26">
        <f>[1]!thsiFinD("ths_ev2_to_ebitda_usk",N$6,$A131)</f>
        <v>5.6348922049976</v>
      </c>
      <c r="O131" s="26">
        <f>[1]!thsiFinD("ths_ev2_to_ebitda_usk",O$6,$A131)</f>
        <v>7.3671711761407996</v>
      </c>
      <c r="P131" s="26">
        <f>[1]!thsiFinD("ths_ev2_to_ebitda_usk",P$6,$A131)</f>
        <v>7.9697078261841998</v>
      </c>
      <c r="Q131" s="26">
        <f>[1]!thsiFinD("ths_ev2_to_ebitda_usk",Q$6,$A131)</f>
        <v>5.1401532134787997</v>
      </c>
      <c r="R131" s="26">
        <f>[1]!thsiFinD("ths_ev2_to_ebitda_usk",R$6,$A131)</f>
        <v>4.9901135608509</v>
      </c>
      <c r="S131" s="26">
        <f>[1]!thsiFinD("ths_ev2_to_ebitda_usk",S$6,$A131)</f>
        <v>4.0375759890858998</v>
      </c>
      <c r="T131" s="27">
        <f>[1]!thsiFinD("ths_pb_mrq_usk",T$6,$A131)</f>
        <v>1.7390998028819</v>
      </c>
      <c r="U131" s="27">
        <f>[1]!thsiFinD("ths_pb_mrq_usk",U$6,$A131)</f>
        <v>1.9307021622348</v>
      </c>
      <c r="V131" s="27">
        <f>[1]!thsiFinD("ths_pb_mrq_usk",V$6,$A131)</f>
        <v>1.6717565257561999</v>
      </c>
      <c r="W131" s="27">
        <f>[1]!thsiFinD("ths_pb_mrq_usk",W$6,$A131)</f>
        <v>1.9779715916394001</v>
      </c>
      <c r="X131" s="27">
        <f>[1]!thsiFinD("ths_pb_mrq_usk",X$6,$A131)</f>
        <v>1.639264466445</v>
      </c>
      <c r="Y131" s="27">
        <f>[1]!thsiFinD("ths_pb_mrq_usk",Y$6,$A131)</f>
        <v>1.4646535504886</v>
      </c>
      <c r="Z131" s="28">
        <f>[1]!thsiFinD("ths_ps_ttm_uss",Z$6,$A131,100)</f>
        <v>1.8181574316022999</v>
      </c>
      <c r="AA131" s="28">
        <f>[1]!thsiFinD("ths_ps_ttm_uss",AA$6,$A131,100)</f>
        <v>1.5090944398602999</v>
      </c>
      <c r="AB131" s="28">
        <f>[1]!thsiFinD("ths_ps_ttm_uss",AB$6,$A131,100)</f>
        <v>1.6327026613257001</v>
      </c>
      <c r="AC131" s="28">
        <f>[1]!thsiFinD("ths_ps_ttm_uss",AC$6,$A131,100)</f>
        <v>2.6530346628636998</v>
      </c>
      <c r="AD131" s="28">
        <f>[1]!thsiFinD("ths_ps_ttm_uss",AD$6,$A131,100)</f>
        <v>0.49497042216553</v>
      </c>
      <c r="AE131" s="28">
        <f>[1]!thsiFinD("ths_ps_ttm_uss",AE$6,$A131,100)</f>
        <v>1.2869165426445</v>
      </c>
      <c r="AJ131" s="44">
        <f>[1]!thsiFinD("ths_right_value_usk",AJ$6,$A131,"USD")/1000000</f>
        <v>112907.5765025</v>
      </c>
      <c r="AK131" s="44">
        <f>[1]!thsiFinD("ths_right_value_usk",AK$6,$A131,"USD")/1000000</f>
        <v>503065.68609406002</v>
      </c>
      <c r="AL131" s="44">
        <f>[1]!thsiFinD("ths_right_value_usk",AL$6,$A131,"USD")/1000000</f>
        <v>317371.27411914</v>
      </c>
      <c r="AM131" s="44">
        <f>[1]!thsiFinD("ths_right_value_usk",AM$6,$A131,"USD")/1000000</f>
        <v>59902.8696528</v>
      </c>
      <c r="AN131" s="44">
        <f>[1]!thsiFinD("ths_right_value_usk",AN$6,$A131,"USD")/1000000</f>
        <v>95477.319583619988</v>
      </c>
      <c r="AO131" s="44">
        <f>[1]!thsiFinD("ths_right_value_usk",AO$6,$A131,"USD")/1000000</f>
        <v>22482.432000000001</v>
      </c>
      <c r="AP131" s="44">
        <f>[1]!thsiFinD("ths_ev2_usk",AP$6,$A131,"USD")/1000000</f>
        <v>131129.57650249999</v>
      </c>
      <c r="AQ131" s="44">
        <f>[1]!thsiFinD("ths_ev2_usk",AQ$6,$A131,"USD")/1000000</f>
        <v>540094.68609405996</v>
      </c>
      <c r="AR131" s="44">
        <f>[1]!thsiFinD("ths_ev2_usk",AR$6,$A131,"USD")/1000000</f>
        <v>356947.27411914</v>
      </c>
      <c r="AS131" s="44">
        <f>[1]!thsiFinD("ths_ev2_usk",AS$6,$A131,"USD")/1000000</f>
        <v>64066.8696528</v>
      </c>
      <c r="AT131" s="44">
        <f>[1]!thsiFinD("ths_ev2_usk",AT$6,$A131,"USD")/1000000</f>
        <v>140157.31958362</v>
      </c>
      <c r="AU131" s="44">
        <f>[1]!thsiFinD("ths_ev2_usk",AU$6,$A131,"USD")/1000000</f>
        <v>29595.432000000001</v>
      </c>
    </row>
    <row r="132" spans="1:47" x14ac:dyDescent="0.45">
      <c r="A132" s="3"/>
      <c r="B132" s="13"/>
      <c r="H132" s="23">
        <f>[1]!thsiFinD("ths_pe_ttm_uss",B$6,$A132,100)</f>
        <v>12.763687147016</v>
      </c>
      <c r="I132" s="23">
        <f>[1]!thsiFinD("ths_pe_ttm_uss",C$6,$A132,100)</f>
        <v>16.795168633995001</v>
      </c>
      <c r="J132" s="23">
        <f>[1]!thsiFinD("ths_pe_ttm_uss",D$6,$A132,100)</f>
        <v>24.856772722363999</v>
      </c>
      <c r="K132" s="23">
        <f>[1]!thsiFinD("ths_pe_ttm_uss",E$6,$A132,100)</f>
        <v>10.832345326004001</v>
      </c>
      <c r="L132" s="23">
        <f>[1]!thsiFinD("ths_pe_ttm_uss",F$6,$A132,100)</f>
        <v>62.896784969446998</v>
      </c>
      <c r="M132" s="23">
        <f>[1]!thsiFinD("ths_pe_ttm_uss",G$6,$A132,100)</f>
        <v>8.2686399411548006</v>
      </c>
      <c r="N132" s="26">
        <f>[1]!thsiFinD("ths_ev2_to_ebitda_usk",N$6,$A132)</f>
        <v>5.6348922049976</v>
      </c>
      <c r="O132" s="26">
        <f>[1]!thsiFinD("ths_ev2_to_ebitda_usk",O$6,$A132)</f>
        <v>7.3671711761407996</v>
      </c>
      <c r="P132" s="26">
        <f>[1]!thsiFinD("ths_ev2_to_ebitda_usk",P$6,$A132)</f>
        <v>7.9697078261841998</v>
      </c>
      <c r="Q132" s="26">
        <f>[1]!thsiFinD("ths_ev2_to_ebitda_usk",Q$6,$A132)</f>
        <v>5.1401532134787997</v>
      </c>
      <c r="R132" s="26">
        <f>[1]!thsiFinD("ths_ev2_to_ebitda_usk",R$6,$A132)</f>
        <v>4.9901135608509</v>
      </c>
      <c r="S132" s="26">
        <f>[1]!thsiFinD("ths_ev2_to_ebitda_usk",S$6,$A132)</f>
        <v>4.0375759890858998</v>
      </c>
      <c r="T132" s="27">
        <f>[1]!thsiFinD("ths_pb_mrq_usk",T$6,$A132)</f>
        <v>1.7390998028819</v>
      </c>
      <c r="U132" s="27">
        <f>[1]!thsiFinD("ths_pb_mrq_usk",U$6,$A132)</f>
        <v>1.9307021622348</v>
      </c>
      <c r="V132" s="27">
        <f>[1]!thsiFinD("ths_pb_mrq_usk",V$6,$A132)</f>
        <v>1.6717565257561999</v>
      </c>
      <c r="W132" s="27">
        <f>[1]!thsiFinD("ths_pb_mrq_usk",W$6,$A132)</f>
        <v>1.9779715916394001</v>
      </c>
      <c r="X132" s="27">
        <f>[1]!thsiFinD("ths_pb_mrq_usk",X$6,$A132)</f>
        <v>1.639264466445</v>
      </c>
      <c r="Y132" s="27">
        <f>[1]!thsiFinD("ths_pb_mrq_usk",Y$6,$A132)</f>
        <v>1.4646535504886</v>
      </c>
      <c r="Z132" s="28">
        <f>[1]!thsiFinD("ths_ps_ttm_uss",Z$6,$A132,100)</f>
        <v>1.8181574316022999</v>
      </c>
      <c r="AA132" s="28">
        <f>[1]!thsiFinD("ths_ps_ttm_uss",AA$6,$A132,100)</f>
        <v>1.5090944398602999</v>
      </c>
      <c r="AB132" s="28">
        <f>[1]!thsiFinD("ths_ps_ttm_uss",AB$6,$A132,100)</f>
        <v>1.6327026613257001</v>
      </c>
      <c r="AC132" s="28">
        <f>[1]!thsiFinD("ths_ps_ttm_uss",AC$6,$A132,100)</f>
        <v>2.6530346628636998</v>
      </c>
      <c r="AD132" s="28">
        <f>[1]!thsiFinD("ths_ps_ttm_uss",AD$6,$A132,100)</f>
        <v>0.49497042216553</v>
      </c>
      <c r="AE132" s="28">
        <f>[1]!thsiFinD("ths_ps_ttm_uss",AE$6,$A132,100)</f>
        <v>1.2869165426445</v>
      </c>
      <c r="AJ132" s="44">
        <f>[1]!thsiFinD("ths_right_value_usk",AJ$6,$A132,"USD")/1000000</f>
        <v>112907.5765025</v>
      </c>
      <c r="AK132" s="44">
        <f>[1]!thsiFinD("ths_right_value_usk",AK$6,$A132,"USD")/1000000</f>
        <v>503065.68609406002</v>
      </c>
      <c r="AL132" s="44">
        <f>[1]!thsiFinD("ths_right_value_usk",AL$6,$A132,"USD")/1000000</f>
        <v>317371.27411914</v>
      </c>
      <c r="AM132" s="44">
        <f>[1]!thsiFinD("ths_right_value_usk",AM$6,$A132,"USD")/1000000</f>
        <v>59902.8696528</v>
      </c>
      <c r="AN132" s="44">
        <f>[1]!thsiFinD("ths_right_value_usk",AN$6,$A132,"USD")/1000000</f>
        <v>95477.319583619988</v>
      </c>
      <c r="AO132" s="44">
        <f>[1]!thsiFinD("ths_right_value_usk",AO$6,$A132,"USD")/1000000</f>
        <v>22482.432000000001</v>
      </c>
      <c r="AP132" s="44">
        <f>[1]!thsiFinD("ths_ev2_usk",AP$6,$A132,"USD")/1000000</f>
        <v>131129.57650249999</v>
      </c>
      <c r="AQ132" s="44">
        <f>[1]!thsiFinD("ths_ev2_usk",AQ$6,$A132,"USD")/1000000</f>
        <v>540094.68609405996</v>
      </c>
      <c r="AR132" s="44">
        <f>[1]!thsiFinD("ths_ev2_usk",AR$6,$A132,"USD")/1000000</f>
        <v>356947.27411914</v>
      </c>
      <c r="AS132" s="44">
        <f>[1]!thsiFinD("ths_ev2_usk",AS$6,$A132,"USD")/1000000</f>
        <v>64066.8696528</v>
      </c>
      <c r="AT132" s="44">
        <f>[1]!thsiFinD("ths_ev2_usk",AT$6,$A132,"USD")/1000000</f>
        <v>140157.31958362</v>
      </c>
      <c r="AU132" s="44">
        <f>[1]!thsiFinD("ths_ev2_usk",AU$6,$A132,"USD")/1000000</f>
        <v>29595.432000000001</v>
      </c>
    </row>
    <row r="133" spans="1:47" x14ac:dyDescent="0.45">
      <c r="A133" s="3"/>
      <c r="B133" s="13"/>
      <c r="H133" s="23">
        <f>[1]!thsiFinD("ths_pe_ttm_uss",B$6,$A133,100)</f>
        <v>12.763687147016</v>
      </c>
      <c r="I133" s="23">
        <f>[1]!thsiFinD("ths_pe_ttm_uss",C$6,$A133,100)</f>
        <v>16.795168633995001</v>
      </c>
      <c r="J133" s="23">
        <f>[1]!thsiFinD("ths_pe_ttm_uss",D$6,$A133,100)</f>
        <v>24.856772722363999</v>
      </c>
      <c r="K133" s="23">
        <f>[1]!thsiFinD("ths_pe_ttm_uss",E$6,$A133,100)</f>
        <v>10.832345326004001</v>
      </c>
      <c r="L133" s="23">
        <f>[1]!thsiFinD("ths_pe_ttm_uss",F$6,$A133,100)</f>
        <v>62.896784969446998</v>
      </c>
      <c r="M133" s="23">
        <f>[1]!thsiFinD("ths_pe_ttm_uss",G$6,$A133,100)</f>
        <v>8.2686399411548006</v>
      </c>
      <c r="N133" s="26">
        <f>[1]!thsiFinD("ths_ev2_to_ebitda_usk",N$6,$A133)</f>
        <v>5.6348922049976</v>
      </c>
      <c r="O133" s="26">
        <f>[1]!thsiFinD("ths_ev2_to_ebitda_usk",O$6,$A133)</f>
        <v>7.3671711761407996</v>
      </c>
      <c r="P133" s="26">
        <f>[1]!thsiFinD("ths_ev2_to_ebitda_usk",P$6,$A133)</f>
        <v>7.9697078261841998</v>
      </c>
      <c r="Q133" s="26">
        <f>[1]!thsiFinD("ths_ev2_to_ebitda_usk",Q$6,$A133)</f>
        <v>5.1401532134787997</v>
      </c>
      <c r="R133" s="26">
        <f>[1]!thsiFinD("ths_ev2_to_ebitda_usk",R$6,$A133)</f>
        <v>4.9901135608509</v>
      </c>
      <c r="S133" s="26">
        <f>[1]!thsiFinD("ths_ev2_to_ebitda_usk",S$6,$A133)</f>
        <v>4.0375759890858998</v>
      </c>
      <c r="T133" s="27">
        <f>[1]!thsiFinD("ths_pb_mrq_usk",T$6,$A133)</f>
        <v>1.7390998028819</v>
      </c>
      <c r="U133" s="27">
        <f>[1]!thsiFinD("ths_pb_mrq_usk",U$6,$A133)</f>
        <v>1.9307021622348</v>
      </c>
      <c r="V133" s="27">
        <f>[1]!thsiFinD("ths_pb_mrq_usk",V$6,$A133)</f>
        <v>1.6717565257561999</v>
      </c>
      <c r="W133" s="27">
        <f>[1]!thsiFinD("ths_pb_mrq_usk",W$6,$A133)</f>
        <v>1.9779715916394001</v>
      </c>
      <c r="X133" s="27">
        <f>[1]!thsiFinD("ths_pb_mrq_usk",X$6,$A133)</f>
        <v>1.639264466445</v>
      </c>
      <c r="Y133" s="27">
        <f>[1]!thsiFinD("ths_pb_mrq_usk",Y$6,$A133)</f>
        <v>1.4646535504886</v>
      </c>
      <c r="Z133" s="28">
        <f>[1]!thsiFinD("ths_ps_ttm_uss",Z$6,$A133,100)</f>
        <v>1.8181574316022999</v>
      </c>
      <c r="AA133" s="28">
        <f>[1]!thsiFinD("ths_ps_ttm_uss",AA$6,$A133,100)</f>
        <v>1.5090944398602999</v>
      </c>
      <c r="AB133" s="28">
        <f>[1]!thsiFinD("ths_ps_ttm_uss",AB$6,$A133,100)</f>
        <v>1.6327026613257001</v>
      </c>
      <c r="AC133" s="28">
        <f>[1]!thsiFinD("ths_ps_ttm_uss",AC$6,$A133,100)</f>
        <v>2.6530346628636998</v>
      </c>
      <c r="AD133" s="28">
        <f>[1]!thsiFinD("ths_ps_ttm_uss",AD$6,$A133,100)</f>
        <v>0.49497042216553</v>
      </c>
      <c r="AE133" s="28">
        <f>[1]!thsiFinD("ths_ps_ttm_uss",AE$6,$A133,100)</f>
        <v>1.2869165426445</v>
      </c>
      <c r="AJ133" s="44">
        <f>[1]!thsiFinD("ths_right_value_usk",AJ$6,$A133,"USD")/1000000</f>
        <v>112907.5765025</v>
      </c>
      <c r="AK133" s="44">
        <f>[1]!thsiFinD("ths_right_value_usk",AK$6,$A133,"USD")/1000000</f>
        <v>503065.68609406002</v>
      </c>
      <c r="AL133" s="44">
        <f>[1]!thsiFinD("ths_right_value_usk",AL$6,$A133,"USD")/1000000</f>
        <v>317371.27411914</v>
      </c>
      <c r="AM133" s="44">
        <f>[1]!thsiFinD("ths_right_value_usk",AM$6,$A133,"USD")/1000000</f>
        <v>59902.8696528</v>
      </c>
      <c r="AN133" s="44">
        <f>[1]!thsiFinD("ths_right_value_usk",AN$6,$A133,"USD")/1000000</f>
        <v>95477.319583619988</v>
      </c>
      <c r="AO133" s="44">
        <f>[1]!thsiFinD("ths_right_value_usk",AO$6,$A133,"USD")/1000000</f>
        <v>22482.432000000001</v>
      </c>
      <c r="AP133" s="44">
        <f>[1]!thsiFinD("ths_ev2_usk",AP$6,$A133,"USD")/1000000</f>
        <v>131129.57650249999</v>
      </c>
      <c r="AQ133" s="44">
        <f>[1]!thsiFinD("ths_ev2_usk",AQ$6,$A133,"USD")/1000000</f>
        <v>540094.68609405996</v>
      </c>
      <c r="AR133" s="44">
        <f>[1]!thsiFinD("ths_ev2_usk",AR$6,$A133,"USD")/1000000</f>
        <v>356947.27411914</v>
      </c>
      <c r="AS133" s="44">
        <f>[1]!thsiFinD("ths_ev2_usk",AS$6,$A133,"USD")/1000000</f>
        <v>64066.8696528</v>
      </c>
      <c r="AT133" s="44">
        <f>[1]!thsiFinD("ths_ev2_usk",AT$6,$A133,"USD")/1000000</f>
        <v>140157.31958362</v>
      </c>
      <c r="AU133" s="44">
        <f>[1]!thsiFinD("ths_ev2_usk",AU$6,$A133,"USD")/1000000</f>
        <v>29595.432000000001</v>
      </c>
    </row>
    <row r="134" spans="1:47" x14ac:dyDescent="0.45">
      <c r="A134" s="3"/>
      <c r="B134" s="13"/>
      <c r="H134" s="23">
        <f>[1]!thsiFinD("ths_pe_ttm_uss",B$6,$A134,100)</f>
        <v>12.763687147016</v>
      </c>
      <c r="I134" s="23">
        <f>[1]!thsiFinD("ths_pe_ttm_uss",C$6,$A134,100)</f>
        <v>16.795168633995001</v>
      </c>
      <c r="J134" s="23">
        <f>[1]!thsiFinD("ths_pe_ttm_uss",D$6,$A134,100)</f>
        <v>24.856772722363999</v>
      </c>
      <c r="K134" s="23">
        <f>[1]!thsiFinD("ths_pe_ttm_uss",E$6,$A134,100)</f>
        <v>10.832345326004001</v>
      </c>
      <c r="L134" s="23">
        <f>[1]!thsiFinD("ths_pe_ttm_uss",F$6,$A134,100)</f>
        <v>62.896784969446998</v>
      </c>
      <c r="M134" s="23">
        <f>[1]!thsiFinD("ths_pe_ttm_uss",G$6,$A134,100)</f>
        <v>8.2686399411548006</v>
      </c>
      <c r="N134" s="26">
        <f>[1]!thsiFinD("ths_ev2_to_ebitda_usk",N$6,$A134)</f>
        <v>5.6348922049976</v>
      </c>
      <c r="O134" s="26">
        <f>[1]!thsiFinD("ths_ev2_to_ebitda_usk",O$6,$A134)</f>
        <v>7.3671711761407996</v>
      </c>
      <c r="P134" s="26">
        <f>[1]!thsiFinD("ths_ev2_to_ebitda_usk",P$6,$A134)</f>
        <v>7.9697078261841998</v>
      </c>
      <c r="Q134" s="26">
        <f>[1]!thsiFinD("ths_ev2_to_ebitda_usk",Q$6,$A134)</f>
        <v>5.1401532134787997</v>
      </c>
      <c r="R134" s="26">
        <f>[1]!thsiFinD("ths_ev2_to_ebitda_usk",R$6,$A134)</f>
        <v>4.9901135608509</v>
      </c>
      <c r="S134" s="26">
        <f>[1]!thsiFinD("ths_ev2_to_ebitda_usk",S$6,$A134)</f>
        <v>4.0375759890858998</v>
      </c>
      <c r="T134" s="27">
        <f>[1]!thsiFinD("ths_pb_mrq_usk",T$6,$A134)</f>
        <v>1.7390998028819</v>
      </c>
      <c r="U134" s="27">
        <f>[1]!thsiFinD("ths_pb_mrq_usk",U$6,$A134)</f>
        <v>1.9307021622348</v>
      </c>
      <c r="V134" s="27">
        <f>[1]!thsiFinD("ths_pb_mrq_usk",V$6,$A134)</f>
        <v>1.6717565257561999</v>
      </c>
      <c r="W134" s="27">
        <f>[1]!thsiFinD("ths_pb_mrq_usk",W$6,$A134)</f>
        <v>1.9779715916394001</v>
      </c>
      <c r="X134" s="27">
        <f>[1]!thsiFinD("ths_pb_mrq_usk",X$6,$A134)</f>
        <v>1.639264466445</v>
      </c>
      <c r="Y134" s="27">
        <f>[1]!thsiFinD("ths_pb_mrq_usk",Y$6,$A134)</f>
        <v>1.4646535504886</v>
      </c>
      <c r="Z134" s="28">
        <f>[1]!thsiFinD("ths_ps_ttm_uss",Z$6,$A134,100)</f>
        <v>1.8181574316022999</v>
      </c>
      <c r="AA134" s="28">
        <f>[1]!thsiFinD("ths_ps_ttm_uss",AA$6,$A134,100)</f>
        <v>1.5090944398602999</v>
      </c>
      <c r="AB134" s="28">
        <f>[1]!thsiFinD("ths_ps_ttm_uss",AB$6,$A134,100)</f>
        <v>1.6327026613257001</v>
      </c>
      <c r="AC134" s="28">
        <f>[1]!thsiFinD("ths_ps_ttm_uss",AC$6,$A134,100)</f>
        <v>2.6530346628636998</v>
      </c>
      <c r="AD134" s="28">
        <f>[1]!thsiFinD("ths_ps_ttm_uss",AD$6,$A134,100)</f>
        <v>0.49497042216553</v>
      </c>
      <c r="AE134" s="28">
        <f>[1]!thsiFinD("ths_ps_ttm_uss",AE$6,$A134,100)</f>
        <v>1.2869165426445</v>
      </c>
      <c r="AJ134" s="44">
        <f>[1]!thsiFinD("ths_right_value_usk",AJ$6,$A134,"USD")/1000000</f>
        <v>112907.5765025</v>
      </c>
      <c r="AK134" s="44">
        <f>[1]!thsiFinD("ths_right_value_usk",AK$6,$A134,"USD")/1000000</f>
        <v>503065.68609406002</v>
      </c>
      <c r="AL134" s="44">
        <f>[1]!thsiFinD("ths_right_value_usk",AL$6,$A134,"USD")/1000000</f>
        <v>317371.27411914</v>
      </c>
      <c r="AM134" s="44">
        <f>[1]!thsiFinD("ths_right_value_usk",AM$6,$A134,"USD")/1000000</f>
        <v>59902.8696528</v>
      </c>
      <c r="AN134" s="44">
        <f>[1]!thsiFinD("ths_right_value_usk",AN$6,$A134,"USD")/1000000</f>
        <v>95477.319583619988</v>
      </c>
      <c r="AO134" s="44">
        <f>[1]!thsiFinD("ths_right_value_usk",AO$6,$A134,"USD")/1000000</f>
        <v>22482.432000000001</v>
      </c>
      <c r="AP134" s="44">
        <f>[1]!thsiFinD("ths_ev2_usk",AP$6,$A134,"USD")/1000000</f>
        <v>131129.57650249999</v>
      </c>
      <c r="AQ134" s="44">
        <f>[1]!thsiFinD("ths_ev2_usk",AQ$6,$A134,"USD")/1000000</f>
        <v>540094.68609405996</v>
      </c>
      <c r="AR134" s="44">
        <f>[1]!thsiFinD("ths_ev2_usk",AR$6,$A134,"USD")/1000000</f>
        <v>356947.27411914</v>
      </c>
      <c r="AS134" s="44">
        <f>[1]!thsiFinD("ths_ev2_usk",AS$6,$A134,"USD")/1000000</f>
        <v>64066.8696528</v>
      </c>
      <c r="AT134" s="44">
        <f>[1]!thsiFinD("ths_ev2_usk",AT$6,$A134,"USD")/1000000</f>
        <v>140157.31958362</v>
      </c>
      <c r="AU134" s="44">
        <f>[1]!thsiFinD("ths_ev2_usk",AU$6,$A134,"USD")/1000000</f>
        <v>29595.432000000001</v>
      </c>
    </row>
    <row r="135" spans="1:47" x14ac:dyDescent="0.45">
      <c r="A135" s="3"/>
      <c r="B135" s="13"/>
      <c r="H135" s="23">
        <f>[1]!thsiFinD("ths_pe_ttm_uss",B$6,$A135,100)</f>
        <v>12.763687147016</v>
      </c>
      <c r="I135" s="23">
        <f>[1]!thsiFinD("ths_pe_ttm_uss",C$6,$A135,100)</f>
        <v>16.795168633995001</v>
      </c>
      <c r="J135" s="23">
        <f>[1]!thsiFinD("ths_pe_ttm_uss",D$6,$A135,100)</f>
        <v>24.856772722363999</v>
      </c>
      <c r="K135" s="23">
        <f>[1]!thsiFinD("ths_pe_ttm_uss",E$6,$A135,100)</f>
        <v>10.832345326004001</v>
      </c>
      <c r="L135" s="23">
        <f>[1]!thsiFinD("ths_pe_ttm_uss",F$6,$A135,100)</f>
        <v>62.896784969446998</v>
      </c>
      <c r="M135" s="23">
        <f>[1]!thsiFinD("ths_pe_ttm_uss",G$6,$A135,100)</f>
        <v>8.2686399411548006</v>
      </c>
      <c r="N135" s="26">
        <f>[1]!thsiFinD("ths_ev2_to_ebitda_usk",N$6,$A135)</f>
        <v>5.6348922049976</v>
      </c>
      <c r="O135" s="26">
        <f>[1]!thsiFinD("ths_ev2_to_ebitda_usk",O$6,$A135)</f>
        <v>7.3671711761407996</v>
      </c>
      <c r="P135" s="26">
        <f>[1]!thsiFinD("ths_ev2_to_ebitda_usk",P$6,$A135)</f>
        <v>7.9697078261841998</v>
      </c>
      <c r="Q135" s="26">
        <f>[1]!thsiFinD("ths_ev2_to_ebitda_usk",Q$6,$A135)</f>
        <v>5.1401532134787997</v>
      </c>
      <c r="R135" s="26">
        <f>[1]!thsiFinD("ths_ev2_to_ebitda_usk",R$6,$A135)</f>
        <v>4.9901135608509</v>
      </c>
      <c r="S135" s="26">
        <f>[1]!thsiFinD("ths_ev2_to_ebitda_usk",S$6,$A135)</f>
        <v>4.0375759890858998</v>
      </c>
      <c r="T135" s="27">
        <f>[1]!thsiFinD("ths_pb_mrq_usk",T$6,$A135)</f>
        <v>1.7390998028819</v>
      </c>
      <c r="U135" s="27">
        <f>[1]!thsiFinD("ths_pb_mrq_usk",U$6,$A135)</f>
        <v>1.9307021622348</v>
      </c>
      <c r="V135" s="27">
        <f>[1]!thsiFinD("ths_pb_mrq_usk",V$6,$A135)</f>
        <v>1.6717565257561999</v>
      </c>
      <c r="W135" s="27">
        <f>[1]!thsiFinD("ths_pb_mrq_usk",W$6,$A135)</f>
        <v>1.9779715916394001</v>
      </c>
      <c r="X135" s="27">
        <f>[1]!thsiFinD("ths_pb_mrq_usk",X$6,$A135)</f>
        <v>1.639264466445</v>
      </c>
      <c r="Y135" s="27">
        <f>[1]!thsiFinD("ths_pb_mrq_usk",Y$6,$A135)</f>
        <v>1.4646535504886</v>
      </c>
      <c r="Z135" s="28">
        <f>[1]!thsiFinD("ths_ps_ttm_uss",Z$6,$A135,100)</f>
        <v>1.8181574316022999</v>
      </c>
      <c r="AA135" s="28">
        <f>[1]!thsiFinD("ths_ps_ttm_uss",AA$6,$A135,100)</f>
        <v>1.5090944398602999</v>
      </c>
      <c r="AB135" s="28">
        <f>[1]!thsiFinD("ths_ps_ttm_uss",AB$6,$A135,100)</f>
        <v>1.6327026613257001</v>
      </c>
      <c r="AC135" s="28">
        <f>[1]!thsiFinD("ths_ps_ttm_uss",AC$6,$A135,100)</f>
        <v>2.6530346628636998</v>
      </c>
      <c r="AD135" s="28">
        <f>[1]!thsiFinD("ths_ps_ttm_uss",AD$6,$A135,100)</f>
        <v>0.49497042216553</v>
      </c>
      <c r="AE135" s="28">
        <f>[1]!thsiFinD("ths_ps_ttm_uss",AE$6,$A135,100)</f>
        <v>1.2869165426445</v>
      </c>
      <c r="AJ135" s="44">
        <f>[1]!thsiFinD("ths_right_value_usk",AJ$6,$A135,"USD")/1000000</f>
        <v>112907.5765025</v>
      </c>
      <c r="AK135" s="44">
        <f>[1]!thsiFinD("ths_right_value_usk",AK$6,$A135,"USD")/1000000</f>
        <v>503065.68609406002</v>
      </c>
      <c r="AL135" s="44">
        <f>[1]!thsiFinD("ths_right_value_usk",AL$6,$A135,"USD")/1000000</f>
        <v>317371.27411914</v>
      </c>
      <c r="AM135" s="44">
        <f>[1]!thsiFinD("ths_right_value_usk",AM$6,$A135,"USD")/1000000</f>
        <v>59902.8696528</v>
      </c>
      <c r="AN135" s="44">
        <f>[1]!thsiFinD("ths_right_value_usk",AN$6,$A135,"USD")/1000000</f>
        <v>95477.319583619988</v>
      </c>
      <c r="AO135" s="44">
        <f>[1]!thsiFinD("ths_right_value_usk",AO$6,$A135,"USD")/1000000</f>
        <v>22482.432000000001</v>
      </c>
      <c r="AP135" s="44">
        <f>[1]!thsiFinD("ths_ev2_usk",AP$6,$A135,"USD")/1000000</f>
        <v>131129.57650249999</v>
      </c>
      <c r="AQ135" s="44">
        <f>[1]!thsiFinD("ths_ev2_usk",AQ$6,$A135,"USD")/1000000</f>
        <v>540094.68609405996</v>
      </c>
      <c r="AR135" s="44">
        <f>[1]!thsiFinD("ths_ev2_usk",AR$6,$A135,"USD")/1000000</f>
        <v>356947.27411914</v>
      </c>
      <c r="AS135" s="44">
        <f>[1]!thsiFinD("ths_ev2_usk",AS$6,$A135,"USD")/1000000</f>
        <v>64066.8696528</v>
      </c>
      <c r="AT135" s="44">
        <f>[1]!thsiFinD("ths_ev2_usk",AT$6,$A135,"USD")/1000000</f>
        <v>140157.31958362</v>
      </c>
      <c r="AU135" s="44">
        <f>[1]!thsiFinD("ths_ev2_usk",AU$6,$A135,"USD")/1000000</f>
        <v>29595.432000000001</v>
      </c>
    </row>
    <row r="136" spans="1:47" x14ac:dyDescent="0.45">
      <c r="A136" s="3"/>
      <c r="B136" s="13"/>
      <c r="H136" s="23">
        <f>[1]!thsiFinD("ths_pe_ttm_uss",B$6,$A136,100)</f>
        <v>12.763687147016</v>
      </c>
      <c r="I136" s="23">
        <f>[1]!thsiFinD("ths_pe_ttm_uss",C$6,$A136,100)</f>
        <v>16.795168633995001</v>
      </c>
      <c r="J136" s="23">
        <f>[1]!thsiFinD("ths_pe_ttm_uss",D$6,$A136,100)</f>
        <v>24.856772722363999</v>
      </c>
      <c r="K136" s="23">
        <f>[1]!thsiFinD("ths_pe_ttm_uss",E$6,$A136,100)</f>
        <v>10.832345326004001</v>
      </c>
      <c r="L136" s="23">
        <f>[1]!thsiFinD("ths_pe_ttm_uss",F$6,$A136,100)</f>
        <v>62.896784969446998</v>
      </c>
      <c r="M136" s="23">
        <f>[1]!thsiFinD("ths_pe_ttm_uss",G$6,$A136,100)</f>
        <v>8.2686399411548006</v>
      </c>
      <c r="N136" s="26">
        <f>[1]!thsiFinD("ths_ev2_to_ebitda_usk",N$6,$A136)</f>
        <v>5.6348922049976</v>
      </c>
      <c r="O136" s="26">
        <f>[1]!thsiFinD("ths_ev2_to_ebitda_usk",O$6,$A136)</f>
        <v>7.3671711761407996</v>
      </c>
      <c r="P136" s="26">
        <f>[1]!thsiFinD("ths_ev2_to_ebitda_usk",P$6,$A136)</f>
        <v>7.9697078261841998</v>
      </c>
      <c r="Q136" s="26">
        <f>[1]!thsiFinD("ths_ev2_to_ebitda_usk",Q$6,$A136)</f>
        <v>5.1401532134787997</v>
      </c>
      <c r="R136" s="26">
        <f>[1]!thsiFinD("ths_ev2_to_ebitda_usk",R$6,$A136)</f>
        <v>4.9901135608509</v>
      </c>
      <c r="S136" s="26">
        <f>[1]!thsiFinD("ths_ev2_to_ebitda_usk",S$6,$A136)</f>
        <v>4.0375759890858998</v>
      </c>
      <c r="T136" s="27">
        <f>[1]!thsiFinD("ths_pb_mrq_usk",T$6,$A136)</f>
        <v>1.7390998028819</v>
      </c>
      <c r="U136" s="27">
        <f>[1]!thsiFinD("ths_pb_mrq_usk",U$6,$A136)</f>
        <v>1.9307021622348</v>
      </c>
      <c r="V136" s="27">
        <f>[1]!thsiFinD("ths_pb_mrq_usk",V$6,$A136)</f>
        <v>1.6717565257561999</v>
      </c>
      <c r="W136" s="27">
        <f>[1]!thsiFinD("ths_pb_mrq_usk",W$6,$A136)</f>
        <v>1.9779715916394001</v>
      </c>
      <c r="X136" s="27">
        <f>[1]!thsiFinD("ths_pb_mrq_usk",X$6,$A136)</f>
        <v>1.639264466445</v>
      </c>
      <c r="Y136" s="27">
        <f>[1]!thsiFinD("ths_pb_mrq_usk",Y$6,$A136)</f>
        <v>1.4646535504886</v>
      </c>
      <c r="Z136" s="28">
        <f>[1]!thsiFinD("ths_ps_ttm_uss",Z$6,$A136,100)</f>
        <v>1.8181574316022999</v>
      </c>
      <c r="AA136" s="28">
        <f>[1]!thsiFinD("ths_ps_ttm_uss",AA$6,$A136,100)</f>
        <v>1.5090944398602999</v>
      </c>
      <c r="AB136" s="28">
        <f>[1]!thsiFinD("ths_ps_ttm_uss",AB$6,$A136,100)</f>
        <v>1.6327026613257001</v>
      </c>
      <c r="AC136" s="28">
        <f>[1]!thsiFinD("ths_ps_ttm_uss",AC$6,$A136,100)</f>
        <v>2.6530346628636998</v>
      </c>
      <c r="AD136" s="28">
        <f>[1]!thsiFinD("ths_ps_ttm_uss",AD$6,$A136,100)</f>
        <v>0.49497042216553</v>
      </c>
      <c r="AE136" s="28">
        <f>[1]!thsiFinD("ths_ps_ttm_uss",AE$6,$A136,100)</f>
        <v>1.2869165426445</v>
      </c>
      <c r="AJ136" s="44">
        <f>[1]!thsiFinD("ths_right_value_usk",AJ$6,$A136,"USD")/1000000</f>
        <v>112907.5765025</v>
      </c>
      <c r="AK136" s="44">
        <f>[1]!thsiFinD("ths_right_value_usk",AK$6,$A136,"USD")/1000000</f>
        <v>503065.68609406002</v>
      </c>
      <c r="AL136" s="44">
        <f>[1]!thsiFinD("ths_right_value_usk",AL$6,$A136,"USD")/1000000</f>
        <v>317371.27411914</v>
      </c>
      <c r="AM136" s="44">
        <f>[1]!thsiFinD("ths_right_value_usk",AM$6,$A136,"USD")/1000000</f>
        <v>59902.8696528</v>
      </c>
      <c r="AN136" s="44">
        <f>[1]!thsiFinD("ths_right_value_usk",AN$6,$A136,"USD")/1000000</f>
        <v>95477.319583619988</v>
      </c>
      <c r="AO136" s="44">
        <f>[1]!thsiFinD("ths_right_value_usk",AO$6,$A136,"USD")/1000000</f>
        <v>22482.432000000001</v>
      </c>
      <c r="AP136" s="44">
        <f>[1]!thsiFinD("ths_ev2_usk",AP$6,$A136,"USD")/1000000</f>
        <v>131129.57650249999</v>
      </c>
      <c r="AQ136" s="44">
        <f>[1]!thsiFinD("ths_ev2_usk",AQ$6,$A136,"USD")/1000000</f>
        <v>540094.68609405996</v>
      </c>
      <c r="AR136" s="44">
        <f>[1]!thsiFinD("ths_ev2_usk",AR$6,$A136,"USD")/1000000</f>
        <v>356947.27411914</v>
      </c>
      <c r="AS136" s="44">
        <f>[1]!thsiFinD("ths_ev2_usk",AS$6,$A136,"USD")/1000000</f>
        <v>64066.8696528</v>
      </c>
      <c r="AT136" s="44">
        <f>[1]!thsiFinD("ths_ev2_usk",AT$6,$A136,"USD")/1000000</f>
        <v>140157.31958362</v>
      </c>
      <c r="AU136" s="44">
        <f>[1]!thsiFinD("ths_ev2_usk",AU$6,$A136,"USD")/1000000</f>
        <v>29595.432000000001</v>
      </c>
    </row>
    <row r="137" spans="1:47" x14ac:dyDescent="0.45">
      <c r="A137" s="3"/>
      <c r="B137" s="13"/>
      <c r="H137" s="23">
        <f>[1]!thsiFinD("ths_pe_ttm_uss",B$6,$A137,100)</f>
        <v>12.763687147016</v>
      </c>
      <c r="I137" s="23">
        <f>[1]!thsiFinD("ths_pe_ttm_uss",C$6,$A137,100)</f>
        <v>16.795168633995001</v>
      </c>
      <c r="J137" s="23">
        <f>[1]!thsiFinD("ths_pe_ttm_uss",D$6,$A137,100)</f>
        <v>24.856772722363999</v>
      </c>
      <c r="K137" s="23">
        <f>[1]!thsiFinD("ths_pe_ttm_uss",E$6,$A137,100)</f>
        <v>10.832345326004001</v>
      </c>
      <c r="L137" s="23">
        <f>[1]!thsiFinD("ths_pe_ttm_uss",F$6,$A137,100)</f>
        <v>62.896784969446998</v>
      </c>
      <c r="M137" s="23">
        <f>[1]!thsiFinD("ths_pe_ttm_uss",G$6,$A137,100)</f>
        <v>8.2686399411548006</v>
      </c>
      <c r="N137" s="26">
        <f>[1]!thsiFinD("ths_ev2_to_ebitda_usk",N$6,$A137)</f>
        <v>5.6348922049976</v>
      </c>
      <c r="O137" s="26">
        <f>[1]!thsiFinD("ths_ev2_to_ebitda_usk",O$6,$A137)</f>
        <v>7.3671711761407996</v>
      </c>
      <c r="P137" s="26">
        <f>[1]!thsiFinD("ths_ev2_to_ebitda_usk",P$6,$A137)</f>
        <v>7.9697078261841998</v>
      </c>
      <c r="Q137" s="26">
        <f>[1]!thsiFinD("ths_ev2_to_ebitda_usk",Q$6,$A137)</f>
        <v>5.1401532134787997</v>
      </c>
      <c r="R137" s="26">
        <f>[1]!thsiFinD("ths_ev2_to_ebitda_usk",R$6,$A137)</f>
        <v>4.9901135608509</v>
      </c>
      <c r="S137" s="26">
        <f>[1]!thsiFinD("ths_ev2_to_ebitda_usk",S$6,$A137)</f>
        <v>4.0375759890858998</v>
      </c>
      <c r="T137" s="27">
        <f>[1]!thsiFinD("ths_pb_mrq_usk",T$6,$A137)</f>
        <v>1.7390998028819</v>
      </c>
      <c r="U137" s="27">
        <f>[1]!thsiFinD("ths_pb_mrq_usk",U$6,$A137)</f>
        <v>1.9307021622348</v>
      </c>
      <c r="V137" s="27">
        <f>[1]!thsiFinD("ths_pb_mrq_usk",V$6,$A137)</f>
        <v>1.6717565257561999</v>
      </c>
      <c r="W137" s="27">
        <f>[1]!thsiFinD("ths_pb_mrq_usk",W$6,$A137)</f>
        <v>1.9779715916394001</v>
      </c>
      <c r="X137" s="27">
        <f>[1]!thsiFinD("ths_pb_mrq_usk",X$6,$A137)</f>
        <v>1.639264466445</v>
      </c>
      <c r="Y137" s="27">
        <f>[1]!thsiFinD("ths_pb_mrq_usk",Y$6,$A137)</f>
        <v>1.4646535504886</v>
      </c>
      <c r="Z137" s="28">
        <f>[1]!thsiFinD("ths_ps_ttm_uss",Z$6,$A137,100)</f>
        <v>1.8181574316022999</v>
      </c>
      <c r="AA137" s="28">
        <f>[1]!thsiFinD("ths_ps_ttm_uss",AA$6,$A137,100)</f>
        <v>1.5090944398602999</v>
      </c>
      <c r="AB137" s="28">
        <f>[1]!thsiFinD("ths_ps_ttm_uss",AB$6,$A137,100)</f>
        <v>1.6327026613257001</v>
      </c>
      <c r="AC137" s="28">
        <f>[1]!thsiFinD("ths_ps_ttm_uss",AC$6,$A137,100)</f>
        <v>2.6530346628636998</v>
      </c>
      <c r="AD137" s="28">
        <f>[1]!thsiFinD("ths_ps_ttm_uss",AD$6,$A137,100)</f>
        <v>0.49497042216553</v>
      </c>
      <c r="AE137" s="28">
        <f>[1]!thsiFinD("ths_ps_ttm_uss",AE$6,$A137,100)</f>
        <v>1.2869165426445</v>
      </c>
      <c r="AJ137" s="44">
        <f>[1]!thsiFinD("ths_right_value_usk",AJ$6,$A137,"USD")/1000000</f>
        <v>112907.5765025</v>
      </c>
      <c r="AK137" s="44">
        <f>[1]!thsiFinD("ths_right_value_usk",AK$6,$A137,"USD")/1000000</f>
        <v>503065.68609406002</v>
      </c>
      <c r="AL137" s="44">
        <f>[1]!thsiFinD("ths_right_value_usk",AL$6,$A137,"USD")/1000000</f>
        <v>317371.27411914</v>
      </c>
      <c r="AM137" s="44">
        <f>[1]!thsiFinD("ths_right_value_usk",AM$6,$A137,"USD")/1000000</f>
        <v>59902.8696528</v>
      </c>
      <c r="AN137" s="44">
        <f>[1]!thsiFinD("ths_right_value_usk",AN$6,$A137,"USD")/1000000</f>
        <v>95477.319583619988</v>
      </c>
      <c r="AO137" s="44">
        <f>[1]!thsiFinD("ths_right_value_usk",AO$6,$A137,"USD")/1000000</f>
        <v>22482.432000000001</v>
      </c>
      <c r="AP137" s="44">
        <f>[1]!thsiFinD("ths_ev2_usk",AP$6,$A137,"USD")/1000000</f>
        <v>131129.57650249999</v>
      </c>
      <c r="AQ137" s="44">
        <f>[1]!thsiFinD("ths_ev2_usk",AQ$6,$A137,"USD")/1000000</f>
        <v>540094.68609405996</v>
      </c>
      <c r="AR137" s="44">
        <f>[1]!thsiFinD("ths_ev2_usk",AR$6,$A137,"USD")/1000000</f>
        <v>356947.27411914</v>
      </c>
      <c r="AS137" s="44">
        <f>[1]!thsiFinD("ths_ev2_usk",AS$6,$A137,"USD")/1000000</f>
        <v>64066.8696528</v>
      </c>
      <c r="AT137" s="44">
        <f>[1]!thsiFinD("ths_ev2_usk",AT$6,$A137,"USD")/1000000</f>
        <v>140157.31958362</v>
      </c>
      <c r="AU137" s="44">
        <f>[1]!thsiFinD("ths_ev2_usk",AU$6,$A137,"USD")/1000000</f>
        <v>29595.432000000001</v>
      </c>
    </row>
    <row r="138" spans="1:47" x14ac:dyDescent="0.45">
      <c r="A138" s="3"/>
      <c r="B138" s="13"/>
      <c r="H138" s="23">
        <f>[1]!thsiFinD("ths_pe_ttm_uss",B$6,$A138,100)</f>
        <v>12.763687147016</v>
      </c>
      <c r="I138" s="23">
        <f>[1]!thsiFinD("ths_pe_ttm_uss",C$6,$A138,100)</f>
        <v>16.795168633995001</v>
      </c>
      <c r="J138" s="23">
        <f>[1]!thsiFinD("ths_pe_ttm_uss",D$6,$A138,100)</f>
        <v>24.856772722363999</v>
      </c>
      <c r="K138" s="23">
        <f>[1]!thsiFinD("ths_pe_ttm_uss",E$6,$A138,100)</f>
        <v>10.832345326004001</v>
      </c>
      <c r="L138" s="23">
        <f>[1]!thsiFinD("ths_pe_ttm_uss",F$6,$A138,100)</f>
        <v>62.896784969446998</v>
      </c>
      <c r="M138" s="23">
        <f>[1]!thsiFinD("ths_pe_ttm_uss",G$6,$A138,100)</f>
        <v>8.2686399411548006</v>
      </c>
      <c r="N138" s="26">
        <f>[1]!thsiFinD("ths_ev2_to_ebitda_usk",N$6,$A138)</f>
        <v>5.6348922049976</v>
      </c>
      <c r="O138" s="26">
        <f>[1]!thsiFinD("ths_ev2_to_ebitda_usk",O$6,$A138)</f>
        <v>7.3671711761407996</v>
      </c>
      <c r="P138" s="26">
        <f>[1]!thsiFinD("ths_ev2_to_ebitda_usk",P$6,$A138)</f>
        <v>7.9697078261841998</v>
      </c>
      <c r="Q138" s="26">
        <f>[1]!thsiFinD("ths_ev2_to_ebitda_usk",Q$6,$A138)</f>
        <v>5.1401532134787997</v>
      </c>
      <c r="R138" s="26">
        <f>[1]!thsiFinD("ths_ev2_to_ebitda_usk",R$6,$A138)</f>
        <v>4.9901135608509</v>
      </c>
      <c r="S138" s="26">
        <f>[1]!thsiFinD("ths_ev2_to_ebitda_usk",S$6,$A138)</f>
        <v>4.0375759890858998</v>
      </c>
      <c r="T138" s="27">
        <f>[1]!thsiFinD("ths_pb_mrq_usk",T$6,$A138)</f>
        <v>1.7390998028819</v>
      </c>
      <c r="U138" s="27">
        <f>[1]!thsiFinD("ths_pb_mrq_usk",U$6,$A138)</f>
        <v>1.9307021622348</v>
      </c>
      <c r="V138" s="27">
        <f>[1]!thsiFinD("ths_pb_mrq_usk",V$6,$A138)</f>
        <v>1.6717565257561999</v>
      </c>
      <c r="W138" s="27">
        <f>[1]!thsiFinD("ths_pb_mrq_usk",W$6,$A138)</f>
        <v>1.9779715916394001</v>
      </c>
      <c r="X138" s="27">
        <f>[1]!thsiFinD("ths_pb_mrq_usk",X$6,$A138)</f>
        <v>1.639264466445</v>
      </c>
      <c r="Y138" s="27">
        <f>[1]!thsiFinD("ths_pb_mrq_usk",Y$6,$A138)</f>
        <v>1.4646535504886</v>
      </c>
      <c r="Z138" s="28">
        <f>[1]!thsiFinD("ths_ps_ttm_uss",Z$6,$A138,100)</f>
        <v>1.8181574316022999</v>
      </c>
      <c r="AA138" s="28">
        <f>[1]!thsiFinD("ths_ps_ttm_uss",AA$6,$A138,100)</f>
        <v>1.5090944398602999</v>
      </c>
      <c r="AB138" s="28">
        <f>[1]!thsiFinD("ths_ps_ttm_uss",AB$6,$A138,100)</f>
        <v>1.6327026613257001</v>
      </c>
      <c r="AC138" s="28">
        <f>[1]!thsiFinD("ths_ps_ttm_uss",AC$6,$A138,100)</f>
        <v>2.6530346628636998</v>
      </c>
      <c r="AD138" s="28">
        <f>[1]!thsiFinD("ths_ps_ttm_uss",AD$6,$A138,100)</f>
        <v>0.49497042216553</v>
      </c>
      <c r="AE138" s="28">
        <f>[1]!thsiFinD("ths_ps_ttm_uss",AE$6,$A138,100)</f>
        <v>1.2869165426445</v>
      </c>
      <c r="AJ138" s="44">
        <f>[1]!thsiFinD("ths_right_value_usk",AJ$6,$A138,"USD")/1000000</f>
        <v>112907.5765025</v>
      </c>
      <c r="AK138" s="44">
        <f>[1]!thsiFinD("ths_right_value_usk",AK$6,$A138,"USD")/1000000</f>
        <v>503065.68609406002</v>
      </c>
      <c r="AL138" s="44">
        <f>[1]!thsiFinD("ths_right_value_usk",AL$6,$A138,"USD")/1000000</f>
        <v>317371.27411914</v>
      </c>
      <c r="AM138" s="44">
        <f>[1]!thsiFinD("ths_right_value_usk",AM$6,$A138,"USD")/1000000</f>
        <v>59902.8696528</v>
      </c>
      <c r="AN138" s="44">
        <f>[1]!thsiFinD("ths_right_value_usk",AN$6,$A138,"USD")/1000000</f>
        <v>95477.319583619988</v>
      </c>
      <c r="AO138" s="44">
        <f>[1]!thsiFinD("ths_right_value_usk",AO$6,$A138,"USD")/1000000</f>
        <v>22482.432000000001</v>
      </c>
      <c r="AP138" s="44">
        <f>[1]!thsiFinD("ths_ev2_usk",AP$6,$A138,"USD")/1000000</f>
        <v>131129.57650249999</v>
      </c>
      <c r="AQ138" s="44">
        <f>[1]!thsiFinD("ths_ev2_usk",AQ$6,$A138,"USD")/1000000</f>
        <v>540094.68609405996</v>
      </c>
      <c r="AR138" s="44">
        <f>[1]!thsiFinD("ths_ev2_usk",AR$6,$A138,"USD")/1000000</f>
        <v>356947.27411914</v>
      </c>
      <c r="AS138" s="44">
        <f>[1]!thsiFinD("ths_ev2_usk",AS$6,$A138,"USD")/1000000</f>
        <v>64066.8696528</v>
      </c>
      <c r="AT138" s="44">
        <f>[1]!thsiFinD("ths_ev2_usk",AT$6,$A138,"USD")/1000000</f>
        <v>140157.31958362</v>
      </c>
      <c r="AU138" s="44">
        <f>[1]!thsiFinD("ths_ev2_usk",AU$6,$A138,"USD")/1000000</f>
        <v>29595.432000000001</v>
      </c>
    </row>
    <row r="139" spans="1:47" x14ac:dyDescent="0.45">
      <c r="A139" s="3"/>
      <c r="B139" s="13"/>
      <c r="H139" s="23">
        <f>[1]!thsiFinD("ths_pe_ttm_uss",B$6,$A139,100)</f>
        <v>12.763687147016</v>
      </c>
      <c r="I139" s="23">
        <f>[1]!thsiFinD("ths_pe_ttm_uss",C$6,$A139,100)</f>
        <v>16.795168633995001</v>
      </c>
      <c r="J139" s="23">
        <f>[1]!thsiFinD("ths_pe_ttm_uss",D$6,$A139,100)</f>
        <v>24.856772722363999</v>
      </c>
      <c r="K139" s="23">
        <f>[1]!thsiFinD("ths_pe_ttm_uss",E$6,$A139,100)</f>
        <v>10.832345326004001</v>
      </c>
      <c r="L139" s="23">
        <f>[1]!thsiFinD("ths_pe_ttm_uss",F$6,$A139,100)</f>
        <v>62.896784969446998</v>
      </c>
      <c r="M139" s="23">
        <f>[1]!thsiFinD("ths_pe_ttm_uss",G$6,$A139,100)</f>
        <v>8.2686399411548006</v>
      </c>
      <c r="N139" s="26">
        <f>[1]!thsiFinD("ths_ev2_to_ebitda_usk",N$6,$A139)</f>
        <v>5.6348922049976</v>
      </c>
      <c r="O139" s="26">
        <f>[1]!thsiFinD("ths_ev2_to_ebitda_usk",O$6,$A139)</f>
        <v>7.3671711761407996</v>
      </c>
      <c r="P139" s="26">
        <f>[1]!thsiFinD("ths_ev2_to_ebitda_usk",P$6,$A139)</f>
        <v>7.9697078261841998</v>
      </c>
      <c r="Q139" s="26">
        <f>[1]!thsiFinD("ths_ev2_to_ebitda_usk",Q$6,$A139)</f>
        <v>5.1401532134787997</v>
      </c>
      <c r="R139" s="26">
        <f>[1]!thsiFinD("ths_ev2_to_ebitda_usk",R$6,$A139)</f>
        <v>4.9901135608509</v>
      </c>
      <c r="S139" s="26">
        <f>[1]!thsiFinD("ths_ev2_to_ebitda_usk",S$6,$A139)</f>
        <v>4.0375759890858998</v>
      </c>
      <c r="T139" s="27">
        <f>[1]!thsiFinD("ths_pb_mrq_usk",T$6,$A139)</f>
        <v>1.7390998028819</v>
      </c>
      <c r="U139" s="27">
        <f>[1]!thsiFinD("ths_pb_mrq_usk",U$6,$A139)</f>
        <v>1.9307021622348</v>
      </c>
      <c r="V139" s="27">
        <f>[1]!thsiFinD("ths_pb_mrq_usk",V$6,$A139)</f>
        <v>1.6717565257561999</v>
      </c>
      <c r="W139" s="27">
        <f>[1]!thsiFinD("ths_pb_mrq_usk",W$6,$A139)</f>
        <v>1.9779715916394001</v>
      </c>
      <c r="X139" s="27">
        <f>[1]!thsiFinD("ths_pb_mrq_usk",X$6,$A139)</f>
        <v>1.639264466445</v>
      </c>
      <c r="Y139" s="27">
        <f>[1]!thsiFinD("ths_pb_mrq_usk",Y$6,$A139)</f>
        <v>1.4646535504886</v>
      </c>
      <c r="Z139" s="28">
        <f>[1]!thsiFinD("ths_ps_ttm_uss",Z$6,$A139,100)</f>
        <v>1.8181574316022999</v>
      </c>
      <c r="AA139" s="28">
        <f>[1]!thsiFinD("ths_ps_ttm_uss",AA$6,$A139,100)</f>
        <v>1.5090944398602999</v>
      </c>
      <c r="AB139" s="28">
        <f>[1]!thsiFinD("ths_ps_ttm_uss",AB$6,$A139,100)</f>
        <v>1.6327026613257001</v>
      </c>
      <c r="AC139" s="28">
        <f>[1]!thsiFinD("ths_ps_ttm_uss",AC$6,$A139,100)</f>
        <v>2.6530346628636998</v>
      </c>
      <c r="AD139" s="28">
        <f>[1]!thsiFinD("ths_ps_ttm_uss",AD$6,$A139,100)</f>
        <v>0.49497042216553</v>
      </c>
      <c r="AE139" s="28">
        <f>[1]!thsiFinD("ths_ps_ttm_uss",AE$6,$A139,100)</f>
        <v>1.2869165426445</v>
      </c>
      <c r="AJ139" s="44">
        <f>[1]!thsiFinD("ths_right_value_usk",AJ$6,$A139,"USD")/1000000</f>
        <v>112907.5765025</v>
      </c>
      <c r="AK139" s="44">
        <f>[1]!thsiFinD("ths_right_value_usk",AK$6,$A139,"USD")/1000000</f>
        <v>503065.68609406002</v>
      </c>
      <c r="AL139" s="44">
        <f>[1]!thsiFinD("ths_right_value_usk",AL$6,$A139,"USD")/1000000</f>
        <v>317371.27411914</v>
      </c>
      <c r="AM139" s="44">
        <f>[1]!thsiFinD("ths_right_value_usk",AM$6,$A139,"USD")/1000000</f>
        <v>59902.8696528</v>
      </c>
      <c r="AN139" s="44">
        <f>[1]!thsiFinD("ths_right_value_usk",AN$6,$A139,"USD")/1000000</f>
        <v>95477.319583619988</v>
      </c>
      <c r="AO139" s="44">
        <f>[1]!thsiFinD("ths_right_value_usk",AO$6,$A139,"USD")/1000000</f>
        <v>22482.432000000001</v>
      </c>
      <c r="AP139" s="44">
        <f>[1]!thsiFinD("ths_ev2_usk",AP$6,$A139,"USD")/1000000</f>
        <v>131129.57650249999</v>
      </c>
      <c r="AQ139" s="44">
        <f>[1]!thsiFinD("ths_ev2_usk",AQ$6,$A139,"USD")/1000000</f>
        <v>540094.68609405996</v>
      </c>
      <c r="AR139" s="44">
        <f>[1]!thsiFinD("ths_ev2_usk",AR$6,$A139,"USD")/1000000</f>
        <v>356947.27411914</v>
      </c>
      <c r="AS139" s="44">
        <f>[1]!thsiFinD("ths_ev2_usk",AS$6,$A139,"USD")/1000000</f>
        <v>64066.8696528</v>
      </c>
      <c r="AT139" s="44">
        <f>[1]!thsiFinD("ths_ev2_usk",AT$6,$A139,"USD")/1000000</f>
        <v>140157.31958362</v>
      </c>
      <c r="AU139" s="44">
        <f>[1]!thsiFinD("ths_ev2_usk",AU$6,$A139,"USD")/1000000</f>
        <v>29595.432000000001</v>
      </c>
    </row>
    <row r="140" spans="1:47" x14ac:dyDescent="0.45">
      <c r="A140" s="3"/>
      <c r="B140" s="13"/>
      <c r="H140" s="23">
        <f>[1]!thsiFinD("ths_pe_ttm_uss",B$6,$A140,100)</f>
        <v>12.763687147016</v>
      </c>
      <c r="I140" s="23">
        <f>[1]!thsiFinD("ths_pe_ttm_uss",C$6,$A140,100)</f>
        <v>16.795168633995001</v>
      </c>
      <c r="J140" s="23">
        <f>[1]!thsiFinD("ths_pe_ttm_uss",D$6,$A140,100)</f>
        <v>24.856772722363999</v>
      </c>
      <c r="K140" s="23">
        <f>[1]!thsiFinD("ths_pe_ttm_uss",E$6,$A140,100)</f>
        <v>10.832345326004001</v>
      </c>
      <c r="L140" s="23">
        <f>[1]!thsiFinD("ths_pe_ttm_uss",F$6,$A140,100)</f>
        <v>62.896784969446998</v>
      </c>
      <c r="M140" s="23">
        <f>[1]!thsiFinD("ths_pe_ttm_uss",G$6,$A140,100)</f>
        <v>8.2686399411548006</v>
      </c>
      <c r="N140" s="26">
        <f>[1]!thsiFinD("ths_ev2_to_ebitda_usk",N$6,$A140)</f>
        <v>5.6348922049976</v>
      </c>
      <c r="O140" s="26">
        <f>[1]!thsiFinD("ths_ev2_to_ebitda_usk",O$6,$A140)</f>
        <v>7.3671711761407996</v>
      </c>
      <c r="P140" s="26">
        <f>[1]!thsiFinD("ths_ev2_to_ebitda_usk",P$6,$A140)</f>
        <v>7.9697078261841998</v>
      </c>
      <c r="Q140" s="26">
        <f>[1]!thsiFinD("ths_ev2_to_ebitda_usk",Q$6,$A140)</f>
        <v>5.1401532134787997</v>
      </c>
      <c r="R140" s="26">
        <f>[1]!thsiFinD("ths_ev2_to_ebitda_usk",R$6,$A140)</f>
        <v>4.9901135608509</v>
      </c>
      <c r="S140" s="26">
        <f>[1]!thsiFinD("ths_ev2_to_ebitda_usk",S$6,$A140)</f>
        <v>4.0375759890858998</v>
      </c>
      <c r="T140" s="27">
        <f>[1]!thsiFinD("ths_pb_mrq_usk",T$6,$A140)</f>
        <v>1.7390998028819</v>
      </c>
      <c r="U140" s="27">
        <f>[1]!thsiFinD("ths_pb_mrq_usk",U$6,$A140)</f>
        <v>1.9307021622348</v>
      </c>
      <c r="V140" s="27">
        <f>[1]!thsiFinD("ths_pb_mrq_usk",V$6,$A140)</f>
        <v>1.6717565257561999</v>
      </c>
      <c r="W140" s="27">
        <f>[1]!thsiFinD("ths_pb_mrq_usk",W$6,$A140)</f>
        <v>1.9779715916394001</v>
      </c>
      <c r="X140" s="27">
        <f>[1]!thsiFinD("ths_pb_mrq_usk",X$6,$A140)</f>
        <v>1.639264466445</v>
      </c>
      <c r="Y140" s="27">
        <f>[1]!thsiFinD("ths_pb_mrq_usk",Y$6,$A140)</f>
        <v>1.4646535504886</v>
      </c>
      <c r="Z140" s="28">
        <f>[1]!thsiFinD("ths_ps_ttm_uss",Z$6,$A140,100)</f>
        <v>1.8181574316022999</v>
      </c>
      <c r="AA140" s="28">
        <f>[1]!thsiFinD("ths_ps_ttm_uss",AA$6,$A140,100)</f>
        <v>1.5090944398602999</v>
      </c>
      <c r="AB140" s="28">
        <f>[1]!thsiFinD("ths_ps_ttm_uss",AB$6,$A140,100)</f>
        <v>1.6327026613257001</v>
      </c>
      <c r="AC140" s="28">
        <f>[1]!thsiFinD("ths_ps_ttm_uss",AC$6,$A140,100)</f>
        <v>2.6530346628636998</v>
      </c>
      <c r="AD140" s="28">
        <f>[1]!thsiFinD("ths_ps_ttm_uss",AD$6,$A140,100)</f>
        <v>0.49497042216553</v>
      </c>
      <c r="AE140" s="28">
        <f>[1]!thsiFinD("ths_ps_ttm_uss",AE$6,$A140,100)</f>
        <v>1.2869165426445</v>
      </c>
      <c r="AJ140" s="44">
        <f>[1]!thsiFinD("ths_right_value_usk",AJ$6,$A140,"USD")/1000000</f>
        <v>112907.5765025</v>
      </c>
      <c r="AK140" s="44">
        <f>[1]!thsiFinD("ths_right_value_usk",AK$6,$A140,"USD")/1000000</f>
        <v>503065.68609406002</v>
      </c>
      <c r="AL140" s="44">
        <f>[1]!thsiFinD("ths_right_value_usk",AL$6,$A140,"USD")/1000000</f>
        <v>317371.27411914</v>
      </c>
      <c r="AM140" s="44">
        <f>[1]!thsiFinD("ths_right_value_usk",AM$6,$A140,"USD")/1000000</f>
        <v>59902.8696528</v>
      </c>
      <c r="AN140" s="44">
        <f>[1]!thsiFinD("ths_right_value_usk",AN$6,$A140,"USD")/1000000</f>
        <v>95477.319583619988</v>
      </c>
      <c r="AO140" s="44">
        <f>[1]!thsiFinD("ths_right_value_usk",AO$6,$A140,"USD")/1000000</f>
        <v>22482.432000000001</v>
      </c>
      <c r="AP140" s="44">
        <f>[1]!thsiFinD("ths_ev2_usk",AP$6,$A140,"USD")/1000000</f>
        <v>131129.57650249999</v>
      </c>
      <c r="AQ140" s="44">
        <f>[1]!thsiFinD("ths_ev2_usk",AQ$6,$A140,"USD")/1000000</f>
        <v>540094.68609405996</v>
      </c>
      <c r="AR140" s="44">
        <f>[1]!thsiFinD("ths_ev2_usk",AR$6,$A140,"USD")/1000000</f>
        <v>356947.27411914</v>
      </c>
      <c r="AS140" s="44">
        <f>[1]!thsiFinD("ths_ev2_usk",AS$6,$A140,"USD")/1000000</f>
        <v>64066.8696528</v>
      </c>
      <c r="AT140" s="44">
        <f>[1]!thsiFinD("ths_ev2_usk",AT$6,$A140,"USD")/1000000</f>
        <v>140157.31958362</v>
      </c>
      <c r="AU140" s="44">
        <f>[1]!thsiFinD("ths_ev2_usk",AU$6,$A140,"USD")/1000000</f>
        <v>29595.432000000001</v>
      </c>
    </row>
    <row r="141" spans="1:47" x14ac:dyDescent="0.45">
      <c r="A141" s="3"/>
      <c r="B141" s="13"/>
      <c r="H141" s="23">
        <f>[1]!thsiFinD("ths_pe_ttm_uss",B$6,$A141,100)</f>
        <v>12.763687147016</v>
      </c>
      <c r="I141" s="23">
        <f>[1]!thsiFinD("ths_pe_ttm_uss",C$6,$A141,100)</f>
        <v>16.795168633995001</v>
      </c>
      <c r="J141" s="23">
        <f>[1]!thsiFinD("ths_pe_ttm_uss",D$6,$A141,100)</f>
        <v>24.856772722363999</v>
      </c>
      <c r="K141" s="23">
        <f>[1]!thsiFinD("ths_pe_ttm_uss",E$6,$A141,100)</f>
        <v>10.832345326004001</v>
      </c>
      <c r="L141" s="23">
        <f>[1]!thsiFinD("ths_pe_ttm_uss",F$6,$A141,100)</f>
        <v>62.896784969446998</v>
      </c>
      <c r="M141" s="23">
        <f>[1]!thsiFinD("ths_pe_ttm_uss",G$6,$A141,100)</f>
        <v>8.2686399411548006</v>
      </c>
      <c r="N141" s="26">
        <f>[1]!thsiFinD("ths_ev2_to_ebitda_usk",N$6,$A141)</f>
        <v>5.6348922049976</v>
      </c>
      <c r="O141" s="26">
        <f>[1]!thsiFinD("ths_ev2_to_ebitda_usk",O$6,$A141)</f>
        <v>7.3671711761407996</v>
      </c>
      <c r="P141" s="26">
        <f>[1]!thsiFinD("ths_ev2_to_ebitda_usk",P$6,$A141)</f>
        <v>7.9697078261841998</v>
      </c>
      <c r="Q141" s="26">
        <f>[1]!thsiFinD("ths_ev2_to_ebitda_usk",Q$6,$A141)</f>
        <v>5.1401532134787997</v>
      </c>
      <c r="R141" s="26">
        <f>[1]!thsiFinD("ths_ev2_to_ebitda_usk",R$6,$A141)</f>
        <v>4.9901135608509</v>
      </c>
      <c r="S141" s="26">
        <f>[1]!thsiFinD("ths_ev2_to_ebitda_usk",S$6,$A141)</f>
        <v>4.0375759890858998</v>
      </c>
      <c r="T141" s="27">
        <f>[1]!thsiFinD("ths_pb_mrq_usk",T$6,$A141)</f>
        <v>1.7390998028819</v>
      </c>
      <c r="U141" s="27">
        <f>[1]!thsiFinD("ths_pb_mrq_usk",U$6,$A141)</f>
        <v>1.9307021622348</v>
      </c>
      <c r="V141" s="27">
        <f>[1]!thsiFinD("ths_pb_mrq_usk",V$6,$A141)</f>
        <v>1.6717565257561999</v>
      </c>
      <c r="W141" s="27">
        <f>[1]!thsiFinD("ths_pb_mrq_usk",W$6,$A141)</f>
        <v>1.9779715916394001</v>
      </c>
      <c r="X141" s="27">
        <f>[1]!thsiFinD("ths_pb_mrq_usk",X$6,$A141)</f>
        <v>1.639264466445</v>
      </c>
      <c r="Y141" s="27">
        <f>[1]!thsiFinD("ths_pb_mrq_usk",Y$6,$A141)</f>
        <v>1.4646535504886</v>
      </c>
      <c r="Z141" s="28">
        <f>[1]!thsiFinD("ths_ps_ttm_uss",Z$6,$A141,100)</f>
        <v>1.8181574316022999</v>
      </c>
      <c r="AA141" s="28">
        <f>[1]!thsiFinD("ths_ps_ttm_uss",AA$6,$A141,100)</f>
        <v>1.5090944398602999</v>
      </c>
      <c r="AB141" s="28">
        <f>[1]!thsiFinD("ths_ps_ttm_uss",AB$6,$A141,100)</f>
        <v>1.6327026613257001</v>
      </c>
      <c r="AC141" s="28">
        <f>[1]!thsiFinD("ths_ps_ttm_uss",AC$6,$A141,100)</f>
        <v>2.6530346628636998</v>
      </c>
      <c r="AD141" s="28">
        <f>[1]!thsiFinD("ths_ps_ttm_uss",AD$6,$A141,100)</f>
        <v>0.49497042216553</v>
      </c>
      <c r="AE141" s="28">
        <f>[1]!thsiFinD("ths_ps_ttm_uss",AE$6,$A141,100)</f>
        <v>1.2869165426445</v>
      </c>
      <c r="AJ141" s="44">
        <f>[1]!thsiFinD("ths_right_value_usk",AJ$6,$A141,"USD")/1000000</f>
        <v>112907.5765025</v>
      </c>
      <c r="AK141" s="44">
        <f>[1]!thsiFinD("ths_right_value_usk",AK$6,$A141,"USD")/1000000</f>
        <v>503065.68609406002</v>
      </c>
      <c r="AL141" s="44">
        <f>[1]!thsiFinD("ths_right_value_usk",AL$6,$A141,"USD")/1000000</f>
        <v>317371.27411914</v>
      </c>
      <c r="AM141" s="44">
        <f>[1]!thsiFinD("ths_right_value_usk",AM$6,$A141,"USD")/1000000</f>
        <v>59902.8696528</v>
      </c>
      <c r="AN141" s="44">
        <f>[1]!thsiFinD("ths_right_value_usk",AN$6,$A141,"USD")/1000000</f>
        <v>95477.319583619988</v>
      </c>
      <c r="AO141" s="44">
        <f>[1]!thsiFinD("ths_right_value_usk",AO$6,$A141,"USD")/1000000</f>
        <v>22482.432000000001</v>
      </c>
      <c r="AP141" s="44">
        <f>[1]!thsiFinD("ths_ev2_usk",AP$6,$A141,"USD")/1000000</f>
        <v>131129.57650249999</v>
      </c>
      <c r="AQ141" s="44">
        <f>[1]!thsiFinD("ths_ev2_usk",AQ$6,$A141,"USD")/1000000</f>
        <v>540094.68609405996</v>
      </c>
      <c r="AR141" s="44">
        <f>[1]!thsiFinD("ths_ev2_usk",AR$6,$A141,"USD")/1000000</f>
        <v>356947.27411914</v>
      </c>
      <c r="AS141" s="44">
        <f>[1]!thsiFinD("ths_ev2_usk",AS$6,$A141,"USD")/1000000</f>
        <v>64066.8696528</v>
      </c>
      <c r="AT141" s="44">
        <f>[1]!thsiFinD("ths_ev2_usk",AT$6,$A141,"USD")/1000000</f>
        <v>140157.31958362</v>
      </c>
      <c r="AU141" s="44">
        <f>[1]!thsiFinD("ths_ev2_usk",AU$6,$A141,"USD")/1000000</f>
        <v>29595.432000000001</v>
      </c>
    </row>
    <row r="142" spans="1:47" x14ac:dyDescent="0.45">
      <c r="A142" s="3"/>
      <c r="B142" s="13"/>
      <c r="H142" s="23">
        <f>[1]!thsiFinD("ths_pe_ttm_uss",B$6,$A142,100)</f>
        <v>12.763687147016</v>
      </c>
      <c r="I142" s="23">
        <f>[1]!thsiFinD("ths_pe_ttm_uss",C$6,$A142,100)</f>
        <v>16.795168633995001</v>
      </c>
      <c r="J142" s="23">
        <f>[1]!thsiFinD("ths_pe_ttm_uss",D$6,$A142,100)</f>
        <v>24.856772722363999</v>
      </c>
      <c r="K142" s="23">
        <f>[1]!thsiFinD("ths_pe_ttm_uss",E$6,$A142,100)</f>
        <v>10.832345326004001</v>
      </c>
      <c r="L142" s="23">
        <f>[1]!thsiFinD("ths_pe_ttm_uss",F$6,$A142,100)</f>
        <v>62.896784969446998</v>
      </c>
      <c r="M142" s="23">
        <f>[1]!thsiFinD("ths_pe_ttm_uss",G$6,$A142,100)</f>
        <v>8.2686399411548006</v>
      </c>
      <c r="N142" s="26">
        <f>[1]!thsiFinD("ths_ev2_to_ebitda_usk",N$6,$A142)</f>
        <v>5.6348922049976</v>
      </c>
      <c r="O142" s="26">
        <f>[1]!thsiFinD("ths_ev2_to_ebitda_usk",O$6,$A142)</f>
        <v>7.3671711761407996</v>
      </c>
      <c r="P142" s="26">
        <f>[1]!thsiFinD("ths_ev2_to_ebitda_usk",P$6,$A142)</f>
        <v>7.9697078261841998</v>
      </c>
      <c r="Q142" s="26">
        <f>[1]!thsiFinD("ths_ev2_to_ebitda_usk",Q$6,$A142)</f>
        <v>5.1401532134787997</v>
      </c>
      <c r="R142" s="26">
        <f>[1]!thsiFinD("ths_ev2_to_ebitda_usk",R$6,$A142)</f>
        <v>4.9901135608509</v>
      </c>
      <c r="S142" s="26">
        <f>[1]!thsiFinD("ths_ev2_to_ebitda_usk",S$6,$A142)</f>
        <v>4.0375759890858998</v>
      </c>
      <c r="T142" s="27">
        <f>[1]!thsiFinD("ths_pb_mrq_usk",T$6,$A142)</f>
        <v>1.7390998028819</v>
      </c>
      <c r="U142" s="27">
        <f>[1]!thsiFinD("ths_pb_mrq_usk",U$6,$A142)</f>
        <v>1.9307021622348</v>
      </c>
      <c r="V142" s="27">
        <f>[1]!thsiFinD("ths_pb_mrq_usk",V$6,$A142)</f>
        <v>1.6717565257561999</v>
      </c>
      <c r="W142" s="27">
        <f>[1]!thsiFinD("ths_pb_mrq_usk",W$6,$A142)</f>
        <v>1.9779715916394001</v>
      </c>
      <c r="X142" s="27">
        <f>[1]!thsiFinD("ths_pb_mrq_usk",X$6,$A142)</f>
        <v>1.639264466445</v>
      </c>
      <c r="Y142" s="27">
        <f>[1]!thsiFinD("ths_pb_mrq_usk",Y$6,$A142)</f>
        <v>1.4646535504886</v>
      </c>
      <c r="Z142" s="28">
        <f>[1]!thsiFinD("ths_ps_ttm_uss",Z$6,$A142,100)</f>
        <v>1.8181574316022999</v>
      </c>
      <c r="AA142" s="28">
        <f>[1]!thsiFinD("ths_ps_ttm_uss",AA$6,$A142,100)</f>
        <v>1.5090944398602999</v>
      </c>
      <c r="AB142" s="28">
        <f>[1]!thsiFinD("ths_ps_ttm_uss",AB$6,$A142,100)</f>
        <v>1.6327026613257001</v>
      </c>
      <c r="AC142" s="28">
        <f>[1]!thsiFinD("ths_ps_ttm_uss",AC$6,$A142,100)</f>
        <v>2.6530346628636998</v>
      </c>
      <c r="AD142" s="28">
        <f>[1]!thsiFinD("ths_ps_ttm_uss",AD$6,$A142,100)</f>
        <v>0.49497042216553</v>
      </c>
      <c r="AE142" s="28">
        <f>[1]!thsiFinD("ths_ps_ttm_uss",AE$6,$A142,100)</f>
        <v>1.2869165426445</v>
      </c>
      <c r="AJ142" s="44">
        <f>[1]!thsiFinD("ths_right_value_usk",AJ$6,$A142,"USD")/1000000</f>
        <v>112907.5765025</v>
      </c>
      <c r="AK142" s="44">
        <f>[1]!thsiFinD("ths_right_value_usk",AK$6,$A142,"USD")/1000000</f>
        <v>503065.68609406002</v>
      </c>
      <c r="AL142" s="44">
        <f>[1]!thsiFinD("ths_right_value_usk",AL$6,$A142,"USD")/1000000</f>
        <v>317371.27411914</v>
      </c>
      <c r="AM142" s="44">
        <f>[1]!thsiFinD("ths_right_value_usk",AM$6,$A142,"USD")/1000000</f>
        <v>59902.8696528</v>
      </c>
      <c r="AN142" s="44">
        <f>[1]!thsiFinD("ths_right_value_usk",AN$6,$A142,"USD")/1000000</f>
        <v>95477.319583619988</v>
      </c>
      <c r="AO142" s="44">
        <f>[1]!thsiFinD("ths_right_value_usk",AO$6,$A142,"USD")/1000000</f>
        <v>22482.432000000001</v>
      </c>
      <c r="AP142" s="44">
        <f>[1]!thsiFinD("ths_ev2_usk",AP$6,$A142,"USD")/1000000</f>
        <v>131129.57650249999</v>
      </c>
      <c r="AQ142" s="44">
        <f>[1]!thsiFinD("ths_ev2_usk",AQ$6,$A142,"USD")/1000000</f>
        <v>540094.68609405996</v>
      </c>
      <c r="AR142" s="44">
        <f>[1]!thsiFinD("ths_ev2_usk",AR$6,$A142,"USD")/1000000</f>
        <v>356947.27411914</v>
      </c>
      <c r="AS142" s="44">
        <f>[1]!thsiFinD("ths_ev2_usk",AS$6,$A142,"USD")/1000000</f>
        <v>64066.8696528</v>
      </c>
      <c r="AT142" s="44">
        <f>[1]!thsiFinD("ths_ev2_usk",AT$6,$A142,"USD")/1000000</f>
        <v>140157.31958362</v>
      </c>
      <c r="AU142" s="44">
        <f>[1]!thsiFinD("ths_ev2_usk",AU$6,$A142,"USD")/1000000</f>
        <v>29595.432000000001</v>
      </c>
    </row>
    <row r="143" spans="1:47" x14ac:dyDescent="0.45">
      <c r="A143" s="3"/>
      <c r="B143" s="13"/>
      <c r="H143" s="23">
        <f>[1]!thsiFinD("ths_pe_ttm_uss",B$6,$A143,100)</f>
        <v>12.763687147016</v>
      </c>
      <c r="I143" s="23">
        <f>[1]!thsiFinD("ths_pe_ttm_uss",C$6,$A143,100)</f>
        <v>16.795168633995001</v>
      </c>
      <c r="J143" s="23">
        <f>[1]!thsiFinD("ths_pe_ttm_uss",D$6,$A143,100)</f>
        <v>24.856772722363999</v>
      </c>
      <c r="K143" s="23">
        <f>[1]!thsiFinD("ths_pe_ttm_uss",E$6,$A143,100)</f>
        <v>10.832345326004001</v>
      </c>
      <c r="L143" s="23">
        <f>[1]!thsiFinD("ths_pe_ttm_uss",F$6,$A143,100)</f>
        <v>62.896784969446998</v>
      </c>
      <c r="M143" s="23">
        <f>[1]!thsiFinD("ths_pe_ttm_uss",G$6,$A143,100)</f>
        <v>8.2686399411548006</v>
      </c>
      <c r="N143" s="26">
        <f>[1]!thsiFinD("ths_ev2_to_ebitda_usk",N$6,$A143)</f>
        <v>5.6348922049976</v>
      </c>
      <c r="O143" s="26">
        <f>[1]!thsiFinD("ths_ev2_to_ebitda_usk",O$6,$A143)</f>
        <v>7.3671711761407996</v>
      </c>
      <c r="P143" s="26">
        <f>[1]!thsiFinD("ths_ev2_to_ebitda_usk",P$6,$A143)</f>
        <v>7.9697078261841998</v>
      </c>
      <c r="Q143" s="26">
        <f>[1]!thsiFinD("ths_ev2_to_ebitda_usk",Q$6,$A143)</f>
        <v>5.1401532134787997</v>
      </c>
      <c r="R143" s="26">
        <f>[1]!thsiFinD("ths_ev2_to_ebitda_usk",R$6,$A143)</f>
        <v>4.9901135608509</v>
      </c>
      <c r="S143" s="26">
        <f>[1]!thsiFinD("ths_ev2_to_ebitda_usk",S$6,$A143)</f>
        <v>4.0375759890858998</v>
      </c>
      <c r="T143" s="27">
        <f>[1]!thsiFinD("ths_pb_mrq_usk",T$6,$A143)</f>
        <v>1.7390998028819</v>
      </c>
      <c r="U143" s="27">
        <f>[1]!thsiFinD("ths_pb_mrq_usk",U$6,$A143)</f>
        <v>1.9307021622348</v>
      </c>
      <c r="V143" s="27">
        <f>[1]!thsiFinD("ths_pb_mrq_usk",V$6,$A143)</f>
        <v>1.6717565257561999</v>
      </c>
      <c r="W143" s="27">
        <f>[1]!thsiFinD("ths_pb_mrq_usk",W$6,$A143)</f>
        <v>1.9779715916394001</v>
      </c>
      <c r="X143" s="27">
        <f>[1]!thsiFinD("ths_pb_mrq_usk",X$6,$A143)</f>
        <v>1.639264466445</v>
      </c>
      <c r="Y143" s="27">
        <f>[1]!thsiFinD("ths_pb_mrq_usk",Y$6,$A143)</f>
        <v>1.4646535504886</v>
      </c>
      <c r="Z143" s="28">
        <f>[1]!thsiFinD("ths_ps_ttm_uss",Z$6,$A143,100)</f>
        <v>1.8181574316022999</v>
      </c>
      <c r="AA143" s="28">
        <f>[1]!thsiFinD("ths_ps_ttm_uss",AA$6,$A143,100)</f>
        <v>1.5090944398602999</v>
      </c>
      <c r="AB143" s="28">
        <f>[1]!thsiFinD("ths_ps_ttm_uss",AB$6,$A143,100)</f>
        <v>1.6327026613257001</v>
      </c>
      <c r="AC143" s="28">
        <f>[1]!thsiFinD("ths_ps_ttm_uss",AC$6,$A143,100)</f>
        <v>2.6530346628636998</v>
      </c>
      <c r="AD143" s="28">
        <f>[1]!thsiFinD("ths_ps_ttm_uss",AD$6,$A143,100)</f>
        <v>0.49497042216553</v>
      </c>
      <c r="AE143" s="28">
        <f>[1]!thsiFinD("ths_ps_ttm_uss",AE$6,$A143,100)</f>
        <v>1.2869165426445</v>
      </c>
      <c r="AJ143" s="44">
        <f>[1]!thsiFinD("ths_right_value_usk",AJ$6,$A143,"USD")/1000000</f>
        <v>112907.5765025</v>
      </c>
      <c r="AK143" s="44">
        <f>[1]!thsiFinD("ths_right_value_usk",AK$6,$A143,"USD")/1000000</f>
        <v>503065.68609406002</v>
      </c>
      <c r="AL143" s="44">
        <f>[1]!thsiFinD("ths_right_value_usk",AL$6,$A143,"USD")/1000000</f>
        <v>317371.27411914</v>
      </c>
      <c r="AM143" s="44">
        <f>[1]!thsiFinD("ths_right_value_usk",AM$6,$A143,"USD")/1000000</f>
        <v>59902.8696528</v>
      </c>
      <c r="AN143" s="44">
        <f>[1]!thsiFinD("ths_right_value_usk",AN$6,$A143,"USD")/1000000</f>
        <v>95477.319583619988</v>
      </c>
      <c r="AO143" s="44">
        <f>[1]!thsiFinD("ths_right_value_usk",AO$6,$A143,"USD")/1000000</f>
        <v>22482.432000000001</v>
      </c>
      <c r="AP143" s="44">
        <f>[1]!thsiFinD("ths_ev2_usk",AP$6,$A143,"USD")/1000000</f>
        <v>131129.57650249999</v>
      </c>
      <c r="AQ143" s="44">
        <f>[1]!thsiFinD("ths_ev2_usk",AQ$6,$A143,"USD")/1000000</f>
        <v>540094.68609405996</v>
      </c>
      <c r="AR143" s="44">
        <f>[1]!thsiFinD("ths_ev2_usk",AR$6,$A143,"USD")/1000000</f>
        <v>356947.27411914</v>
      </c>
      <c r="AS143" s="44">
        <f>[1]!thsiFinD("ths_ev2_usk",AS$6,$A143,"USD")/1000000</f>
        <v>64066.8696528</v>
      </c>
      <c r="AT143" s="44">
        <f>[1]!thsiFinD("ths_ev2_usk",AT$6,$A143,"USD")/1000000</f>
        <v>140157.31958362</v>
      </c>
      <c r="AU143" s="44">
        <f>[1]!thsiFinD("ths_ev2_usk",AU$6,$A143,"USD")/1000000</f>
        <v>29595.432000000001</v>
      </c>
    </row>
    <row r="144" spans="1:47" x14ac:dyDescent="0.45">
      <c r="A144" s="3"/>
      <c r="B144" s="13"/>
      <c r="H144" s="23">
        <f>[1]!thsiFinD("ths_pe_ttm_uss",B$6,$A144,100)</f>
        <v>12.763687147016</v>
      </c>
      <c r="I144" s="23">
        <f>[1]!thsiFinD("ths_pe_ttm_uss",C$6,$A144,100)</f>
        <v>16.795168633995001</v>
      </c>
      <c r="J144" s="23">
        <f>[1]!thsiFinD("ths_pe_ttm_uss",D$6,$A144,100)</f>
        <v>24.856772722363999</v>
      </c>
      <c r="K144" s="23">
        <f>[1]!thsiFinD("ths_pe_ttm_uss",E$6,$A144,100)</f>
        <v>10.832345326004001</v>
      </c>
      <c r="L144" s="23">
        <f>[1]!thsiFinD("ths_pe_ttm_uss",F$6,$A144,100)</f>
        <v>62.896784969446998</v>
      </c>
      <c r="M144" s="23">
        <f>[1]!thsiFinD("ths_pe_ttm_uss",G$6,$A144,100)</f>
        <v>8.2686399411548006</v>
      </c>
      <c r="N144" s="26">
        <f>[1]!thsiFinD("ths_ev2_to_ebitda_usk",N$6,$A144)</f>
        <v>5.6348922049976</v>
      </c>
      <c r="O144" s="26">
        <f>[1]!thsiFinD("ths_ev2_to_ebitda_usk",O$6,$A144)</f>
        <v>7.3671711761407996</v>
      </c>
      <c r="P144" s="26">
        <f>[1]!thsiFinD("ths_ev2_to_ebitda_usk",P$6,$A144)</f>
        <v>7.9697078261841998</v>
      </c>
      <c r="Q144" s="26">
        <f>[1]!thsiFinD("ths_ev2_to_ebitda_usk",Q$6,$A144)</f>
        <v>5.1401532134787997</v>
      </c>
      <c r="R144" s="26">
        <f>[1]!thsiFinD("ths_ev2_to_ebitda_usk",R$6,$A144)</f>
        <v>4.9901135608509</v>
      </c>
      <c r="S144" s="26">
        <f>[1]!thsiFinD("ths_ev2_to_ebitda_usk",S$6,$A144)</f>
        <v>4.0375759890858998</v>
      </c>
      <c r="T144" s="27">
        <f>[1]!thsiFinD("ths_pb_mrq_usk",T$6,$A144)</f>
        <v>1.7390998028819</v>
      </c>
      <c r="U144" s="27">
        <f>[1]!thsiFinD("ths_pb_mrq_usk",U$6,$A144)</f>
        <v>1.9307021622348</v>
      </c>
      <c r="V144" s="27">
        <f>[1]!thsiFinD("ths_pb_mrq_usk",V$6,$A144)</f>
        <v>1.6717565257561999</v>
      </c>
      <c r="W144" s="27">
        <f>[1]!thsiFinD("ths_pb_mrq_usk",W$6,$A144)</f>
        <v>1.9779715916394001</v>
      </c>
      <c r="X144" s="27">
        <f>[1]!thsiFinD("ths_pb_mrq_usk",X$6,$A144)</f>
        <v>1.639264466445</v>
      </c>
      <c r="Y144" s="27">
        <f>[1]!thsiFinD("ths_pb_mrq_usk",Y$6,$A144)</f>
        <v>1.4646535504886</v>
      </c>
      <c r="Z144" s="28">
        <f>[1]!thsiFinD("ths_ps_ttm_uss",Z$6,$A144,100)</f>
        <v>1.8181574316022999</v>
      </c>
      <c r="AA144" s="28">
        <f>[1]!thsiFinD("ths_ps_ttm_uss",AA$6,$A144,100)</f>
        <v>1.5090944398602999</v>
      </c>
      <c r="AB144" s="28">
        <f>[1]!thsiFinD("ths_ps_ttm_uss",AB$6,$A144,100)</f>
        <v>1.6327026613257001</v>
      </c>
      <c r="AC144" s="28">
        <f>[1]!thsiFinD("ths_ps_ttm_uss",AC$6,$A144,100)</f>
        <v>2.6530346628636998</v>
      </c>
      <c r="AD144" s="28">
        <f>[1]!thsiFinD("ths_ps_ttm_uss",AD$6,$A144,100)</f>
        <v>0.49497042216553</v>
      </c>
      <c r="AE144" s="28">
        <f>[1]!thsiFinD("ths_ps_ttm_uss",AE$6,$A144,100)</f>
        <v>1.2869165426445</v>
      </c>
      <c r="AJ144" s="44">
        <f>[1]!thsiFinD("ths_right_value_usk",AJ$6,$A144,"USD")/1000000</f>
        <v>112907.5765025</v>
      </c>
      <c r="AK144" s="44">
        <f>[1]!thsiFinD("ths_right_value_usk",AK$6,$A144,"USD")/1000000</f>
        <v>503065.68609406002</v>
      </c>
      <c r="AL144" s="44">
        <f>[1]!thsiFinD("ths_right_value_usk",AL$6,$A144,"USD")/1000000</f>
        <v>317371.27411914</v>
      </c>
      <c r="AM144" s="44">
        <f>[1]!thsiFinD("ths_right_value_usk",AM$6,$A144,"USD")/1000000</f>
        <v>59902.8696528</v>
      </c>
      <c r="AN144" s="44">
        <f>[1]!thsiFinD("ths_right_value_usk",AN$6,$A144,"USD")/1000000</f>
        <v>95477.319583619988</v>
      </c>
      <c r="AO144" s="44">
        <f>[1]!thsiFinD("ths_right_value_usk",AO$6,$A144,"USD")/1000000</f>
        <v>22482.432000000001</v>
      </c>
      <c r="AP144" s="44">
        <f>[1]!thsiFinD("ths_ev2_usk",AP$6,$A144,"USD")/1000000</f>
        <v>131129.57650249999</v>
      </c>
      <c r="AQ144" s="44">
        <f>[1]!thsiFinD("ths_ev2_usk",AQ$6,$A144,"USD")/1000000</f>
        <v>540094.68609405996</v>
      </c>
      <c r="AR144" s="44">
        <f>[1]!thsiFinD("ths_ev2_usk",AR$6,$A144,"USD")/1000000</f>
        <v>356947.27411914</v>
      </c>
      <c r="AS144" s="44">
        <f>[1]!thsiFinD("ths_ev2_usk",AS$6,$A144,"USD")/1000000</f>
        <v>64066.8696528</v>
      </c>
      <c r="AT144" s="44">
        <f>[1]!thsiFinD("ths_ev2_usk",AT$6,$A144,"USD")/1000000</f>
        <v>140157.31958362</v>
      </c>
      <c r="AU144" s="44">
        <f>[1]!thsiFinD("ths_ev2_usk",AU$6,$A144,"USD")/1000000</f>
        <v>29595.432000000001</v>
      </c>
    </row>
    <row r="145" spans="1:47" x14ac:dyDescent="0.45">
      <c r="A145" s="3"/>
      <c r="B145" s="13"/>
      <c r="H145" s="23">
        <f>[1]!thsiFinD("ths_pe_ttm_uss",B$6,$A145,100)</f>
        <v>12.763687147016</v>
      </c>
      <c r="I145" s="23">
        <f>[1]!thsiFinD("ths_pe_ttm_uss",C$6,$A145,100)</f>
        <v>16.795168633995001</v>
      </c>
      <c r="J145" s="23">
        <f>[1]!thsiFinD("ths_pe_ttm_uss",D$6,$A145,100)</f>
        <v>24.856772722363999</v>
      </c>
      <c r="K145" s="23">
        <f>[1]!thsiFinD("ths_pe_ttm_uss",E$6,$A145,100)</f>
        <v>10.832345326004001</v>
      </c>
      <c r="L145" s="23">
        <f>[1]!thsiFinD("ths_pe_ttm_uss",F$6,$A145,100)</f>
        <v>62.896784969446998</v>
      </c>
      <c r="M145" s="23">
        <f>[1]!thsiFinD("ths_pe_ttm_uss",G$6,$A145,100)</f>
        <v>8.2686399411548006</v>
      </c>
      <c r="N145" s="26">
        <f>[1]!thsiFinD("ths_ev2_to_ebitda_usk",N$6,$A145)</f>
        <v>5.6348922049976</v>
      </c>
      <c r="O145" s="26">
        <f>[1]!thsiFinD("ths_ev2_to_ebitda_usk",O$6,$A145)</f>
        <v>7.3671711761407996</v>
      </c>
      <c r="P145" s="26">
        <f>[1]!thsiFinD("ths_ev2_to_ebitda_usk",P$6,$A145)</f>
        <v>7.9697078261841998</v>
      </c>
      <c r="Q145" s="26">
        <f>[1]!thsiFinD("ths_ev2_to_ebitda_usk",Q$6,$A145)</f>
        <v>5.1401532134787997</v>
      </c>
      <c r="R145" s="26">
        <f>[1]!thsiFinD("ths_ev2_to_ebitda_usk",R$6,$A145)</f>
        <v>4.9901135608509</v>
      </c>
      <c r="S145" s="26">
        <f>[1]!thsiFinD("ths_ev2_to_ebitda_usk",S$6,$A145)</f>
        <v>4.0375759890858998</v>
      </c>
      <c r="T145" s="27">
        <f>[1]!thsiFinD("ths_pb_mrq_usk",T$6,$A145)</f>
        <v>1.7390998028819</v>
      </c>
      <c r="U145" s="27">
        <f>[1]!thsiFinD("ths_pb_mrq_usk",U$6,$A145)</f>
        <v>1.9307021622348</v>
      </c>
      <c r="V145" s="27">
        <f>[1]!thsiFinD("ths_pb_mrq_usk",V$6,$A145)</f>
        <v>1.6717565257561999</v>
      </c>
      <c r="W145" s="27">
        <f>[1]!thsiFinD("ths_pb_mrq_usk",W$6,$A145)</f>
        <v>1.9779715916394001</v>
      </c>
      <c r="X145" s="27">
        <f>[1]!thsiFinD("ths_pb_mrq_usk",X$6,$A145)</f>
        <v>1.639264466445</v>
      </c>
      <c r="Y145" s="27">
        <f>[1]!thsiFinD("ths_pb_mrq_usk",Y$6,$A145)</f>
        <v>1.4646535504886</v>
      </c>
      <c r="Z145" s="28">
        <f>[1]!thsiFinD("ths_ps_ttm_uss",Z$6,$A145,100)</f>
        <v>1.8181574316022999</v>
      </c>
      <c r="AA145" s="28">
        <f>[1]!thsiFinD("ths_ps_ttm_uss",AA$6,$A145,100)</f>
        <v>1.5090944398602999</v>
      </c>
      <c r="AB145" s="28">
        <f>[1]!thsiFinD("ths_ps_ttm_uss",AB$6,$A145,100)</f>
        <v>1.6327026613257001</v>
      </c>
      <c r="AC145" s="28">
        <f>[1]!thsiFinD("ths_ps_ttm_uss",AC$6,$A145,100)</f>
        <v>2.6530346628636998</v>
      </c>
      <c r="AD145" s="28">
        <f>[1]!thsiFinD("ths_ps_ttm_uss",AD$6,$A145,100)</f>
        <v>0.49497042216553</v>
      </c>
      <c r="AE145" s="28">
        <f>[1]!thsiFinD("ths_ps_ttm_uss",AE$6,$A145,100)</f>
        <v>1.2869165426445</v>
      </c>
      <c r="AJ145" s="44">
        <f>[1]!thsiFinD("ths_right_value_usk",AJ$6,$A145,"USD")/1000000</f>
        <v>112907.5765025</v>
      </c>
      <c r="AK145" s="44">
        <f>[1]!thsiFinD("ths_right_value_usk",AK$6,$A145,"USD")/1000000</f>
        <v>503065.68609406002</v>
      </c>
      <c r="AL145" s="44">
        <f>[1]!thsiFinD("ths_right_value_usk",AL$6,$A145,"USD")/1000000</f>
        <v>317371.27411914</v>
      </c>
      <c r="AM145" s="44">
        <f>[1]!thsiFinD("ths_right_value_usk",AM$6,$A145,"USD")/1000000</f>
        <v>59902.8696528</v>
      </c>
      <c r="AN145" s="44">
        <f>[1]!thsiFinD("ths_right_value_usk",AN$6,$A145,"USD")/1000000</f>
        <v>95477.319583619988</v>
      </c>
      <c r="AO145" s="44">
        <f>[1]!thsiFinD("ths_right_value_usk",AO$6,$A145,"USD")/1000000</f>
        <v>22482.432000000001</v>
      </c>
      <c r="AP145" s="44">
        <f>[1]!thsiFinD("ths_ev2_usk",AP$6,$A145,"USD")/1000000</f>
        <v>131129.57650249999</v>
      </c>
      <c r="AQ145" s="44">
        <f>[1]!thsiFinD("ths_ev2_usk",AQ$6,$A145,"USD")/1000000</f>
        <v>540094.68609405996</v>
      </c>
      <c r="AR145" s="44">
        <f>[1]!thsiFinD("ths_ev2_usk",AR$6,$A145,"USD")/1000000</f>
        <v>356947.27411914</v>
      </c>
      <c r="AS145" s="44">
        <f>[1]!thsiFinD("ths_ev2_usk",AS$6,$A145,"USD")/1000000</f>
        <v>64066.8696528</v>
      </c>
      <c r="AT145" s="44">
        <f>[1]!thsiFinD("ths_ev2_usk",AT$6,$A145,"USD")/1000000</f>
        <v>140157.31958362</v>
      </c>
      <c r="AU145" s="44">
        <f>[1]!thsiFinD("ths_ev2_usk",AU$6,$A145,"USD")/1000000</f>
        <v>29595.432000000001</v>
      </c>
    </row>
    <row r="146" spans="1:47" x14ac:dyDescent="0.45">
      <c r="A146" s="3"/>
      <c r="B146" s="13"/>
      <c r="H146" s="23">
        <f>[1]!thsiFinD("ths_pe_ttm_uss",B$6,$A146,100)</f>
        <v>12.763687147016</v>
      </c>
      <c r="I146" s="23">
        <f>[1]!thsiFinD("ths_pe_ttm_uss",C$6,$A146,100)</f>
        <v>16.795168633995001</v>
      </c>
      <c r="J146" s="23">
        <f>[1]!thsiFinD("ths_pe_ttm_uss",D$6,$A146,100)</f>
        <v>24.856772722363999</v>
      </c>
      <c r="K146" s="23">
        <f>[1]!thsiFinD("ths_pe_ttm_uss",E$6,$A146,100)</f>
        <v>10.832345326004001</v>
      </c>
      <c r="L146" s="23">
        <f>[1]!thsiFinD("ths_pe_ttm_uss",F$6,$A146,100)</f>
        <v>62.896784969446998</v>
      </c>
      <c r="M146" s="23">
        <f>[1]!thsiFinD("ths_pe_ttm_uss",G$6,$A146,100)</f>
        <v>8.2686399411548006</v>
      </c>
      <c r="N146" s="26">
        <f>[1]!thsiFinD("ths_ev2_to_ebitda_usk",N$6,$A146)</f>
        <v>5.6348922049976</v>
      </c>
      <c r="O146" s="26">
        <f>[1]!thsiFinD("ths_ev2_to_ebitda_usk",O$6,$A146)</f>
        <v>7.3671711761407996</v>
      </c>
      <c r="P146" s="26">
        <f>[1]!thsiFinD("ths_ev2_to_ebitda_usk",P$6,$A146)</f>
        <v>7.9697078261841998</v>
      </c>
      <c r="Q146" s="26">
        <f>[1]!thsiFinD("ths_ev2_to_ebitda_usk",Q$6,$A146)</f>
        <v>5.1401532134787997</v>
      </c>
      <c r="R146" s="26">
        <f>[1]!thsiFinD("ths_ev2_to_ebitda_usk",R$6,$A146)</f>
        <v>4.9901135608509</v>
      </c>
      <c r="S146" s="26">
        <f>[1]!thsiFinD("ths_ev2_to_ebitda_usk",S$6,$A146)</f>
        <v>4.0375759890858998</v>
      </c>
      <c r="T146" s="27">
        <f>[1]!thsiFinD("ths_pb_mrq_usk",T$6,$A146)</f>
        <v>1.7390998028819</v>
      </c>
      <c r="U146" s="27">
        <f>[1]!thsiFinD("ths_pb_mrq_usk",U$6,$A146)</f>
        <v>1.9307021622348</v>
      </c>
      <c r="V146" s="27">
        <f>[1]!thsiFinD("ths_pb_mrq_usk",V$6,$A146)</f>
        <v>1.6717565257561999</v>
      </c>
      <c r="W146" s="27">
        <f>[1]!thsiFinD("ths_pb_mrq_usk",W$6,$A146)</f>
        <v>1.9779715916394001</v>
      </c>
      <c r="X146" s="27">
        <f>[1]!thsiFinD("ths_pb_mrq_usk",X$6,$A146)</f>
        <v>1.639264466445</v>
      </c>
      <c r="Y146" s="27">
        <f>[1]!thsiFinD("ths_pb_mrq_usk",Y$6,$A146)</f>
        <v>1.4646535504886</v>
      </c>
      <c r="Z146" s="28">
        <f>[1]!thsiFinD("ths_ps_ttm_uss",Z$6,$A146,100)</f>
        <v>1.8181574316022999</v>
      </c>
      <c r="AA146" s="28">
        <f>[1]!thsiFinD("ths_ps_ttm_uss",AA$6,$A146,100)</f>
        <v>1.5090944398602999</v>
      </c>
      <c r="AB146" s="28">
        <f>[1]!thsiFinD("ths_ps_ttm_uss",AB$6,$A146,100)</f>
        <v>1.6327026613257001</v>
      </c>
      <c r="AC146" s="28">
        <f>[1]!thsiFinD("ths_ps_ttm_uss",AC$6,$A146,100)</f>
        <v>2.6530346628636998</v>
      </c>
      <c r="AD146" s="28">
        <f>[1]!thsiFinD("ths_ps_ttm_uss",AD$6,$A146,100)</f>
        <v>0.49497042216553</v>
      </c>
      <c r="AE146" s="28">
        <f>[1]!thsiFinD("ths_ps_ttm_uss",AE$6,$A146,100)</f>
        <v>1.2869165426445</v>
      </c>
      <c r="AJ146" s="44">
        <f>[1]!thsiFinD("ths_right_value_usk",AJ$6,$A146,"USD")/1000000</f>
        <v>112907.5765025</v>
      </c>
      <c r="AK146" s="44">
        <f>[1]!thsiFinD("ths_right_value_usk",AK$6,$A146,"USD")/1000000</f>
        <v>503065.68609406002</v>
      </c>
      <c r="AL146" s="44">
        <f>[1]!thsiFinD("ths_right_value_usk",AL$6,$A146,"USD")/1000000</f>
        <v>317371.27411914</v>
      </c>
      <c r="AM146" s="44">
        <f>[1]!thsiFinD("ths_right_value_usk",AM$6,$A146,"USD")/1000000</f>
        <v>59902.8696528</v>
      </c>
      <c r="AN146" s="44">
        <f>[1]!thsiFinD("ths_right_value_usk",AN$6,$A146,"USD")/1000000</f>
        <v>95477.319583619988</v>
      </c>
      <c r="AO146" s="44">
        <f>[1]!thsiFinD("ths_right_value_usk",AO$6,$A146,"USD")/1000000</f>
        <v>22482.432000000001</v>
      </c>
      <c r="AP146" s="44">
        <f>[1]!thsiFinD("ths_ev2_usk",AP$6,$A146,"USD")/1000000</f>
        <v>131129.57650249999</v>
      </c>
      <c r="AQ146" s="44">
        <f>[1]!thsiFinD("ths_ev2_usk",AQ$6,$A146,"USD")/1000000</f>
        <v>540094.68609405996</v>
      </c>
      <c r="AR146" s="44">
        <f>[1]!thsiFinD("ths_ev2_usk",AR$6,$A146,"USD")/1000000</f>
        <v>356947.27411914</v>
      </c>
      <c r="AS146" s="44">
        <f>[1]!thsiFinD("ths_ev2_usk",AS$6,$A146,"USD")/1000000</f>
        <v>64066.8696528</v>
      </c>
      <c r="AT146" s="44">
        <f>[1]!thsiFinD("ths_ev2_usk",AT$6,$A146,"USD")/1000000</f>
        <v>140157.31958362</v>
      </c>
      <c r="AU146" s="44">
        <f>[1]!thsiFinD("ths_ev2_usk",AU$6,$A146,"USD")/1000000</f>
        <v>29595.432000000001</v>
      </c>
    </row>
    <row r="147" spans="1:47" x14ac:dyDescent="0.45">
      <c r="A147" s="3"/>
      <c r="B147" s="13"/>
      <c r="H147" s="23">
        <f>[1]!thsiFinD("ths_pe_ttm_uss",B$6,$A147,100)</f>
        <v>12.763687147016</v>
      </c>
      <c r="I147" s="23">
        <f>[1]!thsiFinD("ths_pe_ttm_uss",C$6,$A147,100)</f>
        <v>16.795168633995001</v>
      </c>
      <c r="J147" s="23">
        <f>[1]!thsiFinD("ths_pe_ttm_uss",D$6,$A147,100)</f>
        <v>24.856772722363999</v>
      </c>
      <c r="K147" s="23">
        <f>[1]!thsiFinD("ths_pe_ttm_uss",E$6,$A147,100)</f>
        <v>10.832345326004001</v>
      </c>
      <c r="L147" s="23">
        <f>[1]!thsiFinD("ths_pe_ttm_uss",F$6,$A147,100)</f>
        <v>62.896784969446998</v>
      </c>
      <c r="M147" s="23">
        <f>[1]!thsiFinD("ths_pe_ttm_uss",G$6,$A147,100)</f>
        <v>8.2686399411548006</v>
      </c>
      <c r="N147" s="26">
        <f>[1]!thsiFinD("ths_ev2_to_ebitda_usk",N$6,$A147)</f>
        <v>5.6348922049976</v>
      </c>
      <c r="O147" s="26">
        <f>[1]!thsiFinD("ths_ev2_to_ebitda_usk",O$6,$A147)</f>
        <v>7.3671711761407996</v>
      </c>
      <c r="P147" s="26">
        <f>[1]!thsiFinD("ths_ev2_to_ebitda_usk",P$6,$A147)</f>
        <v>7.9697078261841998</v>
      </c>
      <c r="Q147" s="26">
        <f>[1]!thsiFinD("ths_ev2_to_ebitda_usk",Q$6,$A147)</f>
        <v>5.1401532134787997</v>
      </c>
      <c r="R147" s="26">
        <f>[1]!thsiFinD("ths_ev2_to_ebitda_usk",R$6,$A147)</f>
        <v>4.9901135608509</v>
      </c>
      <c r="S147" s="26">
        <f>[1]!thsiFinD("ths_ev2_to_ebitda_usk",S$6,$A147)</f>
        <v>4.0375759890858998</v>
      </c>
      <c r="T147" s="27">
        <f>[1]!thsiFinD("ths_pb_mrq_usk",T$6,$A147)</f>
        <v>1.7390998028819</v>
      </c>
      <c r="U147" s="27">
        <f>[1]!thsiFinD("ths_pb_mrq_usk",U$6,$A147)</f>
        <v>1.9307021622348</v>
      </c>
      <c r="V147" s="27">
        <f>[1]!thsiFinD("ths_pb_mrq_usk",V$6,$A147)</f>
        <v>1.6717565257561999</v>
      </c>
      <c r="W147" s="27">
        <f>[1]!thsiFinD("ths_pb_mrq_usk",W$6,$A147)</f>
        <v>1.9779715916394001</v>
      </c>
      <c r="X147" s="27">
        <f>[1]!thsiFinD("ths_pb_mrq_usk",X$6,$A147)</f>
        <v>1.639264466445</v>
      </c>
      <c r="Y147" s="27">
        <f>[1]!thsiFinD("ths_pb_mrq_usk",Y$6,$A147)</f>
        <v>1.4646535504886</v>
      </c>
      <c r="Z147" s="28">
        <f>[1]!thsiFinD("ths_ps_ttm_uss",Z$6,$A147,100)</f>
        <v>1.8181574316022999</v>
      </c>
      <c r="AA147" s="28">
        <f>[1]!thsiFinD("ths_ps_ttm_uss",AA$6,$A147,100)</f>
        <v>1.5090944398602999</v>
      </c>
      <c r="AB147" s="28">
        <f>[1]!thsiFinD("ths_ps_ttm_uss",AB$6,$A147,100)</f>
        <v>1.6327026613257001</v>
      </c>
      <c r="AC147" s="28">
        <f>[1]!thsiFinD("ths_ps_ttm_uss",AC$6,$A147,100)</f>
        <v>2.6530346628636998</v>
      </c>
      <c r="AD147" s="28">
        <f>[1]!thsiFinD("ths_ps_ttm_uss",AD$6,$A147,100)</f>
        <v>0.49497042216553</v>
      </c>
      <c r="AE147" s="28">
        <f>[1]!thsiFinD("ths_ps_ttm_uss",AE$6,$A147,100)</f>
        <v>1.2869165426445</v>
      </c>
      <c r="AJ147" s="44">
        <f>[1]!thsiFinD("ths_right_value_usk",AJ$6,$A147,"USD")/1000000</f>
        <v>112907.5765025</v>
      </c>
      <c r="AK147" s="44">
        <f>[1]!thsiFinD("ths_right_value_usk",AK$6,$A147,"USD")/1000000</f>
        <v>503065.68609406002</v>
      </c>
      <c r="AL147" s="44">
        <f>[1]!thsiFinD("ths_right_value_usk",AL$6,$A147,"USD")/1000000</f>
        <v>317371.27411914</v>
      </c>
      <c r="AM147" s="44">
        <f>[1]!thsiFinD("ths_right_value_usk",AM$6,$A147,"USD")/1000000</f>
        <v>59902.8696528</v>
      </c>
      <c r="AN147" s="44">
        <f>[1]!thsiFinD("ths_right_value_usk",AN$6,$A147,"USD")/1000000</f>
        <v>95477.319583619988</v>
      </c>
      <c r="AO147" s="44">
        <f>[1]!thsiFinD("ths_right_value_usk",AO$6,$A147,"USD")/1000000</f>
        <v>22482.432000000001</v>
      </c>
      <c r="AP147" s="44">
        <f>[1]!thsiFinD("ths_ev2_usk",AP$6,$A147,"USD")/1000000</f>
        <v>131129.57650249999</v>
      </c>
      <c r="AQ147" s="44">
        <f>[1]!thsiFinD("ths_ev2_usk",AQ$6,$A147,"USD")/1000000</f>
        <v>540094.68609405996</v>
      </c>
      <c r="AR147" s="44">
        <f>[1]!thsiFinD("ths_ev2_usk",AR$6,$A147,"USD")/1000000</f>
        <v>356947.27411914</v>
      </c>
      <c r="AS147" s="44">
        <f>[1]!thsiFinD("ths_ev2_usk",AS$6,$A147,"USD")/1000000</f>
        <v>64066.8696528</v>
      </c>
      <c r="AT147" s="44">
        <f>[1]!thsiFinD("ths_ev2_usk",AT$6,$A147,"USD")/1000000</f>
        <v>140157.31958362</v>
      </c>
      <c r="AU147" s="44">
        <f>[1]!thsiFinD("ths_ev2_usk",AU$6,$A147,"USD")/1000000</f>
        <v>29595.432000000001</v>
      </c>
    </row>
    <row r="148" spans="1:47" x14ac:dyDescent="0.45">
      <c r="A148" s="3"/>
      <c r="B148" s="13"/>
      <c r="H148" s="23">
        <f>[1]!thsiFinD("ths_pe_ttm_uss",B$6,$A148,100)</f>
        <v>12.763687147016</v>
      </c>
      <c r="I148" s="23">
        <f>[1]!thsiFinD("ths_pe_ttm_uss",C$6,$A148,100)</f>
        <v>16.795168633995001</v>
      </c>
      <c r="J148" s="23">
        <f>[1]!thsiFinD("ths_pe_ttm_uss",D$6,$A148,100)</f>
        <v>24.856772722363999</v>
      </c>
      <c r="K148" s="23">
        <f>[1]!thsiFinD("ths_pe_ttm_uss",E$6,$A148,100)</f>
        <v>10.832345326004001</v>
      </c>
      <c r="L148" s="23">
        <f>[1]!thsiFinD("ths_pe_ttm_uss",F$6,$A148,100)</f>
        <v>62.896784969446998</v>
      </c>
      <c r="M148" s="23">
        <f>[1]!thsiFinD("ths_pe_ttm_uss",G$6,$A148,100)</f>
        <v>8.2686399411548006</v>
      </c>
      <c r="N148" s="26">
        <f>[1]!thsiFinD("ths_ev2_to_ebitda_usk",N$6,$A148)</f>
        <v>5.6348922049976</v>
      </c>
      <c r="O148" s="26">
        <f>[1]!thsiFinD("ths_ev2_to_ebitda_usk",O$6,$A148)</f>
        <v>7.3671711761407996</v>
      </c>
      <c r="P148" s="26">
        <f>[1]!thsiFinD("ths_ev2_to_ebitda_usk",P$6,$A148)</f>
        <v>7.9697078261841998</v>
      </c>
      <c r="Q148" s="26">
        <f>[1]!thsiFinD("ths_ev2_to_ebitda_usk",Q$6,$A148)</f>
        <v>5.1401532134787997</v>
      </c>
      <c r="R148" s="26">
        <f>[1]!thsiFinD("ths_ev2_to_ebitda_usk",R$6,$A148)</f>
        <v>4.9901135608509</v>
      </c>
      <c r="S148" s="26">
        <f>[1]!thsiFinD("ths_ev2_to_ebitda_usk",S$6,$A148)</f>
        <v>4.0375759890858998</v>
      </c>
      <c r="T148" s="27">
        <f>[1]!thsiFinD("ths_pb_mrq_usk",T$6,$A148)</f>
        <v>1.7390998028819</v>
      </c>
      <c r="U148" s="27">
        <f>[1]!thsiFinD("ths_pb_mrq_usk",U$6,$A148)</f>
        <v>1.9307021622348</v>
      </c>
      <c r="V148" s="27">
        <f>[1]!thsiFinD("ths_pb_mrq_usk",V$6,$A148)</f>
        <v>1.6717565257561999</v>
      </c>
      <c r="W148" s="27">
        <f>[1]!thsiFinD("ths_pb_mrq_usk",W$6,$A148)</f>
        <v>1.9779715916394001</v>
      </c>
      <c r="X148" s="27">
        <f>[1]!thsiFinD("ths_pb_mrq_usk",X$6,$A148)</f>
        <v>1.639264466445</v>
      </c>
      <c r="Y148" s="27">
        <f>[1]!thsiFinD("ths_pb_mrq_usk",Y$6,$A148)</f>
        <v>1.4646535504886</v>
      </c>
      <c r="Z148" s="28">
        <f>[1]!thsiFinD("ths_ps_ttm_uss",Z$6,$A148,100)</f>
        <v>1.8181574316022999</v>
      </c>
      <c r="AA148" s="28">
        <f>[1]!thsiFinD("ths_ps_ttm_uss",AA$6,$A148,100)</f>
        <v>1.5090944398602999</v>
      </c>
      <c r="AB148" s="28">
        <f>[1]!thsiFinD("ths_ps_ttm_uss",AB$6,$A148,100)</f>
        <v>1.6327026613257001</v>
      </c>
      <c r="AC148" s="28">
        <f>[1]!thsiFinD("ths_ps_ttm_uss",AC$6,$A148,100)</f>
        <v>2.6530346628636998</v>
      </c>
      <c r="AD148" s="28">
        <f>[1]!thsiFinD("ths_ps_ttm_uss",AD$6,$A148,100)</f>
        <v>0.49497042216553</v>
      </c>
      <c r="AE148" s="28">
        <f>[1]!thsiFinD("ths_ps_ttm_uss",AE$6,$A148,100)</f>
        <v>1.2869165426445</v>
      </c>
      <c r="AJ148" s="44">
        <f>[1]!thsiFinD("ths_right_value_usk",AJ$6,$A148,"USD")/1000000</f>
        <v>112907.5765025</v>
      </c>
      <c r="AK148" s="44">
        <f>[1]!thsiFinD("ths_right_value_usk",AK$6,$A148,"USD")/1000000</f>
        <v>503065.68609406002</v>
      </c>
      <c r="AL148" s="44">
        <f>[1]!thsiFinD("ths_right_value_usk",AL$6,$A148,"USD")/1000000</f>
        <v>317371.27411914</v>
      </c>
      <c r="AM148" s="44">
        <f>[1]!thsiFinD("ths_right_value_usk",AM$6,$A148,"USD")/1000000</f>
        <v>59902.8696528</v>
      </c>
      <c r="AN148" s="44">
        <f>[1]!thsiFinD("ths_right_value_usk",AN$6,$A148,"USD")/1000000</f>
        <v>95477.319583619988</v>
      </c>
      <c r="AO148" s="44">
        <f>[1]!thsiFinD("ths_right_value_usk",AO$6,$A148,"USD")/1000000</f>
        <v>22482.432000000001</v>
      </c>
      <c r="AP148" s="44">
        <f>[1]!thsiFinD("ths_ev2_usk",AP$6,$A148,"USD")/1000000</f>
        <v>131129.57650249999</v>
      </c>
      <c r="AQ148" s="44">
        <f>[1]!thsiFinD("ths_ev2_usk",AQ$6,$A148,"USD")/1000000</f>
        <v>540094.68609405996</v>
      </c>
      <c r="AR148" s="44">
        <f>[1]!thsiFinD("ths_ev2_usk",AR$6,$A148,"USD")/1000000</f>
        <v>356947.27411914</v>
      </c>
      <c r="AS148" s="44">
        <f>[1]!thsiFinD("ths_ev2_usk",AS$6,$A148,"USD")/1000000</f>
        <v>64066.8696528</v>
      </c>
      <c r="AT148" s="44">
        <f>[1]!thsiFinD("ths_ev2_usk",AT$6,$A148,"USD")/1000000</f>
        <v>140157.31958362</v>
      </c>
      <c r="AU148" s="44">
        <f>[1]!thsiFinD("ths_ev2_usk",AU$6,$A148,"USD")/1000000</f>
        <v>29595.432000000001</v>
      </c>
    </row>
    <row r="149" spans="1:47" x14ac:dyDescent="0.45">
      <c r="A149" s="3"/>
      <c r="B149" s="13"/>
      <c r="H149" s="23">
        <f>[1]!thsiFinD("ths_pe_ttm_uss",B$6,$A149,100)</f>
        <v>12.763687147016</v>
      </c>
      <c r="I149" s="23">
        <f>[1]!thsiFinD("ths_pe_ttm_uss",C$6,$A149,100)</f>
        <v>16.795168633995001</v>
      </c>
      <c r="J149" s="23">
        <f>[1]!thsiFinD("ths_pe_ttm_uss",D$6,$A149,100)</f>
        <v>24.856772722363999</v>
      </c>
      <c r="K149" s="23">
        <f>[1]!thsiFinD("ths_pe_ttm_uss",E$6,$A149,100)</f>
        <v>10.832345326004001</v>
      </c>
      <c r="L149" s="23">
        <f>[1]!thsiFinD("ths_pe_ttm_uss",F$6,$A149,100)</f>
        <v>62.896784969446998</v>
      </c>
      <c r="M149" s="23">
        <f>[1]!thsiFinD("ths_pe_ttm_uss",G$6,$A149,100)</f>
        <v>8.2686399411548006</v>
      </c>
      <c r="N149" s="26">
        <f>[1]!thsiFinD("ths_ev2_to_ebitda_usk",N$6,$A149)</f>
        <v>5.6348922049976</v>
      </c>
      <c r="O149" s="26">
        <f>[1]!thsiFinD("ths_ev2_to_ebitda_usk",O$6,$A149)</f>
        <v>7.3671711761407996</v>
      </c>
      <c r="P149" s="26">
        <f>[1]!thsiFinD("ths_ev2_to_ebitda_usk",P$6,$A149)</f>
        <v>7.9697078261841998</v>
      </c>
      <c r="Q149" s="26">
        <f>[1]!thsiFinD("ths_ev2_to_ebitda_usk",Q$6,$A149)</f>
        <v>5.1401532134787997</v>
      </c>
      <c r="R149" s="26">
        <f>[1]!thsiFinD("ths_ev2_to_ebitda_usk",R$6,$A149)</f>
        <v>4.9901135608509</v>
      </c>
      <c r="S149" s="26">
        <f>[1]!thsiFinD("ths_ev2_to_ebitda_usk",S$6,$A149)</f>
        <v>4.0375759890858998</v>
      </c>
      <c r="T149" s="27">
        <f>[1]!thsiFinD("ths_pb_mrq_usk",T$6,$A149)</f>
        <v>1.7390998028819</v>
      </c>
      <c r="U149" s="27">
        <f>[1]!thsiFinD("ths_pb_mrq_usk",U$6,$A149)</f>
        <v>1.9307021622348</v>
      </c>
      <c r="V149" s="27">
        <f>[1]!thsiFinD("ths_pb_mrq_usk",V$6,$A149)</f>
        <v>1.6717565257561999</v>
      </c>
      <c r="W149" s="27">
        <f>[1]!thsiFinD("ths_pb_mrq_usk",W$6,$A149)</f>
        <v>1.9779715916394001</v>
      </c>
      <c r="X149" s="27">
        <f>[1]!thsiFinD("ths_pb_mrq_usk",X$6,$A149)</f>
        <v>1.639264466445</v>
      </c>
      <c r="Y149" s="27">
        <f>[1]!thsiFinD("ths_pb_mrq_usk",Y$6,$A149)</f>
        <v>1.4646535504886</v>
      </c>
      <c r="Z149" s="28">
        <f>[1]!thsiFinD("ths_ps_ttm_uss",Z$6,$A149,100)</f>
        <v>1.8181574316022999</v>
      </c>
      <c r="AA149" s="28">
        <f>[1]!thsiFinD("ths_ps_ttm_uss",AA$6,$A149,100)</f>
        <v>1.5090944398602999</v>
      </c>
      <c r="AB149" s="28">
        <f>[1]!thsiFinD("ths_ps_ttm_uss",AB$6,$A149,100)</f>
        <v>1.6327026613257001</v>
      </c>
      <c r="AC149" s="28">
        <f>[1]!thsiFinD("ths_ps_ttm_uss",AC$6,$A149,100)</f>
        <v>2.6530346628636998</v>
      </c>
      <c r="AD149" s="28">
        <f>[1]!thsiFinD("ths_ps_ttm_uss",AD$6,$A149,100)</f>
        <v>0.49497042216553</v>
      </c>
      <c r="AE149" s="28">
        <f>[1]!thsiFinD("ths_ps_ttm_uss",AE$6,$A149,100)</f>
        <v>1.2869165426445</v>
      </c>
      <c r="AJ149" s="44">
        <f>[1]!thsiFinD("ths_right_value_usk",AJ$6,$A149,"USD")/1000000</f>
        <v>112907.5765025</v>
      </c>
      <c r="AK149" s="44">
        <f>[1]!thsiFinD("ths_right_value_usk",AK$6,$A149,"USD")/1000000</f>
        <v>503065.68609406002</v>
      </c>
      <c r="AL149" s="44">
        <f>[1]!thsiFinD("ths_right_value_usk",AL$6,$A149,"USD")/1000000</f>
        <v>317371.27411914</v>
      </c>
      <c r="AM149" s="44">
        <f>[1]!thsiFinD("ths_right_value_usk",AM$6,$A149,"USD")/1000000</f>
        <v>59902.8696528</v>
      </c>
      <c r="AN149" s="44">
        <f>[1]!thsiFinD("ths_right_value_usk",AN$6,$A149,"USD")/1000000</f>
        <v>95477.319583619988</v>
      </c>
      <c r="AO149" s="44">
        <f>[1]!thsiFinD("ths_right_value_usk",AO$6,$A149,"USD")/1000000</f>
        <v>22482.432000000001</v>
      </c>
      <c r="AP149" s="44">
        <f>[1]!thsiFinD("ths_ev2_usk",AP$6,$A149,"USD")/1000000</f>
        <v>131129.57650249999</v>
      </c>
      <c r="AQ149" s="44">
        <f>[1]!thsiFinD("ths_ev2_usk",AQ$6,$A149,"USD")/1000000</f>
        <v>540094.68609405996</v>
      </c>
      <c r="AR149" s="44">
        <f>[1]!thsiFinD("ths_ev2_usk",AR$6,$A149,"USD")/1000000</f>
        <v>356947.27411914</v>
      </c>
      <c r="AS149" s="44">
        <f>[1]!thsiFinD("ths_ev2_usk",AS$6,$A149,"USD")/1000000</f>
        <v>64066.8696528</v>
      </c>
      <c r="AT149" s="44">
        <f>[1]!thsiFinD("ths_ev2_usk",AT$6,$A149,"USD")/1000000</f>
        <v>140157.31958362</v>
      </c>
      <c r="AU149" s="44">
        <f>[1]!thsiFinD("ths_ev2_usk",AU$6,$A149,"USD")/1000000</f>
        <v>29595.432000000001</v>
      </c>
    </row>
    <row r="150" spans="1:47" x14ac:dyDescent="0.45">
      <c r="A150" s="3"/>
      <c r="B150" s="13"/>
      <c r="H150" s="23">
        <f>[1]!thsiFinD("ths_pe_ttm_uss",B$6,$A150,100)</f>
        <v>12.763687147016</v>
      </c>
      <c r="I150" s="23">
        <f>[1]!thsiFinD("ths_pe_ttm_uss",C$6,$A150,100)</f>
        <v>16.795168633995001</v>
      </c>
      <c r="J150" s="23">
        <f>[1]!thsiFinD("ths_pe_ttm_uss",D$6,$A150,100)</f>
        <v>24.856772722363999</v>
      </c>
      <c r="K150" s="23">
        <f>[1]!thsiFinD("ths_pe_ttm_uss",E$6,$A150,100)</f>
        <v>10.832345326004001</v>
      </c>
      <c r="L150" s="23">
        <f>[1]!thsiFinD("ths_pe_ttm_uss",F$6,$A150,100)</f>
        <v>62.896784969446998</v>
      </c>
      <c r="M150" s="23">
        <f>[1]!thsiFinD("ths_pe_ttm_uss",G$6,$A150,100)</f>
        <v>8.2686399411548006</v>
      </c>
      <c r="N150" s="26">
        <f>[1]!thsiFinD("ths_ev2_to_ebitda_usk",N$6,$A150)</f>
        <v>5.6348922049976</v>
      </c>
      <c r="O150" s="26">
        <f>[1]!thsiFinD("ths_ev2_to_ebitda_usk",O$6,$A150)</f>
        <v>7.3671711761407996</v>
      </c>
      <c r="P150" s="26">
        <f>[1]!thsiFinD("ths_ev2_to_ebitda_usk",P$6,$A150)</f>
        <v>7.9697078261841998</v>
      </c>
      <c r="Q150" s="26">
        <f>[1]!thsiFinD("ths_ev2_to_ebitda_usk",Q$6,$A150)</f>
        <v>5.1401532134787997</v>
      </c>
      <c r="R150" s="26">
        <f>[1]!thsiFinD("ths_ev2_to_ebitda_usk",R$6,$A150)</f>
        <v>4.9901135608509</v>
      </c>
      <c r="S150" s="26">
        <f>[1]!thsiFinD("ths_ev2_to_ebitda_usk",S$6,$A150)</f>
        <v>4.0375759890858998</v>
      </c>
      <c r="T150" s="27">
        <f>[1]!thsiFinD("ths_pb_mrq_usk",T$6,$A150)</f>
        <v>1.7390998028819</v>
      </c>
      <c r="U150" s="27">
        <f>[1]!thsiFinD("ths_pb_mrq_usk",U$6,$A150)</f>
        <v>1.9307021622348</v>
      </c>
      <c r="V150" s="27">
        <f>[1]!thsiFinD("ths_pb_mrq_usk",V$6,$A150)</f>
        <v>1.6717565257561999</v>
      </c>
      <c r="W150" s="27">
        <f>[1]!thsiFinD("ths_pb_mrq_usk",W$6,$A150)</f>
        <v>1.9779715916394001</v>
      </c>
      <c r="X150" s="27">
        <f>[1]!thsiFinD("ths_pb_mrq_usk",X$6,$A150)</f>
        <v>1.639264466445</v>
      </c>
      <c r="Y150" s="27">
        <f>[1]!thsiFinD("ths_pb_mrq_usk",Y$6,$A150)</f>
        <v>1.4646535504886</v>
      </c>
      <c r="Z150" s="28">
        <f>[1]!thsiFinD("ths_ps_ttm_uss",Z$6,$A150,100)</f>
        <v>1.8181574316022999</v>
      </c>
      <c r="AA150" s="28">
        <f>[1]!thsiFinD("ths_ps_ttm_uss",AA$6,$A150,100)</f>
        <v>1.5090944398602999</v>
      </c>
      <c r="AB150" s="28">
        <f>[1]!thsiFinD("ths_ps_ttm_uss",AB$6,$A150,100)</f>
        <v>1.6327026613257001</v>
      </c>
      <c r="AC150" s="28">
        <f>[1]!thsiFinD("ths_ps_ttm_uss",AC$6,$A150,100)</f>
        <v>2.6530346628636998</v>
      </c>
      <c r="AD150" s="28">
        <f>[1]!thsiFinD("ths_ps_ttm_uss",AD$6,$A150,100)</f>
        <v>0.49497042216553</v>
      </c>
      <c r="AE150" s="28">
        <f>[1]!thsiFinD("ths_ps_ttm_uss",AE$6,$A150,100)</f>
        <v>1.2869165426445</v>
      </c>
      <c r="AJ150" s="44">
        <f>[1]!thsiFinD("ths_right_value_usk",AJ$6,$A150,"USD")/1000000</f>
        <v>112907.5765025</v>
      </c>
      <c r="AK150" s="44">
        <f>[1]!thsiFinD("ths_right_value_usk",AK$6,$A150,"USD")/1000000</f>
        <v>503065.68609406002</v>
      </c>
      <c r="AL150" s="44">
        <f>[1]!thsiFinD("ths_right_value_usk",AL$6,$A150,"USD")/1000000</f>
        <v>317371.27411914</v>
      </c>
      <c r="AM150" s="44">
        <f>[1]!thsiFinD("ths_right_value_usk",AM$6,$A150,"USD")/1000000</f>
        <v>59902.8696528</v>
      </c>
      <c r="AN150" s="44">
        <f>[1]!thsiFinD("ths_right_value_usk",AN$6,$A150,"USD")/1000000</f>
        <v>95477.319583619988</v>
      </c>
      <c r="AO150" s="44">
        <f>[1]!thsiFinD("ths_right_value_usk",AO$6,$A150,"USD")/1000000</f>
        <v>22482.432000000001</v>
      </c>
      <c r="AP150" s="44">
        <f>[1]!thsiFinD("ths_ev2_usk",AP$6,$A150,"USD")/1000000</f>
        <v>131129.57650249999</v>
      </c>
      <c r="AQ150" s="44">
        <f>[1]!thsiFinD("ths_ev2_usk",AQ$6,$A150,"USD")/1000000</f>
        <v>540094.68609405996</v>
      </c>
      <c r="AR150" s="44">
        <f>[1]!thsiFinD("ths_ev2_usk",AR$6,$A150,"USD")/1000000</f>
        <v>356947.27411914</v>
      </c>
      <c r="AS150" s="44">
        <f>[1]!thsiFinD("ths_ev2_usk",AS$6,$A150,"USD")/1000000</f>
        <v>64066.8696528</v>
      </c>
      <c r="AT150" s="44">
        <f>[1]!thsiFinD("ths_ev2_usk",AT$6,$A150,"USD")/1000000</f>
        <v>140157.31958362</v>
      </c>
      <c r="AU150" s="44">
        <f>[1]!thsiFinD("ths_ev2_usk",AU$6,$A150,"USD")/1000000</f>
        <v>29595.432000000001</v>
      </c>
    </row>
    <row r="151" spans="1:47" x14ac:dyDescent="0.45">
      <c r="A151" s="3"/>
      <c r="B151" s="13"/>
      <c r="H151" s="23">
        <f>[1]!thsiFinD("ths_pe_ttm_uss",B$6,$A151,100)</f>
        <v>12.763687147016</v>
      </c>
      <c r="I151" s="23">
        <f>[1]!thsiFinD("ths_pe_ttm_uss",C$6,$A151,100)</f>
        <v>16.795168633995001</v>
      </c>
      <c r="J151" s="23">
        <f>[1]!thsiFinD("ths_pe_ttm_uss",D$6,$A151,100)</f>
        <v>24.856772722363999</v>
      </c>
      <c r="K151" s="23">
        <f>[1]!thsiFinD("ths_pe_ttm_uss",E$6,$A151,100)</f>
        <v>10.832345326004001</v>
      </c>
      <c r="L151" s="23">
        <f>[1]!thsiFinD("ths_pe_ttm_uss",F$6,$A151,100)</f>
        <v>62.896784969446998</v>
      </c>
      <c r="M151" s="23">
        <f>[1]!thsiFinD("ths_pe_ttm_uss",G$6,$A151,100)</f>
        <v>8.2686399411548006</v>
      </c>
      <c r="N151" s="26">
        <f>[1]!thsiFinD("ths_ev2_to_ebitda_usk",N$6,$A151)</f>
        <v>5.6348922049976</v>
      </c>
      <c r="O151" s="26">
        <f>[1]!thsiFinD("ths_ev2_to_ebitda_usk",O$6,$A151)</f>
        <v>7.3671711761407996</v>
      </c>
      <c r="P151" s="26">
        <f>[1]!thsiFinD("ths_ev2_to_ebitda_usk",P$6,$A151)</f>
        <v>7.9697078261841998</v>
      </c>
      <c r="Q151" s="26">
        <f>[1]!thsiFinD("ths_ev2_to_ebitda_usk",Q$6,$A151)</f>
        <v>5.1401532134787997</v>
      </c>
      <c r="R151" s="26">
        <f>[1]!thsiFinD("ths_ev2_to_ebitda_usk",R$6,$A151)</f>
        <v>4.9901135608509</v>
      </c>
      <c r="S151" s="26">
        <f>[1]!thsiFinD("ths_ev2_to_ebitda_usk",S$6,$A151)</f>
        <v>4.0375759890858998</v>
      </c>
      <c r="T151" s="27">
        <f>[1]!thsiFinD("ths_pb_mrq_usk",T$6,$A151)</f>
        <v>1.7390998028819</v>
      </c>
      <c r="U151" s="27">
        <f>[1]!thsiFinD("ths_pb_mrq_usk",U$6,$A151)</f>
        <v>1.9307021622348</v>
      </c>
      <c r="V151" s="27">
        <f>[1]!thsiFinD("ths_pb_mrq_usk",V$6,$A151)</f>
        <v>1.6717565257561999</v>
      </c>
      <c r="W151" s="27">
        <f>[1]!thsiFinD("ths_pb_mrq_usk",W$6,$A151)</f>
        <v>1.9779715916394001</v>
      </c>
      <c r="X151" s="27">
        <f>[1]!thsiFinD("ths_pb_mrq_usk",X$6,$A151)</f>
        <v>1.639264466445</v>
      </c>
      <c r="Y151" s="27">
        <f>[1]!thsiFinD("ths_pb_mrq_usk",Y$6,$A151)</f>
        <v>1.4646535504886</v>
      </c>
      <c r="Z151" s="28">
        <f>[1]!thsiFinD("ths_ps_ttm_uss",Z$6,$A151,100)</f>
        <v>1.8181574316022999</v>
      </c>
      <c r="AA151" s="28">
        <f>[1]!thsiFinD("ths_ps_ttm_uss",AA$6,$A151,100)</f>
        <v>1.5090944398602999</v>
      </c>
      <c r="AB151" s="28">
        <f>[1]!thsiFinD("ths_ps_ttm_uss",AB$6,$A151,100)</f>
        <v>1.6327026613257001</v>
      </c>
      <c r="AC151" s="28">
        <f>[1]!thsiFinD("ths_ps_ttm_uss",AC$6,$A151,100)</f>
        <v>2.6530346628636998</v>
      </c>
      <c r="AD151" s="28">
        <f>[1]!thsiFinD("ths_ps_ttm_uss",AD$6,$A151,100)</f>
        <v>0.49497042216553</v>
      </c>
      <c r="AE151" s="28">
        <f>[1]!thsiFinD("ths_ps_ttm_uss",AE$6,$A151,100)</f>
        <v>1.2869165426445</v>
      </c>
      <c r="AJ151" s="44">
        <f>[1]!thsiFinD("ths_right_value_usk",AJ$6,$A151,"USD")/1000000</f>
        <v>112907.5765025</v>
      </c>
      <c r="AK151" s="44">
        <f>[1]!thsiFinD("ths_right_value_usk",AK$6,$A151,"USD")/1000000</f>
        <v>503065.68609406002</v>
      </c>
      <c r="AL151" s="44">
        <f>[1]!thsiFinD("ths_right_value_usk",AL$6,$A151,"USD")/1000000</f>
        <v>317371.27411914</v>
      </c>
      <c r="AM151" s="44">
        <f>[1]!thsiFinD("ths_right_value_usk",AM$6,$A151,"USD")/1000000</f>
        <v>59902.8696528</v>
      </c>
      <c r="AN151" s="44">
        <f>[1]!thsiFinD("ths_right_value_usk",AN$6,$A151,"USD")/1000000</f>
        <v>95477.319583619988</v>
      </c>
      <c r="AO151" s="44">
        <f>[1]!thsiFinD("ths_right_value_usk",AO$6,$A151,"USD")/1000000</f>
        <v>22482.432000000001</v>
      </c>
      <c r="AP151" s="44">
        <f>[1]!thsiFinD("ths_ev2_usk",AP$6,$A151,"USD")/1000000</f>
        <v>131129.57650249999</v>
      </c>
      <c r="AQ151" s="44">
        <f>[1]!thsiFinD("ths_ev2_usk",AQ$6,$A151,"USD")/1000000</f>
        <v>540094.68609405996</v>
      </c>
      <c r="AR151" s="44">
        <f>[1]!thsiFinD("ths_ev2_usk",AR$6,$A151,"USD")/1000000</f>
        <v>356947.27411914</v>
      </c>
      <c r="AS151" s="44">
        <f>[1]!thsiFinD("ths_ev2_usk",AS$6,$A151,"USD")/1000000</f>
        <v>64066.8696528</v>
      </c>
      <c r="AT151" s="44">
        <f>[1]!thsiFinD("ths_ev2_usk",AT$6,$A151,"USD")/1000000</f>
        <v>140157.31958362</v>
      </c>
      <c r="AU151" s="44">
        <f>[1]!thsiFinD("ths_ev2_usk",AU$6,$A151,"USD")/1000000</f>
        <v>29595.432000000001</v>
      </c>
    </row>
    <row r="152" spans="1:47" x14ac:dyDescent="0.45">
      <c r="A152" s="3"/>
      <c r="B152" s="13"/>
      <c r="H152" s="23">
        <f>[1]!thsiFinD("ths_pe_ttm_uss",B$6,$A152,100)</f>
        <v>12.763687147016</v>
      </c>
      <c r="I152" s="23">
        <f>[1]!thsiFinD("ths_pe_ttm_uss",C$6,$A152,100)</f>
        <v>16.795168633995001</v>
      </c>
      <c r="J152" s="23">
        <f>[1]!thsiFinD("ths_pe_ttm_uss",D$6,$A152,100)</f>
        <v>24.856772722363999</v>
      </c>
      <c r="K152" s="23">
        <f>[1]!thsiFinD("ths_pe_ttm_uss",E$6,$A152,100)</f>
        <v>10.832345326004001</v>
      </c>
      <c r="L152" s="23">
        <f>[1]!thsiFinD("ths_pe_ttm_uss",F$6,$A152,100)</f>
        <v>62.896784969446998</v>
      </c>
      <c r="M152" s="23">
        <f>[1]!thsiFinD("ths_pe_ttm_uss",G$6,$A152,100)</f>
        <v>8.2686399411548006</v>
      </c>
      <c r="N152" s="26">
        <f>[1]!thsiFinD("ths_ev2_to_ebitda_usk",N$6,$A152)</f>
        <v>5.6348922049976</v>
      </c>
      <c r="O152" s="26">
        <f>[1]!thsiFinD("ths_ev2_to_ebitda_usk",O$6,$A152)</f>
        <v>7.3671711761407996</v>
      </c>
      <c r="P152" s="26">
        <f>[1]!thsiFinD("ths_ev2_to_ebitda_usk",P$6,$A152)</f>
        <v>7.9697078261841998</v>
      </c>
      <c r="Q152" s="26">
        <f>[1]!thsiFinD("ths_ev2_to_ebitda_usk",Q$6,$A152)</f>
        <v>5.1401532134787997</v>
      </c>
      <c r="R152" s="26">
        <f>[1]!thsiFinD("ths_ev2_to_ebitda_usk",R$6,$A152)</f>
        <v>4.9901135608509</v>
      </c>
      <c r="S152" s="26">
        <f>[1]!thsiFinD("ths_ev2_to_ebitda_usk",S$6,$A152)</f>
        <v>4.0375759890858998</v>
      </c>
      <c r="T152" s="27">
        <f>[1]!thsiFinD("ths_pb_mrq_usk",T$6,$A152)</f>
        <v>1.7390998028819</v>
      </c>
      <c r="U152" s="27">
        <f>[1]!thsiFinD("ths_pb_mrq_usk",U$6,$A152)</f>
        <v>1.9307021622348</v>
      </c>
      <c r="V152" s="27">
        <f>[1]!thsiFinD("ths_pb_mrq_usk",V$6,$A152)</f>
        <v>1.6717565257561999</v>
      </c>
      <c r="W152" s="27">
        <f>[1]!thsiFinD("ths_pb_mrq_usk",W$6,$A152)</f>
        <v>1.9779715916394001</v>
      </c>
      <c r="X152" s="27">
        <f>[1]!thsiFinD("ths_pb_mrq_usk",X$6,$A152)</f>
        <v>1.639264466445</v>
      </c>
      <c r="Y152" s="27">
        <f>[1]!thsiFinD("ths_pb_mrq_usk",Y$6,$A152)</f>
        <v>1.4646535504886</v>
      </c>
      <c r="Z152" s="28">
        <f>[1]!thsiFinD("ths_ps_ttm_uss",Z$6,$A152,100)</f>
        <v>1.8181574316022999</v>
      </c>
      <c r="AA152" s="28">
        <f>[1]!thsiFinD("ths_ps_ttm_uss",AA$6,$A152,100)</f>
        <v>1.5090944398602999</v>
      </c>
      <c r="AB152" s="28">
        <f>[1]!thsiFinD("ths_ps_ttm_uss",AB$6,$A152,100)</f>
        <v>1.6327026613257001</v>
      </c>
      <c r="AC152" s="28">
        <f>[1]!thsiFinD("ths_ps_ttm_uss",AC$6,$A152,100)</f>
        <v>2.6530346628636998</v>
      </c>
      <c r="AD152" s="28">
        <f>[1]!thsiFinD("ths_ps_ttm_uss",AD$6,$A152,100)</f>
        <v>0.49497042216553</v>
      </c>
      <c r="AE152" s="28">
        <f>[1]!thsiFinD("ths_ps_ttm_uss",AE$6,$A152,100)</f>
        <v>1.2869165426445</v>
      </c>
      <c r="AJ152" s="44">
        <f>[1]!thsiFinD("ths_right_value_usk",AJ$6,$A152,"USD")/1000000</f>
        <v>112907.5765025</v>
      </c>
      <c r="AK152" s="44">
        <f>[1]!thsiFinD("ths_right_value_usk",AK$6,$A152,"USD")/1000000</f>
        <v>503065.68609406002</v>
      </c>
      <c r="AL152" s="44">
        <f>[1]!thsiFinD("ths_right_value_usk",AL$6,$A152,"USD")/1000000</f>
        <v>317371.27411914</v>
      </c>
      <c r="AM152" s="44">
        <f>[1]!thsiFinD("ths_right_value_usk",AM$6,$A152,"USD")/1000000</f>
        <v>59902.8696528</v>
      </c>
      <c r="AN152" s="44">
        <f>[1]!thsiFinD("ths_right_value_usk",AN$6,$A152,"USD")/1000000</f>
        <v>95477.319583619988</v>
      </c>
      <c r="AO152" s="44">
        <f>[1]!thsiFinD("ths_right_value_usk",AO$6,$A152,"USD")/1000000</f>
        <v>22482.432000000001</v>
      </c>
      <c r="AP152" s="44">
        <f>[1]!thsiFinD("ths_ev2_usk",AP$6,$A152,"USD")/1000000</f>
        <v>131129.57650249999</v>
      </c>
      <c r="AQ152" s="44">
        <f>[1]!thsiFinD("ths_ev2_usk",AQ$6,$A152,"USD")/1000000</f>
        <v>540094.68609405996</v>
      </c>
      <c r="AR152" s="44">
        <f>[1]!thsiFinD("ths_ev2_usk",AR$6,$A152,"USD")/1000000</f>
        <v>356947.27411914</v>
      </c>
      <c r="AS152" s="44">
        <f>[1]!thsiFinD("ths_ev2_usk",AS$6,$A152,"USD")/1000000</f>
        <v>64066.8696528</v>
      </c>
      <c r="AT152" s="44">
        <f>[1]!thsiFinD("ths_ev2_usk",AT$6,$A152,"USD")/1000000</f>
        <v>140157.31958362</v>
      </c>
      <c r="AU152" s="44">
        <f>[1]!thsiFinD("ths_ev2_usk",AU$6,$A152,"USD")/1000000</f>
        <v>29595.432000000001</v>
      </c>
    </row>
    <row r="153" spans="1:47" x14ac:dyDescent="0.45">
      <c r="A153" s="3"/>
      <c r="B153" s="13"/>
      <c r="H153" s="23">
        <f>[1]!thsiFinD("ths_pe_ttm_uss",B$6,$A153,100)</f>
        <v>12.763687147016</v>
      </c>
      <c r="I153" s="23">
        <f>[1]!thsiFinD("ths_pe_ttm_uss",C$6,$A153,100)</f>
        <v>16.795168633995001</v>
      </c>
      <c r="J153" s="23">
        <f>[1]!thsiFinD("ths_pe_ttm_uss",D$6,$A153,100)</f>
        <v>24.856772722363999</v>
      </c>
      <c r="K153" s="23">
        <f>[1]!thsiFinD("ths_pe_ttm_uss",E$6,$A153,100)</f>
        <v>10.832345326004001</v>
      </c>
      <c r="L153" s="23">
        <f>[1]!thsiFinD("ths_pe_ttm_uss",F$6,$A153,100)</f>
        <v>62.896784969446998</v>
      </c>
      <c r="M153" s="23">
        <f>[1]!thsiFinD("ths_pe_ttm_uss",G$6,$A153,100)</f>
        <v>8.2686399411548006</v>
      </c>
      <c r="N153" s="26">
        <f>[1]!thsiFinD("ths_ev2_to_ebitda_usk",N$6,$A153)</f>
        <v>5.6348922049976</v>
      </c>
      <c r="O153" s="26">
        <f>[1]!thsiFinD("ths_ev2_to_ebitda_usk",O$6,$A153)</f>
        <v>7.3671711761407996</v>
      </c>
      <c r="P153" s="26">
        <f>[1]!thsiFinD("ths_ev2_to_ebitda_usk",P$6,$A153)</f>
        <v>7.9697078261841998</v>
      </c>
      <c r="Q153" s="26">
        <f>[1]!thsiFinD("ths_ev2_to_ebitda_usk",Q$6,$A153)</f>
        <v>5.1401532134787997</v>
      </c>
      <c r="R153" s="26">
        <f>[1]!thsiFinD("ths_ev2_to_ebitda_usk",R$6,$A153)</f>
        <v>4.9901135608509</v>
      </c>
      <c r="S153" s="26">
        <f>[1]!thsiFinD("ths_ev2_to_ebitda_usk",S$6,$A153)</f>
        <v>4.0375759890858998</v>
      </c>
      <c r="T153" s="27">
        <f>[1]!thsiFinD("ths_pb_mrq_usk",T$6,$A153)</f>
        <v>1.7390998028819</v>
      </c>
      <c r="U153" s="27">
        <f>[1]!thsiFinD("ths_pb_mrq_usk",U$6,$A153)</f>
        <v>1.9307021622348</v>
      </c>
      <c r="V153" s="27">
        <f>[1]!thsiFinD("ths_pb_mrq_usk",V$6,$A153)</f>
        <v>1.6717565257561999</v>
      </c>
      <c r="W153" s="27">
        <f>[1]!thsiFinD("ths_pb_mrq_usk",W$6,$A153)</f>
        <v>1.9779715916394001</v>
      </c>
      <c r="X153" s="27">
        <f>[1]!thsiFinD("ths_pb_mrq_usk",X$6,$A153)</f>
        <v>1.639264466445</v>
      </c>
      <c r="Y153" s="27">
        <f>[1]!thsiFinD("ths_pb_mrq_usk",Y$6,$A153)</f>
        <v>1.4646535504886</v>
      </c>
      <c r="Z153" s="28">
        <f>[1]!thsiFinD("ths_ps_ttm_uss",Z$6,$A153,100)</f>
        <v>1.8181574316022999</v>
      </c>
      <c r="AA153" s="28">
        <f>[1]!thsiFinD("ths_ps_ttm_uss",AA$6,$A153,100)</f>
        <v>1.5090944398602999</v>
      </c>
      <c r="AB153" s="28">
        <f>[1]!thsiFinD("ths_ps_ttm_uss",AB$6,$A153,100)</f>
        <v>1.6327026613257001</v>
      </c>
      <c r="AC153" s="28">
        <f>[1]!thsiFinD("ths_ps_ttm_uss",AC$6,$A153,100)</f>
        <v>2.6530346628636998</v>
      </c>
      <c r="AD153" s="28">
        <f>[1]!thsiFinD("ths_ps_ttm_uss",AD$6,$A153,100)</f>
        <v>0.49497042216553</v>
      </c>
      <c r="AE153" s="28">
        <f>[1]!thsiFinD("ths_ps_ttm_uss",AE$6,$A153,100)</f>
        <v>1.2869165426445</v>
      </c>
      <c r="AJ153" s="44">
        <f>[1]!thsiFinD("ths_right_value_usk",AJ$6,$A153,"USD")/1000000</f>
        <v>112907.5765025</v>
      </c>
      <c r="AK153" s="44">
        <f>[1]!thsiFinD("ths_right_value_usk",AK$6,$A153,"USD")/1000000</f>
        <v>503065.68609406002</v>
      </c>
      <c r="AL153" s="44">
        <f>[1]!thsiFinD("ths_right_value_usk",AL$6,$A153,"USD")/1000000</f>
        <v>317371.27411914</v>
      </c>
      <c r="AM153" s="44">
        <f>[1]!thsiFinD("ths_right_value_usk",AM$6,$A153,"USD")/1000000</f>
        <v>59902.8696528</v>
      </c>
      <c r="AN153" s="44">
        <f>[1]!thsiFinD("ths_right_value_usk",AN$6,$A153,"USD")/1000000</f>
        <v>95477.319583619988</v>
      </c>
      <c r="AO153" s="44">
        <f>[1]!thsiFinD("ths_right_value_usk",AO$6,$A153,"USD")/1000000</f>
        <v>22482.432000000001</v>
      </c>
      <c r="AP153" s="44">
        <f>[1]!thsiFinD("ths_ev2_usk",AP$6,$A153,"USD")/1000000</f>
        <v>131129.57650249999</v>
      </c>
      <c r="AQ153" s="44">
        <f>[1]!thsiFinD("ths_ev2_usk",AQ$6,$A153,"USD")/1000000</f>
        <v>540094.68609405996</v>
      </c>
      <c r="AR153" s="44">
        <f>[1]!thsiFinD("ths_ev2_usk",AR$6,$A153,"USD")/1000000</f>
        <v>356947.27411914</v>
      </c>
      <c r="AS153" s="44">
        <f>[1]!thsiFinD("ths_ev2_usk",AS$6,$A153,"USD")/1000000</f>
        <v>64066.8696528</v>
      </c>
      <c r="AT153" s="44">
        <f>[1]!thsiFinD("ths_ev2_usk",AT$6,$A153,"USD")/1000000</f>
        <v>140157.31958362</v>
      </c>
      <c r="AU153" s="44">
        <f>[1]!thsiFinD("ths_ev2_usk",AU$6,$A153,"USD")/1000000</f>
        <v>29595.432000000001</v>
      </c>
    </row>
    <row r="154" spans="1:47" x14ac:dyDescent="0.45">
      <c r="A154" s="3"/>
      <c r="B154" s="13"/>
      <c r="H154" s="23">
        <f>[1]!thsiFinD("ths_pe_ttm_uss",B$6,$A154,100)</f>
        <v>12.763687147016</v>
      </c>
      <c r="I154" s="23">
        <f>[1]!thsiFinD("ths_pe_ttm_uss",C$6,$A154,100)</f>
        <v>16.795168633995001</v>
      </c>
      <c r="J154" s="23">
        <f>[1]!thsiFinD("ths_pe_ttm_uss",D$6,$A154,100)</f>
        <v>24.856772722363999</v>
      </c>
      <c r="K154" s="23">
        <f>[1]!thsiFinD("ths_pe_ttm_uss",E$6,$A154,100)</f>
        <v>10.832345326004001</v>
      </c>
      <c r="L154" s="23">
        <f>[1]!thsiFinD("ths_pe_ttm_uss",F$6,$A154,100)</f>
        <v>62.896784969446998</v>
      </c>
      <c r="M154" s="23">
        <f>[1]!thsiFinD("ths_pe_ttm_uss",G$6,$A154,100)</f>
        <v>8.2686399411548006</v>
      </c>
      <c r="N154" s="26">
        <f>[1]!thsiFinD("ths_ev2_to_ebitda_usk",N$6,$A154)</f>
        <v>5.6348922049976</v>
      </c>
      <c r="O154" s="26">
        <f>[1]!thsiFinD("ths_ev2_to_ebitda_usk",O$6,$A154)</f>
        <v>7.3671711761407996</v>
      </c>
      <c r="P154" s="26">
        <f>[1]!thsiFinD("ths_ev2_to_ebitda_usk",P$6,$A154)</f>
        <v>7.9697078261841998</v>
      </c>
      <c r="Q154" s="26">
        <f>[1]!thsiFinD("ths_ev2_to_ebitda_usk",Q$6,$A154)</f>
        <v>5.1401532134787997</v>
      </c>
      <c r="R154" s="26">
        <f>[1]!thsiFinD("ths_ev2_to_ebitda_usk",R$6,$A154)</f>
        <v>4.9901135608509</v>
      </c>
      <c r="S154" s="26">
        <f>[1]!thsiFinD("ths_ev2_to_ebitda_usk",S$6,$A154)</f>
        <v>4.0375759890858998</v>
      </c>
      <c r="T154" s="27">
        <f>[1]!thsiFinD("ths_pb_mrq_usk",T$6,$A154)</f>
        <v>1.7390998028819</v>
      </c>
      <c r="U154" s="27">
        <f>[1]!thsiFinD("ths_pb_mrq_usk",U$6,$A154)</f>
        <v>1.9307021622348</v>
      </c>
      <c r="V154" s="27">
        <f>[1]!thsiFinD("ths_pb_mrq_usk",V$6,$A154)</f>
        <v>1.6717565257561999</v>
      </c>
      <c r="W154" s="27">
        <f>[1]!thsiFinD("ths_pb_mrq_usk",W$6,$A154)</f>
        <v>1.9779715916394001</v>
      </c>
      <c r="X154" s="27">
        <f>[1]!thsiFinD("ths_pb_mrq_usk",X$6,$A154)</f>
        <v>1.639264466445</v>
      </c>
      <c r="Y154" s="27">
        <f>[1]!thsiFinD("ths_pb_mrq_usk",Y$6,$A154)</f>
        <v>1.4646535504886</v>
      </c>
      <c r="Z154" s="28">
        <f>[1]!thsiFinD("ths_ps_ttm_uss",Z$6,$A154,100)</f>
        <v>1.8181574316022999</v>
      </c>
      <c r="AA154" s="28">
        <f>[1]!thsiFinD("ths_ps_ttm_uss",AA$6,$A154,100)</f>
        <v>1.5090944398602999</v>
      </c>
      <c r="AB154" s="28">
        <f>[1]!thsiFinD("ths_ps_ttm_uss",AB$6,$A154,100)</f>
        <v>1.6327026613257001</v>
      </c>
      <c r="AC154" s="28">
        <f>[1]!thsiFinD("ths_ps_ttm_uss",AC$6,$A154,100)</f>
        <v>2.6530346628636998</v>
      </c>
      <c r="AD154" s="28">
        <f>[1]!thsiFinD("ths_ps_ttm_uss",AD$6,$A154,100)</f>
        <v>0.49497042216553</v>
      </c>
      <c r="AE154" s="28">
        <f>[1]!thsiFinD("ths_ps_ttm_uss",AE$6,$A154,100)</f>
        <v>1.2869165426445</v>
      </c>
      <c r="AJ154" s="44">
        <f>[1]!thsiFinD("ths_right_value_usk",AJ$6,$A154,"USD")/1000000</f>
        <v>112907.5765025</v>
      </c>
      <c r="AK154" s="44">
        <f>[1]!thsiFinD("ths_right_value_usk",AK$6,$A154,"USD")/1000000</f>
        <v>503065.68609406002</v>
      </c>
      <c r="AL154" s="44">
        <f>[1]!thsiFinD("ths_right_value_usk",AL$6,$A154,"USD")/1000000</f>
        <v>317371.27411914</v>
      </c>
      <c r="AM154" s="44">
        <f>[1]!thsiFinD("ths_right_value_usk",AM$6,$A154,"USD")/1000000</f>
        <v>59902.8696528</v>
      </c>
      <c r="AN154" s="44">
        <f>[1]!thsiFinD("ths_right_value_usk",AN$6,$A154,"USD")/1000000</f>
        <v>95477.319583619988</v>
      </c>
      <c r="AO154" s="44">
        <f>[1]!thsiFinD("ths_right_value_usk",AO$6,$A154,"USD")/1000000</f>
        <v>22482.432000000001</v>
      </c>
      <c r="AP154" s="44">
        <f>[1]!thsiFinD("ths_ev2_usk",AP$6,$A154,"USD")/1000000</f>
        <v>131129.57650249999</v>
      </c>
      <c r="AQ154" s="44">
        <f>[1]!thsiFinD("ths_ev2_usk",AQ$6,$A154,"USD")/1000000</f>
        <v>540094.68609405996</v>
      </c>
      <c r="AR154" s="44">
        <f>[1]!thsiFinD("ths_ev2_usk",AR$6,$A154,"USD")/1000000</f>
        <v>356947.27411914</v>
      </c>
      <c r="AS154" s="44">
        <f>[1]!thsiFinD("ths_ev2_usk",AS$6,$A154,"USD")/1000000</f>
        <v>64066.8696528</v>
      </c>
      <c r="AT154" s="44">
        <f>[1]!thsiFinD("ths_ev2_usk",AT$6,$A154,"USD")/1000000</f>
        <v>140157.31958362</v>
      </c>
      <c r="AU154" s="44">
        <f>[1]!thsiFinD("ths_ev2_usk",AU$6,$A154,"USD")/1000000</f>
        <v>29595.432000000001</v>
      </c>
    </row>
    <row r="155" spans="1:47" x14ac:dyDescent="0.45">
      <c r="A155" s="3"/>
      <c r="B155" s="13"/>
      <c r="H155" s="23">
        <f>[1]!thsiFinD("ths_pe_ttm_uss",B$6,$A155,100)</f>
        <v>12.763687147016</v>
      </c>
      <c r="I155" s="23">
        <f>[1]!thsiFinD("ths_pe_ttm_uss",C$6,$A155,100)</f>
        <v>16.795168633995001</v>
      </c>
      <c r="J155" s="23">
        <f>[1]!thsiFinD("ths_pe_ttm_uss",D$6,$A155,100)</f>
        <v>24.856772722363999</v>
      </c>
      <c r="K155" s="23">
        <f>[1]!thsiFinD("ths_pe_ttm_uss",E$6,$A155,100)</f>
        <v>10.832345326004001</v>
      </c>
      <c r="L155" s="23">
        <f>[1]!thsiFinD("ths_pe_ttm_uss",F$6,$A155,100)</f>
        <v>62.896784969446998</v>
      </c>
      <c r="M155" s="23">
        <f>[1]!thsiFinD("ths_pe_ttm_uss",G$6,$A155,100)</f>
        <v>8.2686399411548006</v>
      </c>
      <c r="N155" s="26">
        <f>[1]!thsiFinD("ths_ev2_to_ebitda_usk",N$6,$A155)</f>
        <v>5.6348922049976</v>
      </c>
      <c r="O155" s="26">
        <f>[1]!thsiFinD("ths_ev2_to_ebitda_usk",O$6,$A155)</f>
        <v>7.3671711761407996</v>
      </c>
      <c r="P155" s="26">
        <f>[1]!thsiFinD("ths_ev2_to_ebitda_usk",P$6,$A155)</f>
        <v>7.9697078261841998</v>
      </c>
      <c r="Q155" s="26">
        <f>[1]!thsiFinD("ths_ev2_to_ebitda_usk",Q$6,$A155)</f>
        <v>5.1401532134787997</v>
      </c>
      <c r="R155" s="26">
        <f>[1]!thsiFinD("ths_ev2_to_ebitda_usk",R$6,$A155)</f>
        <v>4.9901135608509</v>
      </c>
      <c r="S155" s="26">
        <f>[1]!thsiFinD("ths_ev2_to_ebitda_usk",S$6,$A155)</f>
        <v>4.0375759890858998</v>
      </c>
      <c r="T155" s="27">
        <f>[1]!thsiFinD("ths_pb_mrq_usk",T$6,$A155)</f>
        <v>1.7390998028819</v>
      </c>
      <c r="U155" s="27">
        <f>[1]!thsiFinD("ths_pb_mrq_usk",U$6,$A155)</f>
        <v>1.9307021622348</v>
      </c>
      <c r="V155" s="27">
        <f>[1]!thsiFinD("ths_pb_mrq_usk",V$6,$A155)</f>
        <v>1.6717565257561999</v>
      </c>
      <c r="W155" s="27">
        <f>[1]!thsiFinD("ths_pb_mrq_usk",W$6,$A155)</f>
        <v>1.9779715916394001</v>
      </c>
      <c r="X155" s="27">
        <f>[1]!thsiFinD("ths_pb_mrq_usk",X$6,$A155)</f>
        <v>1.639264466445</v>
      </c>
      <c r="Y155" s="27">
        <f>[1]!thsiFinD("ths_pb_mrq_usk",Y$6,$A155)</f>
        <v>1.4646535504886</v>
      </c>
      <c r="Z155" s="28">
        <f>[1]!thsiFinD("ths_ps_ttm_uss",Z$6,$A155,100)</f>
        <v>1.8181574316022999</v>
      </c>
      <c r="AA155" s="28">
        <f>[1]!thsiFinD("ths_ps_ttm_uss",AA$6,$A155,100)</f>
        <v>1.5090944398602999</v>
      </c>
      <c r="AB155" s="28">
        <f>[1]!thsiFinD("ths_ps_ttm_uss",AB$6,$A155,100)</f>
        <v>1.6327026613257001</v>
      </c>
      <c r="AC155" s="28">
        <f>[1]!thsiFinD("ths_ps_ttm_uss",AC$6,$A155,100)</f>
        <v>2.6530346628636998</v>
      </c>
      <c r="AD155" s="28">
        <f>[1]!thsiFinD("ths_ps_ttm_uss",AD$6,$A155,100)</f>
        <v>0.49497042216553</v>
      </c>
      <c r="AE155" s="28">
        <f>[1]!thsiFinD("ths_ps_ttm_uss",AE$6,$A155,100)</f>
        <v>1.2869165426445</v>
      </c>
      <c r="AJ155" s="44">
        <f>[1]!thsiFinD("ths_right_value_usk",AJ$6,$A155,"USD")/1000000</f>
        <v>112907.5765025</v>
      </c>
      <c r="AK155" s="44">
        <f>[1]!thsiFinD("ths_right_value_usk",AK$6,$A155,"USD")/1000000</f>
        <v>503065.68609406002</v>
      </c>
      <c r="AL155" s="44">
        <f>[1]!thsiFinD("ths_right_value_usk",AL$6,$A155,"USD")/1000000</f>
        <v>317371.27411914</v>
      </c>
      <c r="AM155" s="44">
        <f>[1]!thsiFinD("ths_right_value_usk",AM$6,$A155,"USD")/1000000</f>
        <v>59902.8696528</v>
      </c>
      <c r="AN155" s="44">
        <f>[1]!thsiFinD("ths_right_value_usk",AN$6,$A155,"USD")/1000000</f>
        <v>95477.319583619988</v>
      </c>
      <c r="AO155" s="44">
        <f>[1]!thsiFinD("ths_right_value_usk",AO$6,$A155,"USD")/1000000</f>
        <v>22482.432000000001</v>
      </c>
      <c r="AP155" s="44">
        <f>[1]!thsiFinD("ths_ev2_usk",AP$6,$A155,"USD")/1000000</f>
        <v>131129.57650249999</v>
      </c>
      <c r="AQ155" s="44">
        <f>[1]!thsiFinD("ths_ev2_usk",AQ$6,$A155,"USD")/1000000</f>
        <v>540094.68609405996</v>
      </c>
      <c r="AR155" s="44">
        <f>[1]!thsiFinD("ths_ev2_usk",AR$6,$A155,"USD")/1000000</f>
        <v>356947.27411914</v>
      </c>
      <c r="AS155" s="44">
        <f>[1]!thsiFinD("ths_ev2_usk",AS$6,$A155,"USD")/1000000</f>
        <v>64066.8696528</v>
      </c>
      <c r="AT155" s="44">
        <f>[1]!thsiFinD("ths_ev2_usk",AT$6,$A155,"USD")/1000000</f>
        <v>140157.31958362</v>
      </c>
      <c r="AU155" s="44">
        <f>[1]!thsiFinD("ths_ev2_usk",AU$6,$A155,"USD")/1000000</f>
        <v>29595.432000000001</v>
      </c>
    </row>
    <row r="156" spans="1:47" x14ac:dyDescent="0.45">
      <c r="A156" s="3"/>
      <c r="B156" s="13"/>
      <c r="H156" s="23">
        <f>[1]!thsiFinD("ths_pe_ttm_uss",B$6,$A156,100)</f>
        <v>12.763687147016</v>
      </c>
      <c r="I156" s="23">
        <f>[1]!thsiFinD("ths_pe_ttm_uss",C$6,$A156,100)</f>
        <v>16.795168633995001</v>
      </c>
      <c r="J156" s="23">
        <f>[1]!thsiFinD("ths_pe_ttm_uss",D$6,$A156,100)</f>
        <v>24.856772722363999</v>
      </c>
      <c r="K156" s="23">
        <f>[1]!thsiFinD("ths_pe_ttm_uss",E$6,$A156,100)</f>
        <v>10.832345326004001</v>
      </c>
      <c r="L156" s="23">
        <f>[1]!thsiFinD("ths_pe_ttm_uss",F$6,$A156,100)</f>
        <v>62.896784969446998</v>
      </c>
      <c r="M156" s="23">
        <f>[1]!thsiFinD("ths_pe_ttm_uss",G$6,$A156,100)</f>
        <v>8.2686399411548006</v>
      </c>
      <c r="N156" s="26">
        <f>[1]!thsiFinD("ths_ev2_to_ebitda_usk",N$6,$A156)</f>
        <v>5.6348922049976</v>
      </c>
      <c r="O156" s="26">
        <f>[1]!thsiFinD("ths_ev2_to_ebitda_usk",O$6,$A156)</f>
        <v>7.3671711761407996</v>
      </c>
      <c r="P156" s="26">
        <f>[1]!thsiFinD("ths_ev2_to_ebitda_usk",P$6,$A156)</f>
        <v>7.9697078261841998</v>
      </c>
      <c r="Q156" s="26">
        <f>[1]!thsiFinD("ths_ev2_to_ebitda_usk",Q$6,$A156)</f>
        <v>5.1401532134787997</v>
      </c>
      <c r="R156" s="26">
        <f>[1]!thsiFinD("ths_ev2_to_ebitda_usk",R$6,$A156)</f>
        <v>4.9901135608509</v>
      </c>
      <c r="S156" s="26">
        <f>[1]!thsiFinD("ths_ev2_to_ebitda_usk",S$6,$A156)</f>
        <v>4.0375759890858998</v>
      </c>
      <c r="T156" s="27">
        <f>[1]!thsiFinD("ths_pb_mrq_usk",T$6,$A156)</f>
        <v>1.7390998028819</v>
      </c>
      <c r="U156" s="27">
        <f>[1]!thsiFinD("ths_pb_mrq_usk",U$6,$A156)</f>
        <v>1.9307021622348</v>
      </c>
      <c r="V156" s="27">
        <f>[1]!thsiFinD("ths_pb_mrq_usk",V$6,$A156)</f>
        <v>1.6717565257561999</v>
      </c>
      <c r="W156" s="27">
        <f>[1]!thsiFinD("ths_pb_mrq_usk",W$6,$A156)</f>
        <v>1.9779715916394001</v>
      </c>
      <c r="X156" s="27">
        <f>[1]!thsiFinD("ths_pb_mrq_usk",X$6,$A156)</f>
        <v>1.639264466445</v>
      </c>
      <c r="Y156" s="27">
        <f>[1]!thsiFinD("ths_pb_mrq_usk",Y$6,$A156)</f>
        <v>1.4646535504886</v>
      </c>
      <c r="Z156" s="28">
        <f>[1]!thsiFinD("ths_ps_ttm_uss",Z$6,$A156,100)</f>
        <v>1.8181574316022999</v>
      </c>
      <c r="AA156" s="28">
        <f>[1]!thsiFinD("ths_ps_ttm_uss",AA$6,$A156,100)</f>
        <v>1.5090944398602999</v>
      </c>
      <c r="AB156" s="28">
        <f>[1]!thsiFinD("ths_ps_ttm_uss",AB$6,$A156,100)</f>
        <v>1.6327026613257001</v>
      </c>
      <c r="AC156" s="28">
        <f>[1]!thsiFinD("ths_ps_ttm_uss",AC$6,$A156,100)</f>
        <v>2.6530346628636998</v>
      </c>
      <c r="AD156" s="28">
        <f>[1]!thsiFinD("ths_ps_ttm_uss",AD$6,$A156,100)</f>
        <v>0.49497042216553</v>
      </c>
      <c r="AE156" s="28">
        <f>[1]!thsiFinD("ths_ps_ttm_uss",AE$6,$A156,100)</f>
        <v>1.2869165426445</v>
      </c>
      <c r="AJ156" s="44">
        <f>[1]!thsiFinD("ths_right_value_usk",AJ$6,$A156,"USD")/1000000</f>
        <v>112907.5765025</v>
      </c>
      <c r="AK156" s="44">
        <f>[1]!thsiFinD("ths_right_value_usk",AK$6,$A156,"USD")/1000000</f>
        <v>503065.68609406002</v>
      </c>
      <c r="AL156" s="44">
        <f>[1]!thsiFinD("ths_right_value_usk",AL$6,$A156,"USD")/1000000</f>
        <v>317371.27411914</v>
      </c>
      <c r="AM156" s="44">
        <f>[1]!thsiFinD("ths_right_value_usk",AM$6,$A156,"USD")/1000000</f>
        <v>59902.8696528</v>
      </c>
      <c r="AN156" s="44">
        <f>[1]!thsiFinD("ths_right_value_usk",AN$6,$A156,"USD")/1000000</f>
        <v>95477.319583619988</v>
      </c>
      <c r="AO156" s="44">
        <f>[1]!thsiFinD("ths_right_value_usk",AO$6,$A156,"USD")/1000000</f>
        <v>22482.432000000001</v>
      </c>
      <c r="AP156" s="44">
        <f>[1]!thsiFinD("ths_ev2_usk",AP$6,$A156,"USD")/1000000</f>
        <v>131129.57650249999</v>
      </c>
      <c r="AQ156" s="44">
        <f>[1]!thsiFinD("ths_ev2_usk",AQ$6,$A156,"USD")/1000000</f>
        <v>540094.68609405996</v>
      </c>
      <c r="AR156" s="44">
        <f>[1]!thsiFinD("ths_ev2_usk",AR$6,$A156,"USD")/1000000</f>
        <v>356947.27411914</v>
      </c>
      <c r="AS156" s="44">
        <f>[1]!thsiFinD("ths_ev2_usk",AS$6,$A156,"USD")/1000000</f>
        <v>64066.8696528</v>
      </c>
      <c r="AT156" s="44">
        <f>[1]!thsiFinD("ths_ev2_usk",AT$6,$A156,"USD")/1000000</f>
        <v>140157.31958362</v>
      </c>
      <c r="AU156" s="44">
        <f>[1]!thsiFinD("ths_ev2_usk",AU$6,$A156,"USD")/1000000</f>
        <v>29595.432000000001</v>
      </c>
    </row>
    <row r="157" spans="1:47" x14ac:dyDescent="0.45">
      <c r="A157" s="3"/>
      <c r="B157" s="13"/>
      <c r="H157" s="23">
        <f>[1]!thsiFinD("ths_pe_ttm_uss",B$6,$A157,100)</f>
        <v>12.763687147016</v>
      </c>
      <c r="I157" s="23">
        <f>[1]!thsiFinD("ths_pe_ttm_uss",C$6,$A157,100)</f>
        <v>16.795168633995001</v>
      </c>
      <c r="J157" s="23">
        <f>[1]!thsiFinD("ths_pe_ttm_uss",D$6,$A157,100)</f>
        <v>24.856772722363999</v>
      </c>
      <c r="K157" s="23">
        <f>[1]!thsiFinD("ths_pe_ttm_uss",E$6,$A157,100)</f>
        <v>10.832345326004001</v>
      </c>
      <c r="L157" s="23">
        <f>[1]!thsiFinD("ths_pe_ttm_uss",F$6,$A157,100)</f>
        <v>62.896784969446998</v>
      </c>
      <c r="M157" s="23">
        <f>[1]!thsiFinD("ths_pe_ttm_uss",G$6,$A157,100)</f>
        <v>8.2686399411548006</v>
      </c>
      <c r="N157" s="26">
        <f>[1]!thsiFinD("ths_ev2_to_ebitda_usk",N$6,$A157)</f>
        <v>5.6348922049976</v>
      </c>
      <c r="O157" s="26">
        <f>[1]!thsiFinD("ths_ev2_to_ebitda_usk",O$6,$A157)</f>
        <v>7.3671711761407996</v>
      </c>
      <c r="P157" s="26">
        <f>[1]!thsiFinD("ths_ev2_to_ebitda_usk",P$6,$A157)</f>
        <v>7.9697078261841998</v>
      </c>
      <c r="Q157" s="26">
        <f>[1]!thsiFinD("ths_ev2_to_ebitda_usk",Q$6,$A157)</f>
        <v>5.1401532134787997</v>
      </c>
      <c r="R157" s="26">
        <f>[1]!thsiFinD("ths_ev2_to_ebitda_usk",R$6,$A157)</f>
        <v>4.9901135608509</v>
      </c>
      <c r="S157" s="26">
        <f>[1]!thsiFinD("ths_ev2_to_ebitda_usk",S$6,$A157)</f>
        <v>4.0375759890858998</v>
      </c>
      <c r="T157" s="27">
        <f>[1]!thsiFinD("ths_pb_mrq_usk",T$6,$A157)</f>
        <v>1.7390998028819</v>
      </c>
      <c r="U157" s="27">
        <f>[1]!thsiFinD("ths_pb_mrq_usk",U$6,$A157)</f>
        <v>1.9307021622348</v>
      </c>
      <c r="V157" s="27">
        <f>[1]!thsiFinD("ths_pb_mrq_usk",V$6,$A157)</f>
        <v>1.6717565257561999</v>
      </c>
      <c r="W157" s="27">
        <f>[1]!thsiFinD("ths_pb_mrq_usk",W$6,$A157)</f>
        <v>1.9779715916394001</v>
      </c>
      <c r="X157" s="27">
        <f>[1]!thsiFinD("ths_pb_mrq_usk",X$6,$A157)</f>
        <v>1.639264466445</v>
      </c>
      <c r="Y157" s="27">
        <f>[1]!thsiFinD("ths_pb_mrq_usk",Y$6,$A157)</f>
        <v>1.4646535504886</v>
      </c>
      <c r="Z157" s="28">
        <f>[1]!thsiFinD("ths_ps_ttm_uss",Z$6,$A157,100)</f>
        <v>1.8181574316022999</v>
      </c>
      <c r="AA157" s="28">
        <f>[1]!thsiFinD("ths_ps_ttm_uss",AA$6,$A157,100)</f>
        <v>1.5090944398602999</v>
      </c>
      <c r="AB157" s="28">
        <f>[1]!thsiFinD("ths_ps_ttm_uss",AB$6,$A157,100)</f>
        <v>1.6327026613257001</v>
      </c>
      <c r="AC157" s="28">
        <f>[1]!thsiFinD("ths_ps_ttm_uss",AC$6,$A157,100)</f>
        <v>2.6530346628636998</v>
      </c>
      <c r="AD157" s="28">
        <f>[1]!thsiFinD("ths_ps_ttm_uss",AD$6,$A157,100)</f>
        <v>0.49497042216553</v>
      </c>
      <c r="AE157" s="28">
        <f>[1]!thsiFinD("ths_ps_ttm_uss",AE$6,$A157,100)</f>
        <v>1.2869165426445</v>
      </c>
      <c r="AJ157" s="44">
        <f>[1]!thsiFinD("ths_right_value_usk",AJ$6,$A157,"USD")/1000000</f>
        <v>112907.5765025</v>
      </c>
      <c r="AK157" s="44">
        <f>[1]!thsiFinD("ths_right_value_usk",AK$6,$A157,"USD")/1000000</f>
        <v>503065.68609406002</v>
      </c>
      <c r="AL157" s="44">
        <f>[1]!thsiFinD("ths_right_value_usk",AL$6,$A157,"USD")/1000000</f>
        <v>317371.27411914</v>
      </c>
      <c r="AM157" s="44">
        <f>[1]!thsiFinD("ths_right_value_usk",AM$6,$A157,"USD")/1000000</f>
        <v>59902.8696528</v>
      </c>
      <c r="AN157" s="44">
        <f>[1]!thsiFinD("ths_right_value_usk",AN$6,$A157,"USD")/1000000</f>
        <v>95477.319583619988</v>
      </c>
      <c r="AO157" s="44">
        <f>[1]!thsiFinD("ths_right_value_usk",AO$6,$A157,"USD")/1000000</f>
        <v>22482.432000000001</v>
      </c>
      <c r="AP157" s="44">
        <f>[1]!thsiFinD("ths_ev2_usk",AP$6,$A157,"USD")/1000000</f>
        <v>131129.57650249999</v>
      </c>
      <c r="AQ157" s="44">
        <f>[1]!thsiFinD("ths_ev2_usk",AQ$6,$A157,"USD")/1000000</f>
        <v>540094.68609405996</v>
      </c>
      <c r="AR157" s="44">
        <f>[1]!thsiFinD("ths_ev2_usk",AR$6,$A157,"USD")/1000000</f>
        <v>356947.27411914</v>
      </c>
      <c r="AS157" s="44">
        <f>[1]!thsiFinD("ths_ev2_usk",AS$6,$A157,"USD")/1000000</f>
        <v>64066.8696528</v>
      </c>
      <c r="AT157" s="44">
        <f>[1]!thsiFinD("ths_ev2_usk",AT$6,$A157,"USD")/1000000</f>
        <v>140157.31958362</v>
      </c>
      <c r="AU157" s="44">
        <f>[1]!thsiFinD("ths_ev2_usk",AU$6,$A157,"USD")/1000000</f>
        <v>29595.432000000001</v>
      </c>
    </row>
    <row r="158" spans="1:47" x14ac:dyDescent="0.45">
      <c r="A158" s="3"/>
      <c r="B158" s="13"/>
      <c r="H158" s="23">
        <f>[1]!thsiFinD("ths_pe_ttm_uss",B$6,$A158,100)</f>
        <v>12.763687147016</v>
      </c>
      <c r="I158" s="23">
        <f>[1]!thsiFinD("ths_pe_ttm_uss",C$6,$A158,100)</f>
        <v>16.795168633995001</v>
      </c>
      <c r="J158" s="23">
        <f>[1]!thsiFinD("ths_pe_ttm_uss",D$6,$A158,100)</f>
        <v>24.856772722363999</v>
      </c>
      <c r="K158" s="23">
        <f>[1]!thsiFinD("ths_pe_ttm_uss",E$6,$A158,100)</f>
        <v>10.832345326004001</v>
      </c>
      <c r="L158" s="23">
        <f>[1]!thsiFinD("ths_pe_ttm_uss",F$6,$A158,100)</f>
        <v>62.896784969446998</v>
      </c>
      <c r="M158" s="23">
        <f>[1]!thsiFinD("ths_pe_ttm_uss",G$6,$A158,100)</f>
        <v>8.2686399411548006</v>
      </c>
      <c r="N158" s="26">
        <f>[1]!thsiFinD("ths_ev2_to_ebitda_usk",N$6,$A158)</f>
        <v>5.6348922049976</v>
      </c>
      <c r="O158" s="26">
        <f>[1]!thsiFinD("ths_ev2_to_ebitda_usk",O$6,$A158)</f>
        <v>7.3671711761407996</v>
      </c>
      <c r="P158" s="26">
        <f>[1]!thsiFinD("ths_ev2_to_ebitda_usk",P$6,$A158)</f>
        <v>7.9697078261841998</v>
      </c>
      <c r="Q158" s="26">
        <f>[1]!thsiFinD("ths_ev2_to_ebitda_usk",Q$6,$A158)</f>
        <v>5.1401532134787997</v>
      </c>
      <c r="R158" s="26">
        <f>[1]!thsiFinD("ths_ev2_to_ebitda_usk",R$6,$A158)</f>
        <v>4.9901135608509</v>
      </c>
      <c r="S158" s="26">
        <f>[1]!thsiFinD("ths_ev2_to_ebitda_usk",S$6,$A158)</f>
        <v>4.0375759890858998</v>
      </c>
      <c r="T158" s="27">
        <f>[1]!thsiFinD("ths_pb_mrq_usk",T$6,$A158)</f>
        <v>1.7390998028819</v>
      </c>
      <c r="U158" s="27">
        <f>[1]!thsiFinD("ths_pb_mrq_usk",U$6,$A158)</f>
        <v>1.9307021622348</v>
      </c>
      <c r="V158" s="27">
        <f>[1]!thsiFinD("ths_pb_mrq_usk",V$6,$A158)</f>
        <v>1.6717565257561999</v>
      </c>
      <c r="W158" s="27">
        <f>[1]!thsiFinD("ths_pb_mrq_usk",W$6,$A158)</f>
        <v>1.9779715916394001</v>
      </c>
      <c r="X158" s="27">
        <f>[1]!thsiFinD("ths_pb_mrq_usk",X$6,$A158)</f>
        <v>1.639264466445</v>
      </c>
      <c r="Y158" s="27">
        <f>[1]!thsiFinD("ths_pb_mrq_usk",Y$6,$A158)</f>
        <v>1.4646535504886</v>
      </c>
      <c r="Z158" s="28">
        <f>[1]!thsiFinD("ths_ps_ttm_uss",Z$6,$A158,100)</f>
        <v>1.8181574316022999</v>
      </c>
      <c r="AA158" s="28">
        <f>[1]!thsiFinD("ths_ps_ttm_uss",AA$6,$A158,100)</f>
        <v>1.5090944398602999</v>
      </c>
      <c r="AB158" s="28">
        <f>[1]!thsiFinD("ths_ps_ttm_uss",AB$6,$A158,100)</f>
        <v>1.6327026613257001</v>
      </c>
      <c r="AC158" s="28">
        <f>[1]!thsiFinD("ths_ps_ttm_uss",AC$6,$A158,100)</f>
        <v>2.6530346628636998</v>
      </c>
      <c r="AD158" s="28">
        <f>[1]!thsiFinD("ths_ps_ttm_uss",AD$6,$A158,100)</f>
        <v>0.49497042216553</v>
      </c>
      <c r="AE158" s="28">
        <f>[1]!thsiFinD("ths_ps_ttm_uss",AE$6,$A158,100)</f>
        <v>1.2869165426445</v>
      </c>
      <c r="AJ158" s="44">
        <f>[1]!thsiFinD("ths_right_value_usk",AJ$6,$A158,"USD")/1000000</f>
        <v>112907.5765025</v>
      </c>
      <c r="AK158" s="44">
        <f>[1]!thsiFinD("ths_right_value_usk",AK$6,$A158,"USD")/1000000</f>
        <v>503065.68609406002</v>
      </c>
      <c r="AL158" s="44">
        <f>[1]!thsiFinD("ths_right_value_usk",AL$6,$A158,"USD")/1000000</f>
        <v>317371.27411914</v>
      </c>
      <c r="AM158" s="44">
        <f>[1]!thsiFinD("ths_right_value_usk",AM$6,$A158,"USD")/1000000</f>
        <v>59902.8696528</v>
      </c>
      <c r="AN158" s="44">
        <f>[1]!thsiFinD("ths_right_value_usk",AN$6,$A158,"USD")/1000000</f>
        <v>95477.319583619988</v>
      </c>
      <c r="AO158" s="44">
        <f>[1]!thsiFinD("ths_right_value_usk",AO$6,$A158,"USD")/1000000</f>
        <v>22482.432000000001</v>
      </c>
      <c r="AP158" s="44">
        <f>[1]!thsiFinD("ths_ev2_usk",AP$6,$A158,"USD")/1000000</f>
        <v>131129.57650249999</v>
      </c>
      <c r="AQ158" s="44">
        <f>[1]!thsiFinD("ths_ev2_usk",AQ$6,$A158,"USD")/1000000</f>
        <v>540094.68609405996</v>
      </c>
      <c r="AR158" s="44">
        <f>[1]!thsiFinD("ths_ev2_usk",AR$6,$A158,"USD")/1000000</f>
        <v>356947.27411914</v>
      </c>
      <c r="AS158" s="44">
        <f>[1]!thsiFinD("ths_ev2_usk",AS$6,$A158,"USD")/1000000</f>
        <v>64066.8696528</v>
      </c>
      <c r="AT158" s="44">
        <f>[1]!thsiFinD("ths_ev2_usk",AT$6,$A158,"USD")/1000000</f>
        <v>140157.31958362</v>
      </c>
      <c r="AU158" s="44">
        <f>[1]!thsiFinD("ths_ev2_usk",AU$6,$A158,"USD")/1000000</f>
        <v>29595.432000000001</v>
      </c>
    </row>
    <row r="159" spans="1:47" x14ac:dyDescent="0.45">
      <c r="A159" s="3"/>
      <c r="B159" s="13"/>
      <c r="H159" s="23">
        <f>[1]!thsiFinD("ths_pe_ttm_uss",B$6,$A159,100)</f>
        <v>12.763687147016</v>
      </c>
      <c r="I159" s="23">
        <f>[1]!thsiFinD("ths_pe_ttm_uss",C$6,$A159,100)</f>
        <v>16.795168633995001</v>
      </c>
      <c r="J159" s="23">
        <f>[1]!thsiFinD("ths_pe_ttm_uss",D$6,$A159,100)</f>
        <v>24.856772722363999</v>
      </c>
      <c r="K159" s="23">
        <f>[1]!thsiFinD("ths_pe_ttm_uss",E$6,$A159,100)</f>
        <v>10.832345326004001</v>
      </c>
      <c r="L159" s="23">
        <f>[1]!thsiFinD("ths_pe_ttm_uss",F$6,$A159,100)</f>
        <v>62.896784969446998</v>
      </c>
      <c r="M159" s="23">
        <f>[1]!thsiFinD("ths_pe_ttm_uss",G$6,$A159,100)</f>
        <v>8.2686399411548006</v>
      </c>
      <c r="N159" s="26">
        <f>[1]!thsiFinD("ths_ev2_to_ebitda_usk",N$6,$A159)</f>
        <v>5.6348922049976</v>
      </c>
      <c r="O159" s="26">
        <f>[1]!thsiFinD("ths_ev2_to_ebitda_usk",O$6,$A159)</f>
        <v>7.3671711761407996</v>
      </c>
      <c r="P159" s="26">
        <f>[1]!thsiFinD("ths_ev2_to_ebitda_usk",P$6,$A159)</f>
        <v>7.9697078261841998</v>
      </c>
      <c r="Q159" s="26">
        <f>[1]!thsiFinD("ths_ev2_to_ebitda_usk",Q$6,$A159)</f>
        <v>5.1401532134787997</v>
      </c>
      <c r="R159" s="26">
        <f>[1]!thsiFinD("ths_ev2_to_ebitda_usk",R$6,$A159)</f>
        <v>4.9901135608509</v>
      </c>
      <c r="S159" s="26">
        <f>[1]!thsiFinD("ths_ev2_to_ebitda_usk",S$6,$A159)</f>
        <v>4.0375759890858998</v>
      </c>
      <c r="T159" s="27">
        <f>[1]!thsiFinD("ths_pb_mrq_usk",T$6,$A159)</f>
        <v>1.7390998028819</v>
      </c>
      <c r="U159" s="27">
        <f>[1]!thsiFinD("ths_pb_mrq_usk",U$6,$A159)</f>
        <v>1.9307021622348</v>
      </c>
      <c r="V159" s="27">
        <f>[1]!thsiFinD("ths_pb_mrq_usk",V$6,$A159)</f>
        <v>1.6717565257561999</v>
      </c>
      <c r="W159" s="27">
        <f>[1]!thsiFinD("ths_pb_mrq_usk",W$6,$A159)</f>
        <v>1.9779715916394001</v>
      </c>
      <c r="X159" s="27">
        <f>[1]!thsiFinD("ths_pb_mrq_usk",X$6,$A159)</f>
        <v>1.639264466445</v>
      </c>
      <c r="Y159" s="27">
        <f>[1]!thsiFinD("ths_pb_mrq_usk",Y$6,$A159)</f>
        <v>1.4646535504886</v>
      </c>
      <c r="Z159" s="28">
        <f>[1]!thsiFinD("ths_ps_ttm_uss",Z$6,$A159,100)</f>
        <v>1.8181574316022999</v>
      </c>
      <c r="AA159" s="28">
        <f>[1]!thsiFinD("ths_ps_ttm_uss",AA$6,$A159,100)</f>
        <v>1.5090944398602999</v>
      </c>
      <c r="AB159" s="28">
        <f>[1]!thsiFinD("ths_ps_ttm_uss",AB$6,$A159,100)</f>
        <v>1.6327026613257001</v>
      </c>
      <c r="AC159" s="28">
        <f>[1]!thsiFinD("ths_ps_ttm_uss",AC$6,$A159,100)</f>
        <v>2.6530346628636998</v>
      </c>
      <c r="AD159" s="28">
        <f>[1]!thsiFinD("ths_ps_ttm_uss",AD$6,$A159,100)</f>
        <v>0.49497042216553</v>
      </c>
      <c r="AE159" s="28">
        <f>[1]!thsiFinD("ths_ps_ttm_uss",AE$6,$A159,100)</f>
        <v>1.2869165426445</v>
      </c>
      <c r="AJ159" s="44">
        <f>[1]!thsiFinD("ths_right_value_usk",AJ$6,$A159,"USD")/1000000</f>
        <v>112907.5765025</v>
      </c>
      <c r="AK159" s="44">
        <f>[1]!thsiFinD("ths_right_value_usk",AK$6,$A159,"USD")/1000000</f>
        <v>503065.68609406002</v>
      </c>
      <c r="AL159" s="44">
        <f>[1]!thsiFinD("ths_right_value_usk",AL$6,$A159,"USD")/1000000</f>
        <v>317371.27411914</v>
      </c>
      <c r="AM159" s="44">
        <f>[1]!thsiFinD("ths_right_value_usk",AM$6,$A159,"USD")/1000000</f>
        <v>59902.8696528</v>
      </c>
      <c r="AN159" s="44">
        <f>[1]!thsiFinD("ths_right_value_usk",AN$6,$A159,"USD")/1000000</f>
        <v>95477.319583619988</v>
      </c>
      <c r="AO159" s="44">
        <f>[1]!thsiFinD("ths_right_value_usk",AO$6,$A159,"USD")/1000000</f>
        <v>22482.432000000001</v>
      </c>
      <c r="AP159" s="44">
        <f>[1]!thsiFinD("ths_ev2_usk",AP$6,$A159,"USD")/1000000</f>
        <v>131129.57650249999</v>
      </c>
      <c r="AQ159" s="44">
        <f>[1]!thsiFinD("ths_ev2_usk",AQ$6,$A159,"USD")/1000000</f>
        <v>540094.68609405996</v>
      </c>
      <c r="AR159" s="44">
        <f>[1]!thsiFinD("ths_ev2_usk",AR$6,$A159,"USD")/1000000</f>
        <v>356947.27411914</v>
      </c>
      <c r="AS159" s="44">
        <f>[1]!thsiFinD("ths_ev2_usk",AS$6,$A159,"USD")/1000000</f>
        <v>64066.8696528</v>
      </c>
      <c r="AT159" s="44">
        <f>[1]!thsiFinD("ths_ev2_usk",AT$6,$A159,"USD")/1000000</f>
        <v>140157.31958362</v>
      </c>
      <c r="AU159" s="44">
        <f>[1]!thsiFinD("ths_ev2_usk",AU$6,$A159,"USD")/1000000</f>
        <v>29595.432000000001</v>
      </c>
    </row>
    <row r="160" spans="1:47" x14ac:dyDescent="0.45">
      <c r="A160" s="3"/>
      <c r="B160" s="13"/>
      <c r="H160" s="23">
        <f>[1]!thsiFinD("ths_pe_ttm_uss",B$6,$A160,100)</f>
        <v>12.763687147016</v>
      </c>
      <c r="I160" s="23">
        <f>[1]!thsiFinD("ths_pe_ttm_uss",C$6,$A160,100)</f>
        <v>16.795168633995001</v>
      </c>
      <c r="J160" s="23">
        <f>[1]!thsiFinD("ths_pe_ttm_uss",D$6,$A160,100)</f>
        <v>24.856772722363999</v>
      </c>
      <c r="K160" s="23">
        <f>[1]!thsiFinD("ths_pe_ttm_uss",E$6,$A160,100)</f>
        <v>10.832345326004001</v>
      </c>
      <c r="L160" s="23">
        <f>[1]!thsiFinD("ths_pe_ttm_uss",F$6,$A160,100)</f>
        <v>62.896784969446998</v>
      </c>
      <c r="M160" s="23">
        <f>[1]!thsiFinD("ths_pe_ttm_uss",G$6,$A160,100)</f>
        <v>8.2686399411548006</v>
      </c>
      <c r="N160" s="26">
        <f>[1]!thsiFinD("ths_ev2_to_ebitda_usk",N$6,$A160)</f>
        <v>5.6348922049976</v>
      </c>
      <c r="O160" s="26">
        <f>[1]!thsiFinD("ths_ev2_to_ebitda_usk",O$6,$A160)</f>
        <v>7.3671711761407996</v>
      </c>
      <c r="P160" s="26">
        <f>[1]!thsiFinD("ths_ev2_to_ebitda_usk",P$6,$A160)</f>
        <v>7.9697078261841998</v>
      </c>
      <c r="Q160" s="26">
        <f>[1]!thsiFinD("ths_ev2_to_ebitda_usk",Q$6,$A160)</f>
        <v>5.1401532134787997</v>
      </c>
      <c r="R160" s="26">
        <f>[1]!thsiFinD("ths_ev2_to_ebitda_usk",R$6,$A160)</f>
        <v>4.9901135608509</v>
      </c>
      <c r="S160" s="26">
        <f>[1]!thsiFinD("ths_ev2_to_ebitda_usk",S$6,$A160)</f>
        <v>4.0375759890858998</v>
      </c>
      <c r="T160" s="27">
        <f>[1]!thsiFinD("ths_pb_mrq_usk",T$6,$A160)</f>
        <v>1.7390998028819</v>
      </c>
      <c r="U160" s="27">
        <f>[1]!thsiFinD("ths_pb_mrq_usk",U$6,$A160)</f>
        <v>1.9307021622348</v>
      </c>
      <c r="V160" s="27">
        <f>[1]!thsiFinD("ths_pb_mrq_usk",V$6,$A160)</f>
        <v>1.6717565257561999</v>
      </c>
      <c r="W160" s="27">
        <f>[1]!thsiFinD("ths_pb_mrq_usk",W$6,$A160)</f>
        <v>1.9779715916394001</v>
      </c>
      <c r="X160" s="27">
        <f>[1]!thsiFinD("ths_pb_mrq_usk",X$6,$A160)</f>
        <v>1.639264466445</v>
      </c>
      <c r="Y160" s="27">
        <f>[1]!thsiFinD("ths_pb_mrq_usk",Y$6,$A160)</f>
        <v>1.4646535504886</v>
      </c>
      <c r="Z160" s="28">
        <f>[1]!thsiFinD("ths_ps_ttm_uss",Z$6,$A160,100)</f>
        <v>1.8181574316022999</v>
      </c>
      <c r="AA160" s="28">
        <f>[1]!thsiFinD("ths_ps_ttm_uss",AA$6,$A160,100)</f>
        <v>1.5090944398602999</v>
      </c>
      <c r="AB160" s="28">
        <f>[1]!thsiFinD("ths_ps_ttm_uss",AB$6,$A160,100)</f>
        <v>1.6327026613257001</v>
      </c>
      <c r="AC160" s="28">
        <f>[1]!thsiFinD("ths_ps_ttm_uss",AC$6,$A160,100)</f>
        <v>2.6530346628636998</v>
      </c>
      <c r="AD160" s="28">
        <f>[1]!thsiFinD("ths_ps_ttm_uss",AD$6,$A160,100)</f>
        <v>0.49497042216553</v>
      </c>
      <c r="AE160" s="28">
        <f>[1]!thsiFinD("ths_ps_ttm_uss",AE$6,$A160,100)</f>
        <v>1.2869165426445</v>
      </c>
      <c r="AJ160" s="44">
        <f>[1]!thsiFinD("ths_right_value_usk",AJ$6,$A160,"USD")/1000000</f>
        <v>112907.5765025</v>
      </c>
      <c r="AK160" s="44">
        <f>[1]!thsiFinD("ths_right_value_usk",AK$6,$A160,"USD")/1000000</f>
        <v>503065.68609406002</v>
      </c>
      <c r="AL160" s="44">
        <f>[1]!thsiFinD("ths_right_value_usk",AL$6,$A160,"USD")/1000000</f>
        <v>317371.27411914</v>
      </c>
      <c r="AM160" s="44">
        <f>[1]!thsiFinD("ths_right_value_usk",AM$6,$A160,"USD")/1000000</f>
        <v>59902.8696528</v>
      </c>
      <c r="AN160" s="44">
        <f>[1]!thsiFinD("ths_right_value_usk",AN$6,$A160,"USD")/1000000</f>
        <v>95477.319583619988</v>
      </c>
      <c r="AO160" s="44">
        <f>[1]!thsiFinD("ths_right_value_usk",AO$6,$A160,"USD")/1000000</f>
        <v>22482.432000000001</v>
      </c>
      <c r="AP160" s="44">
        <f>[1]!thsiFinD("ths_ev2_usk",AP$6,$A160,"USD")/1000000</f>
        <v>131129.57650249999</v>
      </c>
      <c r="AQ160" s="44">
        <f>[1]!thsiFinD("ths_ev2_usk",AQ$6,$A160,"USD")/1000000</f>
        <v>540094.68609405996</v>
      </c>
      <c r="AR160" s="44">
        <f>[1]!thsiFinD("ths_ev2_usk",AR$6,$A160,"USD")/1000000</f>
        <v>356947.27411914</v>
      </c>
      <c r="AS160" s="44">
        <f>[1]!thsiFinD("ths_ev2_usk",AS$6,$A160,"USD")/1000000</f>
        <v>64066.8696528</v>
      </c>
      <c r="AT160" s="44">
        <f>[1]!thsiFinD("ths_ev2_usk",AT$6,$A160,"USD")/1000000</f>
        <v>140157.31958362</v>
      </c>
      <c r="AU160" s="44">
        <f>[1]!thsiFinD("ths_ev2_usk",AU$6,$A160,"USD")/1000000</f>
        <v>29595.432000000001</v>
      </c>
    </row>
    <row r="161" spans="1:47" x14ac:dyDescent="0.45">
      <c r="A161" s="3"/>
      <c r="B161" s="13"/>
      <c r="H161" s="23">
        <f>[1]!thsiFinD("ths_pe_ttm_uss",B$6,$A161,100)</f>
        <v>12.763687147016</v>
      </c>
      <c r="I161" s="23">
        <f>[1]!thsiFinD("ths_pe_ttm_uss",C$6,$A161,100)</f>
        <v>16.795168633995001</v>
      </c>
      <c r="J161" s="23">
        <f>[1]!thsiFinD("ths_pe_ttm_uss",D$6,$A161,100)</f>
        <v>24.856772722363999</v>
      </c>
      <c r="K161" s="23">
        <f>[1]!thsiFinD("ths_pe_ttm_uss",E$6,$A161,100)</f>
        <v>10.832345326004001</v>
      </c>
      <c r="L161" s="23">
        <f>[1]!thsiFinD("ths_pe_ttm_uss",F$6,$A161,100)</f>
        <v>62.896784969446998</v>
      </c>
      <c r="M161" s="23">
        <f>[1]!thsiFinD("ths_pe_ttm_uss",G$6,$A161,100)</f>
        <v>8.2686399411548006</v>
      </c>
      <c r="N161" s="26">
        <f>[1]!thsiFinD("ths_ev2_to_ebitda_usk",N$6,$A161)</f>
        <v>5.6348922049976</v>
      </c>
      <c r="O161" s="26">
        <f>[1]!thsiFinD("ths_ev2_to_ebitda_usk",O$6,$A161)</f>
        <v>7.3671711761407996</v>
      </c>
      <c r="P161" s="26">
        <f>[1]!thsiFinD("ths_ev2_to_ebitda_usk",P$6,$A161)</f>
        <v>7.9697078261841998</v>
      </c>
      <c r="Q161" s="26">
        <f>[1]!thsiFinD("ths_ev2_to_ebitda_usk",Q$6,$A161)</f>
        <v>5.1401532134787997</v>
      </c>
      <c r="R161" s="26">
        <f>[1]!thsiFinD("ths_ev2_to_ebitda_usk",R$6,$A161)</f>
        <v>4.9901135608509</v>
      </c>
      <c r="S161" s="26">
        <f>[1]!thsiFinD("ths_ev2_to_ebitda_usk",S$6,$A161)</f>
        <v>4.0375759890858998</v>
      </c>
      <c r="T161" s="27">
        <f>[1]!thsiFinD("ths_pb_mrq_usk",T$6,$A161)</f>
        <v>1.7390998028819</v>
      </c>
      <c r="U161" s="27">
        <f>[1]!thsiFinD("ths_pb_mrq_usk",U$6,$A161)</f>
        <v>1.9307021622348</v>
      </c>
      <c r="V161" s="27">
        <f>[1]!thsiFinD("ths_pb_mrq_usk",V$6,$A161)</f>
        <v>1.6717565257561999</v>
      </c>
      <c r="W161" s="27">
        <f>[1]!thsiFinD("ths_pb_mrq_usk",W$6,$A161)</f>
        <v>1.9779715916394001</v>
      </c>
      <c r="X161" s="27">
        <f>[1]!thsiFinD("ths_pb_mrq_usk",X$6,$A161)</f>
        <v>1.639264466445</v>
      </c>
      <c r="Y161" s="27">
        <f>[1]!thsiFinD("ths_pb_mrq_usk",Y$6,$A161)</f>
        <v>1.4646535504886</v>
      </c>
      <c r="Z161" s="28">
        <f>[1]!thsiFinD("ths_ps_ttm_uss",Z$6,$A161,100)</f>
        <v>1.8181574316022999</v>
      </c>
      <c r="AA161" s="28">
        <f>[1]!thsiFinD("ths_ps_ttm_uss",AA$6,$A161,100)</f>
        <v>1.5090944398602999</v>
      </c>
      <c r="AB161" s="28">
        <f>[1]!thsiFinD("ths_ps_ttm_uss",AB$6,$A161,100)</f>
        <v>1.6327026613257001</v>
      </c>
      <c r="AC161" s="28">
        <f>[1]!thsiFinD("ths_ps_ttm_uss",AC$6,$A161,100)</f>
        <v>2.6530346628636998</v>
      </c>
      <c r="AD161" s="28">
        <f>[1]!thsiFinD("ths_ps_ttm_uss",AD$6,$A161,100)</f>
        <v>0.49497042216553</v>
      </c>
      <c r="AE161" s="28">
        <f>[1]!thsiFinD("ths_ps_ttm_uss",AE$6,$A161,100)</f>
        <v>1.2869165426445</v>
      </c>
      <c r="AJ161" s="44">
        <f>[1]!thsiFinD("ths_right_value_usk",AJ$6,$A161,"USD")/1000000</f>
        <v>112907.5765025</v>
      </c>
      <c r="AK161" s="44">
        <f>[1]!thsiFinD("ths_right_value_usk",AK$6,$A161,"USD")/1000000</f>
        <v>503065.68609406002</v>
      </c>
      <c r="AL161" s="44">
        <f>[1]!thsiFinD("ths_right_value_usk",AL$6,$A161,"USD")/1000000</f>
        <v>317371.27411914</v>
      </c>
      <c r="AM161" s="44">
        <f>[1]!thsiFinD("ths_right_value_usk",AM$6,$A161,"USD")/1000000</f>
        <v>59902.8696528</v>
      </c>
      <c r="AN161" s="44">
        <f>[1]!thsiFinD("ths_right_value_usk",AN$6,$A161,"USD")/1000000</f>
        <v>95477.319583619988</v>
      </c>
      <c r="AO161" s="44">
        <f>[1]!thsiFinD("ths_right_value_usk",AO$6,$A161,"USD")/1000000</f>
        <v>22482.432000000001</v>
      </c>
      <c r="AP161" s="44">
        <f>[1]!thsiFinD("ths_ev2_usk",AP$6,$A161,"USD")/1000000</f>
        <v>131129.57650249999</v>
      </c>
      <c r="AQ161" s="44">
        <f>[1]!thsiFinD("ths_ev2_usk",AQ$6,$A161,"USD")/1000000</f>
        <v>540094.68609405996</v>
      </c>
      <c r="AR161" s="44">
        <f>[1]!thsiFinD("ths_ev2_usk",AR$6,$A161,"USD")/1000000</f>
        <v>356947.27411914</v>
      </c>
      <c r="AS161" s="44">
        <f>[1]!thsiFinD("ths_ev2_usk",AS$6,$A161,"USD")/1000000</f>
        <v>64066.8696528</v>
      </c>
      <c r="AT161" s="44">
        <f>[1]!thsiFinD("ths_ev2_usk",AT$6,$A161,"USD")/1000000</f>
        <v>140157.31958362</v>
      </c>
      <c r="AU161" s="44">
        <f>[1]!thsiFinD("ths_ev2_usk",AU$6,$A161,"USD")/1000000</f>
        <v>29595.432000000001</v>
      </c>
    </row>
    <row r="162" spans="1:47" x14ac:dyDescent="0.45">
      <c r="A162" s="3"/>
      <c r="B162" s="13"/>
      <c r="H162" s="23">
        <f>[1]!thsiFinD("ths_pe_ttm_uss",B$6,$A162,100)</f>
        <v>12.763687147016</v>
      </c>
      <c r="I162" s="23">
        <f>[1]!thsiFinD("ths_pe_ttm_uss",C$6,$A162,100)</f>
        <v>16.795168633995001</v>
      </c>
      <c r="J162" s="23">
        <f>[1]!thsiFinD("ths_pe_ttm_uss",D$6,$A162,100)</f>
        <v>24.856772722363999</v>
      </c>
      <c r="K162" s="23">
        <f>[1]!thsiFinD("ths_pe_ttm_uss",E$6,$A162,100)</f>
        <v>10.832345326004001</v>
      </c>
      <c r="L162" s="23">
        <f>[1]!thsiFinD("ths_pe_ttm_uss",F$6,$A162,100)</f>
        <v>62.896784969446998</v>
      </c>
      <c r="M162" s="23">
        <f>[1]!thsiFinD("ths_pe_ttm_uss",G$6,$A162,100)</f>
        <v>8.2686399411548006</v>
      </c>
      <c r="N162" s="26">
        <f>[1]!thsiFinD("ths_ev2_to_ebitda_usk",N$6,$A162)</f>
        <v>5.6348922049976</v>
      </c>
      <c r="O162" s="26">
        <f>[1]!thsiFinD("ths_ev2_to_ebitda_usk",O$6,$A162)</f>
        <v>7.3671711761407996</v>
      </c>
      <c r="P162" s="26">
        <f>[1]!thsiFinD("ths_ev2_to_ebitda_usk",P$6,$A162)</f>
        <v>7.9697078261841998</v>
      </c>
      <c r="Q162" s="26">
        <f>[1]!thsiFinD("ths_ev2_to_ebitda_usk",Q$6,$A162)</f>
        <v>5.1401532134787997</v>
      </c>
      <c r="R162" s="26">
        <f>[1]!thsiFinD("ths_ev2_to_ebitda_usk",R$6,$A162)</f>
        <v>4.9901135608509</v>
      </c>
      <c r="S162" s="26">
        <f>[1]!thsiFinD("ths_ev2_to_ebitda_usk",S$6,$A162)</f>
        <v>4.0375759890858998</v>
      </c>
      <c r="T162" s="27">
        <f>[1]!thsiFinD("ths_pb_mrq_usk",T$6,$A162)</f>
        <v>1.7390998028819</v>
      </c>
      <c r="U162" s="27">
        <f>[1]!thsiFinD("ths_pb_mrq_usk",U$6,$A162)</f>
        <v>1.9307021622348</v>
      </c>
      <c r="V162" s="27">
        <f>[1]!thsiFinD("ths_pb_mrq_usk",V$6,$A162)</f>
        <v>1.6717565257561999</v>
      </c>
      <c r="W162" s="27">
        <f>[1]!thsiFinD("ths_pb_mrq_usk",W$6,$A162)</f>
        <v>1.9779715916394001</v>
      </c>
      <c r="X162" s="27">
        <f>[1]!thsiFinD("ths_pb_mrq_usk",X$6,$A162)</f>
        <v>1.639264466445</v>
      </c>
      <c r="Y162" s="27">
        <f>[1]!thsiFinD("ths_pb_mrq_usk",Y$6,$A162)</f>
        <v>1.4646535504886</v>
      </c>
      <c r="Z162" s="28">
        <f>[1]!thsiFinD("ths_ps_ttm_uss",Z$6,$A162,100)</f>
        <v>1.8181574316022999</v>
      </c>
      <c r="AA162" s="28">
        <f>[1]!thsiFinD("ths_ps_ttm_uss",AA$6,$A162,100)</f>
        <v>1.5090944398602999</v>
      </c>
      <c r="AB162" s="28">
        <f>[1]!thsiFinD("ths_ps_ttm_uss",AB$6,$A162,100)</f>
        <v>1.6327026613257001</v>
      </c>
      <c r="AC162" s="28">
        <f>[1]!thsiFinD("ths_ps_ttm_uss",AC$6,$A162,100)</f>
        <v>2.6530346628636998</v>
      </c>
      <c r="AD162" s="28">
        <f>[1]!thsiFinD("ths_ps_ttm_uss",AD$6,$A162,100)</f>
        <v>0.49497042216553</v>
      </c>
      <c r="AE162" s="28">
        <f>[1]!thsiFinD("ths_ps_ttm_uss",AE$6,$A162,100)</f>
        <v>1.2869165426445</v>
      </c>
      <c r="AJ162" s="44">
        <f>[1]!thsiFinD("ths_right_value_usk",AJ$6,$A162,"USD")/1000000</f>
        <v>112907.5765025</v>
      </c>
      <c r="AK162" s="44">
        <f>[1]!thsiFinD("ths_right_value_usk",AK$6,$A162,"USD")/1000000</f>
        <v>503065.68609406002</v>
      </c>
      <c r="AL162" s="44">
        <f>[1]!thsiFinD("ths_right_value_usk",AL$6,$A162,"USD")/1000000</f>
        <v>317371.27411914</v>
      </c>
      <c r="AM162" s="44">
        <f>[1]!thsiFinD("ths_right_value_usk",AM$6,$A162,"USD")/1000000</f>
        <v>59902.8696528</v>
      </c>
      <c r="AN162" s="44">
        <f>[1]!thsiFinD("ths_right_value_usk",AN$6,$A162,"USD")/1000000</f>
        <v>95477.319583619988</v>
      </c>
      <c r="AO162" s="44">
        <f>[1]!thsiFinD("ths_right_value_usk",AO$6,$A162,"USD")/1000000</f>
        <v>22482.432000000001</v>
      </c>
      <c r="AP162" s="44">
        <f>[1]!thsiFinD("ths_ev2_usk",AP$6,$A162,"USD")/1000000</f>
        <v>131129.57650249999</v>
      </c>
      <c r="AQ162" s="44">
        <f>[1]!thsiFinD("ths_ev2_usk",AQ$6,$A162,"USD")/1000000</f>
        <v>540094.68609405996</v>
      </c>
      <c r="AR162" s="44">
        <f>[1]!thsiFinD("ths_ev2_usk",AR$6,$A162,"USD")/1000000</f>
        <v>356947.27411914</v>
      </c>
      <c r="AS162" s="44">
        <f>[1]!thsiFinD("ths_ev2_usk",AS$6,$A162,"USD")/1000000</f>
        <v>64066.8696528</v>
      </c>
      <c r="AT162" s="44">
        <f>[1]!thsiFinD("ths_ev2_usk",AT$6,$A162,"USD")/1000000</f>
        <v>140157.31958362</v>
      </c>
      <c r="AU162" s="44">
        <f>[1]!thsiFinD("ths_ev2_usk",AU$6,$A162,"USD")/1000000</f>
        <v>29595.432000000001</v>
      </c>
    </row>
    <row r="163" spans="1:47" x14ac:dyDescent="0.45">
      <c r="A163" s="3"/>
      <c r="B163" s="13"/>
      <c r="H163" s="23">
        <f>[1]!thsiFinD("ths_pe_ttm_uss",B$6,$A163,100)</f>
        <v>12.763687147016</v>
      </c>
      <c r="I163" s="23">
        <f>[1]!thsiFinD("ths_pe_ttm_uss",C$6,$A163,100)</f>
        <v>16.795168633995001</v>
      </c>
      <c r="J163" s="23">
        <f>[1]!thsiFinD("ths_pe_ttm_uss",D$6,$A163,100)</f>
        <v>24.856772722363999</v>
      </c>
      <c r="K163" s="23">
        <f>[1]!thsiFinD("ths_pe_ttm_uss",E$6,$A163,100)</f>
        <v>10.832345326004001</v>
      </c>
      <c r="L163" s="23">
        <f>[1]!thsiFinD("ths_pe_ttm_uss",F$6,$A163,100)</f>
        <v>62.896784969446998</v>
      </c>
      <c r="M163" s="23">
        <f>[1]!thsiFinD("ths_pe_ttm_uss",G$6,$A163,100)</f>
        <v>8.2686399411548006</v>
      </c>
      <c r="N163" s="26">
        <f>[1]!thsiFinD("ths_ev2_to_ebitda_usk",N$6,$A163)</f>
        <v>5.6348922049976</v>
      </c>
      <c r="O163" s="26">
        <f>[1]!thsiFinD("ths_ev2_to_ebitda_usk",O$6,$A163)</f>
        <v>7.3671711761407996</v>
      </c>
      <c r="P163" s="26">
        <f>[1]!thsiFinD("ths_ev2_to_ebitda_usk",P$6,$A163)</f>
        <v>7.9697078261841998</v>
      </c>
      <c r="Q163" s="26">
        <f>[1]!thsiFinD("ths_ev2_to_ebitda_usk",Q$6,$A163)</f>
        <v>5.1401532134787997</v>
      </c>
      <c r="R163" s="26">
        <f>[1]!thsiFinD("ths_ev2_to_ebitda_usk",R$6,$A163)</f>
        <v>4.9901135608509</v>
      </c>
      <c r="S163" s="26">
        <f>[1]!thsiFinD("ths_ev2_to_ebitda_usk",S$6,$A163)</f>
        <v>4.0375759890858998</v>
      </c>
      <c r="T163" s="27">
        <f>[1]!thsiFinD("ths_pb_mrq_usk",T$6,$A163)</f>
        <v>1.7390998028819</v>
      </c>
      <c r="U163" s="27">
        <f>[1]!thsiFinD("ths_pb_mrq_usk",U$6,$A163)</f>
        <v>1.9307021622348</v>
      </c>
      <c r="V163" s="27">
        <f>[1]!thsiFinD("ths_pb_mrq_usk",V$6,$A163)</f>
        <v>1.6717565257561999</v>
      </c>
      <c r="W163" s="27">
        <f>[1]!thsiFinD("ths_pb_mrq_usk",W$6,$A163)</f>
        <v>1.9779715916394001</v>
      </c>
      <c r="X163" s="27">
        <f>[1]!thsiFinD("ths_pb_mrq_usk",X$6,$A163)</f>
        <v>1.639264466445</v>
      </c>
      <c r="Y163" s="27">
        <f>[1]!thsiFinD("ths_pb_mrq_usk",Y$6,$A163)</f>
        <v>1.4646535504886</v>
      </c>
      <c r="Z163" s="28">
        <f>[1]!thsiFinD("ths_ps_ttm_uss",Z$6,$A163,100)</f>
        <v>1.8181574316022999</v>
      </c>
      <c r="AA163" s="28">
        <f>[1]!thsiFinD("ths_ps_ttm_uss",AA$6,$A163,100)</f>
        <v>1.5090944398602999</v>
      </c>
      <c r="AB163" s="28">
        <f>[1]!thsiFinD("ths_ps_ttm_uss",AB$6,$A163,100)</f>
        <v>1.6327026613257001</v>
      </c>
      <c r="AC163" s="28">
        <f>[1]!thsiFinD("ths_ps_ttm_uss",AC$6,$A163,100)</f>
        <v>2.6530346628636998</v>
      </c>
      <c r="AD163" s="28">
        <f>[1]!thsiFinD("ths_ps_ttm_uss",AD$6,$A163,100)</f>
        <v>0.49497042216553</v>
      </c>
      <c r="AE163" s="28">
        <f>[1]!thsiFinD("ths_ps_ttm_uss",AE$6,$A163,100)</f>
        <v>1.2869165426445</v>
      </c>
      <c r="AJ163" s="44">
        <f>[1]!thsiFinD("ths_right_value_usk",AJ$6,$A163,"USD")/1000000</f>
        <v>112907.5765025</v>
      </c>
      <c r="AK163" s="44">
        <f>[1]!thsiFinD("ths_right_value_usk",AK$6,$A163,"USD")/1000000</f>
        <v>503065.68609406002</v>
      </c>
      <c r="AL163" s="44">
        <f>[1]!thsiFinD("ths_right_value_usk",AL$6,$A163,"USD")/1000000</f>
        <v>317371.27411914</v>
      </c>
      <c r="AM163" s="44">
        <f>[1]!thsiFinD("ths_right_value_usk",AM$6,$A163,"USD")/1000000</f>
        <v>59902.8696528</v>
      </c>
      <c r="AN163" s="44">
        <f>[1]!thsiFinD("ths_right_value_usk",AN$6,$A163,"USD")/1000000</f>
        <v>95477.319583619988</v>
      </c>
      <c r="AO163" s="44">
        <f>[1]!thsiFinD("ths_right_value_usk",AO$6,$A163,"USD")/1000000</f>
        <v>22482.432000000001</v>
      </c>
      <c r="AP163" s="44">
        <f>[1]!thsiFinD("ths_ev2_usk",AP$6,$A163,"USD")/1000000</f>
        <v>131129.57650249999</v>
      </c>
      <c r="AQ163" s="44">
        <f>[1]!thsiFinD("ths_ev2_usk",AQ$6,$A163,"USD")/1000000</f>
        <v>540094.68609405996</v>
      </c>
      <c r="AR163" s="44">
        <f>[1]!thsiFinD("ths_ev2_usk",AR$6,$A163,"USD")/1000000</f>
        <v>356947.27411914</v>
      </c>
      <c r="AS163" s="44">
        <f>[1]!thsiFinD("ths_ev2_usk",AS$6,$A163,"USD")/1000000</f>
        <v>64066.8696528</v>
      </c>
      <c r="AT163" s="44">
        <f>[1]!thsiFinD("ths_ev2_usk",AT$6,$A163,"USD")/1000000</f>
        <v>140157.31958362</v>
      </c>
      <c r="AU163" s="44">
        <f>[1]!thsiFinD("ths_ev2_usk",AU$6,$A163,"USD")/1000000</f>
        <v>29595.432000000001</v>
      </c>
    </row>
    <row r="164" spans="1:47" x14ac:dyDescent="0.45">
      <c r="A164" s="3"/>
      <c r="B164" s="13"/>
      <c r="H164" s="23">
        <f>[1]!thsiFinD("ths_pe_ttm_uss",B$6,$A164,100)</f>
        <v>12.763687147016</v>
      </c>
      <c r="I164" s="23">
        <f>[1]!thsiFinD("ths_pe_ttm_uss",C$6,$A164,100)</f>
        <v>16.795168633995001</v>
      </c>
      <c r="J164" s="23">
        <f>[1]!thsiFinD("ths_pe_ttm_uss",D$6,$A164,100)</f>
        <v>24.856772722363999</v>
      </c>
      <c r="K164" s="23">
        <f>[1]!thsiFinD("ths_pe_ttm_uss",E$6,$A164,100)</f>
        <v>10.832345326004001</v>
      </c>
      <c r="L164" s="23">
        <f>[1]!thsiFinD("ths_pe_ttm_uss",F$6,$A164,100)</f>
        <v>62.896784969446998</v>
      </c>
      <c r="M164" s="23">
        <f>[1]!thsiFinD("ths_pe_ttm_uss",G$6,$A164,100)</f>
        <v>8.2686399411548006</v>
      </c>
      <c r="N164" s="26">
        <f>[1]!thsiFinD("ths_ev2_to_ebitda_usk",N$6,$A164)</f>
        <v>5.6348922049976</v>
      </c>
      <c r="O164" s="26">
        <f>[1]!thsiFinD("ths_ev2_to_ebitda_usk",O$6,$A164)</f>
        <v>7.3671711761407996</v>
      </c>
      <c r="P164" s="26">
        <f>[1]!thsiFinD("ths_ev2_to_ebitda_usk",P$6,$A164)</f>
        <v>7.9697078261841998</v>
      </c>
      <c r="Q164" s="26">
        <f>[1]!thsiFinD("ths_ev2_to_ebitda_usk",Q$6,$A164)</f>
        <v>5.1401532134787997</v>
      </c>
      <c r="R164" s="26">
        <f>[1]!thsiFinD("ths_ev2_to_ebitda_usk",R$6,$A164)</f>
        <v>4.9901135608509</v>
      </c>
      <c r="S164" s="26">
        <f>[1]!thsiFinD("ths_ev2_to_ebitda_usk",S$6,$A164)</f>
        <v>4.0375759890858998</v>
      </c>
      <c r="T164" s="27">
        <f>[1]!thsiFinD("ths_pb_mrq_usk",T$6,$A164)</f>
        <v>1.7390998028819</v>
      </c>
      <c r="U164" s="27">
        <f>[1]!thsiFinD("ths_pb_mrq_usk",U$6,$A164)</f>
        <v>1.9307021622348</v>
      </c>
      <c r="V164" s="27">
        <f>[1]!thsiFinD("ths_pb_mrq_usk",V$6,$A164)</f>
        <v>1.6717565257561999</v>
      </c>
      <c r="W164" s="27">
        <f>[1]!thsiFinD("ths_pb_mrq_usk",W$6,$A164)</f>
        <v>1.9779715916394001</v>
      </c>
      <c r="X164" s="27">
        <f>[1]!thsiFinD("ths_pb_mrq_usk",X$6,$A164)</f>
        <v>1.639264466445</v>
      </c>
      <c r="Y164" s="27">
        <f>[1]!thsiFinD("ths_pb_mrq_usk",Y$6,$A164)</f>
        <v>1.4646535504886</v>
      </c>
      <c r="Z164" s="28">
        <f>[1]!thsiFinD("ths_ps_ttm_uss",Z$6,$A164,100)</f>
        <v>1.8181574316022999</v>
      </c>
      <c r="AA164" s="28">
        <f>[1]!thsiFinD("ths_ps_ttm_uss",AA$6,$A164,100)</f>
        <v>1.5090944398602999</v>
      </c>
      <c r="AB164" s="28">
        <f>[1]!thsiFinD("ths_ps_ttm_uss",AB$6,$A164,100)</f>
        <v>1.6327026613257001</v>
      </c>
      <c r="AC164" s="28">
        <f>[1]!thsiFinD("ths_ps_ttm_uss",AC$6,$A164,100)</f>
        <v>2.6530346628636998</v>
      </c>
      <c r="AD164" s="28">
        <f>[1]!thsiFinD("ths_ps_ttm_uss",AD$6,$A164,100)</f>
        <v>0.49497042216553</v>
      </c>
      <c r="AE164" s="28">
        <f>[1]!thsiFinD("ths_ps_ttm_uss",AE$6,$A164,100)</f>
        <v>1.2869165426445</v>
      </c>
      <c r="AJ164" s="44">
        <f>[1]!thsiFinD("ths_right_value_usk",AJ$6,$A164,"USD")/1000000</f>
        <v>112907.5765025</v>
      </c>
      <c r="AK164" s="44">
        <f>[1]!thsiFinD("ths_right_value_usk",AK$6,$A164,"USD")/1000000</f>
        <v>503065.68609406002</v>
      </c>
      <c r="AL164" s="44">
        <f>[1]!thsiFinD("ths_right_value_usk",AL$6,$A164,"USD")/1000000</f>
        <v>317371.27411914</v>
      </c>
      <c r="AM164" s="44">
        <f>[1]!thsiFinD("ths_right_value_usk",AM$6,$A164,"USD")/1000000</f>
        <v>59902.8696528</v>
      </c>
      <c r="AN164" s="44">
        <f>[1]!thsiFinD("ths_right_value_usk",AN$6,$A164,"USD")/1000000</f>
        <v>95477.319583619988</v>
      </c>
      <c r="AO164" s="44">
        <f>[1]!thsiFinD("ths_right_value_usk",AO$6,$A164,"USD")/1000000</f>
        <v>22482.432000000001</v>
      </c>
      <c r="AP164" s="44">
        <f>[1]!thsiFinD("ths_ev2_usk",AP$6,$A164,"USD")/1000000</f>
        <v>131129.57650249999</v>
      </c>
      <c r="AQ164" s="44">
        <f>[1]!thsiFinD("ths_ev2_usk",AQ$6,$A164,"USD")/1000000</f>
        <v>540094.68609405996</v>
      </c>
      <c r="AR164" s="44">
        <f>[1]!thsiFinD("ths_ev2_usk",AR$6,$A164,"USD")/1000000</f>
        <v>356947.27411914</v>
      </c>
      <c r="AS164" s="44">
        <f>[1]!thsiFinD("ths_ev2_usk",AS$6,$A164,"USD")/1000000</f>
        <v>64066.8696528</v>
      </c>
      <c r="AT164" s="44">
        <f>[1]!thsiFinD("ths_ev2_usk",AT$6,$A164,"USD")/1000000</f>
        <v>140157.31958362</v>
      </c>
      <c r="AU164" s="44">
        <f>[1]!thsiFinD("ths_ev2_usk",AU$6,$A164,"USD")/1000000</f>
        <v>29595.432000000001</v>
      </c>
    </row>
    <row r="165" spans="1:47" x14ac:dyDescent="0.45">
      <c r="A165" s="3"/>
      <c r="B165" s="13"/>
      <c r="H165" s="23">
        <f>[1]!thsiFinD("ths_pe_ttm_uss",B$6,$A165,100)</f>
        <v>12.763687147016</v>
      </c>
      <c r="I165" s="23">
        <f>[1]!thsiFinD("ths_pe_ttm_uss",C$6,$A165,100)</f>
        <v>16.795168633995001</v>
      </c>
      <c r="J165" s="23">
        <f>[1]!thsiFinD("ths_pe_ttm_uss",D$6,$A165,100)</f>
        <v>24.856772722363999</v>
      </c>
      <c r="K165" s="23">
        <f>[1]!thsiFinD("ths_pe_ttm_uss",E$6,$A165,100)</f>
        <v>10.832345326004001</v>
      </c>
      <c r="L165" s="23">
        <f>[1]!thsiFinD("ths_pe_ttm_uss",F$6,$A165,100)</f>
        <v>62.896784969446998</v>
      </c>
      <c r="M165" s="23">
        <f>[1]!thsiFinD("ths_pe_ttm_uss",G$6,$A165,100)</f>
        <v>8.2686399411548006</v>
      </c>
      <c r="N165" s="26">
        <f>[1]!thsiFinD("ths_ev2_to_ebitda_usk",N$6,$A165)</f>
        <v>5.6348922049976</v>
      </c>
      <c r="O165" s="26">
        <f>[1]!thsiFinD("ths_ev2_to_ebitda_usk",O$6,$A165)</f>
        <v>7.3671711761407996</v>
      </c>
      <c r="P165" s="26">
        <f>[1]!thsiFinD("ths_ev2_to_ebitda_usk",P$6,$A165)</f>
        <v>7.9697078261841998</v>
      </c>
      <c r="Q165" s="26">
        <f>[1]!thsiFinD("ths_ev2_to_ebitda_usk",Q$6,$A165)</f>
        <v>5.1401532134787997</v>
      </c>
      <c r="R165" s="26">
        <f>[1]!thsiFinD("ths_ev2_to_ebitda_usk",R$6,$A165)</f>
        <v>4.9901135608509</v>
      </c>
      <c r="S165" s="26">
        <f>[1]!thsiFinD("ths_ev2_to_ebitda_usk",S$6,$A165)</f>
        <v>4.0375759890858998</v>
      </c>
      <c r="T165" s="27">
        <f>[1]!thsiFinD("ths_pb_mrq_usk",T$6,$A165)</f>
        <v>1.7390998028819</v>
      </c>
      <c r="U165" s="27">
        <f>[1]!thsiFinD("ths_pb_mrq_usk",U$6,$A165)</f>
        <v>1.9307021622348</v>
      </c>
      <c r="V165" s="27">
        <f>[1]!thsiFinD("ths_pb_mrq_usk",V$6,$A165)</f>
        <v>1.6717565257561999</v>
      </c>
      <c r="W165" s="27">
        <f>[1]!thsiFinD("ths_pb_mrq_usk",W$6,$A165)</f>
        <v>1.9779715916394001</v>
      </c>
      <c r="X165" s="27">
        <f>[1]!thsiFinD("ths_pb_mrq_usk",X$6,$A165)</f>
        <v>1.639264466445</v>
      </c>
      <c r="Y165" s="27">
        <f>[1]!thsiFinD("ths_pb_mrq_usk",Y$6,$A165)</f>
        <v>1.4646535504886</v>
      </c>
      <c r="Z165" s="28">
        <f>[1]!thsiFinD("ths_ps_ttm_uss",Z$6,$A165,100)</f>
        <v>1.8181574316022999</v>
      </c>
      <c r="AA165" s="28">
        <f>[1]!thsiFinD("ths_ps_ttm_uss",AA$6,$A165,100)</f>
        <v>1.5090944398602999</v>
      </c>
      <c r="AB165" s="28">
        <f>[1]!thsiFinD("ths_ps_ttm_uss",AB$6,$A165,100)</f>
        <v>1.6327026613257001</v>
      </c>
      <c r="AC165" s="28">
        <f>[1]!thsiFinD("ths_ps_ttm_uss",AC$6,$A165,100)</f>
        <v>2.6530346628636998</v>
      </c>
      <c r="AD165" s="28">
        <f>[1]!thsiFinD("ths_ps_ttm_uss",AD$6,$A165,100)</f>
        <v>0.49497042216553</v>
      </c>
      <c r="AE165" s="28">
        <f>[1]!thsiFinD("ths_ps_ttm_uss",AE$6,$A165,100)</f>
        <v>1.2869165426445</v>
      </c>
      <c r="AJ165" s="44">
        <f>[1]!thsiFinD("ths_right_value_usk",AJ$6,$A165,"USD")/1000000</f>
        <v>112907.5765025</v>
      </c>
      <c r="AK165" s="44">
        <f>[1]!thsiFinD("ths_right_value_usk",AK$6,$A165,"USD")/1000000</f>
        <v>503065.68609406002</v>
      </c>
      <c r="AL165" s="44">
        <f>[1]!thsiFinD("ths_right_value_usk",AL$6,$A165,"USD")/1000000</f>
        <v>317371.27411914</v>
      </c>
      <c r="AM165" s="44">
        <f>[1]!thsiFinD("ths_right_value_usk",AM$6,$A165,"USD")/1000000</f>
        <v>59902.8696528</v>
      </c>
      <c r="AN165" s="44">
        <f>[1]!thsiFinD("ths_right_value_usk",AN$6,$A165,"USD")/1000000</f>
        <v>95477.319583619988</v>
      </c>
      <c r="AO165" s="44">
        <f>[1]!thsiFinD("ths_right_value_usk",AO$6,$A165,"USD")/1000000</f>
        <v>22482.432000000001</v>
      </c>
      <c r="AP165" s="44">
        <f>[1]!thsiFinD("ths_ev2_usk",AP$6,$A165,"USD")/1000000</f>
        <v>131129.57650249999</v>
      </c>
      <c r="AQ165" s="44">
        <f>[1]!thsiFinD("ths_ev2_usk",AQ$6,$A165,"USD")/1000000</f>
        <v>540094.68609405996</v>
      </c>
      <c r="AR165" s="44">
        <f>[1]!thsiFinD("ths_ev2_usk",AR$6,$A165,"USD")/1000000</f>
        <v>356947.27411914</v>
      </c>
      <c r="AS165" s="44">
        <f>[1]!thsiFinD("ths_ev2_usk",AS$6,$A165,"USD")/1000000</f>
        <v>64066.8696528</v>
      </c>
      <c r="AT165" s="44">
        <f>[1]!thsiFinD("ths_ev2_usk",AT$6,$A165,"USD")/1000000</f>
        <v>140157.31958362</v>
      </c>
      <c r="AU165" s="44">
        <f>[1]!thsiFinD("ths_ev2_usk",AU$6,$A165,"USD")/1000000</f>
        <v>29595.432000000001</v>
      </c>
    </row>
    <row r="166" spans="1:47" x14ac:dyDescent="0.45">
      <c r="A166" s="3"/>
      <c r="B166" s="13"/>
      <c r="H166" s="23">
        <f>[1]!thsiFinD("ths_pe_ttm_uss",B$6,$A166,100)</f>
        <v>12.763687147016</v>
      </c>
      <c r="I166" s="23">
        <f>[1]!thsiFinD("ths_pe_ttm_uss",C$6,$A166,100)</f>
        <v>16.795168633995001</v>
      </c>
      <c r="J166" s="23">
        <f>[1]!thsiFinD("ths_pe_ttm_uss",D$6,$A166,100)</f>
        <v>24.856772722363999</v>
      </c>
      <c r="K166" s="23">
        <f>[1]!thsiFinD("ths_pe_ttm_uss",E$6,$A166,100)</f>
        <v>10.832345326004001</v>
      </c>
      <c r="L166" s="23">
        <f>[1]!thsiFinD("ths_pe_ttm_uss",F$6,$A166,100)</f>
        <v>62.896784969446998</v>
      </c>
      <c r="M166" s="23">
        <f>[1]!thsiFinD("ths_pe_ttm_uss",G$6,$A166,100)</f>
        <v>8.2686399411548006</v>
      </c>
      <c r="N166" s="26">
        <f>[1]!thsiFinD("ths_ev2_to_ebitda_usk",N$6,$A166)</f>
        <v>5.6348922049976</v>
      </c>
      <c r="O166" s="26">
        <f>[1]!thsiFinD("ths_ev2_to_ebitda_usk",O$6,$A166)</f>
        <v>7.3671711761407996</v>
      </c>
      <c r="P166" s="26">
        <f>[1]!thsiFinD("ths_ev2_to_ebitda_usk",P$6,$A166)</f>
        <v>7.9697078261841998</v>
      </c>
      <c r="Q166" s="26">
        <f>[1]!thsiFinD("ths_ev2_to_ebitda_usk",Q$6,$A166)</f>
        <v>5.1401532134787997</v>
      </c>
      <c r="R166" s="26">
        <f>[1]!thsiFinD("ths_ev2_to_ebitda_usk",R$6,$A166)</f>
        <v>4.9901135608509</v>
      </c>
      <c r="S166" s="26">
        <f>[1]!thsiFinD("ths_ev2_to_ebitda_usk",S$6,$A166)</f>
        <v>4.0375759890858998</v>
      </c>
      <c r="T166" s="27">
        <f>[1]!thsiFinD("ths_pb_mrq_usk",T$6,$A166)</f>
        <v>1.7390998028819</v>
      </c>
      <c r="U166" s="27">
        <f>[1]!thsiFinD("ths_pb_mrq_usk",U$6,$A166)</f>
        <v>1.9307021622348</v>
      </c>
      <c r="V166" s="27">
        <f>[1]!thsiFinD("ths_pb_mrq_usk",V$6,$A166)</f>
        <v>1.6717565257561999</v>
      </c>
      <c r="W166" s="27">
        <f>[1]!thsiFinD("ths_pb_mrq_usk",W$6,$A166)</f>
        <v>1.9779715916394001</v>
      </c>
      <c r="X166" s="27">
        <f>[1]!thsiFinD("ths_pb_mrq_usk",X$6,$A166)</f>
        <v>1.639264466445</v>
      </c>
      <c r="Y166" s="27">
        <f>[1]!thsiFinD("ths_pb_mrq_usk",Y$6,$A166)</f>
        <v>1.4646535504886</v>
      </c>
      <c r="Z166" s="28">
        <f>[1]!thsiFinD("ths_ps_ttm_uss",Z$6,$A166,100)</f>
        <v>1.8181574316022999</v>
      </c>
      <c r="AA166" s="28">
        <f>[1]!thsiFinD("ths_ps_ttm_uss",AA$6,$A166,100)</f>
        <v>1.5090944398602999</v>
      </c>
      <c r="AB166" s="28">
        <f>[1]!thsiFinD("ths_ps_ttm_uss",AB$6,$A166,100)</f>
        <v>1.6327026613257001</v>
      </c>
      <c r="AC166" s="28">
        <f>[1]!thsiFinD("ths_ps_ttm_uss",AC$6,$A166,100)</f>
        <v>2.6530346628636998</v>
      </c>
      <c r="AD166" s="28">
        <f>[1]!thsiFinD("ths_ps_ttm_uss",AD$6,$A166,100)</f>
        <v>0.49497042216553</v>
      </c>
      <c r="AE166" s="28">
        <f>[1]!thsiFinD("ths_ps_ttm_uss",AE$6,$A166,100)</f>
        <v>1.2869165426445</v>
      </c>
      <c r="AJ166" s="44">
        <f>[1]!thsiFinD("ths_right_value_usk",AJ$6,$A166,"USD")/1000000</f>
        <v>112907.5765025</v>
      </c>
      <c r="AK166" s="44">
        <f>[1]!thsiFinD("ths_right_value_usk",AK$6,$A166,"USD")/1000000</f>
        <v>503065.68609406002</v>
      </c>
      <c r="AL166" s="44">
        <f>[1]!thsiFinD("ths_right_value_usk",AL$6,$A166,"USD")/1000000</f>
        <v>317371.27411914</v>
      </c>
      <c r="AM166" s="44">
        <f>[1]!thsiFinD("ths_right_value_usk",AM$6,$A166,"USD")/1000000</f>
        <v>59902.8696528</v>
      </c>
      <c r="AN166" s="44">
        <f>[1]!thsiFinD("ths_right_value_usk",AN$6,$A166,"USD")/1000000</f>
        <v>95477.319583619988</v>
      </c>
      <c r="AO166" s="44">
        <f>[1]!thsiFinD("ths_right_value_usk",AO$6,$A166,"USD")/1000000</f>
        <v>22482.432000000001</v>
      </c>
      <c r="AP166" s="44">
        <f>[1]!thsiFinD("ths_ev2_usk",AP$6,$A166,"USD")/1000000</f>
        <v>131129.57650249999</v>
      </c>
      <c r="AQ166" s="44">
        <f>[1]!thsiFinD("ths_ev2_usk",AQ$6,$A166,"USD")/1000000</f>
        <v>540094.68609405996</v>
      </c>
      <c r="AR166" s="44">
        <f>[1]!thsiFinD("ths_ev2_usk",AR$6,$A166,"USD")/1000000</f>
        <v>356947.27411914</v>
      </c>
      <c r="AS166" s="44">
        <f>[1]!thsiFinD("ths_ev2_usk",AS$6,$A166,"USD")/1000000</f>
        <v>64066.8696528</v>
      </c>
      <c r="AT166" s="44">
        <f>[1]!thsiFinD("ths_ev2_usk",AT$6,$A166,"USD")/1000000</f>
        <v>140157.31958362</v>
      </c>
      <c r="AU166" s="44">
        <f>[1]!thsiFinD("ths_ev2_usk",AU$6,$A166,"USD")/1000000</f>
        <v>29595.432000000001</v>
      </c>
    </row>
    <row r="167" spans="1:47" x14ac:dyDescent="0.45">
      <c r="A167" s="3"/>
      <c r="B167" s="13"/>
      <c r="H167" s="23">
        <f>[1]!thsiFinD("ths_pe_ttm_uss",B$6,$A167,100)</f>
        <v>12.763687147016</v>
      </c>
      <c r="I167" s="23">
        <f>[1]!thsiFinD("ths_pe_ttm_uss",C$6,$A167,100)</f>
        <v>16.795168633995001</v>
      </c>
      <c r="J167" s="23">
        <f>[1]!thsiFinD("ths_pe_ttm_uss",D$6,$A167,100)</f>
        <v>24.856772722363999</v>
      </c>
      <c r="K167" s="23">
        <f>[1]!thsiFinD("ths_pe_ttm_uss",E$6,$A167,100)</f>
        <v>10.832345326004001</v>
      </c>
      <c r="L167" s="23">
        <f>[1]!thsiFinD("ths_pe_ttm_uss",F$6,$A167,100)</f>
        <v>62.896784969446998</v>
      </c>
      <c r="M167" s="23">
        <f>[1]!thsiFinD("ths_pe_ttm_uss",G$6,$A167,100)</f>
        <v>8.2686399411548006</v>
      </c>
      <c r="N167" s="26">
        <f>[1]!thsiFinD("ths_ev2_to_ebitda_usk",N$6,$A167)</f>
        <v>5.6348922049976</v>
      </c>
      <c r="O167" s="26">
        <f>[1]!thsiFinD("ths_ev2_to_ebitda_usk",O$6,$A167)</f>
        <v>7.3671711761407996</v>
      </c>
      <c r="P167" s="26">
        <f>[1]!thsiFinD("ths_ev2_to_ebitda_usk",P$6,$A167)</f>
        <v>7.9697078261841998</v>
      </c>
      <c r="Q167" s="26">
        <f>[1]!thsiFinD("ths_ev2_to_ebitda_usk",Q$6,$A167)</f>
        <v>5.1401532134787997</v>
      </c>
      <c r="R167" s="26">
        <f>[1]!thsiFinD("ths_ev2_to_ebitda_usk",R$6,$A167)</f>
        <v>4.9901135608509</v>
      </c>
      <c r="S167" s="26">
        <f>[1]!thsiFinD("ths_ev2_to_ebitda_usk",S$6,$A167)</f>
        <v>4.0375759890858998</v>
      </c>
      <c r="T167" s="27">
        <f>[1]!thsiFinD("ths_pb_mrq_usk",T$6,$A167)</f>
        <v>1.7390998028819</v>
      </c>
      <c r="U167" s="27">
        <f>[1]!thsiFinD("ths_pb_mrq_usk",U$6,$A167)</f>
        <v>1.9307021622348</v>
      </c>
      <c r="V167" s="27">
        <f>[1]!thsiFinD("ths_pb_mrq_usk",V$6,$A167)</f>
        <v>1.6717565257561999</v>
      </c>
      <c r="W167" s="27">
        <f>[1]!thsiFinD("ths_pb_mrq_usk",W$6,$A167)</f>
        <v>1.9779715916394001</v>
      </c>
      <c r="X167" s="27">
        <f>[1]!thsiFinD("ths_pb_mrq_usk",X$6,$A167)</f>
        <v>1.639264466445</v>
      </c>
      <c r="Y167" s="27">
        <f>[1]!thsiFinD("ths_pb_mrq_usk",Y$6,$A167)</f>
        <v>1.4646535504886</v>
      </c>
      <c r="Z167" s="28">
        <f>[1]!thsiFinD("ths_ps_ttm_uss",Z$6,$A167,100)</f>
        <v>1.8181574316022999</v>
      </c>
      <c r="AA167" s="28">
        <f>[1]!thsiFinD("ths_ps_ttm_uss",AA$6,$A167,100)</f>
        <v>1.5090944398602999</v>
      </c>
      <c r="AB167" s="28">
        <f>[1]!thsiFinD("ths_ps_ttm_uss",AB$6,$A167,100)</f>
        <v>1.6327026613257001</v>
      </c>
      <c r="AC167" s="28">
        <f>[1]!thsiFinD("ths_ps_ttm_uss",AC$6,$A167,100)</f>
        <v>2.6530346628636998</v>
      </c>
      <c r="AD167" s="28">
        <f>[1]!thsiFinD("ths_ps_ttm_uss",AD$6,$A167,100)</f>
        <v>0.49497042216553</v>
      </c>
      <c r="AE167" s="28">
        <f>[1]!thsiFinD("ths_ps_ttm_uss",AE$6,$A167,100)</f>
        <v>1.2869165426445</v>
      </c>
      <c r="AJ167" s="44">
        <f>[1]!thsiFinD("ths_right_value_usk",AJ$6,$A167,"USD")/1000000</f>
        <v>112907.5765025</v>
      </c>
      <c r="AK167" s="44">
        <f>[1]!thsiFinD("ths_right_value_usk",AK$6,$A167,"USD")/1000000</f>
        <v>503065.68609406002</v>
      </c>
      <c r="AL167" s="44">
        <f>[1]!thsiFinD("ths_right_value_usk",AL$6,$A167,"USD")/1000000</f>
        <v>317371.27411914</v>
      </c>
      <c r="AM167" s="44">
        <f>[1]!thsiFinD("ths_right_value_usk",AM$6,$A167,"USD")/1000000</f>
        <v>59902.8696528</v>
      </c>
      <c r="AN167" s="44">
        <f>[1]!thsiFinD("ths_right_value_usk",AN$6,$A167,"USD")/1000000</f>
        <v>95477.319583619988</v>
      </c>
      <c r="AO167" s="44">
        <f>[1]!thsiFinD("ths_right_value_usk",AO$6,$A167,"USD")/1000000</f>
        <v>22482.432000000001</v>
      </c>
      <c r="AP167" s="44">
        <f>[1]!thsiFinD("ths_ev2_usk",AP$6,$A167,"USD")/1000000</f>
        <v>131129.57650249999</v>
      </c>
      <c r="AQ167" s="44">
        <f>[1]!thsiFinD("ths_ev2_usk",AQ$6,$A167,"USD")/1000000</f>
        <v>540094.68609405996</v>
      </c>
      <c r="AR167" s="44">
        <f>[1]!thsiFinD("ths_ev2_usk",AR$6,$A167,"USD")/1000000</f>
        <v>356947.27411914</v>
      </c>
      <c r="AS167" s="44">
        <f>[1]!thsiFinD("ths_ev2_usk",AS$6,$A167,"USD")/1000000</f>
        <v>64066.8696528</v>
      </c>
      <c r="AT167" s="44">
        <f>[1]!thsiFinD("ths_ev2_usk",AT$6,$A167,"USD")/1000000</f>
        <v>140157.31958362</v>
      </c>
      <c r="AU167" s="44">
        <f>[1]!thsiFinD("ths_ev2_usk",AU$6,$A167,"USD")/1000000</f>
        <v>29595.432000000001</v>
      </c>
    </row>
    <row r="168" spans="1:47" x14ac:dyDescent="0.45">
      <c r="A168" s="3"/>
      <c r="B168" s="13"/>
      <c r="H168" s="23">
        <f>[1]!thsiFinD("ths_pe_ttm_uss",B$6,$A168,100)</f>
        <v>12.763687147016</v>
      </c>
      <c r="I168" s="23">
        <f>[1]!thsiFinD("ths_pe_ttm_uss",C$6,$A168,100)</f>
        <v>16.795168633995001</v>
      </c>
      <c r="J168" s="23">
        <f>[1]!thsiFinD("ths_pe_ttm_uss",D$6,$A168,100)</f>
        <v>24.856772722363999</v>
      </c>
      <c r="K168" s="23">
        <f>[1]!thsiFinD("ths_pe_ttm_uss",E$6,$A168,100)</f>
        <v>10.832345326004001</v>
      </c>
      <c r="L168" s="23">
        <f>[1]!thsiFinD("ths_pe_ttm_uss",F$6,$A168,100)</f>
        <v>62.896784969446998</v>
      </c>
      <c r="M168" s="23">
        <f>[1]!thsiFinD("ths_pe_ttm_uss",G$6,$A168,100)</f>
        <v>8.2686399411548006</v>
      </c>
      <c r="N168" s="26">
        <f>[1]!thsiFinD("ths_ev2_to_ebitda_usk",N$6,$A168)</f>
        <v>5.6348922049976</v>
      </c>
      <c r="O168" s="26">
        <f>[1]!thsiFinD("ths_ev2_to_ebitda_usk",O$6,$A168)</f>
        <v>7.3671711761407996</v>
      </c>
      <c r="P168" s="26">
        <f>[1]!thsiFinD("ths_ev2_to_ebitda_usk",P$6,$A168)</f>
        <v>7.9697078261841998</v>
      </c>
      <c r="Q168" s="26">
        <f>[1]!thsiFinD("ths_ev2_to_ebitda_usk",Q$6,$A168)</f>
        <v>5.1401532134787997</v>
      </c>
      <c r="R168" s="26">
        <f>[1]!thsiFinD("ths_ev2_to_ebitda_usk",R$6,$A168)</f>
        <v>4.9901135608509</v>
      </c>
      <c r="S168" s="26">
        <f>[1]!thsiFinD("ths_ev2_to_ebitda_usk",S$6,$A168)</f>
        <v>4.0375759890858998</v>
      </c>
      <c r="T168" s="27">
        <f>[1]!thsiFinD("ths_pb_mrq_usk",T$6,$A168)</f>
        <v>1.7390998028819</v>
      </c>
      <c r="U168" s="27">
        <f>[1]!thsiFinD("ths_pb_mrq_usk",U$6,$A168)</f>
        <v>1.9307021622348</v>
      </c>
      <c r="V168" s="27">
        <f>[1]!thsiFinD("ths_pb_mrq_usk",V$6,$A168)</f>
        <v>1.6717565257561999</v>
      </c>
      <c r="W168" s="27">
        <f>[1]!thsiFinD("ths_pb_mrq_usk",W$6,$A168)</f>
        <v>1.9779715916394001</v>
      </c>
      <c r="X168" s="27">
        <f>[1]!thsiFinD("ths_pb_mrq_usk",X$6,$A168)</f>
        <v>1.639264466445</v>
      </c>
      <c r="Y168" s="27">
        <f>[1]!thsiFinD("ths_pb_mrq_usk",Y$6,$A168)</f>
        <v>1.4646535504886</v>
      </c>
      <c r="Z168" s="28">
        <f>[1]!thsiFinD("ths_ps_ttm_uss",Z$6,$A168,100)</f>
        <v>1.8181574316022999</v>
      </c>
      <c r="AA168" s="28">
        <f>[1]!thsiFinD("ths_ps_ttm_uss",AA$6,$A168,100)</f>
        <v>1.5090944398602999</v>
      </c>
      <c r="AB168" s="28">
        <f>[1]!thsiFinD("ths_ps_ttm_uss",AB$6,$A168,100)</f>
        <v>1.6327026613257001</v>
      </c>
      <c r="AC168" s="28">
        <f>[1]!thsiFinD("ths_ps_ttm_uss",AC$6,$A168,100)</f>
        <v>2.6530346628636998</v>
      </c>
      <c r="AD168" s="28">
        <f>[1]!thsiFinD("ths_ps_ttm_uss",AD$6,$A168,100)</f>
        <v>0.49497042216553</v>
      </c>
      <c r="AE168" s="28">
        <f>[1]!thsiFinD("ths_ps_ttm_uss",AE$6,$A168,100)</f>
        <v>1.2869165426445</v>
      </c>
      <c r="AJ168" s="44">
        <f>[1]!thsiFinD("ths_right_value_usk",AJ$6,$A168,"USD")/1000000</f>
        <v>112907.5765025</v>
      </c>
      <c r="AK168" s="44">
        <f>[1]!thsiFinD("ths_right_value_usk",AK$6,$A168,"USD")/1000000</f>
        <v>503065.68609406002</v>
      </c>
      <c r="AL168" s="44">
        <f>[1]!thsiFinD("ths_right_value_usk",AL$6,$A168,"USD")/1000000</f>
        <v>317371.27411914</v>
      </c>
      <c r="AM168" s="44">
        <f>[1]!thsiFinD("ths_right_value_usk",AM$6,$A168,"USD")/1000000</f>
        <v>59902.8696528</v>
      </c>
      <c r="AN168" s="44">
        <f>[1]!thsiFinD("ths_right_value_usk",AN$6,$A168,"USD")/1000000</f>
        <v>95477.319583619988</v>
      </c>
      <c r="AO168" s="44">
        <f>[1]!thsiFinD("ths_right_value_usk",AO$6,$A168,"USD")/1000000</f>
        <v>22482.432000000001</v>
      </c>
      <c r="AP168" s="44">
        <f>[1]!thsiFinD("ths_ev2_usk",AP$6,$A168,"USD")/1000000</f>
        <v>131129.57650249999</v>
      </c>
      <c r="AQ168" s="44">
        <f>[1]!thsiFinD("ths_ev2_usk",AQ$6,$A168,"USD")/1000000</f>
        <v>540094.68609405996</v>
      </c>
      <c r="AR168" s="44">
        <f>[1]!thsiFinD("ths_ev2_usk",AR$6,$A168,"USD")/1000000</f>
        <v>356947.27411914</v>
      </c>
      <c r="AS168" s="44">
        <f>[1]!thsiFinD("ths_ev2_usk",AS$6,$A168,"USD")/1000000</f>
        <v>64066.8696528</v>
      </c>
      <c r="AT168" s="44">
        <f>[1]!thsiFinD("ths_ev2_usk",AT$6,$A168,"USD")/1000000</f>
        <v>140157.31958362</v>
      </c>
      <c r="AU168" s="44">
        <f>[1]!thsiFinD("ths_ev2_usk",AU$6,$A168,"USD")/1000000</f>
        <v>29595.432000000001</v>
      </c>
    </row>
    <row r="169" spans="1:47" x14ac:dyDescent="0.45">
      <c r="A169" s="3"/>
      <c r="B169" s="13"/>
      <c r="H169" s="23">
        <f>[1]!thsiFinD("ths_pe_ttm_uss",B$6,$A169,100)</f>
        <v>12.763687147016</v>
      </c>
      <c r="I169" s="23">
        <f>[1]!thsiFinD("ths_pe_ttm_uss",C$6,$A169,100)</f>
        <v>16.795168633995001</v>
      </c>
      <c r="J169" s="23">
        <f>[1]!thsiFinD("ths_pe_ttm_uss",D$6,$A169,100)</f>
        <v>24.856772722363999</v>
      </c>
      <c r="K169" s="23">
        <f>[1]!thsiFinD("ths_pe_ttm_uss",E$6,$A169,100)</f>
        <v>10.832345326004001</v>
      </c>
      <c r="L169" s="23">
        <f>[1]!thsiFinD("ths_pe_ttm_uss",F$6,$A169,100)</f>
        <v>62.896784969446998</v>
      </c>
      <c r="M169" s="23">
        <f>[1]!thsiFinD("ths_pe_ttm_uss",G$6,$A169,100)</f>
        <v>8.2686399411548006</v>
      </c>
      <c r="N169" s="26">
        <f>[1]!thsiFinD("ths_ev2_to_ebitda_usk",N$6,$A169)</f>
        <v>5.6348922049976</v>
      </c>
      <c r="O169" s="26">
        <f>[1]!thsiFinD("ths_ev2_to_ebitda_usk",O$6,$A169)</f>
        <v>7.3671711761407996</v>
      </c>
      <c r="P169" s="26">
        <f>[1]!thsiFinD("ths_ev2_to_ebitda_usk",P$6,$A169)</f>
        <v>7.9697078261841998</v>
      </c>
      <c r="Q169" s="26">
        <f>[1]!thsiFinD("ths_ev2_to_ebitda_usk",Q$6,$A169)</f>
        <v>5.1401532134787997</v>
      </c>
      <c r="R169" s="26">
        <f>[1]!thsiFinD("ths_ev2_to_ebitda_usk",R$6,$A169)</f>
        <v>4.9901135608509</v>
      </c>
      <c r="S169" s="26">
        <f>[1]!thsiFinD("ths_ev2_to_ebitda_usk",S$6,$A169)</f>
        <v>4.0375759890858998</v>
      </c>
      <c r="T169" s="27">
        <f>[1]!thsiFinD("ths_pb_mrq_usk",T$6,$A169)</f>
        <v>1.7390998028819</v>
      </c>
      <c r="U169" s="27">
        <f>[1]!thsiFinD("ths_pb_mrq_usk",U$6,$A169)</f>
        <v>1.9307021622348</v>
      </c>
      <c r="V169" s="27">
        <f>[1]!thsiFinD("ths_pb_mrq_usk",V$6,$A169)</f>
        <v>1.6717565257561999</v>
      </c>
      <c r="W169" s="27">
        <f>[1]!thsiFinD("ths_pb_mrq_usk",W$6,$A169)</f>
        <v>1.9779715916394001</v>
      </c>
      <c r="X169" s="27">
        <f>[1]!thsiFinD("ths_pb_mrq_usk",X$6,$A169)</f>
        <v>1.639264466445</v>
      </c>
      <c r="Y169" s="27">
        <f>[1]!thsiFinD("ths_pb_mrq_usk",Y$6,$A169)</f>
        <v>1.4646535504886</v>
      </c>
      <c r="Z169" s="28">
        <f>[1]!thsiFinD("ths_ps_ttm_uss",Z$6,$A169,100)</f>
        <v>1.8181574316022999</v>
      </c>
      <c r="AA169" s="28">
        <f>[1]!thsiFinD("ths_ps_ttm_uss",AA$6,$A169,100)</f>
        <v>1.5090944398602999</v>
      </c>
      <c r="AB169" s="28">
        <f>[1]!thsiFinD("ths_ps_ttm_uss",AB$6,$A169,100)</f>
        <v>1.6327026613257001</v>
      </c>
      <c r="AC169" s="28">
        <f>[1]!thsiFinD("ths_ps_ttm_uss",AC$6,$A169,100)</f>
        <v>2.6530346628636998</v>
      </c>
      <c r="AD169" s="28">
        <f>[1]!thsiFinD("ths_ps_ttm_uss",AD$6,$A169,100)</f>
        <v>0.49497042216553</v>
      </c>
      <c r="AE169" s="28">
        <f>[1]!thsiFinD("ths_ps_ttm_uss",AE$6,$A169,100)</f>
        <v>1.2869165426445</v>
      </c>
      <c r="AJ169" s="44">
        <f>[1]!thsiFinD("ths_right_value_usk",AJ$6,$A169,"USD")/1000000</f>
        <v>112907.5765025</v>
      </c>
      <c r="AK169" s="44">
        <f>[1]!thsiFinD("ths_right_value_usk",AK$6,$A169,"USD")/1000000</f>
        <v>503065.68609406002</v>
      </c>
      <c r="AL169" s="44">
        <f>[1]!thsiFinD("ths_right_value_usk",AL$6,$A169,"USD")/1000000</f>
        <v>317371.27411914</v>
      </c>
      <c r="AM169" s="44">
        <f>[1]!thsiFinD("ths_right_value_usk",AM$6,$A169,"USD")/1000000</f>
        <v>59902.8696528</v>
      </c>
      <c r="AN169" s="44">
        <f>[1]!thsiFinD("ths_right_value_usk",AN$6,$A169,"USD")/1000000</f>
        <v>95477.319583619988</v>
      </c>
      <c r="AO169" s="44">
        <f>[1]!thsiFinD("ths_right_value_usk",AO$6,$A169,"USD")/1000000</f>
        <v>22482.432000000001</v>
      </c>
      <c r="AP169" s="44">
        <f>[1]!thsiFinD("ths_ev2_usk",AP$6,$A169,"USD")/1000000</f>
        <v>131129.57650249999</v>
      </c>
      <c r="AQ169" s="44">
        <f>[1]!thsiFinD("ths_ev2_usk",AQ$6,$A169,"USD")/1000000</f>
        <v>540094.68609405996</v>
      </c>
      <c r="AR169" s="44">
        <f>[1]!thsiFinD("ths_ev2_usk",AR$6,$A169,"USD")/1000000</f>
        <v>356947.27411914</v>
      </c>
      <c r="AS169" s="44">
        <f>[1]!thsiFinD("ths_ev2_usk",AS$6,$A169,"USD")/1000000</f>
        <v>64066.8696528</v>
      </c>
      <c r="AT169" s="44">
        <f>[1]!thsiFinD("ths_ev2_usk",AT$6,$A169,"USD")/1000000</f>
        <v>140157.31958362</v>
      </c>
      <c r="AU169" s="44">
        <f>[1]!thsiFinD("ths_ev2_usk",AU$6,$A169,"USD")/1000000</f>
        <v>29595.432000000001</v>
      </c>
    </row>
    <row r="170" spans="1:47" x14ac:dyDescent="0.45">
      <c r="A170" s="3"/>
      <c r="B170" s="13"/>
      <c r="H170" s="23">
        <f>[1]!thsiFinD("ths_pe_ttm_uss",B$6,$A170,100)</f>
        <v>12.763687147016</v>
      </c>
      <c r="I170" s="23">
        <f>[1]!thsiFinD("ths_pe_ttm_uss",C$6,$A170,100)</f>
        <v>16.795168633995001</v>
      </c>
      <c r="J170" s="23">
        <f>[1]!thsiFinD("ths_pe_ttm_uss",D$6,$A170,100)</f>
        <v>24.856772722363999</v>
      </c>
      <c r="K170" s="23">
        <f>[1]!thsiFinD("ths_pe_ttm_uss",E$6,$A170,100)</f>
        <v>10.832345326004001</v>
      </c>
      <c r="L170" s="23">
        <f>[1]!thsiFinD("ths_pe_ttm_uss",F$6,$A170,100)</f>
        <v>62.896784969446998</v>
      </c>
      <c r="M170" s="23">
        <f>[1]!thsiFinD("ths_pe_ttm_uss",G$6,$A170,100)</f>
        <v>8.2686399411548006</v>
      </c>
      <c r="N170" s="26">
        <f>[1]!thsiFinD("ths_ev2_to_ebitda_usk",N$6,$A170)</f>
        <v>5.6348922049976</v>
      </c>
      <c r="O170" s="26">
        <f>[1]!thsiFinD("ths_ev2_to_ebitda_usk",O$6,$A170)</f>
        <v>7.3671711761407996</v>
      </c>
      <c r="P170" s="26">
        <f>[1]!thsiFinD("ths_ev2_to_ebitda_usk",P$6,$A170)</f>
        <v>7.9697078261841998</v>
      </c>
      <c r="Q170" s="26">
        <f>[1]!thsiFinD("ths_ev2_to_ebitda_usk",Q$6,$A170)</f>
        <v>5.1401532134787997</v>
      </c>
      <c r="R170" s="26">
        <f>[1]!thsiFinD("ths_ev2_to_ebitda_usk",R$6,$A170)</f>
        <v>4.9901135608509</v>
      </c>
      <c r="S170" s="26">
        <f>[1]!thsiFinD("ths_ev2_to_ebitda_usk",S$6,$A170)</f>
        <v>4.0375759890858998</v>
      </c>
      <c r="T170" s="27">
        <f>[1]!thsiFinD("ths_pb_mrq_usk",T$6,$A170)</f>
        <v>1.7390998028819</v>
      </c>
      <c r="U170" s="27">
        <f>[1]!thsiFinD("ths_pb_mrq_usk",U$6,$A170)</f>
        <v>1.9307021622348</v>
      </c>
      <c r="V170" s="27">
        <f>[1]!thsiFinD("ths_pb_mrq_usk",V$6,$A170)</f>
        <v>1.6717565257561999</v>
      </c>
      <c r="W170" s="27">
        <f>[1]!thsiFinD("ths_pb_mrq_usk",W$6,$A170)</f>
        <v>1.9779715916394001</v>
      </c>
      <c r="X170" s="27">
        <f>[1]!thsiFinD("ths_pb_mrq_usk",X$6,$A170)</f>
        <v>1.639264466445</v>
      </c>
      <c r="Y170" s="27">
        <f>[1]!thsiFinD("ths_pb_mrq_usk",Y$6,$A170)</f>
        <v>1.4646535504886</v>
      </c>
      <c r="Z170" s="28">
        <f>[1]!thsiFinD("ths_ps_ttm_uss",Z$6,$A170,100)</f>
        <v>1.8181574316022999</v>
      </c>
      <c r="AA170" s="28">
        <f>[1]!thsiFinD("ths_ps_ttm_uss",AA$6,$A170,100)</f>
        <v>1.5090944398602999</v>
      </c>
      <c r="AB170" s="28">
        <f>[1]!thsiFinD("ths_ps_ttm_uss",AB$6,$A170,100)</f>
        <v>1.6327026613257001</v>
      </c>
      <c r="AC170" s="28">
        <f>[1]!thsiFinD("ths_ps_ttm_uss",AC$6,$A170,100)</f>
        <v>2.6530346628636998</v>
      </c>
      <c r="AD170" s="28">
        <f>[1]!thsiFinD("ths_ps_ttm_uss",AD$6,$A170,100)</f>
        <v>0.49497042216553</v>
      </c>
      <c r="AE170" s="28">
        <f>[1]!thsiFinD("ths_ps_ttm_uss",AE$6,$A170,100)</f>
        <v>1.2869165426445</v>
      </c>
      <c r="AJ170" s="44">
        <f>[1]!thsiFinD("ths_right_value_usk",AJ$6,$A170,"USD")/1000000</f>
        <v>112907.5765025</v>
      </c>
      <c r="AK170" s="44">
        <f>[1]!thsiFinD("ths_right_value_usk",AK$6,$A170,"USD")/1000000</f>
        <v>503065.68609406002</v>
      </c>
      <c r="AL170" s="44">
        <f>[1]!thsiFinD("ths_right_value_usk",AL$6,$A170,"USD")/1000000</f>
        <v>317371.27411914</v>
      </c>
      <c r="AM170" s="44">
        <f>[1]!thsiFinD("ths_right_value_usk",AM$6,$A170,"USD")/1000000</f>
        <v>59902.8696528</v>
      </c>
      <c r="AN170" s="44">
        <f>[1]!thsiFinD("ths_right_value_usk",AN$6,$A170,"USD")/1000000</f>
        <v>95477.319583619988</v>
      </c>
      <c r="AO170" s="44">
        <f>[1]!thsiFinD("ths_right_value_usk",AO$6,$A170,"USD")/1000000</f>
        <v>22482.432000000001</v>
      </c>
      <c r="AP170" s="44">
        <f>[1]!thsiFinD("ths_ev2_usk",AP$6,$A170,"USD")/1000000</f>
        <v>131129.57650249999</v>
      </c>
      <c r="AQ170" s="44">
        <f>[1]!thsiFinD("ths_ev2_usk",AQ$6,$A170,"USD")/1000000</f>
        <v>540094.68609405996</v>
      </c>
      <c r="AR170" s="44">
        <f>[1]!thsiFinD("ths_ev2_usk",AR$6,$A170,"USD")/1000000</f>
        <v>356947.27411914</v>
      </c>
      <c r="AS170" s="44">
        <f>[1]!thsiFinD("ths_ev2_usk",AS$6,$A170,"USD")/1000000</f>
        <v>64066.8696528</v>
      </c>
      <c r="AT170" s="44">
        <f>[1]!thsiFinD("ths_ev2_usk",AT$6,$A170,"USD")/1000000</f>
        <v>140157.31958362</v>
      </c>
      <c r="AU170" s="44">
        <f>[1]!thsiFinD("ths_ev2_usk",AU$6,$A170,"USD")/1000000</f>
        <v>29595.432000000001</v>
      </c>
    </row>
    <row r="171" spans="1:47" x14ac:dyDescent="0.45">
      <c r="A171" s="3"/>
      <c r="B171" s="13"/>
      <c r="H171" s="23">
        <f>[1]!thsiFinD("ths_pe_ttm_uss",B$6,$A171,100)</f>
        <v>12.763687147016</v>
      </c>
      <c r="I171" s="23">
        <f>[1]!thsiFinD("ths_pe_ttm_uss",C$6,$A171,100)</f>
        <v>16.795168633995001</v>
      </c>
      <c r="J171" s="23">
        <f>[1]!thsiFinD("ths_pe_ttm_uss",D$6,$A171,100)</f>
        <v>24.856772722363999</v>
      </c>
      <c r="K171" s="23">
        <f>[1]!thsiFinD("ths_pe_ttm_uss",E$6,$A171,100)</f>
        <v>10.832345326004001</v>
      </c>
      <c r="L171" s="23">
        <f>[1]!thsiFinD("ths_pe_ttm_uss",F$6,$A171,100)</f>
        <v>62.896784969446998</v>
      </c>
      <c r="M171" s="23">
        <f>[1]!thsiFinD("ths_pe_ttm_uss",G$6,$A171,100)</f>
        <v>8.2686399411548006</v>
      </c>
      <c r="N171" s="26">
        <f>[1]!thsiFinD("ths_ev2_to_ebitda_usk",N$6,$A171)</f>
        <v>5.6348922049976</v>
      </c>
      <c r="O171" s="26">
        <f>[1]!thsiFinD("ths_ev2_to_ebitda_usk",O$6,$A171)</f>
        <v>7.3671711761407996</v>
      </c>
      <c r="P171" s="26">
        <f>[1]!thsiFinD("ths_ev2_to_ebitda_usk",P$6,$A171)</f>
        <v>7.9697078261841998</v>
      </c>
      <c r="Q171" s="26">
        <f>[1]!thsiFinD("ths_ev2_to_ebitda_usk",Q$6,$A171)</f>
        <v>5.1401532134787997</v>
      </c>
      <c r="R171" s="26">
        <f>[1]!thsiFinD("ths_ev2_to_ebitda_usk",R$6,$A171)</f>
        <v>4.9901135608509</v>
      </c>
      <c r="S171" s="26">
        <f>[1]!thsiFinD("ths_ev2_to_ebitda_usk",S$6,$A171)</f>
        <v>4.0375759890858998</v>
      </c>
      <c r="T171" s="27">
        <f>[1]!thsiFinD("ths_pb_mrq_usk",T$6,$A171)</f>
        <v>1.7390998028819</v>
      </c>
      <c r="U171" s="27">
        <f>[1]!thsiFinD("ths_pb_mrq_usk",U$6,$A171)</f>
        <v>1.9307021622348</v>
      </c>
      <c r="V171" s="27">
        <f>[1]!thsiFinD("ths_pb_mrq_usk",V$6,$A171)</f>
        <v>1.6717565257561999</v>
      </c>
      <c r="W171" s="27">
        <f>[1]!thsiFinD("ths_pb_mrq_usk",W$6,$A171)</f>
        <v>1.9779715916394001</v>
      </c>
      <c r="X171" s="27">
        <f>[1]!thsiFinD("ths_pb_mrq_usk",X$6,$A171)</f>
        <v>1.639264466445</v>
      </c>
      <c r="Y171" s="27">
        <f>[1]!thsiFinD("ths_pb_mrq_usk",Y$6,$A171)</f>
        <v>1.4646535504886</v>
      </c>
      <c r="Z171" s="28">
        <f>[1]!thsiFinD("ths_ps_ttm_uss",Z$6,$A171,100)</f>
        <v>1.8181574316022999</v>
      </c>
      <c r="AA171" s="28">
        <f>[1]!thsiFinD("ths_ps_ttm_uss",AA$6,$A171,100)</f>
        <v>1.5090944398602999</v>
      </c>
      <c r="AB171" s="28">
        <f>[1]!thsiFinD("ths_ps_ttm_uss",AB$6,$A171,100)</f>
        <v>1.6327026613257001</v>
      </c>
      <c r="AC171" s="28">
        <f>[1]!thsiFinD("ths_ps_ttm_uss",AC$6,$A171,100)</f>
        <v>2.6530346628636998</v>
      </c>
      <c r="AD171" s="28">
        <f>[1]!thsiFinD("ths_ps_ttm_uss",AD$6,$A171,100)</f>
        <v>0.49497042216553</v>
      </c>
      <c r="AE171" s="28">
        <f>[1]!thsiFinD("ths_ps_ttm_uss",AE$6,$A171,100)</f>
        <v>1.2869165426445</v>
      </c>
      <c r="AJ171" s="44">
        <f>[1]!thsiFinD("ths_right_value_usk",AJ$6,$A171,"USD")/1000000</f>
        <v>112907.5765025</v>
      </c>
      <c r="AK171" s="44">
        <f>[1]!thsiFinD("ths_right_value_usk",AK$6,$A171,"USD")/1000000</f>
        <v>503065.68609406002</v>
      </c>
      <c r="AL171" s="44">
        <f>[1]!thsiFinD("ths_right_value_usk",AL$6,$A171,"USD")/1000000</f>
        <v>317371.27411914</v>
      </c>
      <c r="AM171" s="44">
        <f>[1]!thsiFinD("ths_right_value_usk",AM$6,$A171,"USD")/1000000</f>
        <v>59902.8696528</v>
      </c>
      <c r="AN171" s="44">
        <f>[1]!thsiFinD("ths_right_value_usk",AN$6,$A171,"USD")/1000000</f>
        <v>95477.319583619988</v>
      </c>
      <c r="AO171" s="44">
        <f>[1]!thsiFinD("ths_right_value_usk",AO$6,$A171,"USD")/1000000</f>
        <v>22482.432000000001</v>
      </c>
      <c r="AP171" s="44">
        <f>[1]!thsiFinD("ths_ev2_usk",AP$6,$A171,"USD")/1000000</f>
        <v>131129.57650249999</v>
      </c>
      <c r="AQ171" s="44">
        <f>[1]!thsiFinD("ths_ev2_usk",AQ$6,$A171,"USD")/1000000</f>
        <v>540094.68609405996</v>
      </c>
      <c r="AR171" s="44">
        <f>[1]!thsiFinD("ths_ev2_usk",AR$6,$A171,"USD")/1000000</f>
        <v>356947.27411914</v>
      </c>
      <c r="AS171" s="44">
        <f>[1]!thsiFinD("ths_ev2_usk",AS$6,$A171,"USD")/1000000</f>
        <v>64066.8696528</v>
      </c>
      <c r="AT171" s="44">
        <f>[1]!thsiFinD("ths_ev2_usk",AT$6,$A171,"USD")/1000000</f>
        <v>140157.31958362</v>
      </c>
      <c r="AU171" s="44">
        <f>[1]!thsiFinD("ths_ev2_usk",AU$6,$A171,"USD")/1000000</f>
        <v>29595.432000000001</v>
      </c>
    </row>
    <row r="172" spans="1:47" x14ac:dyDescent="0.45">
      <c r="A172" s="3"/>
      <c r="B172" s="13"/>
      <c r="H172" s="23">
        <f>[1]!thsiFinD("ths_pe_ttm_uss",B$6,$A172,100)</f>
        <v>12.763687147016</v>
      </c>
      <c r="I172" s="23">
        <f>[1]!thsiFinD("ths_pe_ttm_uss",C$6,$A172,100)</f>
        <v>16.795168633995001</v>
      </c>
      <c r="J172" s="23">
        <f>[1]!thsiFinD("ths_pe_ttm_uss",D$6,$A172,100)</f>
        <v>24.856772722363999</v>
      </c>
      <c r="K172" s="23">
        <f>[1]!thsiFinD("ths_pe_ttm_uss",E$6,$A172,100)</f>
        <v>10.832345326004001</v>
      </c>
      <c r="L172" s="23">
        <f>[1]!thsiFinD("ths_pe_ttm_uss",F$6,$A172,100)</f>
        <v>62.896784969446998</v>
      </c>
      <c r="M172" s="23">
        <f>[1]!thsiFinD("ths_pe_ttm_uss",G$6,$A172,100)</f>
        <v>8.2686399411548006</v>
      </c>
      <c r="N172" s="26">
        <f>[1]!thsiFinD("ths_ev2_to_ebitda_usk",N$6,$A172)</f>
        <v>5.6348922049976</v>
      </c>
      <c r="O172" s="26">
        <f>[1]!thsiFinD("ths_ev2_to_ebitda_usk",O$6,$A172)</f>
        <v>7.3671711761407996</v>
      </c>
      <c r="P172" s="26">
        <f>[1]!thsiFinD("ths_ev2_to_ebitda_usk",P$6,$A172)</f>
        <v>7.9697078261841998</v>
      </c>
      <c r="Q172" s="26">
        <f>[1]!thsiFinD("ths_ev2_to_ebitda_usk",Q$6,$A172)</f>
        <v>5.1401532134787997</v>
      </c>
      <c r="R172" s="26">
        <f>[1]!thsiFinD("ths_ev2_to_ebitda_usk",R$6,$A172)</f>
        <v>4.9901135608509</v>
      </c>
      <c r="S172" s="26">
        <f>[1]!thsiFinD("ths_ev2_to_ebitda_usk",S$6,$A172)</f>
        <v>4.0375759890858998</v>
      </c>
      <c r="T172" s="27">
        <f>[1]!thsiFinD("ths_pb_mrq_usk",T$6,$A172)</f>
        <v>1.7390998028819</v>
      </c>
      <c r="U172" s="27">
        <f>[1]!thsiFinD("ths_pb_mrq_usk",U$6,$A172)</f>
        <v>1.9307021622348</v>
      </c>
      <c r="V172" s="27">
        <f>[1]!thsiFinD("ths_pb_mrq_usk",V$6,$A172)</f>
        <v>1.6717565257561999</v>
      </c>
      <c r="W172" s="27">
        <f>[1]!thsiFinD("ths_pb_mrq_usk",W$6,$A172)</f>
        <v>1.9779715916394001</v>
      </c>
      <c r="X172" s="27">
        <f>[1]!thsiFinD("ths_pb_mrq_usk",X$6,$A172)</f>
        <v>1.639264466445</v>
      </c>
      <c r="Y172" s="27">
        <f>[1]!thsiFinD("ths_pb_mrq_usk",Y$6,$A172)</f>
        <v>1.4646535504886</v>
      </c>
      <c r="Z172" s="28">
        <f>[1]!thsiFinD("ths_ps_ttm_uss",Z$6,$A172,100)</f>
        <v>1.8181574316022999</v>
      </c>
      <c r="AA172" s="28">
        <f>[1]!thsiFinD("ths_ps_ttm_uss",AA$6,$A172,100)</f>
        <v>1.5090944398602999</v>
      </c>
      <c r="AB172" s="28">
        <f>[1]!thsiFinD("ths_ps_ttm_uss",AB$6,$A172,100)</f>
        <v>1.6327026613257001</v>
      </c>
      <c r="AC172" s="28">
        <f>[1]!thsiFinD("ths_ps_ttm_uss",AC$6,$A172,100)</f>
        <v>2.6530346628636998</v>
      </c>
      <c r="AD172" s="28">
        <f>[1]!thsiFinD("ths_ps_ttm_uss",AD$6,$A172,100)</f>
        <v>0.49497042216553</v>
      </c>
      <c r="AE172" s="28">
        <f>[1]!thsiFinD("ths_ps_ttm_uss",AE$6,$A172,100)</f>
        <v>1.2869165426445</v>
      </c>
      <c r="AJ172" s="44">
        <f>[1]!thsiFinD("ths_right_value_usk",AJ$6,$A172,"USD")/1000000</f>
        <v>112907.5765025</v>
      </c>
      <c r="AK172" s="44">
        <f>[1]!thsiFinD("ths_right_value_usk",AK$6,$A172,"USD")/1000000</f>
        <v>503065.68609406002</v>
      </c>
      <c r="AL172" s="44">
        <f>[1]!thsiFinD("ths_right_value_usk",AL$6,$A172,"USD")/1000000</f>
        <v>317371.27411914</v>
      </c>
      <c r="AM172" s="44">
        <f>[1]!thsiFinD("ths_right_value_usk",AM$6,$A172,"USD")/1000000</f>
        <v>59902.8696528</v>
      </c>
      <c r="AN172" s="44">
        <f>[1]!thsiFinD("ths_right_value_usk",AN$6,$A172,"USD")/1000000</f>
        <v>95477.319583619988</v>
      </c>
      <c r="AO172" s="44">
        <f>[1]!thsiFinD("ths_right_value_usk",AO$6,$A172,"USD")/1000000</f>
        <v>22482.432000000001</v>
      </c>
      <c r="AP172" s="44">
        <f>[1]!thsiFinD("ths_ev2_usk",AP$6,$A172,"USD")/1000000</f>
        <v>131129.57650249999</v>
      </c>
      <c r="AQ172" s="44">
        <f>[1]!thsiFinD("ths_ev2_usk",AQ$6,$A172,"USD")/1000000</f>
        <v>540094.68609405996</v>
      </c>
      <c r="AR172" s="44">
        <f>[1]!thsiFinD("ths_ev2_usk",AR$6,$A172,"USD")/1000000</f>
        <v>356947.27411914</v>
      </c>
      <c r="AS172" s="44">
        <f>[1]!thsiFinD("ths_ev2_usk",AS$6,$A172,"USD")/1000000</f>
        <v>64066.8696528</v>
      </c>
      <c r="AT172" s="44">
        <f>[1]!thsiFinD("ths_ev2_usk",AT$6,$A172,"USD")/1000000</f>
        <v>140157.31958362</v>
      </c>
      <c r="AU172" s="44">
        <f>[1]!thsiFinD("ths_ev2_usk",AU$6,$A172,"USD")/1000000</f>
        <v>29595.432000000001</v>
      </c>
    </row>
    <row r="173" spans="1:47" x14ac:dyDescent="0.45">
      <c r="A173" s="3"/>
      <c r="B173" s="13"/>
      <c r="H173" s="23">
        <f>[1]!thsiFinD("ths_pe_ttm_uss",B$6,$A173,100)</f>
        <v>12.763687147016</v>
      </c>
      <c r="I173" s="23">
        <f>[1]!thsiFinD("ths_pe_ttm_uss",C$6,$A173,100)</f>
        <v>16.795168633995001</v>
      </c>
      <c r="J173" s="23">
        <f>[1]!thsiFinD("ths_pe_ttm_uss",D$6,$A173,100)</f>
        <v>24.856772722363999</v>
      </c>
      <c r="K173" s="23">
        <f>[1]!thsiFinD("ths_pe_ttm_uss",E$6,$A173,100)</f>
        <v>10.832345326004001</v>
      </c>
      <c r="L173" s="23">
        <f>[1]!thsiFinD("ths_pe_ttm_uss",F$6,$A173,100)</f>
        <v>62.896784969446998</v>
      </c>
      <c r="M173" s="23">
        <f>[1]!thsiFinD("ths_pe_ttm_uss",G$6,$A173,100)</f>
        <v>8.2686399411548006</v>
      </c>
      <c r="N173" s="26">
        <f>[1]!thsiFinD("ths_ev2_to_ebitda_usk",N$6,$A173)</f>
        <v>5.6348922049976</v>
      </c>
      <c r="O173" s="26">
        <f>[1]!thsiFinD("ths_ev2_to_ebitda_usk",O$6,$A173)</f>
        <v>7.3671711761407996</v>
      </c>
      <c r="P173" s="26">
        <f>[1]!thsiFinD("ths_ev2_to_ebitda_usk",P$6,$A173)</f>
        <v>7.9697078261841998</v>
      </c>
      <c r="Q173" s="26">
        <f>[1]!thsiFinD("ths_ev2_to_ebitda_usk",Q$6,$A173)</f>
        <v>5.1401532134787997</v>
      </c>
      <c r="R173" s="26">
        <f>[1]!thsiFinD("ths_ev2_to_ebitda_usk",R$6,$A173)</f>
        <v>4.9901135608509</v>
      </c>
      <c r="S173" s="26">
        <f>[1]!thsiFinD("ths_ev2_to_ebitda_usk",S$6,$A173)</f>
        <v>4.0375759890858998</v>
      </c>
      <c r="T173" s="27">
        <f>[1]!thsiFinD("ths_pb_mrq_usk",T$6,$A173)</f>
        <v>1.7390998028819</v>
      </c>
      <c r="U173" s="27">
        <f>[1]!thsiFinD("ths_pb_mrq_usk",U$6,$A173)</f>
        <v>1.9307021622348</v>
      </c>
      <c r="V173" s="27">
        <f>[1]!thsiFinD("ths_pb_mrq_usk",V$6,$A173)</f>
        <v>1.6717565257561999</v>
      </c>
      <c r="W173" s="27">
        <f>[1]!thsiFinD("ths_pb_mrq_usk",W$6,$A173)</f>
        <v>1.9779715916394001</v>
      </c>
      <c r="X173" s="27">
        <f>[1]!thsiFinD("ths_pb_mrq_usk",X$6,$A173)</f>
        <v>1.639264466445</v>
      </c>
      <c r="Y173" s="27">
        <f>[1]!thsiFinD("ths_pb_mrq_usk",Y$6,$A173)</f>
        <v>1.4646535504886</v>
      </c>
      <c r="Z173" s="28">
        <f>[1]!thsiFinD("ths_ps_ttm_uss",Z$6,$A173,100)</f>
        <v>1.8181574316022999</v>
      </c>
      <c r="AA173" s="28">
        <f>[1]!thsiFinD("ths_ps_ttm_uss",AA$6,$A173,100)</f>
        <v>1.5090944398602999</v>
      </c>
      <c r="AB173" s="28">
        <f>[1]!thsiFinD("ths_ps_ttm_uss",AB$6,$A173,100)</f>
        <v>1.6327026613257001</v>
      </c>
      <c r="AC173" s="28">
        <f>[1]!thsiFinD("ths_ps_ttm_uss",AC$6,$A173,100)</f>
        <v>2.6530346628636998</v>
      </c>
      <c r="AD173" s="28">
        <f>[1]!thsiFinD("ths_ps_ttm_uss",AD$6,$A173,100)</f>
        <v>0.49497042216553</v>
      </c>
      <c r="AE173" s="28">
        <f>[1]!thsiFinD("ths_ps_ttm_uss",AE$6,$A173,100)</f>
        <v>1.2869165426445</v>
      </c>
      <c r="AJ173" s="44">
        <f>[1]!thsiFinD("ths_right_value_usk",AJ$6,$A173,"USD")/1000000</f>
        <v>112907.5765025</v>
      </c>
      <c r="AK173" s="44">
        <f>[1]!thsiFinD("ths_right_value_usk",AK$6,$A173,"USD")/1000000</f>
        <v>503065.68609406002</v>
      </c>
      <c r="AL173" s="44">
        <f>[1]!thsiFinD("ths_right_value_usk",AL$6,$A173,"USD")/1000000</f>
        <v>317371.27411914</v>
      </c>
      <c r="AM173" s="44">
        <f>[1]!thsiFinD("ths_right_value_usk",AM$6,$A173,"USD")/1000000</f>
        <v>59902.8696528</v>
      </c>
      <c r="AN173" s="44">
        <f>[1]!thsiFinD("ths_right_value_usk",AN$6,$A173,"USD")/1000000</f>
        <v>95477.319583619988</v>
      </c>
      <c r="AO173" s="44">
        <f>[1]!thsiFinD("ths_right_value_usk",AO$6,$A173,"USD")/1000000</f>
        <v>22482.432000000001</v>
      </c>
      <c r="AP173" s="44">
        <f>[1]!thsiFinD("ths_ev2_usk",AP$6,$A173,"USD")/1000000</f>
        <v>131129.57650249999</v>
      </c>
      <c r="AQ173" s="44">
        <f>[1]!thsiFinD("ths_ev2_usk",AQ$6,$A173,"USD")/1000000</f>
        <v>540094.68609405996</v>
      </c>
      <c r="AR173" s="44">
        <f>[1]!thsiFinD("ths_ev2_usk",AR$6,$A173,"USD")/1000000</f>
        <v>356947.27411914</v>
      </c>
      <c r="AS173" s="44">
        <f>[1]!thsiFinD("ths_ev2_usk",AS$6,$A173,"USD")/1000000</f>
        <v>64066.8696528</v>
      </c>
      <c r="AT173" s="44">
        <f>[1]!thsiFinD("ths_ev2_usk",AT$6,$A173,"USD")/1000000</f>
        <v>140157.31958362</v>
      </c>
      <c r="AU173" s="44">
        <f>[1]!thsiFinD("ths_ev2_usk",AU$6,$A173,"USD")/1000000</f>
        <v>29595.432000000001</v>
      </c>
    </row>
    <row r="174" spans="1:47" x14ac:dyDescent="0.45">
      <c r="A174" s="3"/>
      <c r="B174" s="13"/>
      <c r="H174" s="23">
        <f>[1]!thsiFinD("ths_pe_ttm_uss",B$6,$A174,100)</f>
        <v>12.763687147016</v>
      </c>
      <c r="I174" s="23">
        <f>[1]!thsiFinD("ths_pe_ttm_uss",C$6,$A174,100)</f>
        <v>16.795168633995001</v>
      </c>
      <c r="J174" s="23">
        <f>[1]!thsiFinD("ths_pe_ttm_uss",D$6,$A174,100)</f>
        <v>24.856772722363999</v>
      </c>
      <c r="K174" s="23">
        <f>[1]!thsiFinD("ths_pe_ttm_uss",E$6,$A174,100)</f>
        <v>10.832345326004001</v>
      </c>
      <c r="L174" s="23">
        <f>[1]!thsiFinD("ths_pe_ttm_uss",F$6,$A174,100)</f>
        <v>62.896784969446998</v>
      </c>
      <c r="M174" s="23">
        <f>[1]!thsiFinD("ths_pe_ttm_uss",G$6,$A174,100)</f>
        <v>8.2686399411548006</v>
      </c>
      <c r="N174" s="26">
        <f>[1]!thsiFinD("ths_ev2_to_ebitda_usk",N$6,$A174)</f>
        <v>5.6348922049976</v>
      </c>
      <c r="O174" s="26">
        <f>[1]!thsiFinD("ths_ev2_to_ebitda_usk",O$6,$A174)</f>
        <v>7.3671711761407996</v>
      </c>
      <c r="P174" s="26">
        <f>[1]!thsiFinD("ths_ev2_to_ebitda_usk",P$6,$A174)</f>
        <v>7.9697078261841998</v>
      </c>
      <c r="Q174" s="26">
        <f>[1]!thsiFinD("ths_ev2_to_ebitda_usk",Q$6,$A174)</f>
        <v>5.1401532134787997</v>
      </c>
      <c r="R174" s="26">
        <f>[1]!thsiFinD("ths_ev2_to_ebitda_usk",R$6,$A174)</f>
        <v>4.9901135608509</v>
      </c>
      <c r="S174" s="26">
        <f>[1]!thsiFinD("ths_ev2_to_ebitda_usk",S$6,$A174)</f>
        <v>4.0375759890858998</v>
      </c>
      <c r="T174" s="27">
        <f>[1]!thsiFinD("ths_pb_mrq_usk",T$6,$A174)</f>
        <v>1.7390998028819</v>
      </c>
      <c r="U174" s="27">
        <f>[1]!thsiFinD("ths_pb_mrq_usk",U$6,$A174)</f>
        <v>1.9307021622348</v>
      </c>
      <c r="V174" s="27">
        <f>[1]!thsiFinD("ths_pb_mrq_usk",V$6,$A174)</f>
        <v>1.6717565257561999</v>
      </c>
      <c r="W174" s="27">
        <f>[1]!thsiFinD("ths_pb_mrq_usk",W$6,$A174)</f>
        <v>1.9779715916394001</v>
      </c>
      <c r="X174" s="27">
        <f>[1]!thsiFinD("ths_pb_mrq_usk",X$6,$A174)</f>
        <v>1.639264466445</v>
      </c>
      <c r="Y174" s="27">
        <f>[1]!thsiFinD("ths_pb_mrq_usk",Y$6,$A174)</f>
        <v>1.4646535504886</v>
      </c>
      <c r="Z174" s="28">
        <f>[1]!thsiFinD("ths_ps_ttm_uss",Z$6,$A174,100)</f>
        <v>1.8181574316022999</v>
      </c>
      <c r="AA174" s="28">
        <f>[1]!thsiFinD("ths_ps_ttm_uss",AA$6,$A174,100)</f>
        <v>1.5090944398602999</v>
      </c>
      <c r="AB174" s="28">
        <f>[1]!thsiFinD("ths_ps_ttm_uss",AB$6,$A174,100)</f>
        <v>1.6327026613257001</v>
      </c>
      <c r="AC174" s="28">
        <f>[1]!thsiFinD("ths_ps_ttm_uss",AC$6,$A174,100)</f>
        <v>2.6530346628636998</v>
      </c>
      <c r="AD174" s="28">
        <f>[1]!thsiFinD("ths_ps_ttm_uss",AD$6,$A174,100)</f>
        <v>0.49497042216553</v>
      </c>
      <c r="AE174" s="28">
        <f>[1]!thsiFinD("ths_ps_ttm_uss",AE$6,$A174,100)</f>
        <v>1.2869165426445</v>
      </c>
      <c r="AJ174" s="44">
        <f>[1]!thsiFinD("ths_right_value_usk",AJ$6,$A174,"USD")/1000000</f>
        <v>112907.5765025</v>
      </c>
      <c r="AK174" s="44">
        <f>[1]!thsiFinD("ths_right_value_usk",AK$6,$A174,"USD")/1000000</f>
        <v>503065.68609406002</v>
      </c>
      <c r="AL174" s="44">
        <f>[1]!thsiFinD("ths_right_value_usk",AL$6,$A174,"USD")/1000000</f>
        <v>317371.27411914</v>
      </c>
      <c r="AM174" s="44">
        <f>[1]!thsiFinD("ths_right_value_usk",AM$6,$A174,"USD")/1000000</f>
        <v>59902.8696528</v>
      </c>
      <c r="AN174" s="44">
        <f>[1]!thsiFinD("ths_right_value_usk",AN$6,$A174,"USD")/1000000</f>
        <v>95477.319583619988</v>
      </c>
      <c r="AO174" s="44">
        <f>[1]!thsiFinD("ths_right_value_usk",AO$6,$A174,"USD")/1000000</f>
        <v>22482.432000000001</v>
      </c>
      <c r="AP174" s="44">
        <f>[1]!thsiFinD("ths_ev2_usk",AP$6,$A174,"USD")/1000000</f>
        <v>131129.57650249999</v>
      </c>
      <c r="AQ174" s="44">
        <f>[1]!thsiFinD("ths_ev2_usk",AQ$6,$A174,"USD")/1000000</f>
        <v>540094.68609405996</v>
      </c>
      <c r="AR174" s="44">
        <f>[1]!thsiFinD("ths_ev2_usk",AR$6,$A174,"USD")/1000000</f>
        <v>356947.27411914</v>
      </c>
      <c r="AS174" s="44">
        <f>[1]!thsiFinD("ths_ev2_usk",AS$6,$A174,"USD")/1000000</f>
        <v>64066.8696528</v>
      </c>
      <c r="AT174" s="44">
        <f>[1]!thsiFinD("ths_ev2_usk",AT$6,$A174,"USD")/1000000</f>
        <v>140157.31958362</v>
      </c>
      <c r="AU174" s="44">
        <f>[1]!thsiFinD("ths_ev2_usk",AU$6,$A174,"USD")/1000000</f>
        <v>29595.432000000001</v>
      </c>
    </row>
    <row r="175" spans="1:47" x14ac:dyDescent="0.45">
      <c r="A175" s="3"/>
      <c r="B175" s="13"/>
      <c r="H175" s="23">
        <f>[1]!thsiFinD("ths_pe_ttm_uss",B$6,$A175,100)</f>
        <v>12.763687147016</v>
      </c>
      <c r="I175" s="23">
        <f>[1]!thsiFinD("ths_pe_ttm_uss",C$6,$A175,100)</f>
        <v>16.795168633995001</v>
      </c>
      <c r="J175" s="23">
        <f>[1]!thsiFinD("ths_pe_ttm_uss",D$6,$A175,100)</f>
        <v>24.856772722363999</v>
      </c>
      <c r="K175" s="23">
        <f>[1]!thsiFinD("ths_pe_ttm_uss",E$6,$A175,100)</f>
        <v>10.832345326004001</v>
      </c>
      <c r="L175" s="23">
        <f>[1]!thsiFinD("ths_pe_ttm_uss",F$6,$A175,100)</f>
        <v>62.896784969446998</v>
      </c>
      <c r="M175" s="23">
        <f>[1]!thsiFinD("ths_pe_ttm_uss",G$6,$A175,100)</f>
        <v>8.2686399411548006</v>
      </c>
      <c r="N175" s="26">
        <f>[1]!thsiFinD("ths_ev2_to_ebitda_usk",N$6,$A175)</f>
        <v>5.6348922049976</v>
      </c>
      <c r="O175" s="26">
        <f>[1]!thsiFinD("ths_ev2_to_ebitda_usk",O$6,$A175)</f>
        <v>7.3671711761407996</v>
      </c>
      <c r="P175" s="26">
        <f>[1]!thsiFinD("ths_ev2_to_ebitda_usk",P$6,$A175)</f>
        <v>7.9697078261841998</v>
      </c>
      <c r="Q175" s="26">
        <f>[1]!thsiFinD("ths_ev2_to_ebitda_usk",Q$6,$A175)</f>
        <v>5.1401532134787997</v>
      </c>
      <c r="R175" s="26">
        <f>[1]!thsiFinD("ths_ev2_to_ebitda_usk",R$6,$A175)</f>
        <v>4.9901135608509</v>
      </c>
      <c r="S175" s="26">
        <f>[1]!thsiFinD("ths_ev2_to_ebitda_usk",S$6,$A175)</f>
        <v>4.0375759890858998</v>
      </c>
      <c r="T175" s="27">
        <f>[1]!thsiFinD("ths_pb_mrq_usk",T$6,$A175)</f>
        <v>1.7390998028819</v>
      </c>
      <c r="U175" s="27">
        <f>[1]!thsiFinD("ths_pb_mrq_usk",U$6,$A175)</f>
        <v>1.9307021622348</v>
      </c>
      <c r="V175" s="27">
        <f>[1]!thsiFinD("ths_pb_mrq_usk",V$6,$A175)</f>
        <v>1.6717565257561999</v>
      </c>
      <c r="W175" s="27">
        <f>[1]!thsiFinD("ths_pb_mrq_usk",W$6,$A175)</f>
        <v>1.9779715916394001</v>
      </c>
      <c r="X175" s="27">
        <f>[1]!thsiFinD("ths_pb_mrq_usk",X$6,$A175)</f>
        <v>1.639264466445</v>
      </c>
      <c r="Y175" s="27">
        <f>[1]!thsiFinD("ths_pb_mrq_usk",Y$6,$A175)</f>
        <v>1.4646535504886</v>
      </c>
      <c r="Z175" s="28">
        <f>[1]!thsiFinD("ths_ps_ttm_uss",Z$6,$A175,100)</f>
        <v>1.8181574316022999</v>
      </c>
      <c r="AA175" s="28">
        <f>[1]!thsiFinD("ths_ps_ttm_uss",AA$6,$A175,100)</f>
        <v>1.5090944398602999</v>
      </c>
      <c r="AB175" s="28">
        <f>[1]!thsiFinD("ths_ps_ttm_uss",AB$6,$A175,100)</f>
        <v>1.6327026613257001</v>
      </c>
      <c r="AC175" s="28">
        <f>[1]!thsiFinD("ths_ps_ttm_uss",AC$6,$A175,100)</f>
        <v>2.6530346628636998</v>
      </c>
      <c r="AD175" s="28">
        <f>[1]!thsiFinD("ths_ps_ttm_uss",AD$6,$A175,100)</f>
        <v>0.49497042216553</v>
      </c>
      <c r="AE175" s="28">
        <f>[1]!thsiFinD("ths_ps_ttm_uss",AE$6,$A175,100)</f>
        <v>1.2869165426445</v>
      </c>
      <c r="AJ175" s="44">
        <f>[1]!thsiFinD("ths_right_value_usk",AJ$6,$A175,"USD")/1000000</f>
        <v>112907.5765025</v>
      </c>
      <c r="AK175" s="44">
        <f>[1]!thsiFinD("ths_right_value_usk",AK$6,$A175,"USD")/1000000</f>
        <v>503065.68609406002</v>
      </c>
      <c r="AL175" s="44">
        <f>[1]!thsiFinD("ths_right_value_usk",AL$6,$A175,"USD")/1000000</f>
        <v>317371.27411914</v>
      </c>
      <c r="AM175" s="44">
        <f>[1]!thsiFinD("ths_right_value_usk",AM$6,$A175,"USD")/1000000</f>
        <v>59902.8696528</v>
      </c>
      <c r="AN175" s="44">
        <f>[1]!thsiFinD("ths_right_value_usk",AN$6,$A175,"USD")/1000000</f>
        <v>95477.319583619988</v>
      </c>
      <c r="AO175" s="44">
        <f>[1]!thsiFinD("ths_right_value_usk",AO$6,$A175,"USD")/1000000</f>
        <v>22482.432000000001</v>
      </c>
      <c r="AP175" s="44">
        <f>[1]!thsiFinD("ths_ev2_usk",AP$6,$A175,"USD")/1000000</f>
        <v>131129.57650249999</v>
      </c>
      <c r="AQ175" s="44">
        <f>[1]!thsiFinD("ths_ev2_usk",AQ$6,$A175,"USD")/1000000</f>
        <v>540094.68609405996</v>
      </c>
      <c r="AR175" s="44">
        <f>[1]!thsiFinD("ths_ev2_usk",AR$6,$A175,"USD")/1000000</f>
        <v>356947.27411914</v>
      </c>
      <c r="AS175" s="44">
        <f>[1]!thsiFinD("ths_ev2_usk",AS$6,$A175,"USD")/1000000</f>
        <v>64066.8696528</v>
      </c>
      <c r="AT175" s="44">
        <f>[1]!thsiFinD("ths_ev2_usk",AT$6,$A175,"USD")/1000000</f>
        <v>140157.31958362</v>
      </c>
      <c r="AU175" s="44">
        <f>[1]!thsiFinD("ths_ev2_usk",AU$6,$A175,"USD")/1000000</f>
        <v>29595.432000000001</v>
      </c>
    </row>
    <row r="176" spans="1:47" x14ac:dyDescent="0.45">
      <c r="A176" s="3"/>
      <c r="B176" s="13"/>
      <c r="H176" s="23">
        <f>[1]!thsiFinD("ths_pe_ttm_uss",B$6,$A176,100)</f>
        <v>12.763687147016</v>
      </c>
      <c r="I176" s="23">
        <f>[1]!thsiFinD("ths_pe_ttm_uss",C$6,$A176,100)</f>
        <v>16.795168633995001</v>
      </c>
      <c r="J176" s="23">
        <f>[1]!thsiFinD("ths_pe_ttm_uss",D$6,$A176,100)</f>
        <v>24.856772722363999</v>
      </c>
      <c r="K176" s="23">
        <f>[1]!thsiFinD("ths_pe_ttm_uss",E$6,$A176,100)</f>
        <v>10.832345326004001</v>
      </c>
      <c r="L176" s="23">
        <f>[1]!thsiFinD("ths_pe_ttm_uss",F$6,$A176,100)</f>
        <v>62.896784969446998</v>
      </c>
      <c r="M176" s="23">
        <f>[1]!thsiFinD("ths_pe_ttm_uss",G$6,$A176,100)</f>
        <v>8.2686399411548006</v>
      </c>
      <c r="N176" s="26">
        <f>[1]!thsiFinD("ths_ev2_to_ebitda_usk",N$6,$A176)</f>
        <v>5.6348922049976</v>
      </c>
      <c r="O176" s="26">
        <f>[1]!thsiFinD("ths_ev2_to_ebitda_usk",O$6,$A176)</f>
        <v>7.3671711761407996</v>
      </c>
      <c r="P176" s="26">
        <f>[1]!thsiFinD("ths_ev2_to_ebitda_usk",P$6,$A176)</f>
        <v>7.9697078261841998</v>
      </c>
      <c r="Q176" s="26">
        <f>[1]!thsiFinD("ths_ev2_to_ebitda_usk",Q$6,$A176)</f>
        <v>5.1401532134787997</v>
      </c>
      <c r="R176" s="26">
        <f>[1]!thsiFinD("ths_ev2_to_ebitda_usk",R$6,$A176)</f>
        <v>4.9901135608509</v>
      </c>
      <c r="S176" s="26">
        <f>[1]!thsiFinD("ths_ev2_to_ebitda_usk",S$6,$A176)</f>
        <v>4.0375759890858998</v>
      </c>
      <c r="T176" s="27">
        <f>[1]!thsiFinD("ths_pb_mrq_usk",T$6,$A176)</f>
        <v>1.7390998028819</v>
      </c>
      <c r="U176" s="27">
        <f>[1]!thsiFinD("ths_pb_mrq_usk",U$6,$A176)</f>
        <v>1.9307021622348</v>
      </c>
      <c r="V176" s="27">
        <f>[1]!thsiFinD("ths_pb_mrq_usk",V$6,$A176)</f>
        <v>1.6717565257561999</v>
      </c>
      <c r="W176" s="27">
        <f>[1]!thsiFinD("ths_pb_mrq_usk",W$6,$A176)</f>
        <v>1.9779715916394001</v>
      </c>
      <c r="X176" s="27">
        <f>[1]!thsiFinD("ths_pb_mrq_usk",X$6,$A176)</f>
        <v>1.639264466445</v>
      </c>
      <c r="Y176" s="27">
        <f>[1]!thsiFinD("ths_pb_mrq_usk",Y$6,$A176)</f>
        <v>1.4646535504886</v>
      </c>
      <c r="Z176" s="28">
        <f>[1]!thsiFinD("ths_ps_ttm_uss",Z$6,$A176,100)</f>
        <v>1.8181574316022999</v>
      </c>
      <c r="AA176" s="28">
        <f>[1]!thsiFinD("ths_ps_ttm_uss",AA$6,$A176,100)</f>
        <v>1.5090944398602999</v>
      </c>
      <c r="AB176" s="28">
        <f>[1]!thsiFinD("ths_ps_ttm_uss",AB$6,$A176,100)</f>
        <v>1.6327026613257001</v>
      </c>
      <c r="AC176" s="28">
        <f>[1]!thsiFinD("ths_ps_ttm_uss",AC$6,$A176,100)</f>
        <v>2.6530346628636998</v>
      </c>
      <c r="AD176" s="28">
        <f>[1]!thsiFinD("ths_ps_ttm_uss",AD$6,$A176,100)</f>
        <v>0.49497042216553</v>
      </c>
      <c r="AE176" s="28">
        <f>[1]!thsiFinD("ths_ps_ttm_uss",AE$6,$A176,100)</f>
        <v>1.2869165426445</v>
      </c>
      <c r="AJ176" s="44">
        <f>[1]!thsiFinD("ths_right_value_usk",AJ$6,$A176,"USD")/1000000</f>
        <v>112907.5765025</v>
      </c>
      <c r="AK176" s="44">
        <f>[1]!thsiFinD("ths_right_value_usk",AK$6,$A176,"USD")/1000000</f>
        <v>503065.68609406002</v>
      </c>
      <c r="AL176" s="44">
        <f>[1]!thsiFinD("ths_right_value_usk",AL$6,$A176,"USD")/1000000</f>
        <v>317371.27411914</v>
      </c>
      <c r="AM176" s="44">
        <f>[1]!thsiFinD("ths_right_value_usk",AM$6,$A176,"USD")/1000000</f>
        <v>59902.8696528</v>
      </c>
      <c r="AN176" s="44">
        <f>[1]!thsiFinD("ths_right_value_usk",AN$6,$A176,"USD")/1000000</f>
        <v>95477.319583619988</v>
      </c>
      <c r="AO176" s="44">
        <f>[1]!thsiFinD("ths_right_value_usk",AO$6,$A176,"USD")/1000000</f>
        <v>22482.432000000001</v>
      </c>
      <c r="AP176" s="44">
        <f>[1]!thsiFinD("ths_ev2_usk",AP$6,$A176,"USD")/1000000</f>
        <v>131129.57650249999</v>
      </c>
      <c r="AQ176" s="44">
        <f>[1]!thsiFinD("ths_ev2_usk",AQ$6,$A176,"USD")/1000000</f>
        <v>540094.68609405996</v>
      </c>
      <c r="AR176" s="44">
        <f>[1]!thsiFinD("ths_ev2_usk",AR$6,$A176,"USD")/1000000</f>
        <v>356947.27411914</v>
      </c>
      <c r="AS176" s="44">
        <f>[1]!thsiFinD("ths_ev2_usk",AS$6,$A176,"USD")/1000000</f>
        <v>64066.8696528</v>
      </c>
      <c r="AT176" s="44">
        <f>[1]!thsiFinD("ths_ev2_usk",AT$6,$A176,"USD")/1000000</f>
        <v>140157.31958362</v>
      </c>
      <c r="AU176" s="44">
        <f>[1]!thsiFinD("ths_ev2_usk",AU$6,$A176,"USD")/1000000</f>
        <v>29595.432000000001</v>
      </c>
    </row>
    <row r="177" spans="1:47" x14ac:dyDescent="0.45">
      <c r="A177" s="3"/>
      <c r="B177" s="13"/>
      <c r="H177" s="23">
        <f>[1]!thsiFinD("ths_pe_ttm_uss",B$6,$A177,100)</f>
        <v>12.763687147016</v>
      </c>
      <c r="I177" s="23">
        <f>[1]!thsiFinD("ths_pe_ttm_uss",C$6,$A177,100)</f>
        <v>16.795168633995001</v>
      </c>
      <c r="J177" s="23">
        <f>[1]!thsiFinD("ths_pe_ttm_uss",D$6,$A177,100)</f>
        <v>24.856772722363999</v>
      </c>
      <c r="K177" s="23">
        <f>[1]!thsiFinD("ths_pe_ttm_uss",E$6,$A177,100)</f>
        <v>10.832345326004001</v>
      </c>
      <c r="L177" s="23">
        <f>[1]!thsiFinD("ths_pe_ttm_uss",F$6,$A177,100)</f>
        <v>62.896784969446998</v>
      </c>
      <c r="M177" s="23">
        <f>[1]!thsiFinD("ths_pe_ttm_uss",G$6,$A177,100)</f>
        <v>8.2686399411548006</v>
      </c>
      <c r="N177" s="26">
        <f>[1]!thsiFinD("ths_ev2_to_ebitda_usk",N$6,$A177)</f>
        <v>5.6348922049976</v>
      </c>
      <c r="O177" s="26">
        <f>[1]!thsiFinD("ths_ev2_to_ebitda_usk",O$6,$A177)</f>
        <v>7.3671711761407996</v>
      </c>
      <c r="P177" s="26">
        <f>[1]!thsiFinD("ths_ev2_to_ebitda_usk",P$6,$A177)</f>
        <v>7.9697078261841998</v>
      </c>
      <c r="Q177" s="26">
        <f>[1]!thsiFinD("ths_ev2_to_ebitda_usk",Q$6,$A177)</f>
        <v>5.1401532134787997</v>
      </c>
      <c r="R177" s="26">
        <f>[1]!thsiFinD("ths_ev2_to_ebitda_usk",R$6,$A177)</f>
        <v>4.9901135608509</v>
      </c>
      <c r="S177" s="26">
        <f>[1]!thsiFinD("ths_ev2_to_ebitda_usk",S$6,$A177)</f>
        <v>4.0375759890858998</v>
      </c>
      <c r="T177" s="27">
        <f>[1]!thsiFinD("ths_pb_mrq_usk",T$6,$A177)</f>
        <v>1.7390998028819</v>
      </c>
      <c r="U177" s="27">
        <f>[1]!thsiFinD("ths_pb_mrq_usk",U$6,$A177)</f>
        <v>1.9307021622348</v>
      </c>
      <c r="V177" s="27">
        <f>[1]!thsiFinD("ths_pb_mrq_usk",V$6,$A177)</f>
        <v>1.6717565257561999</v>
      </c>
      <c r="W177" s="27">
        <f>[1]!thsiFinD("ths_pb_mrq_usk",W$6,$A177)</f>
        <v>1.9779715916394001</v>
      </c>
      <c r="X177" s="27">
        <f>[1]!thsiFinD("ths_pb_mrq_usk",X$6,$A177)</f>
        <v>1.639264466445</v>
      </c>
      <c r="Y177" s="27">
        <f>[1]!thsiFinD("ths_pb_mrq_usk",Y$6,$A177)</f>
        <v>1.4646535504886</v>
      </c>
      <c r="Z177" s="28">
        <f>[1]!thsiFinD("ths_ps_ttm_uss",Z$6,$A177,100)</f>
        <v>1.8181574316022999</v>
      </c>
      <c r="AA177" s="28">
        <f>[1]!thsiFinD("ths_ps_ttm_uss",AA$6,$A177,100)</f>
        <v>1.5090944398602999</v>
      </c>
      <c r="AB177" s="28">
        <f>[1]!thsiFinD("ths_ps_ttm_uss",AB$6,$A177,100)</f>
        <v>1.6327026613257001</v>
      </c>
      <c r="AC177" s="28">
        <f>[1]!thsiFinD("ths_ps_ttm_uss",AC$6,$A177,100)</f>
        <v>2.6530346628636998</v>
      </c>
      <c r="AD177" s="28">
        <f>[1]!thsiFinD("ths_ps_ttm_uss",AD$6,$A177,100)</f>
        <v>0.49497042216553</v>
      </c>
      <c r="AE177" s="28">
        <f>[1]!thsiFinD("ths_ps_ttm_uss",AE$6,$A177,100)</f>
        <v>1.2869165426445</v>
      </c>
      <c r="AJ177" s="44">
        <f>[1]!thsiFinD("ths_right_value_usk",AJ$6,$A177,"USD")/1000000</f>
        <v>112907.5765025</v>
      </c>
      <c r="AK177" s="44">
        <f>[1]!thsiFinD("ths_right_value_usk",AK$6,$A177,"USD")/1000000</f>
        <v>503065.68609406002</v>
      </c>
      <c r="AL177" s="44">
        <f>[1]!thsiFinD("ths_right_value_usk",AL$6,$A177,"USD")/1000000</f>
        <v>317371.27411914</v>
      </c>
      <c r="AM177" s="44">
        <f>[1]!thsiFinD("ths_right_value_usk",AM$6,$A177,"USD")/1000000</f>
        <v>59902.8696528</v>
      </c>
      <c r="AN177" s="44">
        <f>[1]!thsiFinD("ths_right_value_usk",AN$6,$A177,"USD")/1000000</f>
        <v>95477.319583619988</v>
      </c>
      <c r="AO177" s="44">
        <f>[1]!thsiFinD("ths_right_value_usk",AO$6,$A177,"USD")/1000000</f>
        <v>22482.432000000001</v>
      </c>
      <c r="AP177" s="44">
        <f>[1]!thsiFinD("ths_ev2_usk",AP$6,$A177,"USD")/1000000</f>
        <v>131129.57650249999</v>
      </c>
      <c r="AQ177" s="44">
        <f>[1]!thsiFinD("ths_ev2_usk",AQ$6,$A177,"USD")/1000000</f>
        <v>540094.68609405996</v>
      </c>
      <c r="AR177" s="44">
        <f>[1]!thsiFinD("ths_ev2_usk",AR$6,$A177,"USD")/1000000</f>
        <v>356947.27411914</v>
      </c>
      <c r="AS177" s="44">
        <f>[1]!thsiFinD("ths_ev2_usk",AS$6,$A177,"USD")/1000000</f>
        <v>64066.8696528</v>
      </c>
      <c r="AT177" s="44">
        <f>[1]!thsiFinD("ths_ev2_usk",AT$6,$A177,"USD")/1000000</f>
        <v>140157.31958362</v>
      </c>
      <c r="AU177" s="44">
        <f>[1]!thsiFinD("ths_ev2_usk",AU$6,$A177,"USD")/1000000</f>
        <v>29595.432000000001</v>
      </c>
    </row>
    <row r="178" spans="1:47" x14ac:dyDescent="0.45">
      <c r="A178" s="3"/>
      <c r="B178" s="13"/>
      <c r="H178" s="23">
        <f>[1]!thsiFinD("ths_pe_ttm_uss",B$6,$A178,100)</f>
        <v>12.763687147016</v>
      </c>
      <c r="I178" s="23">
        <f>[1]!thsiFinD("ths_pe_ttm_uss",C$6,$A178,100)</f>
        <v>16.795168633995001</v>
      </c>
      <c r="J178" s="23">
        <f>[1]!thsiFinD("ths_pe_ttm_uss",D$6,$A178,100)</f>
        <v>24.856772722363999</v>
      </c>
      <c r="K178" s="23">
        <f>[1]!thsiFinD("ths_pe_ttm_uss",E$6,$A178,100)</f>
        <v>10.832345326004001</v>
      </c>
      <c r="L178" s="23">
        <f>[1]!thsiFinD("ths_pe_ttm_uss",F$6,$A178,100)</f>
        <v>62.896784969446998</v>
      </c>
      <c r="M178" s="23">
        <f>[1]!thsiFinD("ths_pe_ttm_uss",G$6,$A178,100)</f>
        <v>8.2686399411548006</v>
      </c>
      <c r="N178" s="26">
        <f>[1]!thsiFinD("ths_ev2_to_ebitda_usk",N$6,$A178)</f>
        <v>5.6348922049976</v>
      </c>
      <c r="O178" s="26">
        <f>[1]!thsiFinD("ths_ev2_to_ebitda_usk",O$6,$A178)</f>
        <v>7.3671711761407996</v>
      </c>
      <c r="P178" s="26">
        <f>[1]!thsiFinD("ths_ev2_to_ebitda_usk",P$6,$A178)</f>
        <v>7.9697078261841998</v>
      </c>
      <c r="Q178" s="26">
        <f>[1]!thsiFinD("ths_ev2_to_ebitda_usk",Q$6,$A178)</f>
        <v>5.1401532134787997</v>
      </c>
      <c r="R178" s="26">
        <f>[1]!thsiFinD("ths_ev2_to_ebitda_usk",R$6,$A178)</f>
        <v>4.9901135608509</v>
      </c>
      <c r="S178" s="26">
        <f>[1]!thsiFinD("ths_ev2_to_ebitda_usk",S$6,$A178)</f>
        <v>4.0375759890858998</v>
      </c>
      <c r="T178" s="27">
        <f>[1]!thsiFinD("ths_pb_mrq_usk",T$6,$A178)</f>
        <v>1.7390998028819</v>
      </c>
      <c r="U178" s="27">
        <f>[1]!thsiFinD("ths_pb_mrq_usk",U$6,$A178)</f>
        <v>1.9307021622348</v>
      </c>
      <c r="V178" s="27">
        <f>[1]!thsiFinD("ths_pb_mrq_usk",V$6,$A178)</f>
        <v>1.6717565257561999</v>
      </c>
      <c r="W178" s="27">
        <f>[1]!thsiFinD("ths_pb_mrq_usk",W$6,$A178)</f>
        <v>1.9779715916394001</v>
      </c>
      <c r="X178" s="27">
        <f>[1]!thsiFinD("ths_pb_mrq_usk",X$6,$A178)</f>
        <v>1.639264466445</v>
      </c>
      <c r="Y178" s="27">
        <f>[1]!thsiFinD("ths_pb_mrq_usk",Y$6,$A178)</f>
        <v>1.4646535504886</v>
      </c>
      <c r="Z178" s="28">
        <f>[1]!thsiFinD("ths_ps_ttm_uss",Z$6,$A178,100)</f>
        <v>1.8181574316022999</v>
      </c>
      <c r="AA178" s="28">
        <f>[1]!thsiFinD("ths_ps_ttm_uss",AA$6,$A178,100)</f>
        <v>1.5090944398602999</v>
      </c>
      <c r="AB178" s="28">
        <f>[1]!thsiFinD("ths_ps_ttm_uss",AB$6,$A178,100)</f>
        <v>1.6327026613257001</v>
      </c>
      <c r="AC178" s="28">
        <f>[1]!thsiFinD("ths_ps_ttm_uss",AC$6,$A178,100)</f>
        <v>2.6530346628636998</v>
      </c>
      <c r="AD178" s="28">
        <f>[1]!thsiFinD("ths_ps_ttm_uss",AD$6,$A178,100)</f>
        <v>0.49497042216553</v>
      </c>
      <c r="AE178" s="28">
        <f>[1]!thsiFinD("ths_ps_ttm_uss",AE$6,$A178,100)</f>
        <v>1.2869165426445</v>
      </c>
      <c r="AJ178" s="44">
        <f>[1]!thsiFinD("ths_right_value_usk",AJ$6,$A178,"USD")/1000000</f>
        <v>112907.5765025</v>
      </c>
      <c r="AK178" s="44">
        <f>[1]!thsiFinD("ths_right_value_usk",AK$6,$A178,"USD")/1000000</f>
        <v>503065.68609406002</v>
      </c>
      <c r="AL178" s="44">
        <f>[1]!thsiFinD("ths_right_value_usk",AL$6,$A178,"USD")/1000000</f>
        <v>317371.27411914</v>
      </c>
      <c r="AM178" s="44">
        <f>[1]!thsiFinD("ths_right_value_usk",AM$6,$A178,"USD")/1000000</f>
        <v>59902.8696528</v>
      </c>
      <c r="AN178" s="44">
        <f>[1]!thsiFinD("ths_right_value_usk",AN$6,$A178,"USD")/1000000</f>
        <v>95477.319583619988</v>
      </c>
      <c r="AO178" s="44">
        <f>[1]!thsiFinD("ths_right_value_usk",AO$6,$A178,"USD")/1000000</f>
        <v>22482.432000000001</v>
      </c>
      <c r="AP178" s="44">
        <f>[1]!thsiFinD("ths_ev2_usk",AP$6,$A178,"USD")/1000000</f>
        <v>131129.57650249999</v>
      </c>
      <c r="AQ178" s="44">
        <f>[1]!thsiFinD("ths_ev2_usk",AQ$6,$A178,"USD")/1000000</f>
        <v>540094.68609405996</v>
      </c>
      <c r="AR178" s="44">
        <f>[1]!thsiFinD("ths_ev2_usk",AR$6,$A178,"USD")/1000000</f>
        <v>356947.27411914</v>
      </c>
      <c r="AS178" s="44">
        <f>[1]!thsiFinD("ths_ev2_usk",AS$6,$A178,"USD")/1000000</f>
        <v>64066.8696528</v>
      </c>
      <c r="AT178" s="44">
        <f>[1]!thsiFinD("ths_ev2_usk",AT$6,$A178,"USD")/1000000</f>
        <v>140157.31958362</v>
      </c>
      <c r="AU178" s="44">
        <f>[1]!thsiFinD("ths_ev2_usk",AU$6,$A178,"USD")/1000000</f>
        <v>29595.432000000001</v>
      </c>
    </row>
    <row r="179" spans="1:47" x14ac:dyDescent="0.45">
      <c r="A179" s="3"/>
      <c r="B179" s="13"/>
      <c r="H179" s="23">
        <f>[1]!thsiFinD("ths_pe_ttm_uss",B$6,$A179,100)</f>
        <v>12.763687147016</v>
      </c>
      <c r="I179" s="23">
        <f>[1]!thsiFinD("ths_pe_ttm_uss",C$6,$A179,100)</f>
        <v>16.795168633995001</v>
      </c>
      <c r="J179" s="23">
        <f>[1]!thsiFinD("ths_pe_ttm_uss",D$6,$A179,100)</f>
        <v>24.856772722363999</v>
      </c>
      <c r="K179" s="23">
        <f>[1]!thsiFinD("ths_pe_ttm_uss",E$6,$A179,100)</f>
        <v>10.832345326004001</v>
      </c>
      <c r="L179" s="23">
        <f>[1]!thsiFinD("ths_pe_ttm_uss",F$6,$A179,100)</f>
        <v>62.896784969446998</v>
      </c>
      <c r="M179" s="23">
        <f>[1]!thsiFinD("ths_pe_ttm_uss",G$6,$A179,100)</f>
        <v>8.2686399411548006</v>
      </c>
      <c r="N179" s="26">
        <f>[1]!thsiFinD("ths_ev2_to_ebitda_usk",N$6,$A179)</f>
        <v>5.6348922049976</v>
      </c>
      <c r="O179" s="26">
        <f>[1]!thsiFinD("ths_ev2_to_ebitda_usk",O$6,$A179)</f>
        <v>7.3671711761407996</v>
      </c>
      <c r="P179" s="26">
        <f>[1]!thsiFinD("ths_ev2_to_ebitda_usk",P$6,$A179)</f>
        <v>7.9697078261841998</v>
      </c>
      <c r="Q179" s="26">
        <f>[1]!thsiFinD("ths_ev2_to_ebitda_usk",Q$6,$A179)</f>
        <v>5.1401532134787997</v>
      </c>
      <c r="R179" s="26">
        <f>[1]!thsiFinD("ths_ev2_to_ebitda_usk",R$6,$A179)</f>
        <v>4.9901135608509</v>
      </c>
      <c r="S179" s="26">
        <f>[1]!thsiFinD("ths_ev2_to_ebitda_usk",S$6,$A179)</f>
        <v>4.0375759890858998</v>
      </c>
      <c r="T179" s="27">
        <f>[1]!thsiFinD("ths_pb_mrq_usk",T$6,$A179)</f>
        <v>1.7390998028819</v>
      </c>
      <c r="U179" s="27">
        <f>[1]!thsiFinD("ths_pb_mrq_usk",U$6,$A179)</f>
        <v>1.9307021622348</v>
      </c>
      <c r="V179" s="27">
        <f>[1]!thsiFinD("ths_pb_mrq_usk",V$6,$A179)</f>
        <v>1.6717565257561999</v>
      </c>
      <c r="W179" s="27">
        <f>[1]!thsiFinD("ths_pb_mrq_usk",W$6,$A179)</f>
        <v>1.9779715916394001</v>
      </c>
      <c r="X179" s="27">
        <f>[1]!thsiFinD("ths_pb_mrq_usk",X$6,$A179)</f>
        <v>1.639264466445</v>
      </c>
      <c r="Y179" s="27">
        <f>[1]!thsiFinD("ths_pb_mrq_usk",Y$6,$A179)</f>
        <v>1.4646535504886</v>
      </c>
      <c r="Z179" s="28">
        <f>[1]!thsiFinD("ths_ps_ttm_uss",Z$6,$A179,100)</f>
        <v>1.8181574316022999</v>
      </c>
      <c r="AA179" s="28">
        <f>[1]!thsiFinD("ths_ps_ttm_uss",AA$6,$A179,100)</f>
        <v>1.5090944398602999</v>
      </c>
      <c r="AB179" s="28">
        <f>[1]!thsiFinD("ths_ps_ttm_uss",AB$6,$A179,100)</f>
        <v>1.6327026613257001</v>
      </c>
      <c r="AC179" s="28">
        <f>[1]!thsiFinD("ths_ps_ttm_uss",AC$6,$A179,100)</f>
        <v>2.6530346628636998</v>
      </c>
      <c r="AD179" s="28">
        <f>[1]!thsiFinD("ths_ps_ttm_uss",AD$6,$A179,100)</f>
        <v>0.49497042216553</v>
      </c>
      <c r="AE179" s="28">
        <f>[1]!thsiFinD("ths_ps_ttm_uss",AE$6,$A179,100)</f>
        <v>1.2869165426445</v>
      </c>
      <c r="AJ179" s="44">
        <f>[1]!thsiFinD("ths_right_value_usk",AJ$6,$A179,"USD")/1000000</f>
        <v>112907.5765025</v>
      </c>
      <c r="AK179" s="44">
        <f>[1]!thsiFinD("ths_right_value_usk",AK$6,$A179,"USD")/1000000</f>
        <v>503065.68609406002</v>
      </c>
      <c r="AL179" s="44">
        <f>[1]!thsiFinD("ths_right_value_usk",AL$6,$A179,"USD")/1000000</f>
        <v>317371.27411914</v>
      </c>
      <c r="AM179" s="44">
        <f>[1]!thsiFinD("ths_right_value_usk",AM$6,$A179,"USD")/1000000</f>
        <v>59902.8696528</v>
      </c>
      <c r="AN179" s="44">
        <f>[1]!thsiFinD("ths_right_value_usk",AN$6,$A179,"USD")/1000000</f>
        <v>95477.319583619988</v>
      </c>
      <c r="AO179" s="44">
        <f>[1]!thsiFinD("ths_right_value_usk",AO$6,$A179,"USD")/1000000</f>
        <v>22482.432000000001</v>
      </c>
      <c r="AP179" s="44">
        <f>[1]!thsiFinD("ths_ev2_usk",AP$6,$A179,"USD")/1000000</f>
        <v>131129.57650249999</v>
      </c>
      <c r="AQ179" s="44">
        <f>[1]!thsiFinD("ths_ev2_usk",AQ$6,$A179,"USD")/1000000</f>
        <v>540094.68609405996</v>
      </c>
      <c r="AR179" s="44">
        <f>[1]!thsiFinD("ths_ev2_usk",AR$6,$A179,"USD")/1000000</f>
        <v>356947.27411914</v>
      </c>
      <c r="AS179" s="44">
        <f>[1]!thsiFinD("ths_ev2_usk",AS$6,$A179,"USD")/1000000</f>
        <v>64066.8696528</v>
      </c>
      <c r="AT179" s="44">
        <f>[1]!thsiFinD("ths_ev2_usk",AT$6,$A179,"USD")/1000000</f>
        <v>140157.31958362</v>
      </c>
      <c r="AU179" s="44">
        <f>[1]!thsiFinD("ths_ev2_usk",AU$6,$A179,"USD")/1000000</f>
        <v>29595.432000000001</v>
      </c>
    </row>
    <row r="180" spans="1:47" x14ac:dyDescent="0.45">
      <c r="A180" s="3"/>
      <c r="B180" s="13"/>
      <c r="H180" s="23">
        <f>[1]!thsiFinD("ths_pe_ttm_uss",B$6,$A180,100)</f>
        <v>12.763687147016</v>
      </c>
      <c r="I180" s="23">
        <f>[1]!thsiFinD("ths_pe_ttm_uss",C$6,$A180,100)</f>
        <v>16.795168633995001</v>
      </c>
      <c r="J180" s="23">
        <f>[1]!thsiFinD("ths_pe_ttm_uss",D$6,$A180,100)</f>
        <v>24.856772722363999</v>
      </c>
      <c r="K180" s="23">
        <f>[1]!thsiFinD("ths_pe_ttm_uss",E$6,$A180,100)</f>
        <v>10.832345326004001</v>
      </c>
      <c r="L180" s="23">
        <f>[1]!thsiFinD("ths_pe_ttm_uss",F$6,$A180,100)</f>
        <v>62.896784969446998</v>
      </c>
      <c r="M180" s="23">
        <f>[1]!thsiFinD("ths_pe_ttm_uss",G$6,$A180,100)</f>
        <v>8.2686399411548006</v>
      </c>
      <c r="N180" s="26">
        <f>[1]!thsiFinD("ths_ev2_to_ebitda_usk",N$6,$A180)</f>
        <v>5.6348922049976</v>
      </c>
      <c r="O180" s="26">
        <f>[1]!thsiFinD("ths_ev2_to_ebitda_usk",O$6,$A180)</f>
        <v>7.3671711761407996</v>
      </c>
      <c r="P180" s="26">
        <f>[1]!thsiFinD("ths_ev2_to_ebitda_usk",P$6,$A180)</f>
        <v>7.9697078261841998</v>
      </c>
      <c r="Q180" s="26">
        <f>[1]!thsiFinD("ths_ev2_to_ebitda_usk",Q$6,$A180)</f>
        <v>5.1401532134787997</v>
      </c>
      <c r="R180" s="26">
        <f>[1]!thsiFinD("ths_ev2_to_ebitda_usk",R$6,$A180)</f>
        <v>4.9901135608509</v>
      </c>
      <c r="S180" s="26">
        <f>[1]!thsiFinD("ths_ev2_to_ebitda_usk",S$6,$A180)</f>
        <v>4.0375759890858998</v>
      </c>
      <c r="T180" s="27">
        <f>[1]!thsiFinD("ths_pb_mrq_usk",T$6,$A180)</f>
        <v>1.7390998028819</v>
      </c>
      <c r="U180" s="27">
        <f>[1]!thsiFinD("ths_pb_mrq_usk",U$6,$A180)</f>
        <v>1.9307021622348</v>
      </c>
      <c r="V180" s="27">
        <f>[1]!thsiFinD("ths_pb_mrq_usk",V$6,$A180)</f>
        <v>1.6717565257561999</v>
      </c>
      <c r="W180" s="27">
        <f>[1]!thsiFinD("ths_pb_mrq_usk",W$6,$A180)</f>
        <v>1.9779715916394001</v>
      </c>
      <c r="X180" s="27">
        <f>[1]!thsiFinD("ths_pb_mrq_usk",X$6,$A180)</f>
        <v>1.639264466445</v>
      </c>
      <c r="Y180" s="27">
        <f>[1]!thsiFinD("ths_pb_mrq_usk",Y$6,$A180)</f>
        <v>1.4646535504886</v>
      </c>
      <c r="Z180" s="28">
        <f>[1]!thsiFinD("ths_ps_ttm_uss",Z$6,$A180,100)</f>
        <v>1.8181574316022999</v>
      </c>
      <c r="AA180" s="28">
        <f>[1]!thsiFinD("ths_ps_ttm_uss",AA$6,$A180,100)</f>
        <v>1.5090944398602999</v>
      </c>
      <c r="AB180" s="28">
        <f>[1]!thsiFinD("ths_ps_ttm_uss",AB$6,$A180,100)</f>
        <v>1.6327026613257001</v>
      </c>
      <c r="AC180" s="28">
        <f>[1]!thsiFinD("ths_ps_ttm_uss",AC$6,$A180,100)</f>
        <v>2.6530346628636998</v>
      </c>
      <c r="AD180" s="28">
        <f>[1]!thsiFinD("ths_ps_ttm_uss",AD$6,$A180,100)</f>
        <v>0.49497042216553</v>
      </c>
      <c r="AE180" s="28">
        <f>[1]!thsiFinD("ths_ps_ttm_uss",AE$6,$A180,100)</f>
        <v>1.2869165426445</v>
      </c>
      <c r="AJ180" s="44">
        <f>[1]!thsiFinD("ths_right_value_usk",AJ$6,$A180,"USD")/1000000</f>
        <v>112907.5765025</v>
      </c>
      <c r="AK180" s="44">
        <f>[1]!thsiFinD("ths_right_value_usk",AK$6,$A180,"USD")/1000000</f>
        <v>503065.68609406002</v>
      </c>
      <c r="AL180" s="44">
        <f>[1]!thsiFinD("ths_right_value_usk",AL$6,$A180,"USD")/1000000</f>
        <v>317371.27411914</v>
      </c>
      <c r="AM180" s="44">
        <f>[1]!thsiFinD("ths_right_value_usk",AM$6,$A180,"USD")/1000000</f>
        <v>59902.8696528</v>
      </c>
      <c r="AN180" s="44">
        <f>[1]!thsiFinD("ths_right_value_usk",AN$6,$A180,"USD")/1000000</f>
        <v>95477.319583619988</v>
      </c>
      <c r="AO180" s="44">
        <f>[1]!thsiFinD("ths_right_value_usk",AO$6,$A180,"USD")/1000000</f>
        <v>22482.432000000001</v>
      </c>
      <c r="AP180" s="44">
        <f>[1]!thsiFinD("ths_ev2_usk",AP$6,$A180,"USD")/1000000</f>
        <v>131129.57650249999</v>
      </c>
      <c r="AQ180" s="44">
        <f>[1]!thsiFinD("ths_ev2_usk",AQ$6,$A180,"USD")/1000000</f>
        <v>540094.68609405996</v>
      </c>
      <c r="AR180" s="44">
        <f>[1]!thsiFinD("ths_ev2_usk",AR$6,$A180,"USD")/1000000</f>
        <v>356947.27411914</v>
      </c>
      <c r="AS180" s="44">
        <f>[1]!thsiFinD("ths_ev2_usk",AS$6,$A180,"USD")/1000000</f>
        <v>64066.8696528</v>
      </c>
      <c r="AT180" s="44">
        <f>[1]!thsiFinD("ths_ev2_usk",AT$6,$A180,"USD")/1000000</f>
        <v>140157.31958362</v>
      </c>
      <c r="AU180" s="44">
        <f>[1]!thsiFinD("ths_ev2_usk",AU$6,$A180,"USD")/1000000</f>
        <v>29595.432000000001</v>
      </c>
    </row>
    <row r="181" spans="1:47" x14ac:dyDescent="0.45">
      <c r="A181" s="3"/>
      <c r="B181" s="13"/>
      <c r="H181" s="23">
        <f>[1]!thsiFinD("ths_pe_ttm_uss",B$6,$A181,100)</f>
        <v>12.763687147016</v>
      </c>
      <c r="I181" s="23">
        <f>[1]!thsiFinD("ths_pe_ttm_uss",C$6,$A181,100)</f>
        <v>16.795168633995001</v>
      </c>
      <c r="J181" s="23">
        <f>[1]!thsiFinD("ths_pe_ttm_uss",D$6,$A181,100)</f>
        <v>24.856772722363999</v>
      </c>
      <c r="K181" s="23">
        <f>[1]!thsiFinD("ths_pe_ttm_uss",E$6,$A181,100)</f>
        <v>10.832345326004001</v>
      </c>
      <c r="L181" s="23">
        <f>[1]!thsiFinD("ths_pe_ttm_uss",F$6,$A181,100)</f>
        <v>62.896784969446998</v>
      </c>
      <c r="M181" s="23">
        <f>[1]!thsiFinD("ths_pe_ttm_uss",G$6,$A181,100)</f>
        <v>8.2686399411548006</v>
      </c>
      <c r="N181" s="26">
        <f>[1]!thsiFinD("ths_ev2_to_ebitda_usk",N$6,$A181)</f>
        <v>5.6348922049976</v>
      </c>
      <c r="O181" s="26">
        <f>[1]!thsiFinD("ths_ev2_to_ebitda_usk",O$6,$A181)</f>
        <v>7.3671711761407996</v>
      </c>
      <c r="P181" s="26">
        <f>[1]!thsiFinD("ths_ev2_to_ebitda_usk",P$6,$A181)</f>
        <v>7.9697078261841998</v>
      </c>
      <c r="Q181" s="26">
        <f>[1]!thsiFinD("ths_ev2_to_ebitda_usk",Q$6,$A181)</f>
        <v>5.1401532134787997</v>
      </c>
      <c r="R181" s="26">
        <f>[1]!thsiFinD("ths_ev2_to_ebitda_usk",R$6,$A181)</f>
        <v>4.9901135608509</v>
      </c>
      <c r="S181" s="26">
        <f>[1]!thsiFinD("ths_ev2_to_ebitda_usk",S$6,$A181)</f>
        <v>4.0375759890858998</v>
      </c>
      <c r="T181" s="27">
        <f>[1]!thsiFinD("ths_pb_mrq_usk",T$6,$A181)</f>
        <v>1.7390998028819</v>
      </c>
      <c r="U181" s="27">
        <f>[1]!thsiFinD("ths_pb_mrq_usk",U$6,$A181)</f>
        <v>1.9307021622348</v>
      </c>
      <c r="V181" s="27">
        <f>[1]!thsiFinD("ths_pb_mrq_usk",V$6,$A181)</f>
        <v>1.6717565257561999</v>
      </c>
      <c r="W181" s="27">
        <f>[1]!thsiFinD("ths_pb_mrq_usk",W$6,$A181)</f>
        <v>1.9779715916394001</v>
      </c>
      <c r="X181" s="27">
        <f>[1]!thsiFinD("ths_pb_mrq_usk",X$6,$A181)</f>
        <v>1.639264466445</v>
      </c>
      <c r="Y181" s="27">
        <f>[1]!thsiFinD("ths_pb_mrq_usk",Y$6,$A181)</f>
        <v>1.4646535504886</v>
      </c>
      <c r="Z181" s="28">
        <f>[1]!thsiFinD("ths_ps_ttm_uss",Z$6,$A181,100)</f>
        <v>1.8181574316022999</v>
      </c>
      <c r="AA181" s="28">
        <f>[1]!thsiFinD("ths_ps_ttm_uss",AA$6,$A181,100)</f>
        <v>1.5090944398602999</v>
      </c>
      <c r="AB181" s="28">
        <f>[1]!thsiFinD("ths_ps_ttm_uss",AB$6,$A181,100)</f>
        <v>1.6327026613257001</v>
      </c>
      <c r="AC181" s="28">
        <f>[1]!thsiFinD("ths_ps_ttm_uss",AC$6,$A181,100)</f>
        <v>2.6530346628636998</v>
      </c>
      <c r="AD181" s="28">
        <f>[1]!thsiFinD("ths_ps_ttm_uss",AD$6,$A181,100)</f>
        <v>0.49497042216553</v>
      </c>
      <c r="AE181" s="28">
        <f>[1]!thsiFinD("ths_ps_ttm_uss",AE$6,$A181,100)</f>
        <v>1.2869165426445</v>
      </c>
      <c r="AJ181" s="44">
        <f>[1]!thsiFinD("ths_right_value_usk",AJ$6,$A181,"USD")/1000000</f>
        <v>112907.5765025</v>
      </c>
      <c r="AK181" s="44">
        <f>[1]!thsiFinD("ths_right_value_usk",AK$6,$A181,"USD")/1000000</f>
        <v>503065.68609406002</v>
      </c>
      <c r="AL181" s="44">
        <f>[1]!thsiFinD("ths_right_value_usk",AL$6,$A181,"USD")/1000000</f>
        <v>317371.27411914</v>
      </c>
      <c r="AM181" s="44">
        <f>[1]!thsiFinD("ths_right_value_usk",AM$6,$A181,"USD")/1000000</f>
        <v>59902.8696528</v>
      </c>
      <c r="AN181" s="44">
        <f>[1]!thsiFinD("ths_right_value_usk",AN$6,$A181,"USD")/1000000</f>
        <v>95477.319583619988</v>
      </c>
      <c r="AO181" s="44">
        <f>[1]!thsiFinD("ths_right_value_usk",AO$6,$A181,"USD")/1000000</f>
        <v>22482.432000000001</v>
      </c>
      <c r="AP181" s="44">
        <f>[1]!thsiFinD("ths_ev2_usk",AP$6,$A181,"USD")/1000000</f>
        <v>131129.57650249999</v>
      </c>
      <c r="AQ181" s="44">
        <f>[1]!thsiFinD("ths_ev2_usk",AQ$6,$A181,"USD")/1000000</f>
        <v>540094.68609405996</v>
      </c>
      <c r="AR181" s="44">
        <f>[1]!thsiFinD("ths_ev2_usk",AR$6,$A181,"USD")/1000000</f>
        <v>356947.27411914</v>
      </c>
      <c r="AS181" s="44">
        <f>[1]!thsiFinD("ths_ev2_usk",AS$6,$A181,"USD")/1000000</f>
        <v>64066.8696528</v>
      </c>
      <c r="AT181" s="44">
        <f>[1]!thsiFinD("ths_ev2_usk",AT$6,$A181,"USD")/1000000</f>
        <v>140157.31958362</v>
      </c>
      <c r="AU181" s="44">
        <f>[1]!thsiFinD("ths_ev2_usk",AU$6,$A181,"USD")/1000000</f>
        <v>29595.432000000001</v>
      </c>
    </row>
    <row r="182" spans="1:47" x14ac:dyDescent="0.45">
      <c r="A182" s="3"/>
      <c r="B182" s="13"/>
      <c r="H182" s="23">
        <f>[1]!thsiFinD("ths_pe_ttm_uss",B$6,$A182,100)</f>
        <v>12.763687147016</v>
      </c>
      <c r="I182" s="23">
        <f>[1]!thsiFinD("ths_pe_ttm_uss",C$6,$A182,100)</f>
        <v>16.795168633995001</v>
      </c>
      <c r="J182" s="23">
        <f>[1]!thsiFinD("ths_pe_ttm_uss",D$6,$A182,100)</f>
        <v>24.856772722363999</v>
      </c>
      <c r="K182" s="23">
        <f>[1]!thsiFinD("ths_pe_ttm_uss",E$6,$A182,100)</f>
        <v>10.832345326004001</v>
      </c>
      <c r="L182" s="23">
        <f>[1]!thsiFinD("ths_pe_ttm_uss",F$6,$A182,100)</f>
        <v>62.896784969446998</v>
      </c>
      <c r="M182" s="23">
        <f>[1]!thsiFinD("ths_pe_ttm_uss",G$6,$A182,100)</f>
        <v>8.2686399411548006</v>
      </c>
      <c r="N182" s="26">
        <f>[1]!thsiFinD("ths_ev2_to_ebitda_usk",N$6,$A182)</f>
        <v>5.6348922049976</v>
      </c>
      <c r="O182" s="26">
        <f>[1]!thsiFinD("ths_ev2_to_ebitda_usk",O$6,$A182)</f>
        <v>7.3671711761407996</v>
      </c>
      <c r="P182" s="26">
        <f>[1]!thsiFinD("ths_ev2_to_ebitda_usk",P$6,$A182)</f>
        <v>7.9697078261841998</v>
      </c>
      <c r="Q182" s="26">
        <f>[1]!thsiFinD("ths_ev2_to_ebitda_usk",Q$6,$A182)</f>
        <v>5.1401532134787997</v>
      </c>
      <c r="R182" s="26">
        <f>[1]!thsiFinD("ths_ev2_to_ebitda_usk",R$6,$A182)</f>
        <v>4.9901135608509</v>
      </c>
      <c r="S182" s="26">
        <f>[1]!thsiFinD("ths_ev2_to_ebitda_usk",S$6,$A182)</f>
        <v>4.0375759890858998</v>
      </c>
      <c r="T182" s="27">
        <f>[1]!thsiFinD("ths_pb_mrq_usk",T$6,$A182)</f>
        <v>1.7390998028819</v>
      </c>
      <c r="U182" s="27">
        <f>[1]!thsiFinD("ths_pb_mrq_usk",U$6,$A182)</f>
        <v>1.9307021622348</v>
      </c>
      <c r="V182" s="27">
        <f>[1]!thsiFinD("ths_pb_mrq_usk",V$6,$A182)</f>
        <v>1.6717565257561999</v>
      </c>
      <c r="W182" s="27">
        <f>[1]!thsiFinD("ths_pb_mrq_usk",W$6,$A182)</f>
        <v>1.9779715916394001</v>
      </c>
      <c r="X182" s="27">
        <f>[1]!thsiFinD("ths_pb_mrq_usk",X$6,$A182)</f>
        <v>1.639264466445</v>
      </c>
      <c r="Y182" s="27">
        <f>[1]!thsiFinD("ths_pb_mrq_usk",Y$6,$A182)</f>
        <v>1.4646535504886</v>
      </c>
      <c r="Z182" s="28">
        <f>[1]!thsiFinD("ths_ps_ttm_uss",Z$6,$A182,100)</f>
        <v>1.8181574316022999</v>
      </c>
      <c r="AA182" s="28">
        <f>[1]!thsiFinD("ths_ps_ttm_uss",AA$6,$A182,100)</f>
        <v>1.5090944398602999</v>
      </c>
      <c r="AB182" s="28">
        <f>[1]!thsiFinD("ths_ps_ttm_uss",AB$6,$A182,100)</f>
        <v>1.6327026613257001</v>
      </c>
      <c r="AC182" s="28">
        <f>[1]!thsiFinD("ths_ps_ttm_uss",AC$6,$A182,100)</f>
        <v>2.6530346628636998</v>
      </c>
      <c r="AD182" s="28">
        <f>[1]!thsiFinD("ths_ps_ttm_uss",AD$6,$A182,100)</f>
        <v>0.49497042216553</v>
      </c>
      <c r="AE182" s="28">
        <f>[1]!thsiFinD("ths_ps_ttm_uss",AE$6,$A182,100)</f>
        <v>1.2869165426445</v>
      </c>
      <c r="AJ182" s="44">
        <f>[1]!thsiFinD("ths_right_value_usk",AJ$6,$A182,"USD")/1000000</f>
        <v>112907.5765025</v>
      </c>
      <c r="AK182" s="44">
        <f>[1]!thsiFinD("ths_right_value_usk",AK$6,$A182,"USD")/1000000</f>
        <v>503065.68609406002</v>
      </c>
      <c r="AL182" s="44">
        <f>[1]!thsiFinD("ths_right_value_usk",AL$6,$A182,"USD")/1000000</f>
        <v>317371.27411914</v>
      </c>
      <c r="AM182" s="44">
        <f>[1]!thsiFinD("ths_right_value_usk",AM$6,$A182,"USD")/1000000</f>
        <v>59902.8696528</v>
      </c>
      <c r="AN182" s="44">
        <f>[1]!thsiFinD("ths_right_value_usk",AN$6,$A182,"USD")/1000000</f>
        <v>95477.319583619988</v>
      </c>
      <c r="AO182" s="44">
        <f>[1]!thsiFinD("ths_right_value_usk",AO$6,$A182,"USD")/1000000</f>
        <v>22482.432000000001</v>
      </c>
      <c r="AP182" s="44">
        <f>[1]!thsiFinD("ths_ev2_usk",AP$6,$A182,"USD")/1000000</f>
        <v>131129.57650249999</v>
      </c>
      <c r="AQ182" s="44">
        <f>[1]!thsiFinD("ths_ev2_usk",AQ$6,$A182,"USD")/1000000</f>
        <v>540094.68609405996</v>
      </c>
      <c r="AR182" s="44">
        <f>[1]!thsiFinD("ths_ev2_usk",AR$6,$A182,"USD")/1000000</f>
        <v>356947.27411914</v>
      </c>
      <c r="AS182" s="44">
        <f>[1]!thsiFinD("ths_ev2_usk",AS$6,$A182,"USD")/1000000</f>
        <v>64066.8696528</v>
      </c>
      <c r="AT182" s="44">
        <f>[1]!thsiFinD("ths_ev2_usk",AT$6,$A182,"USD")/1000000</f>
        <v>140157.31958362</v>
      </c>
      <c r="AU182" s="44">
        <f>[1]!thsiFinD("ths_ev2_usk",AU$6,$A182,"USD")/1000000</f>
        <v>29595.432000000001</v>
      </c>
    </row>
    <row r="183" spans="1:47" x14ac:dyDescent="0.45">
      <c r="A183" s="3"/>
      <c r="B183" s="13"/>
      <c r="H183" s="23">
        <f>[1]!thsiFinD("ths_pe_ttm_uss",B$6,$A183,100)</f>
        <v>12.763687147016</v>
      </c>
      <c r="I183" s="23">
        <f>[1]!thsiFinD("ths_pe_ttm_uss",C$6,$A183,100)</f>
        <v>16.795168633995001</v>
      </c>
      <c r="J183" s="23">
        <f>[1]!thsiFinD("ths_pe_ttm_uss",D$6,$A183,100)</f>
        <v>24.856772722363999</v>
      </c>
      <c r="K183" s="23">
        <f>[1]!thsiFinD("ths_pe_ttm_uss",E$6,$A183,100)</f>
        <v>10.832345326004001</v>
      </c>
      <c r="L183" s="23">
        <f>[1]!thsiFinD("ths_pe_ttm_uss",F$6,$A183,100)</f>
        <v>62.896784969446998</v>
      </c>
      <c r="M183" s="23">
        <f>[1]!thsiFinD("ths_pe_ttm_uss",G$6,$A183,100)</f>
        <v>8.2686399411548006</v>
      </c>
      <c r="N183" s="26">
        <f>[1]!thsiFinD("ths_ev2_to_ebitda_usk",N$6,$A183)</f>
        <v>5.6348922049976</v>
      </c>
      <c r="O183" s="26">
        <f>[1]!thsiFinD("ths_ev2_to_ebitda_usk",O$6,$A183)</f>
        <v>7.3671711761407996</v>
      </c>
      <c r="P183" s="26">
        <f>[1]!thsiFinD("ths_ev2_to_ebitda_usk",P$6,$A183)</f>
        <v>7.9697078261841998</v>
      </c>
      <c r="Q183" s="26">
        <f>[1]!thsiFinD("ths_ev2_to_ebitda_usk",Q$6,$A183)</f>
        <v>5.1401532134787997</v>
      </c>
      <c r="R183" s="26">
        <f>[1]!thsiFinD("ths_ev2_to_ebitda_usk",R$6,$A183)</f>
        <v>4.9901135608509</v>
      </c>
      <c r="S183" s="26">
        <f>[1]!thsiFinD("ths_ev2_to_ebitda_usk",S$6,$A183)</f>
        <v>4.0375759890858998</v>
      </c>
      <c r="T183" s="27">
        <f>[1]!thsiFinD("ths_pb_mrq_usk",T$6,$A183)</f>
        <v>1.7390998028819</v>
      </c>
      <c r="U183" s="27">
        <f>[1]!thsiFinD("ths_pb_mrq_usk",U$6,$A183)</f>
        <v>1.9307021622348</v>
      </c>
      <c r="V183" s="27">
        <f>[1]!thsiFinD("ths_pb_mrq_usk",V$6,$A183)</f>
        <v>1.6717565257561999</v>
      </c>
      <c r="W183" s="27">
        <f>[1]!thsiFinD("ths_pb_mrq_usk",W$6,$A183)</f>
        <v>1.9779715916394001</v>
      </c>
      <c r="X183" s="27">
        <f>[1]!thsiFinD("ths_pb_mrq_usk",X$6,$A183)</f>
        <v>1.639264466445</v>
      </c>
      <c r="Y183" s="27">
        <f>[1]!thsiFinD("ths_pb_mrq_usk",Y$6,$A183)</f>
        <v>1.4646535504886</v>
      </c>
      <c r="Z183" s="28">
        <f>[1]!thsiFinD("ths_ps_ttm_uss",Z$6,$A183,100)</f>
        <v>1.8181574316022999</v>
      </c>
      <c r="AA183" s="28">
        <f>[1]!thsiFinD("ths_ps_ttm_uss",AA$6,$A183,100)</f>
        <v>1.5090944398602999</v>
      </c>
      <c r="AB183" s="28">
        <f>[1]!thsiFinD("ths_ps_ttm_uss",AB$6,$A183,100)</f>
        <v>1.6327026613257001</v>
      </c>
      <c r="AC183" s="28">
        <f>[1]!thsiFinD("ths_ps_ttm_uss",AC$6,$A183,100)</f>
        <v>2.6530346628636998</v>
      </c>
      <c r="AD183" s="28">
        <f>[1]!thsiFinD("ths_ps_ttm_uss",AD$6,$A183,100)</f>
        <v>0.49497042216553</v>
      </c>
      <c r="AE183" s="28">
        <f>[1]!thsiFinD("ths_ps_ttm_uss",AE$6,$A183,100)</f>
        <v>1.2869165426445</v>
      </c>
      <c r="AJ183" s="44">
        <f>[1]!thsiFinD("ths_right_value_usk",AJ$6,$A183,"USD")/1000000</f>
        <v>112907.5765025</v>
      </c>
      <c r="AK183" s="44">
        <f>[1]!thsiFinD("ths_right_value_usk",AK$6,$A183,"USD")/1000000</f>
        <v>503065.68609406002</v>
      </c>
      <c r="AL183" s="44">
        <f>[1]!thsiFinD("ths_right_value_usk",AL$6,$A183,"USD")/1000000</f>
        <v>317371.27411914</v>
      </c>
      <c r="AM183" s="44">
        <f>[1]!thsiFinD("ths_right_value_usk",AM$6,$A183,"USD")/1000000</f>
        <v>59902.8696528</v>
      </c>
      <c r="AN183" s="44">
        <f>[1]!thsiFinD("ths_right_value_usk",AN$6,$A183,"USD")/1000000</f>
        <v>95477.319583619988</v>
      </c>
      <c r="AO183" s="44">
        <f>[1]!thsiFinD("ths_right_value_usk",AO$6,$A183,"USD")/1000000</f>
        <v>22482.432000000001</v>
      </c>
      <c r="AP183" s="44">
        <f>[1]!thsiFinD("ths_ev2_usk",AP$6,$A183,"USD")/1000000</f>
        <v>131129.57650249999</v>
      </c>
      <c r="AQ183" s="44">
        <f>[1]!thsiFinD("ths_ev2_usk",AQ$6,$A183,"USD")/1000000</f>
        <v>540094.68609405996</v>
      </c>
      <c r="AR183" s="44">
        <f>[1]!thsiFinD("ths_ev2_usk",AR$6,$A183,"USD")/1000000</f>
        <v>356947.27411914</v>
      </c>
      <c r="AS183" s="44">
        <f>[1]!thsiFinD("ths_ev2_usk",AS$6,$A183,"USD")/1000000</f>
        <v>64066.8696528</v>
      </c>
      <c r="AT183" s="44">
        <f>[1]!thsiFinD("ths_ev2_usk",AT$6,$A183,"USD")/1000000</f>
        <v>140157.31958362</v>
      </c>
      <c r="AU183" s="44">
        <f>[1]!thsiFinD("ths_ev2_usk",AU$6,$A183,"USD")/1000000</f>
        <v>29595.432000000001</v>
      </c>
    </row>
    <row r="184" spans="1:47" x14ac:dyDescent="0.45">
      <c r="A184" s="3"/>
      <c r="B184" s="13"/>
      <c r="H184" s="23">
        <f>[1]!thsiFinD("ths_pe_ttm_uss",B$6,$A184,100)</f>
        <v>12.763687147016</v>
      </c>
      <c r="I184" s="23">
        <f>[1]!thsiFinD("ths_pe_ttm_uss",C$6,$A184,100)</f>
        <v>16.795168633995001</v>
      </c>
      <c r="J184" s="23">
        <f>[1]!thsiFinD("ths_pe_ttm_uss",D$6,$A184,100)</f>
        <v>24.856772722363999</v>
      </c>
      <c r="K184" s="23">
        <f>[1]!thsiFinD("ths_pe_ttm_uss",E$6,$A184,100)</f>
        <v>10.832345326004001</v>
      </c>
      <c r="L184" s="23">
        <f>[1]!thsiFinD("ths_pe_ttm_uss",F$6,$A184,100)</f>
        <v>62.896784969446998</v>
      </c>
      <c r="M184" s="23">
        <f>[1]!thsiFinD("ths_pe_ttm_uss",G$6,$A184,100)</f>
        <v>8.2686399411548006</v>
      </c>
      <c r="N184" s="26">
        <f>[1]!thsiFinD("ths_ev2_to_ebitda_usk",N$6,$A184)</f>
        <v>5.6348922049976</v>
      </c>
      <c r="O184" s="26">
        <f>[1]!thsiFinD("ths_ev2_to_ebitda_usk",O$6,$A184)</f>
        <v>7.3671711761407996</v>
      </c>
      <c r="P184" s="26">
        <f>[1]!thsiFinD("ths_ev2_to_ebitda_usk",P$6,$A184)</f>
        <v>7.9697078261841998</v>
      </c>
      <c r="Q184" s="26">
        <f>[1]!thsiFinD("ths_ev2_to_ebitda_usk",Q$6,$A184)</f>
        <v>5.1401532134787997</v>
      </c>
      <c r="R184" s="26">
        <f>[1]!thsiFinD("ths_ev2_to_ebitda_usk",R$6,$A184)</f>
        <v>4.9901135608509</v>
      </c>
      <c r="S184" s="26">
        <f>[1]!thsiFinD("ths_ev2_to_ebitda_usk",S$6,$A184)</f>
        <v>4.0375759890858998</v>
      </c>
      <c r="T184" s="27">
        <f>[1]!thsiFinD("ths_pb_mrq_usk",T$6,$A184)</f>
        <v>1.7390998028819</v>
      </c>
      <c r="U184" s="27">
        <f>[1]!thsiFinD("ths_pb_mrq_usk",U$6,$A184)</f>
        <v>1.9307021622348</v>
      </c>
      <c r="V184" s="27">
        <f>[1]!thsiFinD("ths_pb_mrq_usk",V$6,$A184)</f>
        <v>1.6717565257561999</v>
      </c>
      <c r="W184" s="27">
        <f>[1]!thsiFinD("ths_pb_mrq_usk",W$6,$A184)</f>
        <v>1.9779715916394001</v>
      </c>
      <c r="X184" s="27">
        <f>[1]!thsiFinD("ths_pb_mrq_usk",X$6,$A184)</f>
        <v>1.639264466445</v>
      </c>
      <c r="Y184" s="27">
        <f>[1]!thsiFinD("ths_pb_mrq_usk",Y$6,$A184)</f>
        <v>1.4646535504886</v>
      </c>
      <c r="Z184" s="28">
        <f>[1]!thsiFinD("ths_ps_ttm_uss",Z$6,$A184,100)</f>
        <v>1.8181574316022999</v>
      </c>
      <c r="AA184" s="28">
        <f>[1]!thsiFinD("ths_ps_ttm_uss",AA$6,$A184,100)</f>
        <v>1.5090944398602999</v>
      </c>
      <c r="AB184" s="28">
        <f>[1]!thsiFinD("ths_ps_ttm_uss",AB$6,$A184,100)</f>
        <v>1.6327026613257001</v>
      </c>
      <c r="AC184" s="28">
        <f>[1]!thsiFinD("ths_ps_ttm_uss",AC$6,$A184,100)</f>
        <v>2.6530346628636998</v>
      </c>
      <c r="AD184" s="28">
        <f>[1]!thsiFinD("ths_ps_ttm_uss",AD$6,$A184,100)</f>
        <v>0.49497042216553</v>
      </c>
      <c r="AE184" s="28">
        <f>[1]!thsiFinD("ths_ps_ttm_uss",AE$6,$A184,100)</f>
        <v>1.2869165426445</v>
      </c>
      <c r="AJ184" s="44">
        <f>[1]!thsiFinD("ths_right_value_usk",AJ$6,$A184,"USD")/1000000</f>
        <v>112907.5765025</v>
      </c>
      <c r="AK184" s="44">
        <f>[1]!thsiFinD("ths_right_value_usk",AK$6,$A184,"USD")/1000000</f>
        <v>503065.68609406002</v>
      </c>
      <c r="AL184" s="44">
        <f>[1]!thsiFinD("ths_right_value_usk",AL$6,$A184,"USD")/1000000</f>
        <v>317371.27411914</v>
      </c>
      <c r="AM184" s="44">
        <f>[1]!thsiFinD("ths_right_value_usk",AM$6,$A184,"USD")/1000000</f>
        <v>59902.8696528</v>
      </c>
      <c r="AN184" s="44">
        <f>[1]!thsiFinD("ths_right_value_usk",AN$6,$A184,"USD")/1000000</f>
        <v>95477.319583619988</v>
      </c>
      <c r="AO184" s="44">
        <f>[1]!thsiFinD("ths_right_value_usk",AO$6,$A184,"USD")/1000000</f>
        <v>22482.432000000001</v>
      </c>
      <c r="AP184" s="44">
        <f>[1]!thsiFinD("ths_ev2_usk",AP$6,$A184,"USD")/1000000</f>
        <v>131129.57650249999</v>
      </c>
      <c r="AQ184" s="44">
        <f>[1]!thsiFinD("ths_ev2_usk",AQ$6,$A184,"USD")/1000000</f>
        <v>540094.68609405996</v>
      </c>
      <c r="AR184" s="44">
        <f>[1]!thsiFinD("ths_ev2_usk",AR$6,$A184,"USD")/1000000</f>
        <v>356947.27411914</v>
      </c>
      <c r="AS184" s="44">
        <f>[1]!thsiFinD("ths_ev2_usk",AS$6,$A184,"USD")/1000000</f>
        <v>64066.8696528</v>
      </c>
      <c r="AT184" s="44">
        <f>[1]!thsiFinD("ths_ev2_usk",AT$6,$A184,"USD")/1000000</f>
        <v>140157.31958362</v>
      </c>
      <c r="AU184" s="44">
        <f>[1]!thsiFinD("ths_ev2_usk",AU$6,$A184,"USD")/1000000</f>
        <v>29595.432000000001</v>
      </c>
    </row>
    <row r="185" spans="1:47" x14ac:dyDescent="0.45">
      <c r="A185" s="3"/>
      <c r="B185" s="13"/>
      <c r="H185" s="23">
        <f>[1]!thsiFinD("ths_pe_ttm_uss",B$6,$A185,100)</f>
        <v>12.763687147016</v>
      </c>
      <c r="I185" s="23">
        <f>[1]!thsiFinD("ths_pe_ttm_uss",C$6,$A185,100)</f>
        <v>16.795168633995001</v>
      </c>
      <c r="J185" s="23">
        <f>[1]!thsiFinD("ths_pe_ttm_uss",D$6,$A185,100)</f>
        <v>24.856772722363999</v>
      </c>
      <c r="K185" s="23">
        <f>[1]!thsiFinD("ths_pe_ttm_uss",E$6,$A185,100)</f>
        <v>10.832345326004001</v>
      </c>
      <c r="L185" s="23">
        <f>[1]!thsiFinD("ths_pe_ttm_uss",F$6,$A185,100)</f>
        <v>62.896784969446998</v>
      </c>
      <c r="M185" s="23">
        <f>[1]!thsiFinD("ths_pe_ttm_uss",G$6,$A185,100)</f>
        <v>8.2686399411548006</v>
      </c>
      <c r="N185" s="26">
        <f>[1]!thsiFinD("ths_ev2_to_ebitda_usk",N$6,$A185)</f>
        <v>5.6348922049976</v>
      </c>
      <c r="O185" s="26">
        <f>[1]!thsiFinD("ths_ev2_to_ebitda_usk",O$6,$A185)</f>
        <v>7.3671711761407996</v>
      </c>
      <c r="P185" s="26">
        <f>[1]!thsiFinD("ths_ev2_to_ebitda_usk",P$6,$A185)</f>
        <v>7.9697078261841998</v>
      </c>
      <c r="Q185" s="26">
        <f>[1]!thsiFinD("ths_ev2_to_ebitda_usk",Q$6,$A185)</f>
        <v>5.1401532134787997</v>
      </c>
      <c r="R185" s="26">
        <f>[1]!thsiFinD("ths_ev2_to_ebitda_usk",R$6,$A185)</f>
        <v>4.9901135608509</v>
      </c>
      <c r="S185" s="26">
        <f>[1]!thsiFinD("ths_ev2_to_ebitda_usk",S$6,$A185)</f>
        <v>4.0375759890858998</v>
      </c>
      <c r="T185" s="27">
        <f>[1]!thsiFinD("ths_pb_mrq_usk",T$6,$A185)</f>
        <v>1.7390998028819</v>
      </c>
      <c r="U185" s="27">
        <f>[1]!thsiFinD("ths_pb_mrq_usk",U$6,$A185)</f>
        <v>1.9307021622348</v>
      </c>
      <c r="V185" s="27">
        <f>[1]!thsiFinD("ths_pb_mrq_usk",V$6,$A185)</f>
        <v>1.6717565257561999</v>
      </c>
      <c r="W185" s="27">
        <f>[1]!thsiFinD("ths_pb_mrq_usk",W$6,$A185)</f>
        <v>1.9779715916394001</v>
      </c>
      <c r="X185" s="27">
        <f>[1]!thsiFinD("ths_pb_mrq_usk",X$6,$A185)</f>
        <v>1.639264466445</v>
      </c>
      <c r="Y185" s="27">
        <f>[1]!thsiFinD("ths_pb_mrq_usk",Y$6,$A185)</f>
        <v>1.4646535504886</v>
      </c>
      <c r="Z185" s="28">
        <f>[1]!thsiFinD("ths_ps_ttm_uss",Z$6,$A185,100)</f>
        <v>1.8181574316022999</v>
      </c>
      <c r="AA185" s="28">
        <f>[1]!thsiFinD("ths_ps_ttm_uss",AA$6,$A185,100)</f>
        <v>1.5090944398602999</v>
      </c>
      <c r="AB185" s="28">
        <f>[1]!thsiFinD("ths_ps_ttm_uss",AB$6,$A185,100)</f>
        <v>1.6327026613257001</v>
      </c>
      <c r="AC185" s="28">
        <f>[1]!thsiFinD("ths_ps_ttm_uss",AC$6,$A185,100)</f>
        <v>2.6530346628636998</v>
      </c>
      <c r="AD185" s="28">
        <f>[1]!thsiFinD("ths_ps_ttm_uss",AD$6,$A185,100)</f>
        <v>0.49497042216553</v>
      </c>
      <c r="AE185" s="28">
        <f>[1]!thsiFinD("ths_ps_ttm_uss",AE$6,$A185,100)</f>
        <v>1.2869165426445</v>
      </c>
      <c r="AJ185" s="44">
        <f>[1]!thsiFinD("ths_right_value_usk",AJ$6,$A185,"USD")/1000000</f>
        <v>112907.5765025</v>
      </c>
      <c r="AK185" s="44">
        <f>[1]!thsiFinD("ths_right_value_usk",AK$6,$A185,"USD")/1000000</f>
        <v>503065.68609406002</v>
      </c>
      <c r="AL185" s="44">
        <f>[1]!thsiFinD("ths_right_value_usk",AL$6,$A185,"USD")/1000000</f>
        <v>317371.27411914</v>
      </c>
      <c r="AM185" s="44">
        <f>[1]!thsiFinD("ths_right_value_usk",AM$6,$A185,"USD")/1000000</f>
        <v>59902.8696528</v>
      </c>
      <c r="AN185" s="44">
        <f>[1]!thsiFinD("ths_right_value_usk",AN$6,$A185,"USD")/1000000</f>
        <v>95477.319583619988</v>
      </c>
      <c r="AO185" s="44">
        <f>[1]!thsiFinD("ths_right_value_usk",AO$6,$A185,"USD")/1000000</f>
        <v>22482.432000000001</v>
      </c>
      <c r="AP185" s="44">
        <f>[1]!thsiFinD("ths_ev2_usk",AP$6,$A185,"USD")/1000000</f>
        <v>131129.57650249999</v>
      </c>
      <c r="AQ185" s="44">
        <f>[1]!thsiFinD("ths_ev2_usk",AQ$6,$A185,"USD")/1000000</f>
        <v>540094.68609405996</v>
      </c>
      <c r="AR185" s="44">
        <f>[1]!thsiFinD("ths_ev2_usk",AR$6,$A185,"USD")/1000000</f>
        <v>356947.27411914</v>
      </c>
      <c r="AS185" s="44">
        <f>[1]!thsiFinD("ths_ev2_usk",AS$6,$A185,"USD")/1000000</f>
        <v>64066.8696528</v>
      </c>
      <c r="AT185" s="44">
        <f>[1]!thsiFinD("ths_ev2_usk",AT$6,$A185,"USD")/1000000</f>
        <v>140157.31958362</v>
      </c>
      <c r="AU185" s="44">
        <f>[1]!thsiFinD("ths_ev2_usk",AU$6,$A185,"USD")/1000000</f>
        <v>29595.432000000001</v>
      </c>
    </row>
    <row r="186" spans="1:47" x14ac:dyDescent="0.45">
      <c r="A186" s="3"/>
      <c r="B186" s="13"/>
      <c r="H186" s="23">
        <f>[1]!thsiFinD("ths_pe_ttm_uss",B$6,$A186,100)</f>
        <v>12.763687147016</v>
      </c>
      <c r="I186" s="23">
        <f>[1]!thsiFinD("ths_pe_ttm_uss",C$6,$A186,100)</f>
        <v>16.795168633995001</v>
      </c>
      <c r="J186" s="23">
        <f>[1]!thsiFinD("ths_pe_ttm_uss",D$6,$A186,100)</f>
        <v>24.856772722363999</v>
      </c>
      <c r="K186" s="23">
        <f>[1]!thsiFinD("ths_pe_ttm_uss",E$6,$A186,100)</f>
        <v>10.832345326004001</v>
      </c>
      <c r="L186" s="23">
        <f>[1]!thsiFinD("ths_pe_ttm_uss",F$6,$A186,100)</f>
        <v>62.896784969446998</v>
      </c>
      <c r="M186" s="23">
        <f>[1]!thsiFinD("ths_pe_ttm_uss",G$6,$A186,100)</f>
        <v>8.2686399411548006</v>
      </c>
      <c r="N186" s="26">
        <f>[1]!thsiFinD("ths_ev2_to_ebitda_usk",N$6,$A186)</f>
        <v>5.6348922049976</v>
      </c>
      <c r="O186" s="26">
        <f>[1]!thsiFinD("ths_ev2_to_ebitda_usk",O$6,$A186)</f>
        <v>7.3671711761407996</v>
      </c>
      <c r="P186" s="26">
        <f>[1]!thsiFinD("ths_ev2_to_ebitda_usk",P$6,$A186)</f>
        <v>7.9697078261841998</v>
      </c>
      <c r="Q186" s="26">
        <f>[1]!thsiFinD("ths_ev2_to_ebitda_usk",Q$6,$A186)</f>
        <v>5.1401532134787997</v>
      </c>
      <c r="R186" s="26">
        <f>[1]!thsiFinD("ths_ev2_to_ebitda_usk",R$6,$A186)</f>
        <v>4.9901135608509</v>
      </c>
      <c r="S186" s="26">
        <f>[1]!thsiFinD("ths_ev2_to_ebitda_usk",S$6,$A186)</f>
        <v>4.0375759890858998</v>
      </c>
      <c r="T186" s="27">
        <f>[1]!thsiFinD("ths_pb_mrq_usk",T$6,$A186)</f>
        <v>1.7390998028819</v>
      </c>
      <c r="U186" s="27">
        <f>[1]!thsiFinD("ths_pb_mrq_usk",U$6,$A186)</f>
        <v>1.9307021622348</v>
      </c>
      <c r="V186" s="27">
        <f>[1]!thsiFinD("ths_pb_mrq_usk",V$6,$A186)</f>
        <v>1.6717565257561999</v>
      </c>
      <c r="W186" s="27">
        <f>[1]!thsiFinD("ths_pb_mrq_usk",W$6,$A186)</f>
        <v>1.9779715916394001</v>
      </c>
      <c r="X186" s="27">
        <f>[1]!thsiFinD("ths_pb_mrq_usk",X$6,$A186)</f>
        <v>1.639264466445</v>
      </c>
      <c r="Y186" s="27">
        <f>[1]!thsiFinD("ths_pb_mrq_usk",Y$6,$A186)</f>
        <v>1.4646535504886</v>
      </c>
      <c r="Z186" s="28">
        <f>[1]!thsiFinD("ths_ps_ttm_uss",Z$6,$A186,100)</f>
        <v>1.8181574316022999</v>
      </c>
      <c r="AA186" s="28">
        <f>[1]!thsiFinD("ths_ps_ttm_uss",AA$6,$A186,100)</f>
        <v>1.5090944398602999</v>
      </c>
      <c r="AB186" s="28">
        <f>[1]!thsiFinD("ths_ps_ttm_uss",AB$6,$A186,100)</f>
        <v>1.6327026613257001</v>
      </c>
      <c r="AC186" s="28">
        <f>[1]!thsiFinD("ths_ps_ttm_uss",AC$6,$A186,100)</f>
        <v>2.6530346628636998</v>
      </c>
      <c r="AD186" s="28">
        <f>[1]!thsiFinD("ths_ps_ttm_uss",AD$6,$A186,100)</f>
        <v>0.49497042216553</v>
      </c>
      <c r="AE186" s="28">
        <f>[1]!thsiFinD("ths_ps_ttm_uss",AE$6,$A186,100)</f>
        <v>1.2869165426445</v>
      </c>
      <c r="AJ186" s="44">
        <f>[1]!thsiFinD("ths_right_value_usk",AJ$6,$A186,"USD")/1000000</f>
        <v>112907.5765025</v>
      </c>
      <c r="AK186" s="44">
        <f>[1]!thsiFinD("ths_right_value_usk",AK$6,$A186,"USD")/1000000</f>
        <v>503065.68609406002</v>
      </c>
      <c r="AL186" s="44">
        <f>[1]!thsiFinD("ths_right_value_usk",AL$6,$A186,"USD")/1000000</f>
        <v>317371.27411914</v>
      </c>
      <c r="AM186" s="44">
        <f>[1]!thsiFinD("ths_right_value_usk",AM$6,$A186,"USD")/1000000</f>
        <v>59902.8696528</v>
      </c>
      <c r="AN186" s="44">
        <f>[1]!thsiFinD("ths_right_value_usk",AN$6,$A186,"USD")/1000000</f>
        <v>95477.319583619988</v>
      </c>
      <c r="AO186" s="44">
        <f>[1]!thsiFinD("ths_right_value_usk",AO$6,$A186,"USD")/1000000</f>
        <v>22482.432000000001</v>
      </c>
      <c r="AP186" s="44">
        <f>[1]!thsiFinD("ths_ev2_usk",AP$6,$A186,"USD")/1000000</f>
        <v>131129.57650249999</v>
      </c>
      <c r="AQ186" s="44">
        <f>[1]!thsiFinD("ths_ev2_usk",AQ$6,$A186,"USD")/1000000</f>
        <v>540094.68609405996</v>
      </c>
      <c r="AR186" s="44">
        <f>[1]!thsiFinD("ths_ev2_usk",AR$6,$A186,"USD")/1000000</f>
        <v>356947.27411914</v>
      </c>
      <c r="AS186" s="44">
        <f>[1]!thsiFinD("ths_ev2_usk",AS$6,$A186,"USD")/1000000</f>
        <v>64066.8696528</v>
      </c>
      <c r="AT186" s="44">
        <f>[1]!thsiFinD("ths_ev2_usk",AT$6,$A186,"USD")/1000000</f>
        <v>140157.31958362</v>
      </c>
      <c r="AU186" s="44">
        <f>[1]!thsiFinD("ths_ev2_usk",AU$6,$A186,"USD")/1000000</f>
        <v>29595.432000000001</v>
      </c>
    </row>
    <row r="187" spans="1:47" x14ac:dyDescent="0.45">
      <c r="A187" s="3"/>
      <c r="B187" s="13"/>
      <c r="H187" s="23">
        <f>[1]!thsiFinD("ths_pe_ttm_uss",B$6,$A187,100)</f>
        <v>12.763687147016</v>
      </c>
      <c r="I187" s="23">
        <f>[1]!thsiFinD("ths_pe_ttm_uss",C$6,$A187,100)</f>
        <v>16.795168633995001</v>
      </c>
      <c r="J187" s="23">
        <f>[1]!thsiFinD("ths_pe_ttm_uss",D$6,$A187,100)</f>
        <v>24.856772722363999</v>
      </c>
      <c r="K187" s="23">
        <f>[1]!thsiFinD("ths_pe_ttm_uss",E$6,$A187,100)</f>
        <v>10.832345326004001</v>
      </c>
      <c r="L187" s="23">
        <f>[1]!thsiFinD("ths_pe_ttm_uss",F$6,$A187,100)</f>
        <v>62.896784969446998</v>
      </c>
      <c r="M187" s="23">
        <f>[1]!thsiFinD("ths_pe_ttm_uss",G$6,$A187,100)</f>
        <v>8.2686399411548006</v>
      </c>
      <c r="N187" s="26">
        <f>[1]!thsiFinD("ths_ev2_to_ebitda_usk",N$6,$A187)</f>
        <v>5.6348922049976</v>
      </c>
      <c r="O187" s="26">
        <f>[1]!thsiFinD("ths_ev2_to_ebitda_usk",O$6,$A187)</f>
        <v>7.3671711761407996</v>
      </c>
      <c r="P187" s="26">
        <f>[1]!thsiFinD("ths_ev2_to_ebitda_usk",P$6,$A187)</f>
        <v>7.9697078261841998</v>
      </c>
      <c r="Q187" s="26">
        <f>[1]!thsiFinD("ths_ev2_to_ebitda_usk",Q$6,$A187)</f>
        <v>5.1401532134787997</v>
      </c>
      <c r="R187" s="26">
        <f>[1]!thsiFinD("ths_ev2_to_ebitda_usk",R$6,$A187)</f>
        <v>4.9901135608509</v>
      </c>
      <c r="S187" s="26">
        <f>[1]!thsiFinD("ths_ev2_to_ebitda_usk",S$6,$A187)</f>
        <v>4.0375759890858998</v>
      </c>
      <c r="T187" s="27">
        <f>[1]!thsiFinD("ths_pb_mrq_usk",T$6,$A187)</f>
        <v>1.7390998028819</v>
      </c>
      <c r="U187" s="27">
        <f>[1]!thsiFinD("ths_pb_mrq_usk",U$6,$A187)</f>
        <v>1.9307021622348</v>
      </c>
      <c r="V187" s="27">
        <f>[1]!thsiFinD("ths_pb_mrq_usk",V$6,$A187)</f>
        <v>1.6717565257561999</v>
      </c>
      <c r="W187" s="27">
        <f>[1]!thsiFinD("ths_pb_mrq_usk",W$6,$A187)</f>
        <v>1.9779715916394001</v>
      </c>
      <c r="X187" s="27">
        <f>[1]!thsiFinD("ths_pb_mrq_usk",X$6,$A187)</f>
        <v>1.639264466445</v>
      </c>
      <c r="Y187" s="27">
        <f>[1]!thsiFinD("ths_pb_mrq_usk",Y$6,$A187)</f>
        <v>1.4646535504886</v>
      </c>
      <c r="Z187" s="28">
        <f>[1]!thsiFinD("ths_ps_ttm_uss",Z$6,$A187,100)</f>
        <v>1.8181574316022999</v>
      </c>
      <c r="AA187" s="28">
        <f>[1]!thsiFinD("ths_ps_ttm_uss",AA$6,$A187,100)</f>
        <v>1.5090944398602999</v>
      </c>
      <c r="AB187" s="28">
        <f>[1]!thsiFinD("ths_ps_ttm_uss",AB$6,$A187,100)</f>
        <v>1.6327026613257001</v>
      </c>
      <c r="AC187" s="28">
        <f>[1]!thsiFinD("ths_ps_ttm_uss",AC$6,$A187,100)</f>
        <v>2.6530346628636998</v>
      </c>
      <c r="AD187" s="28">
        <f>[1]!thsiFinD("ths_ps_ttm_uss",AD$6,$A187,100)</f>
        <v>0.49497042216553</v>
      </c>
      <c r="AE187" s="28">
        <f>[1]!thsiFinD("ths_ps_ttm_uss",AE$6,$A187,100)</f>
        <v>1.2869165426445</v>
      </c>
      <c r="AJ187" s="44">
        <f>[1]!thsiFinD("ths_right_value_usk",AJ$6,$A187,"USD")/1000000</f>
        <v>112907.5765025</v>
      </c>
      <c r="AK187" s="44">
        <f>[1]!thsiFinD("ths_right_value_usk",AK$6,$A187,"USD")/1000000</f>
        <v>503065.68609406002</v>
      </c>
      <c r="AL187" s="44">
        <f>[1]!thsiFinD("ths_right_value_usk",AL$6,$A187,"USD")/1000000</f>
        <v>317371.27411914</v>
      </c>
      <c r="AM187" s="44">
        <f>[1]!thsiFinD("ths_right_value_usk",AM$6,$A187,"USD")/1000000</f>
        <v>59902.8696528</v>
      </c>
      <c r="AN187" s="44">
        <f>[1]!thsiFinD("ths_right_value_usk",AN$6,$A187,"USD")/1000000</f>
        <v>95477.319583619988</v>
      </c>
      <c r="AO187" s="44">
        <f>[1]!thsiFinD("ths_right_value_usk",AO$6,$A187,"USD")/1000000</f>
        <v>22482.432000000001</v>
      </c>
      <c r="AP187" s="44">
        <f>[1]!thsiFinD("ths_ev2_usk",AP$6,$A187,"USD")/1000000</f>
        <v>131129.57650249999</v>
      </c>
      <c r="AQ187" s="44">
        <f>[1]!thsiFinD("ths_ev2_usk",AQ$6,$A187,"USD")/1000000</f>
        <v>540094.68609405996</v>
      </c>
      <c r="AR187" s="44">
        <f>[1]!thsiFinD("ths_ev2_usk",AR$6,$A187,"USD")/1000000</f>
        <v>356947.27411914</v>
      </c>
      <c r="AS187" s="44">
        <f>[1]!thsiFinD("ths_ev2_usk",AS$6,$A187,"USD")/1000000</f>
        <v>64066.8696528</v>
      </c>
      <c r="AT187" s="44">
        <f>[1]!thsiFinD("ths_ev2_usk",AT$6,$A187,"USD")/1000000</f>
        <v>140157.31958362</v>
      </c>
      <c r="AU187" s="44">
        <f>[1]!thsiFinD("ths_ev2_usk",AU$6,$A187,"USD")/1000000</f>
        <v>29595.432000000001</v>
      </c>
    </row>
    <row r="188" spans="1:47" x14ac:dyDescent="0.45">
      <c r="A188" s="3"/>
      <c r="B188" s="13"/>
      <c r="H188" s="23">
        <f>[1]!thsiFinD("ths_pe_ttm_uss",B$6,$A188,100)</f>
        <v>12.763687147016</v>
      </c>
      <c r="I188" s="23">
        <f>[1]!thsiFinD("ths_pe_ttm_uss",C$6,$A188,100)</f>
        <v>16.795168633995001</v>
      </c>
      <c r="J188" s="23">
        <f>[1]!thsiFinD("ths_pe_ttm_uss",D$6,$A188,100)</f>
        <v>24.856772722363999</v>
      </c>
      <c r="K188" s="23">
        <f>[1]!thsiFinD("ths_pe_ttm_uss",E$6,$A188,100)</f>
        <v>10.832345326004001</v>
      </c>
      <c r="L188" s="23">
        <f>[1]!thsiFinD("ths_pe_ttm_uss",F$6,$A188,100)</f>
        <v>62.896784969446998</v>
      </c>
      <c r="M188" s="23">
        <f>[1]!thsiFinD("ths_pe_ttm_uss",G$6,$A188,100)</f>
        <v>8.2686399411548006</v>
      </c>
      <c r="N188" s="26">
        <f>[1]!thsiFinD("ths_ev2_to_ebitda_usk",N$6,$A188)</f>
        <v>5.6348922049976</v>
      </c>
      <c r="O188" s="26">
        <f>[1]!thsiFinD("ths_ev2_to_ebitda_usk",O$6,$A188)</f>
        <v>7.3671711761407996</v>
      </c>
      <c r="P188" s="26">
        <f>[1]!thsiFinD("ths_ev2_to_ebitda_usk",P$6,$A188)</f>
        <v>7.9697078261841998</v>
      </c>
      <c r="Q188" s="26">
        <f>[1]!thsiFinD("ths_ev2_to_ebitda_usk",Q$6,$A188)</f>
        <v>5.1401532134787997</v>
      </c>
      <c r="R188" s="26">
        <f>[1]!thsiFinD("ths_ev2_to_ebitda_usk",R$6,$A188)</f>
        <v>4.9901135608509</v>
      </c>
      <c r="S188" s="26">
        <f>[1]!thsiFinD("ths_ev2_to_ebitda_usk",S$6,$A188)</f>
        <v>4.0375759890858998</v>
      </c>
      <c r="T188" s="27">
        <f>[1]!thsiFinD("ths_pb_mrq_usk",T$6,$A188)</f>
        <v>1.7390998028819</v>
      </c>
      <c r="U188" s="27">
        <f>[1]!thsiFinD("ths_pb_mrq_usk",U$6,$A188)</f>
        <v>1.9307021622348</v>
      </c>
      <c r="V188" s="27">
        <f>[1]!thsiFinD("ths_pb_mrq_usk",V$6,$A188)</f>
        <v>1.6717565257561999</v>
      </c>
      <c r="W188" s="27">
        <f>[1]!thsiFinD("ths_pb_mrq_usk",W$6,$A188)</f>
        <v>1.9779715916394001</v>
      </c>
      <c r="X188" s="27">
        <f>[1]!thsiFinD("ths_pb_mrq_usk",X$6,$A188)</f>
        <v>1.639264466445</v>
      </c>
      <c r="Y188" s="27">
        <f>[1]!thsiFinD("ths_pb_mrq_usk",Y$6,$A188)</f>
        <v>1.4646535504886</v>
      </c>
      <c r="Z188" s="28">
        <f>[1]!thsiFinD("ths_ps_ttm_uss",Z$6,$A188,100)</f>
        <v>1.8181574316022999</v>
      </c>
      <c r="AA188" s="28">
        <f>[1]!thsiFinD("ths_ps_ttm_uss",AA$6,$A188,100)</f>
        <v>1.5090944398602999</v>
      </c>
      <c r="AB188" s="28">
        <f>[1]!thsiFinD("ths_ps_ttm_uss",AB$6,$A188,100)</f>
        <v>1.6327026613257001</v>
      </c>
      <c r="AC188" s="28">
        <f>[1]!thsiFinD("ths_ps_ttm_uss",AC$6,$A188,100)</f>
        <v>2.6530346628636998</v>
      </c>
      <c r="AD188" s="28">
        <f>[1]!thsiFinD("ths_ps_ttm_uss",AD$6,$A188,100)</f>
        <v>0.49497042216553</v>
      </c>
      <c r="AE188" s="28">
        <f>[1]!thsiFinD("ths_ps_ttm_uss",AE$6,$A188,100)</f>
        <v>1.2869165426445</v>
      </c>
      <c r="AJ188" s="44">
        <f>[1]!thsiFinD("ths_right_value_usk",AJ$6,$A188,"USD")/1000000</f>
        <v>112907.5765025</v>
      </c>
      <c r="AK188" s="44">
        <f>[1]!thsiFinD("ths_right_value_usk",AK$6,$A188,"USD")/1000000</f>
        <v>503065.68609406002</v>
      </c>
      <c r="AL188" s="44">
        <f>[1]!thsiFinD("ths_right_value_usk",AL$6,$A188,"USD")/1000000</f>
        <v>317371.27411914</v>
      </c>
      <c r="AM188" s="44">
        <f>[1]!thsiFinD("ths_right_value_usk",AM$6,$A188,"USD")/1000000</f>
        <v>59902.8696528</v>
      </c>
      <c r="AN188" s="44">
        <f>[1]!thsiFinD("ths_right_value_usk",AN$6,$A188,"USD")/1000000</f>
        <v>95477.319583619988</v>
      </c>
      <c r="AO188" s="44">
        <f>[1]!thsiFinD("ths_right_value_usk",AO$6,$A188,"USD")/1000000</f>
        <v>22482.432000000001</v>
      </c>
      <c r="AP188" s="44">
        <f>[1]!thsiFinD("ths_ev2_usk",AP$6,$A188,"USD")/1000000</f>
        <v>131129.57650249999</v>
      </c>
      <c r="AQ188" s="44">
        <f>[1]!thsiFinD("ths_ev2_usk",AQ$6,$A188,"USD")/1000000</f>
        <v>540094.68609405996</v>
      </c>
      <c r="AR188" s="44">
        <f>[1]!thsiFinD("ths_ev2_usk",AR$6,$A188,"USD")/1000000</f>
        <v>356947.27411914</v>
      </c>
      <c r="AS188" s="44">
        <f>[1]!thsiFinD("ths_ev2_usk",AS$6,$A188,"USD")/1000000</f>
        <v>64066.8696528</v>
      </c>
      <c r="AT188" s="44">
        <f>[1]!thsiFinD("ths_ev2_usk",AT$6,$A188,"USD")/1000000</f>
        <v>140157.31958362</v>
      </c>
      <c r="AU188" s="44">
        <f>[1]!thsiFinD("ths_ev2_usk",AU$6,$A188,"USD")/1000000</f>
        <v>29595.432000000001</v>
      </c>
    </row>
    <row r="189" spans="1:47" x14ac:dyDescent="0.45">
      <c r="A189" s="3"/>
      <c r="B189" s="13"/>
      <c r="H189" s="23"/>
      <c r="I189" s="23"/>
      <c r="J189" s="23"/>
      <c r="K189" s="23"/>
      <c r="L189" s="23"/>
      <c r="M189" s="23"/>
      <c r="N189" s="26"/>
      <c r="O189" s="26"/>
      <c r="P189" s="26"/>
      <c r="Q189" s="26"/>
      <c r="R189" s="26"/>
      <c r="S189" s="26"/>
      <c r="T189" s="27"/>
      <c r="U189" s="27"/>
      <c r="V189" s="27"/>
      <c r="W189" s="27"/>
      <c r="X189" s="27"/>
      <c r="Y189" s="27"/>
      <c r="Z189" s="28"/>
      <c r="AA189" s="28"/>
      <c r="AB189" s="28"/>
      <c r="AC189" s="28"/>
      <c r="AD189" s="28"/>
      <c r="AE189" s="28"/>
      <c r="AJ189" s="44"/>
      <c r="AK189" s="44"/>
      <c r="AL189" s="44"/>
      <c r="AM189" s="44"/>
      <c r="AN189" s="44"/>
      <c r="AO189" s="44"/>
      <c r="AP189" s="44"/>
      <c r="AQ189" s="44"/>
      <c r="AR189" s="44"/>
      <c r="AS189" s="44"/>
      <c r="AT189" s="44"/>
      <c r="AU189" s="44"/>
    </row>
    <row r="190" spans="1:47" x14ac:dyDescent="0.45">
      <c r="A190" s="3"/>
      <c r="B190" s="13"/>
      <c r="H190" s="23"/>
      <c r="I190" s="23"/>
      <c r="J190" s="23"/>
      <c r="K190" s="23"/>
      <c r="L190" s="23"/>
      <c r="M190" s="23"/>
      <c r="N190" s="26"/>
      <c r="O190" s="26"/>
      <c r="P190" s="26"/>
      <c r="Q190" s="26"/>
      <c r="R190" s="26"/>
      <c r="S190" s="26"/>
      <c r="T190" s="27"/>
      <c r="U190" s="27"/>
      <c r="V190" s="27"/>
      <c r="W190" s="27"/>
      <c r="X190" s="27"/>
      <c r="Y190" s="27"/>
      <c r="Z190" s="28"/>
      <c r="AA190" s="28"/>
      <c r="AB190" s="28"/>
      <c r="AC190" s="28"/>
      <c r="AD190" s="28"/>
      <c r="AE190" s="28"/>
      <c r="AJ190" s="44"/>
      <c r="AK190" s="44"/>
      <c r="AL190" s="44"/>
      <c r="AM190" s="44"/>
      <c r="AN190" s="44"/>
      <c r="AO190" s="44"/>
      <c r="AP190" s="44"/>
      <c r="AQ190" s="44"/>
      <c r="AR190" s="44"/>
      <c r="AS190" s="44"/>
      <c r="AT190" s="44"/>
      <c r="AU190" s="44"/>
    </row>
    <row r="191" spans="1:47" x14ac:dyDescent="0.45">
      <c r="A191" s="3"/>
      <c r="B191" s="13"/>
      <c r="H191" s="23"/>
      <c r="I191" s="23"/>
      <c r="J191" s="23"/>
      <c r="K191" s="23"/>
      <c r="L191" s="23"/>
      <c r="M191" s="23"/>
      <c r="N191" s="26"/>
      <c r="O191" s="26"/>
      <c r="P191" s="26"/>
      <c r="Q191" s="26"/>
      <c r="R191" s="26"/>
      <c r="S191" s="26"/>
      <c r="T191" s="27"/>
      <c r="U191" s="27"/>
      <c r="V191" s="27"/>
      <c r="W191" s="27"/>
      <c r="X191" s="27"/>
      <c r="Y191" s="27"/>
      <c r="Z191" s="28"/>
      <c r="AA191" s="28"/>
      <c r="AB191" s="28"/>
      <c r="AC191" s="28"/>
      <c r="AD191" s="28"/>
      <c r="AE191" s="28"/>
      <c r="AJ191" s="44"/>
      <c r="AK191" s="44"/>
      <c r="AL191" s="44"/>
      <c r="AM191" s="44"/>
      <c r="AN191" s="44"/>
      <c r="AO191" s="44"/>
      <c r="AP191" s="44"/>
      <c r="AQ191" s="44"/>
      <c r="AR191" s="44"/>
      <c r="AS191" s="44"/>
      <c r="AT191" s="44"/>
      <c r="AU191" s="44"/>
    </row>
    <row r="192" spans="1:47" x14ac:dyDescent="0.45">
      <c r="A192" s="3"/>
      <c r="B192" s="13"/>
      <c r="H192" s="23"/>
      <c r="I192" s="23"/>
      <c r="J192" s="23"/>
      <c r="K192" s="23"/>
      <c r="L192" s="23"/>
      <c r="M192" s="23"/>
      <c r="N192" s="26"/>
      <c r="O192" s="26"/>
      <c r="P192" s="26"/>
      <c r="Q192" s="26"/>
      <c r="R192" s="26"/>
      <c r="S192" s="26"/>
      <c r="T192" s="27"/>
      <c r="U192" s="27"/>
      <c r="V192" s="27"/>
      <c r="W192" s="27"/>
      <c r="X192" s="27"/>
      <c r="Y192" s="27"/>
      <c r="Z192" s="28"/>
      <c r="AA192" s="28"/>
      <c r="AB192" s="28"/>
      <c r="AC192" s="28"/>
      <c r="AD192" s="28"/>
      <c r="AE192" s="28"/>
      <c r="AJ192" s="44"/>
      <c r="AK192" s="44"/>
      <c r="AL192" s="44"/>
      <c r="AM192" s="44"/>
      <c r="AN192" s="44"/>
      <c r="AO192" s="44"/>
      <c r="AP192" s="44"/>
      <c r="AQ192" s="44"/>
      <c r="AR192" s="44"/>
      <c r="AS192" s="44"/>
      <c r="AT192" s="44"/>
      <c r="AU192" s="44"/>
    </row>
    <row r="193" spans="1:47" x14ac:dyDescent="0.45">
      <c r="A193" s="3"/>
      <c r="B193" s="13"/>
      <c r="H193" s="23"/>
      <c r="I193" s="23"/>
      <c r="J193" s="23"/>
      <c r="K193" s="23"/>
      <c r="L193" s="23"/>
      <c r="M193" s="23"/>
      <c r="N193" s="26"/>
      <c r="O193" s="26"/>
      <c r="P193" s="26"/>
      <c r="Q193" s="26"/>
      <c r="R193" s="26"/>
      <c r="S193" s="26"/>
      <c r="T193" s="27"/>
      <c r="U193" s="27"/>
      <c r="V193" s="27"/>
      <c r="W193" s="27"/>
      <c r="X193" s="27"/>
      <c r="Y193" s="27"/>
      <c r="Z193" s="28"/>
      <c r="AA193" s="28"/>
      <c r="AB193" s="28"/>
      <c r="AC193" s="28"/>
      <c r="AD193" s="28"/>
      <c r="AE193" s="28"/>
      <c r="AJ193" s="44"/>
      <c r="AK193" s="44"/>
      <c r="AL193" s="44"/>
      <c r="AM193" s="44"/>
      <c r="AN193" s="44"/>
      <c r="AO193" s="44"/>
      <c r="AP193" s="44"/>
      <c r="AQ193" s="44"/>
      <c r="AR193" s="44"/>
      <c r="AS193" s="44"/>
      <c r="AT193" s="44"/>
      <c r="AU193" s="44"/>
    </row>
    <row r="194" spans="1:47" x14ac:dyDescent="0.45">
      <c r="A194" s="3"/>
      <c r="B194" s="13"/>
      <c r="H194" s="23"/>
      <c r="I194" s="23"/>
      <c r="J194" s="23"/>
      <c r="K194" s="23"/>
      <c r="L194" s="23"/>
      <c r="M194" s="23"/>
      <c r="N194" s="26"/>
      <c r="O194" s="26"/>
      <c r="P194" s="26"/>
      <c r="Q194" s="26"/>
      <c r="R194" s="26"/>
      <c r="S194" s="26"/>
      <c r="T194" s="27"/>
      <c r="U194" s="27"/>
      <c r="V194" s="27"/>
      <c r="W194" s="27"/>
      <c r="X194" s="27"/>
      <c r="Y194" s="27"/>
      <c r="Z194" s="28"/>
      <c r="AA194" s="28"/>
      <c r="AB194" s="28"/>
      <c r="AC194" s="28"/>
      <c r="AD194" s="28"/>
      <c r="AE194" s="28"/>
      <c r="AJ194" s="44"/>
      <c r="AK194" s="44"/>
      <c r="AL194" s="44"/>
      <c r="AM194" s="44"/>
      <c r="AN194" s="44"/>
      <c r="AO194" s="44"/>
      <c r="AP194" s="44"/>
      <c r="AQ194" s="44"/>
      <c r="AR194" s="44"/>
      <c r="AS194" s="44"/>
      <c r="AT194" s="44"/>
      <c r="AU194" s="44"/>
    </row>
    <row r="195" spans="1:47" x14ac:dyDescent="0.45">
      <c r="A195" s="3"/>
      <c r="B195" s="13"/>
      <c r="H195" s="23"/>
      <c r="I195" s="23"/>
      <c r="J195" s="23"/>
      <c r="K195" s="23"/>
      <c r="L195" s="23"/>
      <c r="M195" s="23"/>
      <c r="N195" s="26"/>
      <c r="O195" s="26"/>
      <c r="P195" s="26"/>
      <c r="Q195" s="26"/>
      <c r="R195" s="26"/>
      <c r="S195" s="26"/>
      <c r="T195" s="27"/>
      <c r="U195" s="27"/>
      <c r="V195" s="27"/>
      <c r="W195" s="27"/>
      <c r="X195" s="27"/>
      <c r="Y195" s="27"/>
      <c r="Z195" s="28"/>
      <c r="AA195" s="28"/>
      <c r="AB195" s="28"/>
      <c r="AC195" s="28"/>
      <c r="AD195" s="28"/>
      <c r="AE195" s="28"/>
      <c r="AJ195" s="44"/>
      <c r="AK195" s="44"/>
      <c r="AL195" s="44"/>
      <c r="AM195" s="44"/>
      <c r="AN195" s="44"/>
      <c r="AO195" s="44"/>
      <c r="AP195" s="44"/>
      <c r="AQ195" s="44"/>
      <c r="AR195" s="44"/>
      <c r="AS195" s="44"/>
      <c r="AT195" s="44"/>
      <c r="AU195" s="44"/>
    </row>
    <row r="196" spans="1:47" x14ac:dyDescent="0.45">
      <c r="A196" s="3"/>
      <c r="B196" s="13"/>
      <c r="H196" s="23"/>
      <c r="I196" s="23"/>
      <c r="J196" s="23"/>
      <c r="K196" s="23"/>
      <c r="L196" s="23"/>
      <c r="M196" s="23"/>
      <c r="N196" s="26"/>
      <c r="O196" s="26"/>
      <c r="P196" s="26"/>
      <c r="Q196" s="26"/>
      <c r="R196" s="26"/>
      <c r="S196" s="26"/>
      <c r="T196" s="27"/>
      <c r="U196" s="27"/>
      <c r="V196" s="27"/>
      <c r="W196" s="27"/>
      <c r="X196" s="27"/>
      <c r="Y196" s="27"/>
      <c r="Z196" s="28"/>
      <c r="AA196" s="28"/>
      <c r="AB196" s="28"/>
      <c r="AC196" s="28"/>
      <c r="AD196" s="28"/>
      <c r="AE196" s="28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U196" s="44"/>
    </row>
    <row r="197" spans="1:47" x14ac:dyDescent="0.45">
      <c r="A197" s="3"/>
      <c r="B197" s="13"/>
      <c r="H197" s="23"/>
      <c r="I197" s="23"/>
      <c r="J197" s="23"/>
      <c r="K197" s="23"/>
      <c r="L197" s="23"/>
      <c r="M197" s="23"/>
      <c r="N197" s="26"/>
      <c r="O197" s="26"/>
      <c r="P197" s="26"/>
      <c r="Q197" s="26"/>
      <c r="R197" s="26"/>
      <c r="S197" s="26"/>
      <c r="T197" s="27"/>
      <c r="U197" s="27"/>
      <c r="V197" s="27"/>
      <c r="W197" s="27"/>
      <c r="X197" s="27"/>
      <c r="Y197" s="27"/>
      <c r="Z197" s="28"/>
      <c r="AA197" s="28"/>
      <c r="AB197" s="28"/>
      <c r="AC197" s="28"/>
      <c r="AD197" s="28"/>
      <c r="AE197" s="28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</row>
    <row r="198" spans="1:47" x14ac:dyDescent="0.45">
      <c r="A198" s="3"/>
      <c r="B198" s="13"/>
      <c r="H198" s="23"/>
      <c r="I198" s="23"/>
      <c r="J198" s="23"/>
      <c r="K198" s="23"/>
      <c r="L198" s="23"/>
      <c r="M198" s="23"/>
      <c r="N198" s="26"/>
      <c r="O198" s="26"/>
      <c r="P198" s="26"/>
      <c r="Q198" s="26"/>
      <c r="R198" s="26"/>
      <c r="S198" s="26"/>
      <c r="T198" s="27"/>
      <c r="U198" s="27"/>
      <c r="V198" s="27"/>
      <c r="W198" s="27"/>
      <c r="X198" s="27"/>
      <c r="Y198" s="27"/>
      <c r="Z198" s="28"/>
      <c r="AA198" s="28"/>
      <c r="AB198" s="28"/>
      <c r="AC198" s="28"/>
      <c r="AD198" s="28"/>
      <c r="AE198" s="28"/>
      <c r="AJ198" s="44"/>
      <c r="AK198" s="44"/>
      <c r="AL198" s="44"/>
      <c r="AM198" s="44"/>
      <c r="AN198" s="44"/>
      <c r="AO198" s="44"/>
      <c r="AP198" s="44"/>
      <c r="AQ198" s="44"/>
      <c r="AR198" s="44"/>
      <c r="AS198" s="44"/>
      <c r="AT198" s="44"/>
      <c r="AU198" s="44"/>
    </row>
    <row r="199" spans="1:47" x14ac:dyDescent="0.45">
      <c r="A199" s="3"/>
      <c r="B199" s="13"/>
      <c r="H199" s="23"/>
      <c r="I199" s="23"/>
      <c r="J199" s="23"/>
      <c r="K199" s="23"/>
      <c r="L199" s="23"/>
      <c r="M199" s="23"/>
      <c r="N199" s="26"/>
      <c r="O199" s="26"/>
      <c r="P199" s="26"/>
      <c r="Q199" s="26"/>
      <c r="R199" s="26"/>
      <c r="S199" s="26"/>
      <c r="T199" s="27"/>
      <c r="U199" s="27"/>
      <c r="V199" s="27"/>
      <c r="W199" s="27"/>
      <c r="X199" s="27"/>
      <c r="Y199" s="27"/>
      <c r="Z199" s="28"/>
      <c r="AA199" s="28"/>
      <c r="AB199" s="28"/>
      <c r="AC199" s="28"/>
      <c r="AD199" s="28"/>
      <c r="AE199" s="28"/>
      <c r="AJ199" s="44"/>
      <c r="AK199" s="44"/>
      <c r="AL199" s="44"/>
      <c r="AM199" s="44"/>
      <c r="AN199" s="44"/>
      <c r="AO199" s="44"/>
      <c r="AP199" s="44"/>
      <c r="AQ199" s="44"/>
      <c r="AR199" s="44"/>
      <c r="AS199" s="44"/>
      <c r="AT199" s="44"/>
      <c r="AU199" s="44"/>
    </row>
    <row r="200" spans="1:47" x14ac:dyDescent="0.45">
      <c r="A200" s="3"/>
      <c r="B200" s="13"/>
      <c r="H200" s="23"/>
      <c r="I200" s="23"/>
      <c r="J200" s="23"/>
      <c r="K200" s="23"/>
      <c r="L200" s="23"/>
      <c r="M200" s="23"/>
      <c r="N200" s="26"/>
      <c r="O200" s="26"/>
      <c r="P200" s="26"/>
      <c r="Q200" s="26"/>
      <c r="R200" s="26"/>
      <c r="S200" s="26"/>
      <c r="T200" s="27"/>
      <c r="U200" s="27"/>
      <c r="V200" s="27"/>
      <c r="W200" s="27"/>
      <c r="X200" s="27"/>
      <c r="Y200" s="27"/>
      <c r="Z200" s="28"/>
      <c r="AA200" s="28"/>
      <c r="AB200" s="28"/>
      <c r="AC200" s="28"/>
      <c r="AD200" s="28"/>
      <c r="AE200" s="28"/>
      <c r="AJ200" s="44"/>
      <c r="AK200" s="44"/>
      <c r="AL200" s="44"/>
      <c r="AM200" s="44"/>
      <c r="AN200" s="44"/>
      <c r="AO200" s="44"/>
      <c r="AP200" s="44"/>
      <c r="AQ200" s="44"/>
      <c r="AR200" s="44"/>
      <c r="AS200" s="44"/>
      <c r="AT200" s="44"/>
      <c r="AU200" s="44"/>
    </row>
    <row r="201" spans="1:47" x14ac:dyDescent="0.45">
      <c r="A201" s="3"/>
      <c r="B201" s="13"/>
      <c r="H201" s="23"/>
      <c r="I201" s="23"/>
      <c r="J201" s="23"/>
      <c r="K201" s="23"/>
      <c r="L201" s="23"/>
      <c r="M201" s="23"/>
      <c r="N201" s="26"/>
      <c r="O201" s="26"/>
      <c r="P201" s="26"/>
      <c r="Q201" s="26"/>
      <c r="R201" s="26"/>
      <c r="S201" s="26"/>
      <c r="T201" s="27"/>
      <c r="U201" s="27"/>
      <c r="V201" s="27"/>
      <c r="W201" s="27"/>
      <c r="X201" s="27"/>
      <c r="Y201" s="27"/>
      <c r="Z201" s="28"/>
      <c r="AA201" s="28"/>
      <c r="AB201" s="28"/>
      <c r="AC201" s="28"/>
      <c r="AD201" s="28"/>
      <c r="AE201" s="28"/>
      <c r="AJ201" s="44"/>
      <c r="AK201" s="44"/>
      <c r="AL201" s="44"/>
      <c r="AM201" s="44"/>
      <c r="AN201" s="44"/>
      <c r="AO201" s="44"/>
      <c r="AP201" s="44"/>
      <c r="AQ201" s="44"/>
      <c r="AR201" s="44"/>
      <c r="AS201" s="44"/>
      <c r="AT201" s="44"/>
      <c r="AU201" s="44"/>
    </row>
    <row r="202" spans="1:47" x14ac:dyDescent="0.45">
      <c r="A202" s="3"/>
      <c r="B202" s="13"/>
      <c r="H202" s="23"/>
      <c r="I202" s="23"/>
      <c r="J202" s="23"/>
      <c r="K202" s="23"/>
      <c r="L202" s="23"/>
      <c r="M202" s="23"/>
      <c r="N202" s="26"/>
      <c r="O202" s="26"/>
      <c r="P202" s="26"/>
      <c r="Q202" s="26"/>
      <c r="R202" s="26"/>
      <c r="S202" s="26"/>
      <c r="T202" s="27"/>
      <c r="U202" s="27"/>
      <c r="V202" s="27"/>
      <c r="W202" s="27"/>
      <c r="X202" s="27"/>
      <c r="Y202" s="27"/>
      <c r="Z202" s="28"/>
      <c r="AA202" s="28"/>
      <c r="AB202" s="28"/>
      <c r="AC202" s="28"/>
      <c r="AD202" s="28"/>
      <c r="AE202" s="28"/>
      <c r="AJ202" s="44"/>
      <c r="AK202" s="44"/>
      <c r="AL202" s="44"/>
      <c r="AM202" s="44"/>
      <c r="AN202" s="44"/>
      <c r="AO202" s="44"/>
      <c r="AP202" s="44"/>
      <c r="AQ202" s="44"/>
      <c r="AR202" s="44"/>
      <c r="AS202" s="44"/>
      <c r="AT202" s="44"/>
      <c r="AU202" s="44"/>
    </row>
    <row r="203" spans="1:47" x14ac:dyDescent="0.45">
      <c r="A203" s="3"/>
      <c r="B203" s="13"/>
      <c r="H203" s="23"/>
      <c r="I203" s="23"/>
      <c r="J203" s="23"/>
      <c r="K203" s="23"/>
      <c r="L203" s="23"/>
      <c r="M203" s="23"/>
      <c r="N203" s="26"/>
      <c r="O203" s="26"/>
      <c r="P203" s="26"/>
      <c r="Q203" s="26"/>
      <c r="R203" s="26"/>
      <c r="S203" s="26"/>
      <c r="T203" s="27"/>
      <c r="U203" s="27"/>
      <c r="V203" s="27"/>
      <c r="W203" s="27"/>
      <c r="X203" s="27"/>
      <c r="Y203" s="27"/>
      <c r="Z203" s="28"/>
      <c r="AA203" s="28"/>
      <c r="AB203" s="28"/>
      <c r="AC203" s="28"/>
      <c r="AD203" s="28"/>
      <c r="AE203" s="28"/>
      <c r="AJ203" s="44"/>
      <c r="AK203" s="44"/>
      <c r="AL203" s="44"/>
      <c r="AM203" s="44"/>
      <c r="AN203" s="44"/>
      <c r="AO203" s="44"/>
      <c r="AP203" s="44"/>
      <c r="AQ203" s="44"/>
      <c r="AR203" s="44"/>
      <c r="AS203" s="44"/>
      <c r="AT203" s="44"/>
      <c r="AU203" s="44"/>
    </row>
    <row r="204" spans="1:47" x14ac:dyDescent="0.45">
      <c r="A204" s="3"/>
      <c r="B204" s="13"/>
      <c r="H204" s="23"/>
      <c r="I204" s="23"/>
      <c r="J204" s="23"/>
      <c r="K204" s="23"/>
      <c r="L204" s="23"/>
      <c r="M204" s="23"/>
      <c r="N204" s="26"/>
      <c r="O204" s="26"/>
      <c r="P204" s="26"/>
      <c r="Q204" s="26"/>
      <c r="R204" s="26"/>
      <c r="S204" s="26"/>
      <c r="T204" s="27"/>
      <c r="U204" s="27"/>
      <c r="V204" s="27"/>
      <c r="W204" s="27"/>
      <c r="X204" s="27"/>
      <c r="Y204" s="27"/>
      <c r="Z204" s="28"/>
      <c r="AA204" s="28"/>
      <c r="AB204" s="28"/>
      <c r="AC204" s="28"/>
      <c r="AD204" s="28"/>
      <c r="AE204" s="28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</row>
    <row r="205" spans="1:47" x14ac:dyDescent="0.45">
      <c r="A205" s="3"/>
      <c r="B205" s="13"/>
      <c r="H205" s="23"/>
      <c r="I205" s="23"/>
      <c r="J205" s="23"/>
      <c r="K205" s="23"/>
      <c r="L205" s="23"/>
      <c r="M205" s="23"/>
      <c r="N205" s="26"/>
      <c r="O205" s="26"/>
      <c r="P205" s="26"/>
      <c r="Q205" s="26"/>
      <c r="R205" s="26"/>
      <c r="S205" s="26"/>
      <c r="T205" s="27"/>
      <c r="U205" s="27"/>
      <c r="V205" s="27"/>
      <c r="W205" s="27"/>
      <c r="X205" s="27"/>
      <c r="Y205" s="27"/>
      <c r="Z205" s="28"/>
      <c r="AA205" s="28"/>
      <c r="AB205" s="28"/>
      <c r="AC205" s="28"/>
      <c r="AD205" s="28"/>
      <c r="AE205" s="28"/>
      <c r="AJ205" s="44"/>
      <c r="AK205" s="44"/>
      <c r="AL205" s="44"/>
      <c r="AM205" s="44"/>
      <c r="AN205" s="44"/>
      <c r="AO205" s="44"/>
      <c r="AP205" s="44"/>
      <c r="AQ205" s="44"/>
      <c r="AR205" s="44"/>
      <c r="AS205" s="44"/>
      <c r="AT205" s="44"/>
      <c r="AU205" s="44"/>
    </row>
    <row r="206" spans="1:47" x14ac:dyDescent="0.45">
      <c r="A206" s="3"/>
      <c r="B206" s="13"/>
      <c r="H206" s="23"/>
      <c r="I206" s="23"/>
      <c r="J206" s="23"/>
      <c r="K206" s="23"/>
      <c r="L206" s="23"/>
      <c r="M206" s="23"/>
      <c r="N206" s="26"/>
      <c r="O206" s="26"/>
      <c r="P206" s="26"/>
      <c r="Q206" s="26"/>
      <c r="R206" s="26"/>
      <c r="S206" s="26"/>
      <c r="T206" s="27"/>
      <c r="U206" s="27"/>
      <c r="V206" s="27"/>
      <c r="W206" s="27"/>
      <c r="X206" s="27"/>
      <c r="Y206" s="27"/>
      <c r="Z206" s="28"/>
      <c r="AA206" s="28"/>
      <c r="AB206" s="28"/>
      <c r="AC206" s="28"/>
      <c r="AD206" s="28"/>
      <c r="AE206" s="28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</row>
    <row r="207" spans="1:47" x14ac:dyDescent="0.45">
      <c r="A207" s="3"/>
      <c r="B207" s="13"/>
      <c r="H207" s="23"/>
      <c r="I207" s="23"/>
      <c r="J207" s="23"/>
      <c r="K207" s="23"/>
      <c r="L207" s="23"/>
      <c r="M207" s="23"/>
      <c r="N207" s="26"/>
      <c r="O207" s="26"/>
      <c r="P207" s="26"/>
      <c r="Q207" s="26"/>
      <c r="R207" s="26"/>
      <c r="S207" s="26"/>
      <c r="T207" s="27"/>
      <c r="U207" s="27"/>
      <c r="V207" s="27"/>
      <c r="W207" s="27"/>
      <c r="X207" s="27"/>
      <c r="Y207" s="27"/>
      <c r="Z207" s="28"/>
      <c r="AA207" s="28"/>
      <c r="AB207" s="28"/>
      <c r="AC207" s="28"/>
      <c r="AD207" s="28"/>
      <c r="AE207" s="28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</row>
    <row r="208" spans="1:47" x14ac:dyDescent="0.45">
      <c r="A208" s="3"/>
      <c r="B208" s="13"/>
      <c r="H208" s="23"/>
      <c r="I208" s="23"/>
      <c r="J208" s="23"/>
      <c r="K208" s="23"/>
      <c r="L208" s="23"/>
      <c r="M208" s="23"/>
      <c r="N208" s="26"/>
      <c r="O208" s="26"/>
      <c r="P208" s="26"/>
      <c r="Q208" s="26"/>
      <c r="R208" s="26"/>
      <c r="S208" s="26"/>
      <c r="T208" s="27"/>
      <c r="U208" s="27"/>
      <c r="V208" s="27"/>
      <c r="W208" s="27"/>
      <c r="X208" s="27"/>
      <c r="Y208" s="27"/>
      <c r="Z208" s="28"/>
      <c r="AA208" s="28"/>
      <c r="AB208" s="28"/>
      <c r="AC208" s="28"/>
      <c r="AD208" s="28"/>
      <c r="AE208" s="28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/>
      <c r="AT208" s="44"/>
      <c r="AU208" s="44"/>
    </row>
    <row r="209" spans="1:47" x14ac:dyDescent="0.45">
      <c r="A209" s="3"/>
      <c r="B209" s="13"/>
      <c r="H209" s="23"/>
      <c r="I209" s="23"/>
      <c r="J209" s="23"/>
      <c r="K209" s="23"/>
      <c r="L209" s="23"/>
      <c r="M209" s="23"/>
      <c r="N209" s="26"/>
      <c r="O209" s="26"/>
      <c r="P209" s="26"/>
      <c r="Q209" s="26"/>
      <c r="R209" s="26"/>
      <c r="S209" s="26"/>
      <c r="T209" s="27"/>
      <c r="U209" s="27"/>
      <c r="V209" s="27"/>
      <c r="W209" s="27"/>
      <c r="X209" s="27"/>
      <c r="Y209" s="27"/>
      <c r="Z209" s="28"/>
      <c r="AA209" s="28"/>
      <c r="AB209" s="28"/>
      <c r="AC209" s="28"/>
      <c r="AD209" s="28"/>
      <c r="AE209" s="28"/>
      <c r="AJ209" s="44"/>
      <c r="AK209" s="44"/>
      <c r="AL209" s="44"/>
      <c r="AM209" s="44"/>
      <c r="AN209" s="44"/>
      <c r="AO209" s="44"/>
      <c r="AP209" s="44"/>
      <c r="AQ209" s="44"/>
      <c r="AR209" s="44"/>
      <c r="AS209" s="44"/>
      <c r="AT209" s="44"/>
      <c r="AU209" s="44"/>
    </row>
    <row r="210" spans="1:47" x14ac:dyDescent="0.45">
      <c r="A210" s="3"/>
      <c r="B210" s="13"/>
      <c r="H210" s="23"/>
      <c r="I210" s="23"/>
      <c r="J210" s="23"/>
      <c r="K210" s="23"/>
      <c r="L210" s="23"/>
      <c r="M210" s="23"/>
      <c r="N210" s="26"/>
      <c r="O210" s="26"/>
      <c r="P210" s="26"/>
      <c r="Q210" s="26"/>
      <c r="R210" s="26"/>
      <c r="S210" s="26"/>
      <c r="T210" s="27"/>
      <c r="U210" s="27"/>
      <c r="V210" s="27"/>
      <c r="W210" s="27"/>
      <c r="X210" s="27"/>
      <c r="Y210" s="27"/>
      <c r="Z210" s="28"/>
      <c r="AA210" s="28"/>
      <c r="AB210" s="28"/>
      <c r="AC210" s="28"/>
      <c r="AD210" s="28"/>
      <c r="AE210" s="28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</row>
    <row r="211" spans="1:47" x14ac:dyDescent="0.45">
      <c r="A211" s="3"/>
      <c r="B211" s="13"/>
      <c r="H211" s="23"/>
      <c r="I211" s="23"/>
      <c r="J211" s="23"/>
      <c r="K211" s="23"/>
      <c r="L211" s="23"/>
      <c r="M211" s="23"/>
      <c r="N211" s="26"/>
      <c r="O211" s="26"/>
      <c r="P211" s="26"/>
      <c r="Q211" s="26"/>
      <c r="R211" s="26"/>
      <c r="S211" s="26"/>
      <c r="T211" s="27"/>
      <c r="U211" s="27"/>
      <c r="V211" s="27"/>
      <c r="W211" s="27"/>
      <c r="X211" s="27"/>
      <c r="Y211" s="27"/>
      <c r="Z211" s="28"/>
      <c r="AA211" s="28"/>
      <c r="AB211" s="28"/>
      <c r="AC211" s="28"/>
      <c r="AD211" s="28"/>
      <c r="AE211" s="28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</row>
    <row r="212" spans="1:47" x14ac:dyDescent="0.45">
      <c r="A212" s="3"/>
      <c r="B212" s="13"/>
      <c r="H212" s="23"/>
      <c r="I212" s="23"/>
      <c r="J212" s="23"/>
      <c r="K212" s="23"/>
      <c r="L212" s="23"/>
      <c r="M212" s="23"/>
      <c r="N212" s="26"/>
      <c r="O212" s="26"/>
      <c r="P212" s="26"/>
      <c r="Q212" s="26"/>
      <c r="R212" s="26"/>
      <c r="S212" s="26"/>
      <c r="T212" s="27"/>
      <c r="U212" s="27"/>
      <c r="V212" s="27"/>
      <c r="W212" s="27"/>
      <c r="X212" s="27"/>
      <c r="Y212" s="27"/>
      <c r="Z212" s="28"/>
      <c r="AA212" s="28"/>
      <c r="AB212" s="28"/>
      <c r="AC212" s="28"/>
      <c r="AD212" s="28"/>
      <c r="AE212" s="28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</row>
    <row r="213" spans="1:47" x14ac:dyDescent="0.45">
      <c r="A213" s="3"/>
      <c r="B213" s="13"/>
      <c r="H213" s="23"/>
      <c r="I213" s="23"/>
      <c r="J213" s="23"/>
      <c r="K213" s="23"/>
      <c r="L213" s="23"/>
      <c r="M213" s="23"/>
      <c r="N213" s="26"/>
      <c r="O213" s="26"/>
      <c r="P213" s="26"/>
      <c r="Q213" s="26"/>
      <c r="R213" s="26"/>
      <c r="S213" s="26"/>
      <c r="T213" s="27"/>
      <c r="U213" s="27"/>
      <c r="V213" s="27"/>
      <c r="W213" s="27"/>
      <c r="X213" s="27"/>
      <c r="Y213" s="27"/>
      <c r="Z213" s="28"/>
      <c r="AA213" s="28"/>
      <c r="AB213" s="28"/>
      <c r="AC213" s="28"/>
      <c r="AD213" s="28"/>
      <c r="AE213" s="28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</row>
    <row r="214" spans="1:47" x14ac:dyDescent="0.45">
      <c r="A214" s="3"/>
      <c r="B214" s="13"/>
      <c r="H214" s="23"/>
      <c r="I214" s="23"/>
      <c r="J214" s="23"/>
      <c r="K214" s="23"/>
      <c r="L214" s="23"/>
      <c r="M214" s="23"/>
      <c r="N214" s="26"/>
      <c r="O214" s="26"/>
      <c r="P214" s="26"/>
      <c r="Q214" s="26"/>
      <c r="R214" s="26"/>
      <c r="S214" s="26"/>
      <c r="T214" s="27"/>
      <c r="U214" s="27"/>
      <c r="V214" s="27"/>
      <c r="W214" s="27"/>
      <c r="X214" s="27"/>
      <c r="Y214" s="27"/>
      <c r="Z214" s="28"/>
      <c r="AA214" s="28"/>
      <c r="AB214" s="28"/>
      <c r="AC214" s="28"/>
      <c r="AD214" s="28"/>
      <c r="AE214" s="28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</row>
    <row r="215" spans="1:47" x14ac:dyDescent="0.45">
      <c r="A215" s="3"/>
      <c r="B215" s="13"/>
      <c r="H215" s="23"/>
      <c r="I215" s="23"/>
      <c r="J215" s="23"/>
      <c r="K215" s="23"/>
      <c r="L215" s="23"/>
      <c r="M215" s="23"/>
      <c r="N215" s="26"/>
      <c r="O215" s="26"/>
      <c r="P215" s="26"/>
      <c r="Q215" s="26"/>
      <c r="R215" s="26"/>
      <c r="S215" s="26"/>
      <c r="T215" s="27"/>
      <c r="U215" s="27"/>
      <c r="V215" s="27"/>
      <c r="W215" s="27"/>
      <c r="X215" s="27"/>
      <c r="Y215" s="27"/>
      <c r="Z215" s="28"/>
      <c r="AA215" s="28"/>
      <c r="AB215" s="28"/>
      <c r="AC215" s="28"/>
      <c r="AD215" s="28"/>
      <c r="AE215" s="28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</row>
    <row r="216" spans="1:47" x14ac:dyDescent="0.45">
      <c r="A216" s="3"/>
      <c r="B216" s="13"/>
      <c r="H216" s="23"/>
      <c r="I216" s="23"/>
      <c r="J216" s="23"/>
      <c r="K216" s="23"/>
      <c r="L216" s="23"/>
      <c r="M216" s="23"/>
      <c r="N216" s="26"/>
      <c r="O216" s="26"/>
      <c r="P216" s="26"/>
      <c r="Q216" s="26"/>
      <c r="R216" s="26"/>
      <c r="S216" s="26"/>
      <c r="T216" s="27"/>
      <c r="U216" s="27"/>
      <c r="V216" s="27"/>
      <c r="W216" s="27"/>
      <c r="X216" s="27"/>
      <c r="Y216" s="27"/>
      <c r="Z216" s="28"/>
      <c r="AA216" s="28"/>
      <c r="AB216" s="28"/>
      <c r="AC216" s="28"/>
      <c r="AD216" s="28"/>
      <c r="AE216" s="28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</row>
    <row r="217" spans="1:47" x14ac:dyDescent="0.45">
      <c r="A217" s="3"/>
      <c r="B217" s="13"/>
      <c r="H217" s="23"/>
      <c r="I217" s="23"/>
      <c r="J217" s="23"/>
      <c r="K217" s="23"/>
      <c r="L217" s="23"/>
      <c r="M217" s="23"/>
      <c r="N217" s="26"/>
      <c r="O217" s="26"/>
      <c r="P217" s="26"/>
      <c r="Q217" s="26"/>
      <c r="R217" s="26"/>
      <c r="S217" s="26"/>
      <c r="T217" s="27"/>
      <c r="U217" s="27"/>
      <c r="V217" s="27"/>
      <c r="W217" s="27"/>
      <c r="X217" s="27"/>
      <c r="Y217" s="27"/>
      <c r="Z217" s="28"/>
      <c r="AA217" s="28"/>
      <c r="AB217" s="28"/>
      <c r="AC217" s="28"/>
      <c r="AD217" s="28"/>
      <c r="AE217" s="28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</row>
    <row r="218" spans="1:47" x14ac:dyDescent="0.45">
      <c r="A218" s="3"/>
      <c r="B218" s="13"/>
      <c r="H218" s="23"/>
      <c r="I218" s="23"/>
      <c r="J218" s="23"/>
      <c r="K218" s="23"/>
      <c r="L218" s="23"/>
      <c r="M218" s="23"/>
      <c r="N218" s="26"/>
      <c r="O218" s="26"/>
      <c r="P218" s="26"/>
      <c r="Q218" s="26"/>
      <c r="R218" s="26"/>
      <c r="S218" s="26"/>
      <c r="T218" s="27"/>
      <c r="U218" s="27"/>
      <c r="V218" s="27"/>
      <c r="W218" s="27"/>
      <c r="X218" s="27"/>
      <c r="Y218" s="27"/>
      <c r="Z218" s="28"/>
      <c r="AA218" s="28"/>
      <c r="AB218" s="28"/>
      <c r="AC218" s="28"/>
      <c r="AD218" s="28"/>
      <c r="AE218" s="28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</row>
    <row r="219" spans="1:47" x14ac:dyDescent="0.45">
      <c r="A219" s="3"/>
      <c r="B219" s="13"/>
      <c r="H219" s="23"/>
      <c r="I219" s="23"/>
      <c r="J219" s="23"/>
      <c r="K219" s="23"/>
      <c r="L219" s="23"/>
      <c r="M219" s="23"/>
      <c r="N219" s="26"/>
      <c r="O219" s="26"/>
      <c r="P219" s="26"/>
      <c r="Q219" s="26"/>
      <c r="R219" s="26"/>
      <c r="S219" s="26"/>
      <c r="T219" s="27"/>
      <c r="U219" s="27"/>
      <c r="V219" s="27"/>
      <c r="W219" s="27"/>
      <c r="X219" s="27"/>
      <c r="Y219" s="27"/>
      <c r="Z219" s="28"/>
      <c r="AA219" s="28"/>
      <c r="AB219" s="28"/>
      <c r="AC219" s="28"/>
      <c r="AD219" s="28"/>
      <c r="AE219" s="28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</row>
    <row r="220" spans="1:47" x14ac:dyDescent="0.45">
      <c r="A220" s="3"/>
      <c r="B220" s="13"/>
      <c r="H220" s="23"/>
      <c r="I220" s="23"/>
      <c r="J220" s="23"/>
      <c r="K220" s="23"/>
      <c r="L220" s="23"/>
      <c r="M220" s="23"/>
      <c r="N220" s="26"/>
      <c r="O220" s="26"/>
      <c r="P220" s="26"/>
      <c r="Q220" s="26"/>
      <c r="R220" s="26"/>
      <c r="S220" s="26"/>
      <c r="T220" s="27"/>
      <c r="U220" s="27"/>
      <c r="V220" s="27"/>
      <c r="W220" s="27"/>
      <c r="X220" s="27"/>
      <c r="Y220" s="27"/>
      <c r="Z220" s="28"/>
      <c r="AA220" s="28"/>
      <c r="AB220" s="28"/>
      <c r="AC220" s="28"/>
      <c r="AD220" s="28"/>
      <c r="AE220" s="28"/>
      <c r="AJ220" s="44"/>
      <c r="AK220" s="44"/>
      <c r="AL220" s="44"/>
      <c r="AM220" s="44"/>
      <c r="AN220" s="44"/>
      <c r="AO220" s="44"/>
      <c r="AP220" s="44"/>
      <c r="AQ220" s="44"/>
      <c r="AR220" s="44"/>
      <c r="AS220" s="44"/>
      <c r="AT220" s="44"/>
      <c r="AU220" s="44"/>
    </row>
    <row r="221" spans="1:47" x14ac:dyDescent="0.45">
      <c r="A221" s="3"/>
      <c r="B221" s="13"/>
      <c r="H221" s="23"/>
      <c r="I221" s="23"/>
      <c r="J221" s="23"/>
      <c r="K221" s="23"/>
      <c r="L221" s="23"/>
      <c r="M221" s="23"/>
      <c r="N221" s="26"/>
      <c r="O221" s="26"/>
      <c r="P221" s="26"/>
      <c r="Q221" s="26"/>
      <c r="R221" s="26"/>
      <c r="S221" s="26"/>
      <c r="T221" s="27"/>
      <c r="U221" s="27"/>
      <c r="V221" s="27"/>
      <c r="W221" s="27"/>
      <c r="X221" s="27"/>
      <c r="Y221" s="27"/>
      <c r="Z221" s="28"/>
      <c r="AA221" s="28"/>
      <c r="AB221" s="28"/>
      <c r="AC221" s="28"/>
      <c r="AD221" s="28"/>
      <c r="AE221" s="28"/>
      <c r="AJ221" s="44"/>
      <c r="AK221" s="44"/>
      <c r="AL221" s="44"/>
      <c r="AM221" s="44"/>
      <c r="AN221" s="44"/>
      <c r="AO221" s="44"/>
      <c r="AP221" s="44"/>
      <c r="AQ221" s="44"/>
      <c r="AR221" s="44"/>
      <c r="AS221" s="44"/>
      <c r="AT221" s="44"/>
      <c r="AU221" s="44"/>
    </row>
    <row r="222" spans="1:47" x14ac:dyDescent="0.45">
      <c r="A222" s="3"/>
      <c r="B222" s="13"/>
      <c r="H222" s="23"/>
      <c r="I222" s="23"/>
      <c r="J222" s="23"/>
      <c r="K222" s="23"/>
      <c r="L222" s="23"/>
      <c r="M222" s="23"/>
      <c r="N222" s="26"/>
      <c r="O222" s="26"/>
      <c r="P222" s="26"/>
      <c r="Q222" s="26"/>
      <c r="R222" s="26"/>
      <c r="S222" s="26"/>
      <c r="T222" s="27"/>
      <c r="U222" s="27"/>
      <c r="V222" s="27"/>
      <c r="W222" s="27"/>
      <c r="X222" s="27"/>
      <c r="Y222" s="27"/>
      <c r="Z222" s="28"/>
      <c r="AA222" s="28"/>
      <c r="AB222" s="28"/>
      <c r="AC222" s="28"/>
      <c r="AD222" s="28"/>
      <c r="AE222" s="28"/>
      <c r="AJ222" s="44"/>
      <c r="AK222" s="44"/>
      <c r="AL222" s="44"/>
      <c r="AM222" s="44"/>
      <c r="AN222" s="44"/>
      <c r="AO222" s="44"/>
      <c r="AP222" s="44"/>
      <c r="AQ222" s="44"/>
      <c r="AR222" s="44"/>
      <c r="AS222" s="44"/>
      <c r="AT222" s="44"/>
      <c r="AU222" s="44"/>
    </row>
    <row r="223" spans="1:47" x14ac:dyDescent="0.45">
      <c r="A223" s="3"/>
      <c r="B223" s="13"/>
      <c r="H223" s="23"/>
      <c r="I223" s="23"/>
      <c r="J223" s="23"/>
      <c r="K223" s="23"/>
      <c r="L223" s="23"/>
      <c r="M223" s="23"/>
      <c r="N223" s="26"/>
      <c r="O223" s="26"/>
      <c r="P223" s="26"/>
      <c r="Q223" s="26"/>
      <c r="R223" s="26"/>
      <c r="S223" s="26"/>
      <c r="T223" s="27"/>
      <c r="U223" s="27"/>
      <c r="V223" s="27"/>
      <c r="W223" s="27"/>
      <c r="X223" s="27"/>
      <c r="Y223" s="27"/>
      <c r="Z223" s="28"/>
      <c r="AA223" s="28"/>
      <c r="AB223" s="28"/>
      <c r="AC223" s="28"/>
      <c r="AD223" s="28"/>
      <c r="AE223" s="28"/>
      <c r="AJ223" s="44"/>
      <c r="AK223" s="44"/>
      <c r="AL223" s="44"/>
      <c r="AM223" s="44"/>
      <c r="AN223" s="44"/>
      <c r="AO223" s="44"/>
      <c r="AP223" s="44"/>
      <c r="AQ223" s="44"/>
      <c r="AR223" s="44"/>
      <c r="AS223" s="44"/>
      <c r="AT223" s="44"/>
      <c r="AU223" s="44"/>
    </row>
    <row r="224" spans="1:47" x14ac:dyDescent="0.45">
      <c r="A224" s="3"/>
      <c r="B224" s="13"/>
      <c r="H224" s="23"/>
      <c r="I224" s="23"/>
      <c r="J224" s="23"/>
      <c r="K224" s="23"/>
      <c r="L224" s="23"/>
      <c r="M224" s="23"/>
      <c r="N224" s="26"/>
      <c r="O224" s="26"/>
      <c r="P224" s="26"/>
      <c r="Q224" s="26"/>
      <c r="R224" s="26"/>
      <c r="S224" s="26"/>
      <c r="T224" s="27"/>
      <c r="U224" s="27"/>
      <c r="V224" s="27"/>
      <c r="W224" s="27"/>
      <c r="X224" s="27"/>
      <c r="Y224" s="27"/>
      <c r="Z224" s="28"/>
      <c r="AA224" s="28"/>
      <c r="AB224" s="28"/>
      <c r="AC224" s="28"/>
      <c r="AD224" s="28"/>
      <c r="AE224" s="28"/>
      <c r="AJ224" s="44"/>
      <c r="AK224" s="44"/>
      <c r="AL224" s="44"/>
      <c r="AM224" s="44"/>
      <c r="AN224" s="44"/>
      <c r="AO224" s="44"/>
      <c r="AP224" s="44"/>
      <c r="AQ224" s="44"/>
      <c r="AR224" s="44"/>
      <c r="AS224" s="44"/>
      <c r="AT224" s="44"/>
      <c r="AU224" s="44"/>
    </row>
    <row r="225" spans="1:47" x14ac:dyDescent="0.45">
      <c r="A225" s="3"/>
      <c r="B225" s="13"/>
      <c r="H225" s="23"/>
      <c r="I225" s="23"/>
      <c r="J225" s="23"/>
      <c r="K225" s="23"/>
      <c r="L225" s="23"/>
      <c r="M225" s="23"/>
      <c r="N225" s="26"/>
      <c r="O225" s="26"/>
      <c r="P225" s="26"/>
      <c r="Q225" s="26"/>
      <c r="R225" s="26"/>
      <c r="S225" s="26"/>
      <c r="T225" s="27"/>
      <c r="U225" s="27"/>
      <c r="V225" s="27"/>
      <c r="W225" s="27"/>
      <c r="X225" s="27"/>
      <c r="Y225" s="27"/>
      <c r="Z225" s="28"/>
      <c r="AA225" s="28"/>
      <c r="AB225" s="28"/>
      <c r="AC225" s="28"/>
      <c r="AD225" s="28"/>
      <c r="AE225" s="28"/>
      <c r="AJ225" s="44"/>
      <c r="AK225" s="44"/>
      <c r="AL225" s="44"/>
      <c r="AM225" s="44"/>
      <c r="AN225" s="44"/>
      <c r="AO225" s="44"/>
      <c r="AP225" s="44"/>
      <c r="AQ225" s="44"/>
      <c r="AR225" s="44"/>
      <c r="AS225" s="44"/>
      <c r="AT225" s="44"/>
      <c r="AU225" s="44"/>
    </row>
    <row r="226" spans="1:47" x14ac:dyDescent="0.45">
      <c r="A226" s="3"/>
      <c r="B226" s="13"/>
      <c r="H226" s="23"/>
      <c r="I226" s="23"/>
      <c r="J226" s="23"/>
      <c r="K226" s="23"/>
      <c r="L226" s="23"/>
      <c r="M226" s="23"/>
      <c r="N226" s="26"/>
      <c r="O226" s="26"/>
      <c r="P226" s="26"/>
      <c r="Q226" s="26"/>
      <c r="R226" s="26"/>
      <c r="S226" s="26"/>
      <c r="T226" s="27"/>
      <c r="U226" s="27"/>
      <c r="V226" s="27"/>
      <c r="W226" s="27"/>
      <c r="X226" s="27"/>
      <c r="Y226" s="27"/>
      <c r="Z226" s="28"/>
      <c r="AA226" s="28"/>
      <c r="AB226" s="28"/>
      <c r="AC226" s="28"/>
      <c r="AD226" s="28"/>
      <c r="AE226" s="28"/>
      <c r="AJ226" s="44"/>
      <c r="AK226" s="44"/>
      <c r="AL226" s="44"/>
      <c r="AM226" s="44"/>
      <c r="AN226" s="44"/>
      <c r="AO226" s="44"/>
      <c r="AP226" s="44"/>
      <c r="AQ226" s="44"/>
      <c r="AR226" s="44"/>
      <c r="AS226" s="44"/>
      <c r="AT226" s="44"/>
      <c r="AU226" s="44"/>
    </row>
    <row r="227" spans="1:47" x14ac:dyDescent="0.45">
      <c r="A227" s="3"/>
      <c r="B227" s="13"/>
      <c r="H227" s="23"/>
      <c r="I227" s="23"/>
      <c r="J227" s="23"/>
      <c r="K227" s="23"/>
      <c r="L227" s="23"/>
      <c r="M227" s="23"/>
      <c r="N227" s="26"/>
      <c r="O227" s="26"/>
      <c r="P227" s="26"/>
      <c r="Q227" s="26"/>
      <c r="R227" s="26"/>
      <c r="S227" s="26"/>
      <c r="T227" s="27"/>
      <c r="U227" s="27"/>
      <c r="V227" s="27"/>
      <c r="W227" s="27"/>
      <c r="X227" s="27"/>
      <c r="Y227" s="27"/>
      <c r="Z227" s="28"/>
      <c r="AA227" s="28"/>
      <c r="AB227" s="28"/>
      <c r="AC227" s="28"/>
      <c r="AD227" s="28"/>
      <c r="AE227" s="28"/>
      <c r="AJ227" s="44"/>
      <c r="AK227" s="44"/>
      <c r="AL227" s="44"/>
      <c r="AM227" s="44"/>
      <c r="AN227" s="44"/>
      <c r="AO227" s="44"/>
      <c r="AP227" s="44"/>
      <c r="AQ227" s="44"/>
      <c r="AR227" s="44"/>
      <c r="AS227" s="44"/>
      <c r="AT227" s="44"/>
      <c r="AU227" s="44"/>
    </row>
    <row r="228" spans="1:47" x14ac:dyDescent="0.45">
      <c r="A228" s="3"/>
      <c r="B228" s="13"/>
      <c r="H228" s="23"/>
      <c r="I228" s="23"/>
      <c r="J228" s="23"/>
      <c r="K228" s="23"/>
      <c r="L228" s="23"/>
      <c r="M228" s="23"/>
      <c r="N228" s="26"/>
      <c r="O228" s="26"/>
      <c r="P228" s="26"/>
      <c r="Q228" s="26"/>
      <c r="R228" s="26"/>
      <c r="S228" s="26"/>
      <c r="T228" s="27"/>
      <c r="U228" s="27"/>
      <c r="V228" s="27"/>
      <c r="W228" s="27"/>
      <c r="X228" s="27"/>
      <c r="Y228" s="27"/>
      <c r="Z228" s="28"/>
      <c r="AA228" s="28"/>
      <c r="AB228" s="28"/>
      <c r="AC228" s="28"/>
      <c r="AD228" s="28"/>
      <c r="AE228" s="28"/>
      <c r="AJ228" s="44"/>
      <c r="AK228" s="44"/>
      <c r="AL228" s="44"/>
      <c r="AM228" s="44"/>
      <c r="AN228" s="44"/>
      <c r="AO228" s="44"/>
      <c r="AP228" s="44"/>
      <c r="AQ228" s="44"/>
      <c r="AR228" s="44"/>
      <c r="AS228" s="44"/>
      <c r="AT228" s="44"/>
      <c r="AU228" s="44"/>
    </row>
    <row r="229" spans="1:47" x14ac:dyDescent="0.45">
      <c r="A229" s="3"/>
      <c r="B229" s="13"/>
      <c r="H229" s="23"/>
      <c r="I229" s="23"/>
      <c r="J229" s="23"/>
      <c r="K229" s="23"/>
      <c r="L229" s="23"/>
      <c r="M229" s="23"/>
      <c r="N229" s="26"/>
      <c r="O229" s="26"/>
      <c r="P229" s="26"/>
      <c r="Q229" s="26"/>
      <c r="R229" s="26"/>
      <c r="S229" s="26"/>
      <c r="T229" s="27"/>
      <c r="U229" s="27"/>
      <c r="V229" s="27"/>
      <c r="W229" s="27"/>
      <c r="X229" s="27"/>
      <c r="Y229" s="27"/>
      <c r="Z229" s="28"/>
      <c r="AA229" s="28"/>
      <c r="AB229" s="28"/>
      <c r="AC229" s="28"/>
      <c r="AD229" s="28"/>
      <c r="AE229" s="28"/>
      <c r="AJ229" s="44"/>
      <c r="AK229" s="44"/>
      <c r="AL229" s="44"/>
      <c r="AM229" s="44"/>
      <c r="AN229" s="44"/>
      <c r="AO229" s="44"/>
      <c r="AP229" s="44"/>
      <c r="AQ229" s="44"/>
      <c r="AR229" s="44"/>
      <c r="AS229" s="44"/>
      <c r="AT229" s="44"/>
      <c r="AU229" s="44"/>
    </row>
    <row r="230" spans="1:47" x14ac:dyDescent="0.45">
      <c r="A230" s="3"/>
      <c r="B230" s="13"/>
      <c r="H230" s="23"/>
      <c r="I230" s="23"/>
      <c r="J230" s="23"/>
      <c r="K230" s="23"/>
      <c r="L230" s="23"/>
      <c r="M230" s="23"/>
      <c r="N230" s="26"/>
      <c r="O230" s="26"/>
      <c r="P230" s="26"/>
      <c r="Q230" s="26"/>
      <c r="R230" s="26"/>
      <c r="S230" s="26"/>
      <c r="T230" s="27"/>
      <c r="U230" s="27"/>
      <c r="V230" s="27"/>
      <c r="W230" s="27"/>
      <c r="X230" s="27"/>
      <c r="Y230" s="27"/>
      <c r="Z230" s="28"/>
      <c r="AA230" s="28"/>
      <c r="AB230" s="28"/>
      <c r="AC230" s="28"/>
      <c r="AD230" s="28"/>
      <c r="AE230" s="28"/>
      <c r="AJ230" s="44"/>
      <c r="AK230" s="44"/>
      <c r="AL230" s="44"/>
      <c r="AM230" s="44"/>
      <c r="AN230" s="44"/>
      <c r="AO230" s="44"/>
      <c r="AP230" s="44"/>
      <c r="AQ230" s="44"/>
      <c r="AR230" s="44"/>
      <c r="AS230" s="44"/>
      <c r="AT230" s="44"/>
      <c r="AU230" s="44"/>
    </row>
    <row r="231" spans="1:47" x14ac:dyDescent="0.45">
      <c r="A231" s="3"/>
      <c r="B231" s="13"/>
      <c r="H231" s="23"/>
      <c r="I231" s="23"/>
      <c r="J231" s="23"/>
      <c r="K231" s="23"/>
      <c r="L231" s="23"/>
      <c r="M231" s="23"/>
      <c r="N231" s="26"/>
      <c r="O231" s="26"/>
      <c r="P231" s="26"/>
      <c r="Q231" s="26"/>
      <c r="R231" s="26"/>
      <c r="S231" s="26"/>
      <c r="T231" s="27"/>
      <c r="U231" s="27"/>
      <c r="V231" s="27"/>
      <c r="W231" s="27"/>
      <c r="X231" s="27"/>
      <c r="Y231" s="27"/>
      <c r="Z231" s="28"/>
      <c r="AA231" s="28"/>
      <c r="AB231" s="28"/>
      <c r="AC231" s="28"/>
      <c r="AD231" s="28"/>
      <c r="AE231" s="28"/>
      <c r="AJ231" s="44"/>
      <c r="AK231" s="44"/>
      <c r="AL231" s="44"/>
      <c r="AM231" s="44"/>
      <c r="AN231" s="44"/>
      <c r="AO231" s="44"/>
      <c r="AP231" s="44"/>
      <c r="AQ231" s="44"/>
      <c r="AR231" s="44"/>
      <c r="AS231" s="44"/>
      <c r="AT231" s="44"/>
      <c r="AU231" s="44"/>
    </row>
    <row r="232" spans="1:47" x14ac:dyDescent="0.45">
      <c r="A232" s="3"/>
      <c r="B232" s="13"/>
      <c r="H232" s="23"/>
      <c r="I232" s="23"/>
      <c r="J232" s="23"/>
      <c r="K232" s="23"/>
      <c r="L232" s="23"/>
      <c r="M232" s="23"/>
      <c r="N232" s="26"/>
      <c r="O232" s="26"/>
      <c r="P232" s="26"/>
      <c r="Q232" s="26"/>
      <c r="R232" s="26"/>
      <c r="S232" s="26"/>
      <c r="T232" s="27"/>
      <c r="U232" s="27"/>
      <c r="V232" s="27"/>
      <c r="W232" s="27"/>
      <c r="X232" s="27"/>
      <c r="Y232" s="27"/>
      <c r="Z232" s="28"/>
      <c r="AA232" s="28"/>
      <c r="AB232" s="28"/>
      <c r="AC232" s="28"/>
      <c r="AD232" s="28"/>
      <c r="AE232" s="28"/>
      <c r="AJ232" s="44"/>
      <c r="AK232" s="44"/>
      <c r="AL232" s="44"/>
      <c r="AM232" s="44"/>
      <c r="AN232" s="44"/>
      <c r="AO232" s="44"/>
      <c r="AP232" s="44"/>
      <c r="AQ232" s="44"/>
      <c r="AR232" s="44"/>
      <c r="AS232" s="44"/>
      <c r="AT232" s="44"/>
      <c r="AU232" s="44"/>
    </row>
    <row r="233" spans="1:47" x14ac:dyDescent="0.45">
      <c r="A233" s="3"/>
      <c r="B233" s="13"/>
      <c r="H233" s="23"/>
      <c r="I233" s="23"/>
      <c r="J233" s="23"/>
      <c r="K233" s="23"/>
      <c r="L233" s="23"/>
      <c r="M233" s="23"/>
      <c r="N233" s="26"/>
      <c r="O233" s="26"/>
      <c r="P233" s="26"/>
      <c r="Q233" s="26"/>
      <c r="R233" s="26"/>
      <c r="S233" s="26"/>
      <c r="T233" s="27"/>
      <c r="U233" s="27"/>
      <c r="V233" s="27"/>
      <c r="W233" s="27"/>
      <c r="X233" s="27"/>
      <c r="Y233" s="27"/>
      <c r="Z233" s="28"/>
      <c r="AA233" s="28"/>
      <c r="AB233" s="28"/>
      <c r="AC233" s="28"/>
      <c r="AD233" s="28"/>
      <c r="AE233" s="28"/>
      <c r="AJ233" s="44"/>
      <c r="AK233" s="44"/>
      <c r="AL233" s="44"/>
      <c r="AM233" s="44"/>
      <c r="AN233" s="44"/>
      <c r="AO233" s="44"/>
      <c r="AP233" s="44"/>
      <c r="AQ233" s="44"/>
      <c r="AR233" s="44"/>
      <c r="AS233" s="44"/>
      <c r="AT233" s="44"/>
      <c r="AU233" s="44"/>
    </row>
    <row r="234" spans="1:47" x14ac:dyDescent="0.45">
      <c r="A234" s="3"/>
      <c r="B234" s="13"/>
      <c r="H234" s="23"/>
      <c r="I234" s="23"/>
      <c r="J234" s="23"/>
      <c r="K234" s="23"/>
      <c r="L234" s="23"/>
      <c r="M234" s="23"/>
      <c r="N234" s="26"/>
      <c r="O234" s="26"/>
      <c r="P234" s="26"/>
      <c r="Q234" s="26"/>
      <c r="R234" s="26"/>
      <c r="S234" s="26"/>
      <c r="T234" s="27"/>
      <c r="U234" s="27"/>
      <c r="V234" s="27"/>
      <c r="W234" s="27"/>
      <c r="X234" s="27"/>
      <c r="Y234" s="27"/>
      <c r="Z234" s="28"/>
      <c r="AA234" s="28"/>
      <c r="AB234" s="28"/>
      <c r="AC234" s="28"/>
      <c r="AD234" s="28"/>
      <c r="AE234" s="28"/>
      <c r="AJ234" s="44"/>
      <c r="AK234" s="44"/>
      <c r="AL234" s="44"/>
      <c r="AM234" s="44"/>
      <c r="AN234" s="44"/>
      <c r="AO234" s="44"/>
      <c r="AP234" s="44"/>
      <c r="AQ234" s="44"/>
      <c r="AR234" s="44"/>
      <c r="AS234" s="44"/>
      <c r="AT234" s="44"/>
      <c r="AU234" s="44"/>
    </row>
    <row r="235" spans="1:47" x14ac:dyDescent="0.45">
      <c r="A235" s="3"/>
      <c r="B235" s="13"/>
      <c r="H235" s="23"/>
      <c r="I235" s="23"/>
      <c r="J235" s="23"/>
      <c r="K235" s="23"/>
      <c r="L235" s="23"/>
      <c r="M235" s="23"/>
      <c r="N235" s="26"/>
      <c r="O235" s="26"/>
      <c r="P235" s="26"/>
      <c r="Q235" s="26"/>
      <c r="R235" s="26"/>
      <c r="S235" s="26"/>
      <c r="T235" s="27"/>
      <c r="U235" s="27"/>
      <c r="V235" s="27"/>
      <c r="W235" s="27"/>
      <c r="X235" s="27"/>
      <c r="Y235" s="27"/>
      <c r="Z235" s="28"/>
      <c r="AA235" s="28"/>
      <c r="AB235" s="28"/>
      <c r="AC235" s="28"/>
      <c r="AD235" s="28"/>
      <c r="AE235" s="28"/>
      <c r="AJ235" s="44"/>
      <c r="AK235" s="44"/>
      <c r="AL235" s="44"/>
      <c r="AM235" s="44"/>
      <c r="AN235" s="44"/>
      <c r="AO235" s="44"/>
      <c r="AP235" s="44"/>
      <c r="AQ235" s="44"/>
      <c r="AR235" s="44"/>
      <c r="AS235" s="44"/>
      <c r="AT235" s="44"/>
      <c r="AU235" s="44"/>
    </row>
    <row r="236" spans="1:47" x14ac:dyDescent="0.45">
      <c r="A236" s="3"/>
      <c r="B236" s="13"/>
      <c r="H236" s="23"/>
      <c r="I236" s="23"/>
      <c r="J236" s="23"/>
      <c r="K236" s="23"/>
      <c r="L236" s="23"/>
      <c r="M236" s="23"/>
      <c r="N236" s="26"/>
      <c r="O236" s="26"/>
      <c r="P236" s="26"/>
      <c r="Q236" s="26"/>
      <c r="R236" s="26"/>
      <c r="S236" s="26"/>
      <c r="T236" s="27"/>
      <c r="U236" s="27"/>
      <c r="V236" s="27"/>
      <c r="W236" s="27"/>
      <c r="X236" s="27"/>
      <c r="Y236" s="27"/>
      <c r="Z236" s="28"/>
      <c r="AA236" s="28"/>
      <c r="AB236" s="28"/>
      <c r="AC236" s="28"/>
      <c r="AD236" s="28"/>
      <c r="AE236" s="28"/>
      <c r="AJ236" s="44"/>
      <c r="AK236" s="44"/>
      <c r="AL236" s="44"/>
      <c r="AM236" s="44"/>
      <c r="AN236" s="44"/>
      <c r="AO236" s="44"/>
      <c r="AP236" s="44"/>
      <c r="AQ236" s="44"/>
      <c r="AR236" s="44"/>
      <c r="AS236" s="44"/>
      <c r="AT236" s="44"/>
      <c r="AU236" s="44"/>
    </row>
    <row r="237" spans="1:47" x14ac:dyDescent="0.45">
      <c r="A237" s="3"/>
      <c r="B237" s="13"/>
      <c r="H237" s="23"/>
      <c r="I237" s="23"/>
      <c r="J237" s="23"/>
      <c r="K237" s="23"/>
      <c r="L237" s="23"/>
      <c r="M237" s="23"/>
      <c r="N237" s="26"/>
      <c r="O237" s="26"/>
      <c r="P237" s="26"/>
      <c r="Q237" s="26"/>
      <c r="R237" s="26"/>
      <c r="S237" s="26"/>
      <c r="T237" s="27"/>
      <c r="U237" s="27"/>
      <c r="V237" s="27"/>
      <c r="W237" s="27"/>
      <c r="X237" s="27"/>
      <c r="Y237" s="27"/>
      <c r="Z237" s="28"/>
      <c r="AA237" s="28"/>
      <c r="AB237" s="28"/>
      <c r="AC237" s="28"/>
      <c r="AD237" s="28"/>
      <c r="AE237" s="28"/>
      <c r="AJ237" s="44"/>
      <c r="AK237" s="44"/>
      <c r="AL237" s="44"/>
      <c r="AM237" s="44"/>
      <c r="AN237" s="44"/>
      <c r="AO237" s="44"/>
      <c r="AP237" s="44"/>
      <c r="AQ237" s="44"/>
      <c r="AR237" s="44"/>
      <c r="AS237" s="44"/>
      <c r="AT237" s="44"/>
      <c r="AU237" s="44"/>
    </row>
    <row r="238" spans="1:47" x14ac:dyDescent="0.45">
      <c r="A238" s="3"/>
      <c r="B238" s="13"/>
      <c r="H238" s="23"/>
      <c r="I238" s="23"/>
      <c r="J238" s="23"/>
      <c r="K238" s="23"/>
      <c r="L238" s="23"/>
      <c r="M238" s="23"/>
      <c r="N238" s="26"/>
      <c r="O238" s="26"/>
      <c r="P238" s="26"/>
      <c r="Q238" s="26"/>
      <c r="R238" s="26"/>
      <c r="S238" s="26"/>
      <c r="T238" s="27"/>
      <c r="U238" s="27"/>
      <c r="V238" s="27"/>
      <c r="W238" s="27"/>
      <c r="X238" s="27"/>
      <c r="Y238" s="27"/>
      <c r="Z238" s="28"/>
      <c r="AA238" s="28"/>
      <c r="AB238" s="28"/>
      <c r="AC238" s="28"/>
      <c r="AD238" s="28"/>
      <c r="AE238" s="28"/>
      <c r="AJ238" s="44"/>
      <c r="AK238" s="44"/>
      <c r="AL238" s="44"/>
      <c r="AM238" s="44"/>
      <c r="AN238" s="44"/>
      <c r="AO238" s="44"/>
      <c r="AP238" s="44"/>
      <c r="AQ238" s="44"/>
      <c r="AR238" s="44"/>
      <c r="AS238" s="44"/>
      <c r="AT238" s="44"/>
      <c r="AU238" s="44"/>
    </row>
    <row r="239" spans="1:47" x14ac:dyDescent="0.45">
      <c r="A239" s="3"/>
      <c r="B239" s="13"/>
      <c r="H239" s="23"/>
      <c r="I239" s="23"/>
      <c r="J239" s="23"/>
      <c r="K239" s="23"/>
      <c r="L239" s="23"/>
      <c r="M239" s="23"/>
      <c r="N239" s="26"/>
      <c r="O239" s="26"/>
      <c r="P239" s="26"/>
      <c r="Q239" s="26"/>
      <c r="R239" s="26"/>
      <c r="S239" s="26"/>
      <c r="T239" s="27"/>
      <c r="U239" s="27"/>
      <c r="V239" s="27"/>
      <c r="W239" s="27"/>
      <c r="X239" s="27"/>
      <c r="Y239" s="27"/>
      <c r="Z239" s="28"/>
      <c r="AA239" s="28"/>
      <c r="AB239" s="28"/>
      <c r="AC239" s="28"/>
      <c r="AD239" s="28"/>
      <c r="AE239" s="28"/>
      <c r="AJ239" s="44"/>
      <c r="AK239" s="44"/>
      <c r="AL239" s="44"/>
      <c r="AM239" s="44"/>
      <c r="AN239" s="44"/>
      <c r="AO239" s="44"/>
      <c r="AP239" s="44"/>
      <c r="AQ239" s="44"/>
      <c r="AR239" s="44"/>
      <c r="AS239" s="44"/>
      <c r="AT239" s="44"/>
      <c r="AU239" s="44"/>
    </row>
    <row r="240" spans="1:47" x14ac:dyDescent="0.45">
      <c r="A240" s="3"/>
      <c r="B240" s="13"/>
      <c r="H240" s="23"/>
      <c r="I240" s="23"/>
      <c r="J240" s="23"/>
      <c r="K240" s="23"/>
      <c r="L240" s="23"/>
      <c r="M240" s="23"/>
      <c r="N240" s="26"/>
      <c r="O240" s="26"/>
      <c r="P240" s="26"/>
      <c r="Q240" s="26"/>
      <c r="R240" s="26"/>
      <c r="S240" s="26"/>
      <c r="T240" s="27"/>
      <c r="U240" s="27"/>
      <c r="V240" s="27"/>
      <c r="W240" s="27"/>
      <c r="X240" s="27"/>
      <c r="Y240" s="27"/>
      <c r="Z240" s="28"/>
      <c r="AA240" s="28"/>
      <c r="AB240" s="28"/>
      <c r="AC240" s="28"/>
      <c r="AD240" s="28"/>
      <c r="AE240" s="28"/>
      <c r="AJ240" s="44"/>
      <c r="AK240" s="44"/>
      <c r="AL240" s="44"/>
      <c r="AM240" s="44"/>
      <c r="AN240" s="44"/>
      <c r="AO240" s="44"/>
      <c r="AP240" s="44"/>
      <c r="AQ240" s="44"/>
      <c r="AR240" s="44"/>
      <c r="AS240" s="44"/>
      <c r="AT240" s="44"/>
      <c r="AU240" s="44"/>
    </row>
    <row r="241" spans="1:47" x14ac:dyDescent="0.45">
      <c r="A241" s="3"/>
      <c r="B241" s="13"/>
      <c r="H241" s="23"/>
      <c r="I241" s="23"/>
      <c r="J241" s="23"/>
      <c r="K241" s="23"/>
      <c r="L241" s="23"/>
      <c r="M241" s="23"/>
      <c r="N241" s="26"/>
      <c r="O241" s="26"/>
      <c r="P241" s="26"/>
      <c r="Q241" s="26"/>
      <c r="R241" s="26"/>
      <c r="S241" s="26"/>
      <c r="T241" s="27"/>
      <c r="U241" s="27"/>
      <c r="V241" s="27"/>
      <c r="W241" s="27"/>
      <c r="X241" s="27"/>
      <c r="Y241" s="27"/>
      <c r="Z241" s="28"/>
      <c r="AA241" s="28"/>
      <c r="AB241" s="28"/>
      <c r="AC241" s="28"/>
      <c r="AD241" s="28"/>
      <c r="AE241" s="28"/>
      <c r="AJ241" s="44"/>
      <c r="AK241" s="44"/>
      <c r="AL241" s="44"/>
      <c r="AM241" s="44"/>
      <c r="AN241" s="44"/>
      <c r="AO241" s="44"/>
      <c r="AP241" s="44"/>
      <c r="AQ241" s="44"/>
      <c r="AR241" s="44"/>
      <c r="AS241" s="44"/>
      <c r="AT241" s="44"/>
      <c r="AU241" s="44"/>
    </row>
    <row r="242" spans="1:47" x14ac:dyDescent="0.45">
      <c r="A242" s="3"/>
      <c r="B242" s="13"/>
      <c r="H242" s="23"/>
      <c r="I242" s="23"/>
      <c r="J242" s="23"/>
      <c r="K242" s="23"/>
      <c r="L242" s="23"/>
      <c r="M242" s="23"/>
      <c r="N242" s="26"/>
      <c r="O242" s="26"/>
      <c r="P242" s="26"/>
      <c r="Q242" s="26"/>
      <c r="R242" s="26"/>
      <c r="S242" s="26"/>
      <c r="T242" s="27"/>
      <c r="U242" s="27"/>
      <c r="V242" s="27"/>
      <c r="W242" s="27"/>
      <c r="X242" s="27"/>
      <c r="Y242" s="27"/>
      <c r="Z242" s="28"/>
      <c r="AA242" s="28"/>
      <c r="AB242" s="28"/>
      <c r="AC242" s="28"/>
      <c r="AD242" s="28"/>
      <c r="AE242" s="28"/>
      <c r="AJ242" s="44"/>
      <c r="AK242" s="44"/>
      <c r="AL242" s="44"/>
      <c r="AM242" s="44"/>
      <c r="AN242" s="44"/>
      <c r="AO242" s="44"/>
      <c r="AP242" s="44"/>
      <c r="AQ242" s="44"/>
      <c r="AR242" s="44"/>
      <c r="AS242" s="44"/>
      <c r="AT242" s="44"/>
      <c r="AU242" s="44"/>
    </row>
    <row r="243" spans="1:47" x14ac:dyDescent="0.45">
      <c r="A243" s="3"/>
      <c r="B243" s="13"/>
      <c r="H243" s="23"/>
      <c r="I243" s="23"/>
      <c r="J243" s="23"/>
      <c r="K243" s="23"/>
      <c r="L243" s="23"/>
      <c r="M243" s="23"/>
      <c r="N243" s="26"/>
      <c r="O243" s="26"/>
      <c r="P243" s="26"/>
      <c r="Q243" s="26"/>
      <c r="R243" s="26"/>
      <c r="S243" s="26"/>
      <c r="T243" s="27"/>
      <c r="U243" s="27"/>
      <c r="V243" s="27"/>
      <c r="W243" s="27"/>
      <c r="X243" s="27"/>
      <c r="Y243" s="27"/>
      <c r="Z243" s="28"/>
      <c r="AA243" s="28"/>
      <c r="AB243" s="28"/>
      <c r="AC243" s="28"/>
      <c r="AD243" s="28"/>
      <c r="AE243" s="28"/>
      <c r="AJ243" s="44"/>
      <c r="AK243" s="44"/>
      <c r="AL243" s="44"/>
      <c r="AM243" s="44"/>
      <c r="AN243" s="44"/>
      <c r="AO243" s="44"/>
      <c r="AP243" s="44"/>
      <c r="AQ243" s="44"/>
      <c r="AR243" s="44"/>
      <c r="AS243" s="44"/>
      <c r="AT243" s="44"/>
      <c r="AU243" s="44"/>
    </row>
    <row r="244" spans="1:47" x14ac:dyDescent="0.45">
      <c r="A244" s="3"/>
      <c r="B244" s="13"/>
      <c r="H244" s="23"/>
      <c r="I244" s="23"/>
      <c r="J244" s="23"/>
      <c r="K244" s="23"/>
      <c r="L244" s="23"/>
      <c r="M244" s="23"/>
      <c r="N244" s="26"/>
      <c r="O244" s="26"/>
      <c r="P244" s="26"/>
      <c r="Q244" s="26"/>
      <c r="R244" s="26"/>
      <c r="S244" s="26"/>
      <c r="T244" s="27"/>
      <c r="U244" s="27"/>
      <c r="V244" s="27"/>
      <c r="W244" s="27"/>
      <c r="X244" s="27"/>
      <c r="Y244" s="27"/>
      <c r="Z244" s="28"/>
      <c r="AA244" s="28"/>
      <c r="AB244" s="28"/>
      <c r="AC244" s="28"/>
      <c r="AD244" s="28"/>
      <c r="AE244" s="28"/>
      <c r="AJ244" s="44"/>
      <c r="AK244" s="44"/>
      <c r="AL244" s="44"/>
      <c r="AM244" s="44"/>
      <c r="AN244" s="44"/>
      <c r="AO244" s="44"/>
      <c r="AP244" s="44"/>
      <c r="AQ244" s="44"/>
      <c r="AR244" s="44"/>
      <c r="AS244" s="44"/>
      <c r="AT244" s="44"/>
      <c r="AU244" s="44"/>
    </row>
    <row r="245" spans="1:47" x14ac:dyDescent="0.45">
      <c r="A245" s="3"/>
      <c r="B245" s="13"/>
      <c r="H245" s="23"/>
      <c r="I245" s="23"/>
      <c r="J245" s="23"/>
      <c r="K245" s="23"/>
      <c r="L245" s="23"/>
      <c r="M245" s="23"/>
      <c r="N245" s="26"/>
      <c r="O245" s="26"/>
      <c r="P245" s="26"/>
      <c r="Q245" s="26"/>
      <c r="R245" s="26"/>
      <c r="S245" s="26"/>
      <c r="T245" s="27"/>
      <c r="U245" s="27"/>
      <c r="V245" s="27"/>
      <c r="W245" s="27"/>
      <c r="X245" s="27"/>
      <c r="Y245" s="27"/>
      <c r="Z245" s="28"/>
      <c r="AA245" s="28"/>
      <c r="AB245" s="28"/>
      <c r="AC245" s="28"/>
      <c r="AD245" s="28"/>
      <c r="AE245" s="28"/>
      <c r="AJ245" s="44"/>
      <c r="AK245" s="44"/>
      <c r="AL245" s="44"/>
      <c r="AM245" s="44"/>
      <c r="AN245" s="44"/>
      <c r="AO245" s="44"/>
      <c r="AP245" s="44"/>
      <c r="AQ245" s="44"/>
      <c r="AR245" s="44"/>
      <c r="AS245" s="44"/>
      <c r="AT245" s="44"/>
      <c r="AU245" s="44"/>
    </row>
    <row r="246" spans="1:47" x14ac:dyDescent="0.45">
      <c r="A246" s="3"/>
      <c r="B246" s="13"/>
      <c r="H246" s="23"/>
      <c r="I246" s="23"/>
      <c r="J246" s="23"/>
      <c r="K246" s="23"/>
      <c r="L246" s="23"/>
      <c r="M246" s="23"/>
      <c r="N246" s="26"/>
      <c r="O246" s="26"/>
      <c r="P246" s="26"/>
      <c r="Q246" s="26"/>
      <c r="R246" s="26"/>
      <c r="S246" s="26"/>
      <c r="T246" s="27"/>
      <c r="U246" s="27"/>
      <c r="V246" s="27"/>
      <c r="W246" s="27"/>
      <c r="X246" s="27"/>
      <c r="Y246" s="27"/>
      <c r="Z246" s="28"/>
      <c r="AA246" s="28"/>
      <c r="AB246" s="28"/>
      <c r="AC246" s="28"/>
      <c r="AD246" s="28"/>
      <c r="AE246" s="28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</row>
    <row r="247" spans="1:47" x14ac:dyDescent="0.45">
      <c r="A247" s="3"/>
      <c r="B247" s="13"/>
      <c r="H247" s="23"/>
      <c r="I247" s="23"/>
      <c r="J247" s="23"/>
      <c r="K247" s="23"/>
      <c r="L247" s="23"/>
      <c r="M247" s="23"/>
      <c r="N247" s="26"/>
      <c r="O247" s="26"/>
      <c r="P247" s="26"/>
      <c r="Q247" s="26"/>
      <c r="R247" s="26"/>
      <c r="S247" s="26"/>
      <c r="T247" s="27"/>
      <c r="U247" s="27"/>
      <c r="V247" s="27"/>
      <c r="W247" s="27"/>
      <c r="X247" s="27"/>
      <c r="Y247" s="27"/>
      <c r="Z247" s="28"/>
      <c r="AA247" s="28"/>
      <c r="AB247" s="28"/>
      <c r="AC247" s="28"/>
      <c r="AD247" s="28"/>
      <c r="AE247" s="28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</row>
    <row r="248" spans="1:47" x14ac:dyDescent="0.45">
      <c r="A248" s="3"/>
      <c r="B248" s="13"/>
      <c r="H248" s="23"/>
      <c r="I248" s="23"/>
      <c r="J248" s="23"/>
      <c r="K248" s="23"/>
      <c r="L248" s="23"/>
      <c r="M248" s="23"/>
      <c r="N248" s="26"/>
      <c r="O248" s="26"/>
      <c r="P248" s="26"/>
      <c r="Q248" s="26"/>
      <c r="R248" s="26"/>
      <c r="S248" s="26"/>
      <c r="T248" s="27"/>
      <c r="U248" s="27"/>
      <c r="V248" s="27"/>
      <c r="W248" s="27"/>
      <c r="X248" s="27"/>
      <c r="Y248" s="27"/>
      <c r="Z248" s="28"/>
      <c r="AA248" s="28"/>
      <c r="AB248" s="28"/>
      <c r="AC248" s="28"/>
      <c r="AD248" s="28"/>
      <c r="AE248" s="28"/>
      <c r="AJ248" s="44"/>
      <c r="AK248" s="44"/>
      <c r="AL248" s="44"/>
      <c r="AM248" s="44"/>
      <c r="AN248" s="44"/>
      <c r="AO248" s="44"/>
      <c r="AP248" s="44"/>
      <c r="AQ248" s="44"/>
      <c r="AR248" s="44"/>
      <c r="AS248" s="44"/>
      <c r="AT248" s="44"/>
      <c r="AU248" s="44"/>
    </row>
    <row r="249" spans="1:47" x14ac:dyDescent="0.45">
      <c r="A249" s="3"/>
      <c r="B249" s="13"/>
      <c r="H249" s="23"/>
      <c r="I249" s="23"/>
      <c r="J249" s="23"/>
      <c r="K249" s="23"/>
      <c r="L249" s="23"/>
      <c r="M249" s="23"/>
      <c r="N249" s="26"/>
      <c r="O249" s="26"/>
      <c r="P249" s="26"/>
      <c r="Q249" s="26"/>
      <c r="R249" s="26"/>
      <c r="S249" s="26"/>
      <c r="T249" s="27"/>
      <c r="U249" s="27"/>
      <c r="V249" s="27"/>
      <c r="W249" s="27"/>
      <c r="X249" s="27"/>
      <c r="Y249" s="27"/>
      <c r="Z249" s="28"/>
      <c r="AA249" s="28"/>
      <c r="AB249" s="28"/>
      <c r="AC249" s="28"/>
      <c r="AD249" s="28"/>
      <c r="AE249" s="28"/>
      <c r="AJ249" s="44"/>
      <c r="AK249" s="44"/>
      <c r="AL249" s="44"/>
      <c r="AM249" s="44"/>
      <c r="AN249" s="44"/>
      <c r="AO249" s="44"/>
      <c r="AP249" s="44"/>
      <c r="AQ249" s="44"/>
      <c r="AR249" s="44"/>
      <c r="AS249" s="44"/>
      <c r="AT249" s="44"/>
      <c r="AU249" s="44"/>
    </row>
    <row r="250" spans="1:47" x14ac:dyDescent="0.45">
      <c r="A250" s="3"/>
      <c r="B250" s="13"/>
      <c r="H250" s="23"/>
      <c r="I250" s="23"/>
      <c r="J250" s="23"/>
      <c r="K250" s="23"/>
      <c r="L250" s="23"/>
      <c r="M250" s="23"/>
      <c r="N250" s="26"/>
      <c r="O250" s="26"/>
      <c r="P250" s="26"/>
      <c r="Q250" s="26"/>
      <c r="R250" s="26"/>
      <c r="S250" s="26"/>
      <c r="T250" s="27"/>
      <c r="U250" s="27"/>
      <c r="V250" s="27"/>
      <c r="W250" s="27"/>
      <c r="X250" s="27"/>
      <c r="Y250" s="27"/>
      <c r="Z250" s="28"/>
      <c r="AA250" s="28"/>
      <c r="AB250" s="28"/>
      <c r="AC250" s="28"/>
      <c r="AD250" s="28"/>
      <c r="AE250" s="28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</row>
    <row r="251" spans="1:47" x14ac:dyDescent="0.45">
      <c r="A251" s="3"/>
      <c r="B251" s="13"/>
      <c r="H251" s="23"/>
      <c r="I251" s="23"/>
      <c r="J251" s="23"/>
      <c r="K251" s="23"/>
      <c r="L251" s="23"/>
      <c r="M251" s="23"/>
      <c r="N251" s="26"/>
      <c r="O251" s="26"/>
      <c r="P251" s="26"/>
      <c r="Q251" s="26"/>
      <c r="R251" s="26"/>
      <c r="S251" s="26"/>
      <c r="T251" s="27"/>
      <c r="U251" s="27"/>
      <c r="V251" s="27"/>
      <c r="W251" s="27"/>
      <c r="X251" s="27"/>
      <c r="Y251" s="27"/>
      <c r="Z251" s="28"/>
      <c r="AA251" s="28"/>
      <c r="AB251" s="28"/>
      <c r="AC251" s="28"/>
      <c r="AD251" s="28"/>
      <c r="AE251" s="28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</row>
    <row r="252" spans="1:47" x14ac:dyDescent="0.45">
      <c r="A252" s="3"/>
      <c r="B252" s="13"/>
      <c r="H252" s="23"/>
      <c r="I252" s="23"/>
      <c r="J252" s="23"/>
      <c r="K252" s="23"/>
      <c r="L252" s="23"/>
      <c r="M252" s="23"/>
      <c r="N252" s="26"/>
      <c r="O252" s="26"/>
      <c r="P252" s="26"/>
      <c r="Q252" s="26"/>
      <c r="R252" s="26"/>
      <c r="S252" s="26"/>
      <c r="T252" s="27"/>
      <c r="U252" s="27"/>
      <c r="V252" s="27"/>
      <c r="W252" s="27"/>
      <c r="X252" s="27"/>
      <c r="Y252" s="27"/>
      <c r="Z252" s="28"/>
      <c r="AA252" s="28"/>
      <c r="AB252" s="28"/>
      <c r="AC252" s="28"/>
      <c r="AD252" s="28"/>
      <c r="AE252" s="28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</row>
    <row r="253" spans="1:47" x14ac:dyDescent="0.45">
      <c r="A253" s="3"/>
      <c r="B253" s="13"/>
      <c r="H253" s="23"/>
      <c r="I253" s="23"/>
      <c r="J253" s="23"/>
      <c r="K253" s="23"/>
      <c r="L253" s="23"/>
      <c r="M253" s="23"/>
      <c r="N253" s="26"/>
      <c r="O253" s="26"/>
      <c r="P253" s="26"/>
      <c r="Q253" s="26"/>
      <c r="R253" s="26"/>
      <c r="S253" s="26"/>
      <c r="T253" s="27"/>
      <c r="U253" s="27"/>
      <c r="V253" s="27"/>
      <c r="W253" s="27"/>
      <c r="X253" s="27"/>
      <c r="Y253" s="27"/>
      <c r="Z253" s="28"/>
      <c r="AA253" s="28"/>
      <c r="AB253" s="28"/>
      <c r="AC253" s="28"/>
      <c r="AD253" s="28"/>
      <c r="AE253" s="28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</row>
    <row r="254" spans="1:47" x14ac:dyDescent="0.45">
      <c r="A254" s="3"/>
      <c r="B254" s="13"/>
      <c r="H254" s="23"/>
      <c r="I254" s="23"/>
      <c r="J254" s="23"/>
      <c r="K254" s="23"/>
      <c r="L254" s="23"/>
      <c r="M254" s="23"/>
      <c r="N254" s="26"/>
      <c r="O254" s="26"/>
      <c r="P254" s="26"/>
      <c r="Q254" s="26"/>
      <c r="R254" s="26"/>
      <c r="S254" s="26"/>
      <c r="T254" s="27"/>
      <c r="U254" s="27"/>
      <c r="V254" s="27"/>
      <c r="W254" s="27"/>
      <c r="X254" s="27"/>
      <c r="Y254" s="27"/>
      <c r="Z254" s="28"/>
      <c r="AA254" s="28"/>
      <c r="AB254" s="28"/>
      <c r="AC254" s="28"/>
      <c r="AD254" s="28"/>
      <c r="AE254" s="28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</row>
    <row r="255" spans="1:47" x14ac:dyDescent="0.45">
      <c r="A255" s="3"/>
      <c r="B255" s="13"/>
      <c r="H255" s="23"/>
      <c r="I255" s="23"/>
      <c r="J255" s="23"/>
      <c r="K255" s="23"/>
      <c r="L255" s="23"/>
      <c r="M255" s="23"/>
      <c r="N255" s="26"/>
      <c r="O255" s="26"/>
      <c r="P255" s="26"/>
      <c r="Q255" s="26"/>
      <c r="R255" s="26"/>
      <c r="S255" s="26"/>
      <c r="T255" s="27"/>
      <c r="U255" s="27"/>
      <c r="V255" s="27"/>
      <c r="W255" s="27"/>
      <c r="X255" s="27"/>
      <c r="Y255" s="27"/>
      <c r="Z255" s="28"/>
      <c r="AA255" s="28"/>
      <c r="AB255" s="28"/>
      <c r="AC255" s="28"/>
      <c r="AD255" s="28"/>
      <c r="AE255" s="28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</row>
    <row r="256" spans="1:47" x14ac:dyDescent="0.45">
      <c r="A256" s="3"/>
      <c r="B256" s="13"/>
      <c r="H256" s="23"/>
      <c r="I256" s="23"/>
      <c r="J256" s="23"/>
      <c r="K256" s="23"/>
      <c r="L256" s="23"/>
      <c r="M256" s="23"/>
      <c r="N256" s="26"/>
      <c r="O256" s="26"/>
      <c r="P256" s="26"/>
      <c r="Q256" s="26"/>
      <c r="R256" s="26"/>
      <c r="S256" s="26"/>
      <c r="T256" s="27"/>
      <c r="U256" s="27"/>
      <c r="V256" s="27"/>
      <c r="W256" s="27"/>
      <c r="X256" s="27"/>
      <c r="Y256" s="27"/>
      <c r="Z256" s="28"/>
      <c r="AA256" s="28"/>
      <c r="AB256" s="28"/>
      <c r="AC256" s="28"/>
      <c r="AD256" s="28"/>
      <c r="AE256" s="28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</row>
    <row r="257" spans="1:47" x14ac:dyDescent="0.45">
      <c r="A257" s="3"/>
      <c r="B257" s="13"/>
      <c r="H257" s="23"/>
      <c r="I257" s="23"/>
      <c r="J257" s="23"/>
      <c r="K257" s="23"/>
      <c r="L257" s="23"/>
      <c r="M257" s="23"/>
      <c r="N257" s="26"/>
      <c r="O257" s="26"/>
      <c r="P257" s="26"/>
      <c r="Q257" s="26"/>
      <c r="R257" s="26"/>
      <c r="S257" s="26"/>
      <c r="T257" s="27"/>
      <c r="U257" s="27"/>
      <c r="V257" s="27"/>
      <c r="W257" s="27"/>
      <c r="X257" s="27"/>
      <c r="Y257" s="27"/>
      <c r="Z257" s="28"/>
      <c r="AA257" s="28"/>
      <c r="AB257" s="28"/>
      <c r="AC257" s="28"/>
      <c r="AD257" s="28"/>
      <c r="AE257" s="28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</row>
    <row r="258" spans="1:47" x14ac:dyDescent="0.45">
      <c r="A258" s="3"/>
      <c r="B258" s="13"/>
      <c r="H258" s="23"/>
      <c r="I258" s="23"/>
      <c r="J258" s="23"/>
      <c r="K258" s="23"/>
      <c r="L258" s="23"/>
      <c r="M258" s="23"/>
      <c r="N258" s="26"/>
      <c r="O258" s="26"/>
      <c r="P258" s="26"/>
      <c r="Q258" s="26"/>
      <c r="R258" s="26"/>
      <c r="S258" s="26"/>
      <c r="T258" s="27"/>
      <c r="U258" s="27"/>
      <c r="V258" s="27"/>
      <c r="W258" s="27"/>
      <c r="X258" s="27"/>
      <c r="Y258" s="27"/>
      <c r="Z258" s="28"/>
      <c r="AA258" s="28"/>
      <c r="AB258" s="28"/>
      <c r="AC258" s="28"/>
      <c r="AD258" s="28"/>
      <c r="AE258" s="28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</row>
    <row r="259" spans="1:47" x14ac:dyDescent="0.45">
      <c r="A259" s="3"/>
      <c r="B259" s="13"/>
      <c r="H259" s="23"/>
      <c r="I259" s="23"/>
      <c r="J259" s="23"/>
      <c r="K259" s="23"/>
      <c r="L259" s="23"/>
      <c r="M259" s="23"/>
      <c r="N259" s="26"/>
      <c r="O259" s="26"/>
      <c r="P259" s="26"/>
      <c r="Q259" s="26"/>
      <c r="R259" s="26"/>
      <c r="S259" s="26"/>
      <c r="T259" s="27"/>
      <c r="U259" s="27"/>
      <c r="V259" s="27"/>
      <c r="W259" s="27"/>
      <c r="X259" s="27"/>
      <c r="Y259" s="27"/>
      <c r="Z259" s="28"/>
      <c r="AA259" s="28"/>
      <c r="AB259" s="28"/>
      <c r="AC259" s="28"/>
      <c r="AD259" s="28"/>
      <c r="AE259" s="28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</row>
    <row r="260" spans="1:47" x14ac:dyDescent="0.45">
      <c r="A260" s="3"/>
      <c r="B260" s="13"/>
      <c r="H260" s="23"/>
      <c r="I260" s="23"/>
      <c r="J260" s="23"/>
      <c r="K260" s="23"/>
      <c r="L260" s="23"/>
      <c r="M260" s="23"/>
      <c r="N260" s="26"/>
      <c r="O260" s="26"/>
      <c r="P260" s="26"/>
      <c r="Q260" s="26"/>
      <c r="R260" s="26"/>
      <c r="S260" s="26"/>
      <c r="T260" s="27"/>
      <c r="U260" s="27"/>
      <c r="V260" s="27"/>
      <c r="W260" s="27"/>
      <c r="X260" s="27"/>
      <c r="Y260" s="27"/>
      <c r="Z260" s="28"/>
      <c r="AA260" s="28"/>
      <c r="AB260" s="28"/>
      <c r="AC260" s="28"/>
      <c r="AD260" s="28"/>
      <c r="AE260" s="28"/>
      <c r="AJ260" s="44"/>
      <c r="AK260" s="44"/>
      <c r="AL260" s="44"/>
      <c r="AM260" s="44"/>
      <c r="AN260" s="44"/>
      <c r="AO260" s="44"/>
      <c r="AP260" s="44"/>
      <c r="AQ260" s="44"/>
      <c r="AR260" s="44"/>
      <c r="AS260" s="44"/>
      <c r="AT260" s="44"/>
      <c r="AU260" s="44"/>
    </row>
    <row r="261" spans="1:47" x14ac:dyDescent="0.45">
      <c r="A261" s="3"/>
      <c r="B261" s="13"/>
      <c r="H261" s="23"/>
      <c r="I261" s="23"/>
      <c r="J261" s="23"/>
      <c r="K261" s="23"/>
      <c r="L261" s="23"/>
      <c r="M261" s="23"/>
      <c r="N261" s="26"/>
      <c r="O261" s="26"/>
      <c r="P261" s="26"/>
      <c r="Q261" s="26"/>
      <c r="R261" s="26"/>
      <c r="S261" s="26"/>
      <c r="T261" s="27"/>
      <c r="U261" s="27"/>
      <c r="V261" s="27"/>
      <c r="W261" s="27"/>
      <c r="X261" s="27"/>
      <c r="Y261" s="27"/>
      <c r="Z261" s="28"/>
      <c r="AA261" s="28"/>
      <c r="AB261" s="28"/>
      <c r="AC261" s="28"/>
      <c r="AD261" s="28"/>
      <c r="AE261" s="28"/>
      <c r="AJ261" s="44"/>
      <c r="AK261" s="44"/>
      <c r="AL261" s="44"/>
      <c r="AM261" s="44"/>
      <c r="AN261" s="44"/>
      <c r="AO261" s="44"/>
      <c r="AP261" s="44"/>
      <c r="AQ261" s="44"/>
      <c r="AR261" s="44"/>
      <c r="AS261" s="44"/>
      <c r="AT261" s="44"/>
      <c r="AU261" s="44"/>
    </row>
    <row r="262" spans="1:47" x14ac:dyDescent="0.45">
      <c r="A262" s="3"/>
      <c r="B262" s="13"/>
      <c r="H262" s="23"/>
      <c r="I262" s="23"/>
      <c r="J262" s="23"/>
      <c r="K262" s="23"/>
      <c r="L262" s="23"/>
      <c r="M262" s="23"/>
      <c r="N262" s="26"/>
      <c r="O262" s="26"/>
      <c r="P262" s="26"/>
      <c r="Q262" s="26"/>
      <c r="R262" s="26"/>
      <c r="S262" s="26"/>
      <c r="T262" s="27"/>
      <c r="U262" s="27"/>
      <c r="V262" s="27"/>
      <c r="W262" s="27"/>
      <c r="X262" s="27"/>
      <c r="Y262" s="27"/>
      <c r="Z262" s="28"/>
      <c r="AA262" s="28"/>
      <c r="AB262" s="28"/>
      <c r="AC262" s="28"/>
      <c r="AD262" s="28"/>
      <c r="AE262" s="28"/>
      <c r="AJ262" s="44"/>
      <c r="AK262" s="44"/>
      <c r="AL262" s="44"/>
      <c r="AM262" s="44"/>
      <c r="AN262" s="44"/>
      <c r="AO262" s="44"/>
      <c r="AP262" s="44"/>
      <c r="AQ262" s="44"/>
      <c r="AR262" s="44"/>
      <c r="AS262" s="44"/>
      <c r="AT262" s="44"/>
      <c r="AU262" s="44"/>
    </row>
    <row r="263" spans="1:47" x14ac:dyDescent="0.45">
      <c r="A263" s="3"/>
      <c r="B263" s="13"/>
      <c r="H263" s="23"/>
      <c r="I263" s="23"/>
      <c r="J263" s="23"/>
      <c r="K263" s="23"/>
      <c r="L263" s="23"/>
      <c r="M263" s="23"/>
      <c r="N263" s="26"/>
      <c r="O263" s="26"/>
      <c r="P263" s="26"/>
      <c r="Q263" s="26"/>
      <c r="R263" s="26"/>
      <c r="S263" s="26"/>
      <c r="T263" s="27"/>
      <c r="U263" s="27"/>
      <c r="V263" s="27"/>
      <c r="W263" s="27"/>
      <c r="X263" s="27"/>
      <c r="Y263" s="27"/>
      <c r="Z263" s="28"/>
      <c r="AA263" s="28"/>
      <c r="AB263" s="28"/>
      <c r="AC263" s="28"/>
      <c r="AD263" s="28"/>
      <c r="AE263" s="28"/>
      <c r="AJ263" s="44"/>
      <c r="AK263" s="44"/>
      <c r="AL263" s="44"/>
      <c r="AM263" s="44"/>
      <c r="AN263" s="44"/>
      <c r="AO263" s="44"/>
      <c r="AP263" s="44"/>
      <c r="AQ263" s="44"/>
      <c r="AR263" s="44"/>
      <c r="AS263" s="44"/>
      <c r="AT263" s="44"/>
      <c r="AU263" s="44"/>
    </row>
    <row r="264" spans="1:47" x14ac:dyDescent="0.45">
      <c r="A264" s="3"/>
      <c r="B264" s="13"/>
      <c r="H264" s="23"/>
      <c r="I264" s="23"/>
      <c r="J264" s="23"/>
      <c r="K264" s="23"/>
      <c r="L264" s="23"/>
      <c r="M264" s="23"/>
      <c r="N264" s="26"/>
      <c r="O264" s="26"/>
      <c r="P264" s="26"/>
      <c r="Q264" s="26"/>
      <c r="R264" s="26"/>
      <c r="S264" s="26"/>
      <c r="T264" s="27"/>
      <c r="U264" s="27"/>
      <c r="V264" s="27"/>
      <c r="W264" s="27"/>
      <c r="X264" s="27"/>
      <c r="Y264" s="27"/>
      <c r="Z264" s="28"/>
      <c r="AA264" s="28"/>
      <c r="AB264" s="28"/>
      <c r="AC264" s="28"/>
      <c r="AD264" s="28"/>
      <c r="AE264" s="28"/>
      <c r="AJ264" s="44"/>
      <c r="AK264" s="44"/>
      <c r="AL264" s="44"/>
      <c r="AM264" s="44"/>
      <c r="AN264" s="44"/>
      <c r="AO264" s="44"/>
      <c r="AP264" s="44"/>
      <c r="AQ264" s="44"/>
      <c r="AR264" s="44"/>
      <c r="AS264" s="44"/>
      <c r="AT264" s="44"/>
      <c r="AU264" s="44"/>
    </row>
    <row r="265" spans="1:47" x14ac:dyDescent="0.45">
      <c r="A265" s="3"/>
      <c r="B265" s="13"/>
      <c r="H265" s="23"/>
      <c r="I265" s="23"/>
      <c r="J265" s="23"/>
      <c r="K265" s="23"/>
      <c r="L265" s="23"/>
      <c r="M265" s="23"/>
      <c r="N265" s="26"/>
      <c r="O265" s="26"/>
      <c r="P265" s="26"/>
      <c r="Q265" s="26"/>
      <c r="R265" s="26"/>
      <c r="S265" s="26"/>
      <c r="T265" s="27"/>
      <c r="U265" s="27"/>
      <c r="V265" s="27"/>
      <c r="W265" s="27"/>
      <c r="X265" s="27"/>
      <c r="Y265" s="27"/>
      <c r="Z265" s="28"/>
      <c r="AA265" s="28"/>
      <c r="AB265" s="28"/>
      <c r="AC265" s="28"/>
      <c r="AD265" s="28"/>
      <c r="AE265" s="28"/>
      <c r="AJ265" s="44"/>
      <c r="AK265" s="44"/>
      <c r="AL265" s="44"/>
      <c r="AM265" s="44"/>
      <c r="AN265" s="44"/>
      <c r="AO265" s="44"/>
      <c r="AP265" s="44"/>
      <c r="AQ265" s="44"/>
      <c r="AR265" s="44"/>
      <c r="AS265" s="44"/>
      <c r="AT265" s="44"/>
      <c r="AU265" s="44"/>
    </row>
    <row r="266" spans="1:47" x14ac:dyDescent="0.45">
      <c r="A266" s="3"/>
      <c r="B266" s="13"/>
      <c r="H266" s="23"/>
      <c r="I266" s="23"/>
      <c r="J266" s="23"/>
      <c r="K266" s="23"/>
      <c r="L266" s="23"/>
      <c r="M266" s="23"/>
      <c r="N266" s="26"/>
      <c r="O266" s="26"/>
      <c r="P266" s="26"/>
      <c r="Q266" s="26"/>
      <c r="R266" s="26"/>
      <c r="S266" s="26"/>
      <c r="T266" s="27"/>
      <c r="U266" s="27"/>
      <c r="V266" s="27"/>
      <c r="W266" s="27"/>
      <c r="X266" s="27"/>
      <c r="Y266" s="27"/>
      <c r="Z266" s="28"/>
      <c r="AA266" s="28"/>
      <c r="AB266" s="28"/>
      <c r="AC266" s="28"/>
      <c r="AD266" s="28"/>
      <c r="AE266" s="28"/>
      <c r="AJ266" s="44"/>
      <c r="AK266" s="44"/>
      <c r="AL266" s="44"/>
      <c r="AM266" s="44"/>
      <c r="AN266" s="44"/>
      <c r="AO266" s="44"/>
      <c r="AP266" s="44"/>
      <c r="AQ266" s="44"/>
      <c r="AR266" s="44"/>
      <c r="AS266" s="44"/>
      <c r="AT266" s="44"/>
      <c r="AU266" s="44"/>
    </row>
    <row r="267" spans="1:47" x14ac:dyDescent="0.45">
      <c r="A267" s="3"/>
      <c r="B267" s="13"/>
      <c r="H267" s="23"/>
      <c r="I267" s="23"/>
      <c r="J267" s="23"/>
      <c r="K267" s="23"/>
      <c r="L267" s="23"/>
      <c r="M267" s="23"/>
      <c r="N267" s="26"/>
      <c r="O267" s="26"/>
      <c r="P267" s="26"/>
      <c r="Q267" s="26"/>
      <c r="R267" s="26"/>
      <c r="S267" s="26"/>
      <c r="T267" s="27"/>
      <c r="U267" s="27"/>
      <c r="V267" s="27"/>
      <c r="W267" s="27"/>
      <c r="X267" s="27"/>
      <c r="Y267" s="27"/>
      <c r="Z267" s="28"/>
      <c r="AA267" s="28"/>
      <c r="AB267" s="28"/>
      <c r="AC267" s="28"/>
      <c r="AD267" s="28"/>
      <c r="AE267" s="28"/>
      <c r="AJ267" s="44"/>
      <c r="AK267" s="44"/>
      <c r="AL267" s="44"/>
      <c r="AM267" s="44"/>
      <c r="AN267" s="44"/>
      <c r="AO267" s="44"/>
      <c r="AP267" s="44"/>
      <c r="AQ267" s="44"/>
      <c r="AR267" s="44"/>
      <c r="AS267" s="44"/>
      <c r="AT267" s="44"/>
      <c r="AU267" s="44"/>
    </row>
    <row r="268" spans="1:47" x14ac:dyDescent="0.45">
      <c r="A268" s="3"/>
      <c r="B268" s="13"/>
      <c r="H268" s="23"/>
      <c r="I268" s="23"/>
      <c r="J268" s="23"/>
      <c r="K268" s="23"/>
      <c r="L268" s="23"/>
      <c r="M268" s="23"/>
      <c r="N268" s="26"/>
      <c r="O268" s="26"/>
      <c r="P268" s="26"/>
      <c r="Q268" s="26"/>
      <c r="R268" s="26"/>
      <c r="S268" s="26"/>
      <c r="T268" s="27"/>
      <c r="U268" s="27"/>
      <c r="V268" s="27"/>
      <c r="W268" s="27"/>
      <c r="X268" s="27"/>
      <c r="Y268" s="27"/>
      <c r="Z268" s="28"/>
      <c r="AA268" s="28"/>
      <c r="AB268" s="28"/>
      <c r="AC268" s="28"/>
      <c r="AD268" s="28"/>
      <c r="AE268" s="28"/>
      <c r="AJ268" s="44"/>
      <c r="AK268" s="44"/>
      <c r="AL268" s="44"/>
      <c r="AM268" s="44"/>
      <c r="AN268" s="44"/>
      <c r="AO268" s="44"/>
      <c r="AP268" s="44"/>
      <c r="AQ268" s="44"/>
      <c r="AR268" s="44"/>
      <c r="AS268" s="44"/>
      <c r="AT268" s="44"/>
      <c r="AU268" s="44"/>
    </row>
    <row r="269" spans="1:47" x14ac:dyDescent="0.45">
      <c r="A269" s="3"/>
      <c r="B269" s="13"/>
      <c r="H269" s="23"/>
      <c r="I269" s="23"/>
      <c r="J269" s="23"/>
      <c r="K269" s="23"/>
      <c r="L269" s="23"/>
      <c r="M269" s="23"/>
      <c r="N269" s="26"/>
      <c r="O269" s="26"/>
      <c r="P269" s="26"/>
      <c r="Q269" s="26"/>
      <c r="R269" s="26"/>
      <c r="S269" s="26"/>
      <c r="T269" s="27"/>
      <c r="U269" s="27"/>
      <c r="V269" s="27"/>
      <c r="W269" s="27"/>
      <c r="X269" s="27"/>
      <c r="Y269" s="27"/>
      <c r="Z269" s="28"/>
      <c r="AA269" s="28"/>
      <c r="AB269" s="28"/>
      <c r="AC269" s="28"/>
      <c r="AD269" s="28"/>
      <c r="AE269" s="28"/>
      <c r="AJ269" s="44"/>
      <c r="AK269" s="44"/>
      <c r="AL269" s="44"/>
      <c r="AM269" s="44"/>
      <c r="AN269" s="44"/>
      <c r="AO269" s="44"/>
      <c r="AP269" s="44"/>
      <c r="AQ269" s="44"/>
      <c r="AR269" s="44"/>
      <c r="AS269" s="44"/>
      <c r="AT269" s="44"/>
      <c r="AU269" s="44"/>
    </row>
    <row r="270" spans="1:47" x14ac:dyDescent="0.45">
      <c r="A270" s="3"/>
      <c r="B270" s="13"/>
      <c r="H270" s="23"/>
      <c r="I270" s="23"/>
      <c r="J270" s="23"/>
      <c r="K270" s="23"/>
      <c r="L270" s="23"/>
      <c r="M270" s="23"/>
      <c r="N270" s="26"/>
      <c r="O270" s="26"/>
      <c r="P270" s="26"/>
      <c r="Q270" s="26"/>
      <c r="R270" s="26"/>
      <c r="S270" s="26"/>
      <c r="T270" s="27"/>
      <c r="U270" s="27"/>
      <c r="V270" s="27"/>
      <c r="W270" s="27"/>
      <c r="X270" s="27"/>
      <c r="Y270" s="27"/>
      <c r="Z270" s="28"/>
      <c r="AA270" s="28"/>
      <c r="AB270" s="28"/>
      <c r="AC270" s="28"/>
      <c r="AD270" s="28"/>
      <c r="AE270" s="28"/>
      <c r="AJ270" s="44"/>
      <c r="AK270" s="44"/>
      <c r="AL270" s="44"/>
      <c r="AM270" s="44"/>
      <c r="AN270" s="44"/>
      <c r="AO270" s="44"/>
      <c r="AP270" s="44"/>
      <c r="AQ270" s="44"/>
      <c r="AR270" s="44"/>
      <c r="AS270" s="44"/>
      <c r="AT270" s="44"/>
      <c r="AU270" s="44"/>
    </row>
    <row r="271" spans="1:47" x14ac:dyDescent="0.45">
      <c r="A271" s="3"/>
      <c r="B271" s="13"/>
      <c r="H271" s="23"/>
      <c r="I271" s="23"/>
      <c r="J271" s="23"/>
      <c r="K271" s="23"/>
      <c r="L271" s="23"/>
      <c r="M271" s="23"/>
      <c r="N271" s="26"/>
      <c r="O271" s="26"/>
      <c r="P271" s="26"/>
      <c r="Q271" s="26"/>
      <c r="R271" s="26"/>
      <c r="S271" s="26"/>
      <c r="T271" s="27"/>
      <c r="U271" s="27"/>
      <c r="V271" s="27"/>
      <c r="W271" s="27"/>
      <c r="X271" s="27"/>
      <c r="Y271" s="27"/>
      <c r="Z271" s="28"/>
      <c r="AA271" s="28"/>
      <c r="AB271" s="28"/>
      <c r="AC271" s="28"/>
      <c r="AD271" s="28"/>
      <c r="AE271" s="28"/>
      <c r="AJ271" s="44"/>
      <c r="AK271" s="44"/>
      <c r="AL271" s="44"/>
      <c r="AM271" s="44"/>
      <c r="AN271" s="44"/>
      <c r="AO271" s="44"/>
      <c r="AP271" s="44"/>
      <c r="AQ271" s="44"/>
      <c r="AR271" s="44"/>
      <c r="AS271" s="44"/>
      <c r="AT271" s="44"/>
      <c r="AU271" s="44"/>
    </row>
    <row r="272" spans="1:47" x14ac:dyDescent="0.45">
      <c r="A272" s="3"/>
      <c r="B272" s="13"/>
      <c r="H272" s="23"/>
      <c r="I272" s="23"/>
      <c r="J272" s="23"/>
      <c r="K272" s="23"/>
      <c r="L272" s="23"/>
      <c r="M272" s="23"/>
      <c r="N272" s="26"/>
      <c r="O272" s="26"/>
      <c r="P272" s="26"/>
      <c r="Q272" s="26"/>
      <c r="R272" s="26"/>
      <c r="S272" s="26"/>
      <c r="T272" s="27"/>
      <c r="U272" s="27"/>
      <c r="V272" s="27"/>
      <c r="W272" s="27"/>
      <c r="X272" s="27"/>
      <c r="Y272" s="27"/>
      <c r="Z272" s="28"/>
      <c r="AA272" s="28"/>
      <c r="AB272" s="28"/>
      <c r="AC272" s="28"/>
      <c r="AD272" s="28"/>
      <c r="AE272" s="28"/>
      <c r="AJ272" s="44"/>
      <c r="AK272" s="44"/>
      <c r="AL272" s="44"/>
      <c r="AM272" s="44"/>
      <c r="AN272" s="44"/>
      <c r="AO272" s="44"/>
      <c r="AP272" s="44"/>
      <c r="AQ272" s="44"/>
      <c r="AR272" s="44"/>
      <c r="AS272" s="44"/>
      <c r="AT272" s="44"/>
      <c r="AU272" s="44"/>
    </row>
    <row r="273" spans="1:47" x14ac:dyDescent="0.45">
      <c r="A273" s="3"/>
      <c r="B273" s="13"/>
      <c r="H273" s="23"/>
      <c r="I273" s="23"/>
      <c r="J273" s="23"/>
      <c r="K273" s="23"/>
      <c r="L273" s="23"/>
      <c r="M273" s="23"/>
      <c r="N273" s="26"/>
      <c r="O273" s="26"/>
      <c r="P273" s="26"/>
      <c r="Q273" s="26"/>
      <c r="R273" s="26"/>
      <c r="S273" s="26"/>
      <c r="T273" s="27"/>
      <c r="U273" s="27"/>
      <c r="V273" s="27"/>
      <c r="W273" s="27"/>
      <c r="X273" s="27"/>
      <c r="Y273" s="27"/>
      <c r="Z273" s="28"/>
      <c r="AA273" s="28"/>
      <c r="AB273" s="28"/>
      <c r="AC273" s="28"/>
      <c r="AD273" s="28"/>
      <c r="AE273" s="28"/>
      <c r="AJ273" s="44"/>
      <c r="AK273" s="44"/>
      <c r="AL273" s="44"/>
      <c r="AM273" s="44"/>
      <c r="AN273" s="44"/>
      <c r="AO273" s="44"/>
      <c r="AP273" s="44"/>
      <c r="AQ273" s="44"/>
      <c r="AR273" s="44"/>
      <c r="AS273" s="44"/>
      <c r="AT273" s="44"/>
      <c r="AU273" s="44"/>
    </row>
    <row r="274" spans="1:47" x14ac:dyDescent="0.45">
      <c r="A274" s="3"/>
      <c r="B274" s="13"/>
      <c r="H274" s="23"/>
      <c r="I274" s="23"/>
      <c r="J274" s="23"/>
      <c r="K274" s="23"/>
      <c r="L274" s="23"/>
      <c r="M274" s="23"/>
      <c r="N274" s="26"/>
      <c r="O274" s="26"/>
      <c r="P274" s="26"/>
      <c r="Q274" s="26"/>
      <c r="R274" s="26"/>
      <c r="S274" s="26"/>
      <c r="T274" s="27"/>
      <c r="U274" s="27"/>
      <c r="V274" s="27"/>
      <c r="W274" s="27"/>
      <c r="X274" s="27"/>
      <c r="Y274" s="27"/>
      <c r="Z274" s="28"/>
      <c r="AA274" s="28"/>
      <c r="AB274" s="28"/>
      <c r="AC274" s="28"/>
      <c r="AD274" s="28"/>
      <c r="AE274" s="28"/>
      <c r="AJ274" s="44"/>
      <c r="AK274" s="44"/>
      <c r="AL274" s="44"/>
      <c r="AM274" s="44"/>
      <c r="AN274" s="44"/>
      <c r="AO274" s="44"/>
      <c r="AP274" s="44"/>
      <c r="AQ274" s="44"/>
      <c r="AR274" s="44"/>
      <c r="AS274" s="44"/>
      <c r="AT274" s="44"/>
      <c r="AU274" s="44"/>
    </row>
    <row r="275" spans="1:47" x14ac:dyDescent="0.45">
      <c r="A275" s="3"/>
      <c r="B275" s="13"/>
      <c r="H275" s="23"/>
      <c r="I275" s="23"/>
      <c r="J275" s="23"/>
      <c r="K275" s="23"/>
      <c r="L275" s="23"/>
      <c r="M275" s="23"/>
      <c r="N275" s="26"/>
      <c r="O275" s="26"/>
      <c r="P275" s="26"/>
      <c r="Q275" s="26"/>
      <c r="R275" s="26"/>
      <c r="S275" s="26"/>
      <c r="T275" s="27"/>
      <c r="U275" s="27"/>
      <c r="V275" s="27"/>
      <c r="W275" s="27"/>
      <c r="X275" s="27"/>
      <c r="Y275" s="27"/>
      <c r="Z275" s="28"/>
      <c r="AA275" s="28"/>
      <c r="AB275" s="28"/>
      <c r="AC275" s="28"/>
      <c r="AD275" s="28"/>
      <c r="AE275" s="28"/>
      <c r="AJ275" s="44"/>
      <c r="AK275" s="44"/>
      <c r="AL275" s="44"/>
      <c r="AM275" s="44"/>
      <c r="AN275" s="44"/>
      <c r="AO275" s="44"/>
      <c r="AP275" s="44"/>
      <c r="AQ275" s="44"/>
      <c r="AR275" s="44"/>
      <c r="AS275" s="44"/>
      <c r="AT275" s="44"/>
      <c r="AU275" s="44"/>
    </row>
    <row r="276" spans="1:47" x14ac:dyDescent="0.45">
      <c r="A276" s="3"/>
      <c r="B276" s="13"/>
      <c r="H276" s="23"/>
      <c r="I276" s="23"/>
      <c r="J276" s="23"/>
      <c r="K276" s="23"/>
      <c r="L276" s="23"/>
      <c r="M276" s="23"/>
      <c r="N276" s="26"/>
      <c r="O276" s="26"/>
      <c r="P276" s="26"/>
      <c r="Q276" s="26"/>
      <c r="R276" s="26"/>
      <c r="S276" s="26"/>
      <c r="T276" s="27"/>
      <c r="U276" s="27"/>
      <c r="V276" s="27"/>
      <c r="W276" s="27"/>
      <c r="X276" s="27"/>
      <c r="Y276" s="27"/>
      <c r="Z276" s="28"/>
      <c r="AA276" s="28"/>
      <c r="AB276" s="28"/>
      <c r="AC276" s="28"/>
      <c r="AD276" s="28"/>
      <c r="AE276" s="28"/>
      <c r="AJ276" s="44"/>
      <c r="AK276" s="44"/>
      <c r="AL276" s="44"/>
      <c r="AM276" s="44"/>
      <c r="AN276" s="44"/>
      <c r="AO276" s="44"/>
      <c r="AP276" s="44"/>
      <c r="AQ276" s="44"/>
      <c r="AR276" s="44"/>
      <c r="AS276" s="44"/>
      <c r="AT276" s="44"/>
      <c r="AU276" s="44"/>
    </row>
    <row r="277" spans="1:47" x14ac:dyDescent="0.45">
      <c r="A277" s="3"/>
      <c r="B277" s="13"/>
      <c r="H277" s="23"/>
      <c r="I277" s="23"/>
      <c r="J277" s="23"/>
      <c r="K277" s="23"/>
      <c r="L277" s="23"/>
      <c r="M277" s="23"/>
      <c r="N277" s="26"/>
      <c r="O277" s="26"/>
      <c r="P277" s="26"/>
      <c r="Q277" s="26"/>
      <c r="R277" s="26"/>
      <c r="S277" s="26"/>
      <c r="T277" s="27"/>
      <c r="U277" s="27"/>
      <c r="V277" s="27"/>
      <c r="W277" s="27"/>
      <c r="X277" s="27"/>
      <c r="Y277" s="27"/>
      <c r="Z277" s="28"/>
      <c r="AA277" s="28"/>
      <c r="AB277" s="28"/>
      <c r="AC277" s="28"/>
      <c r="AD277" s="28"/>
      <c r="AE277" s="28"/>
      <c r="AJ277" s="44"/>
      <c r="AK277" s="44"/>
      <c r="AL277" s="44"/>
      <c r="AM277" s="44"/>
      <c r="AN277" s="44"/>
      <c r="AO277" s="44"/>
      <c r="AP277" s="44"/>
      <c r="AQ277" s="44"/>
      <c r="AR277" s="44"/>
      <c r="AS277" s="44"/>
      <c r="AT277" s="44"/>
      <c r="AU277" s="44"/>
    </row>
    <row r="278" spans="1:47" x14ac:dyDescent="0.45">
      <c r="A278" s="3"/>
      <c r="B278" s="13"/>
      <c r="H278" s="23"/>
      <c r="I278" s="23"/>
      <c r="J278" s="23"/>
      <c r="K278" s="23"/>
      <c r="L278" s="23"/>
      <c r="M278" s="23"/>
      <c r="N278" s="26"/>
      <c r="O278" s="26"/>
      <c r="P278" s="26"/>
      <c r="Q278" s="26"/>
      <c r="R278" s="26"/>
      <c r="S278" s="26"/>
      <c r="T278" s="27"/>
      <c r="U278" s="27"/>
      <c r="V278" s="27"/>
      <c r="W278" s="27"/>
      <c r="X278" s="27"/>
      <c r="Y278" s="27"/>
      <c r="Z278" s="28"/>
      <c r="AA278" s="28"/>
      <c r="AB278" s="28"/>
      <c r="AC278" s="28"/>
      <c r="AD278" s="28"/>
      <c r="AE278" s="28"/>
      <c r="AJ278" s="44"/>
      <c r="AK278" s="44"/>
      <c r="AL278" s="44"/>
      <c r="AM278" s="44"/>
      <c r="AN278" s="44"/>
      <c r="AO278" s="44"/>
      <c r="AP278" s="44"/>
      <c r="AQ278" s="44"/>
      <c r="AR278" s="44"/>
      <c r="AS278" s="44"/>
      <c r="AT278" s="44"/>
      <c r="AU278" s="44"/>
    </row>
    <row r="279" spans="1:47" x14ac:dyDescent="0.45">
      <c r="A279" s="3"/>
      <c r="B279" s="13"/>
      <c r="H279" s="23"/>
      <c r="I279" s="23"/>
      <c r="J279" s="23"/>
      <c r="K279" s="23"/>
      <c r="L279" s="23"/>
      <c r="M279" s="23"/>
      <c r="N279" s="26"/>
      <c r="O279" s="26"/>
      <c r="P279" s="26"/>
      <c r="Q279" s="26"/>
      <c r="R279" s="26"/>
      <c r="S279" s="26"/>
      <c r="T279" s="27"/>
      <c r="U279" s="27"/>
      <c r="V279" s="27"/>
      <c r="W279" s="27"/>
      <c r="X279" s="27"/>
      <c r="Y279" s="27"/>
      <c r="Z279" s="28"/>
      <c r="AA279" s="28"/>
      <c r="AB279" s="28"/>
      <c r="AC279" s="28"/>
      <c r="AD279" s="28"/>
      <c r="AE279" s="28"/>
      <c r="AJ279" s="44"/>
      <c r="AK279" s="44"/>
      <c r="AL279" s="44"/>
      <c r="AM279" s="44"/>
      <c r="AN279" s="44"/>
      <c r="AO279" s="44"/>
      <c r="AP279" s="44"/>
      <c r="AQ279" s="44"/>
      <c r="AR279" s="44"/>
      <c r="AS279" s="44"/>
      <c r="AT279" s="44"/>
      <c r="AU279" s="44"/>
    </row>
    <row r="280" spans="1:47" x14ac:dyDescent="0.45">
      <c r="A280" s="3"/>
      <c r="B280" s="13"/>
      <c r="H280" s="23"/>
      <c r="I280" s="23"/>
      <c r="J280" s="23"/>
      <c r="K280" s="23"/>
      <c r="L280" s="23"/>
      <c r="M280" s="23"/>
      <c r="N280" s="26"/>
      <c r="O280" s="26"/>
      <c r="P280" s="26"/>
      <c r="Q280" s="26"/>
      <c r="R280" s="26"/>
      <c r="S280" s="26"/>
      <c r="T280" s="27"/>
      <c r="U280" s="27"/>
      <c r="V280" s="27"/>
      <c r="W280" s="27"/>
      <c r="X280" s="27"/>
      <c r="Y280" s="27"/>
      <c r="Z280" s="28"/>
      <c r="AA280" s="28"/>
      <c r="AB280" s="28"/>
      <c r="AC280" s="28"/>
      <c r="AD280" s="28"/>
      <c r="AE280" s="28"/>
      <c r="AJ280" s="44"/>
      <c r="AK280" s="44"/>
      <c r="AL280" s="44"/>
      <c r="AM280" s="44"/>
      <c r="AN280" s="44"/>
      <c r="AO280" s="44"/>
      <c r="AP280" s="44"/>
      <c r="AQ280" s="44"/>
      <c r="AR280" s="44"/>
      <c r="AS280" s="44"/>
      <c r="AT280" s="44"/>
      <c r="AU280" s="44"/>
    </row>
    <row r="281" spans="1:47" x14ac:dyDescent="0.45">
      <c r="A281" s="3"/>
      <c r="B281" s="13"/>
      <c r="H281" s="23"/>
      <c r="I281" s="23"/>
      <c r="J281" s="23"/>
      <c r="K281" s="23"/>
      <c r="L281" s="23"/>
      <c r="M281" s="23"/>
      <c r="N281" s="26"/>
      <c r="O281" s="26"/>
      <c r="P281" s="26"/>
      <c r="Q281" s="26"/>
      <c r="R281" s="26"/>
      <c r="S281" s="26"/>
      <c r="T281" s="27"/>
      <c r="U281" s="27"/>
      <c r="V281" s="27"/>
      <c r="W281" s="27"/>
      <c r="X281" s="27"/>
      <c r="Y281" s="27"/>
      <c r="Z281" s="28"/>
      <c r="AA281" s="28"/>
      <c r="AB281" s="28"/>
      <c r="AC281" s="28"/>
      <c r="AD281" s="28"/>
      <c r="AE281" s="28"/>
      <c r="AJ281" s="44"/>
      <c r="AK281" s="44"/>
      <c r="AL281" s="44"/>
      <c r="AM281" s="44"/>
      <c r="AN281" s="44"/>
      <c r="AO281" s="44"/>
      <c r="AP281" s="44"/>
      <c r="AQ281" s="44"/>
      <c r="AR281" s="44"/>
      <c r="AS281" s="44"/>
      <c r="AT281" s="44"/>
      <c r="AU281" s="44"/>
    </row>
    <row r="282" spans="1:47" x14ac:dyDescent="0.45">
      <c r="A282" s="3"/>
      <c r="B282" s="13"/>
      <c r="H282" s="23"/>
      <c r="I282" s="23"/>
      <c r="J282" s="23"/>
      <c r="K282" s="23"/>
      <c r="L282" s="23"/>
      <c r="M282" s="23"/>
      <c r="N282" s="26"/>
      <c r="O282" s="26"/>
      <c r="P282" s="26"/>
      <c r="Q282" s="26"/>
      <c r="R282" s="26"/>
      <c r="S282" s="26"/>
      <c r="T282" s="27"/>
      <c r="U282" s="27"/>
      <c r="V282" s="27"/>
      <c r="W282" s="27"/>
      <c r="X282" s="27"/>
      <c r="Y282" s="27"/>
      <c r="Z282" s="28"/>
      <c r="AA282" s="28"/>
      <c r="AB282" s="28"/>
      <c r="AC282" s="28"/>
      <c r="AD282" s="28"/>
      <c r="AE282" s="28"/>
      <c r="AJ282" s="44"/>
      <c r="AK282" s="44"/>
      <c r="AL282" s="44"/>
      <c r="AM282" s="44"/>
      <c r="AN282" s="44"/>
      <c r="AO282" s="44"/>
      <c r="AP282" s="44"/>
      <c r="AQ282" s="44"/>
      <c r="AR282" s="44"/>
      <c r="AS282" s="44"/>
      <c r="AT282" s="44"/>
      <c r="AU282" s="44"/>
    </row>
    <row r="283" spans="1:47" x14ac:dyDescent="0.45">
      <c r="A283" s="3"/>
      <c r="B283" s="13"/>
      <c r="H283" s="23"/>
      <c r="I283" s="23"/>
      <c r="J283" s="23"/>
      <c r="K283" s="23"/>
      <c r="L283" s="23"/>
      <c r="M283" s="23"/>
      <c r="N283" s="26"/>
      <c r="O283" s="26"/>
      <c r="P283" s="26"/>
      <c r="Q283" s="26"/>
      <c r="R283" s="26"/>
      <c r="S283" s="26"/>
      <c r="T283" s="27"/>
      <c r="U283" s="27"/>
      <c r="V283" s="27"/>
      <c r="W283" s="27"/>
      <c r="X283" s="27"/>
      <c r="Y283" s="27"/>
      <c r="Z283" s="28"/>
      <c r="AA283" s="28"/>
      <c r="AB283" s="28"/>
      <c r="AC283" s="28"/>
      <c r="AD283" s="28"/>
      <c r="AE283" s="28"/>
      <c r="AJ283" s="44"/>
      <c r="AK283" s="44"/>
      <c r="AL283" s="44"/>
      <c r="AM283" s="44"/>
      <c r="AN283" s="44"/>
      <c r="AO283" s="44"/>
      <c r="AP283" s="44"/>
      <c r="AQ283" s="44"/>
      <c r="AR283" s="44"/>
      <c r="AS283" s="44"/>
      <c r="AT283" s="44"/>
      <c r="AU283" s="44"/>
    </row>
    <row r="284" spans="1:47" x14ac:dyDescent="0.45">
      <c r="A284" s="3"/>
      <c r="B284" s="13"/>
      <c r="H284" s="23"/>
      <c r="I284" s="23"/>
      <c r="J284" s="23"/>
      <c r="K284" s="23"/>
      <c r="L284" s="23"/>
      <c r="M284" s="23"/>
      <c r="N284" s="26"/>
      <c r="O284" s="26"/>
      <c r="P284" s="26"/>
      <c r="Q284" s="26"/>
      <c r="R284" s="26"/>
      <c r="S284" s="26"/>
      <c r="T284" s="27"/>
      <c r="U284" s="27"/>
      <c r="V284" s="27"/>
      <c r="W284" s="27"/>
      <c r="X284" s="27"/>
      <c r="Y284" s="27"/>
      <c r="Z284" s="28"/>
      <c r="AA284" s="28"/>
      <c r="AB284" s="28"/>
      <c r="AC284" s="28"/>
      <c r="AD284" s="28"/>
      <c r="AE284" s="28"/>
      <c r="AJ284" s="44"/>
      <c r="AK284" s="44"/>
      <c r="AL284" s="44"/>
      <c r="AM284" s="44"/>
      <c r="AN284" s="44"/>
      <c r="AO284" s="44"/>
      <c r="AP284" s="44"/>
      <c r="AQ284" s="44"/>
      <c r="AR284" s="44"/>
      <c r="AS284" s="44"/>
      <c r="AT284" s="44"/>
      <c r="AU284" s="44"/>
    </row>
    <row r="285" spans="1:47" x14ac:dyDescent="0.45">
      <c r="A285" s="3"/>
      <c r="B285" s="13"/>
      <c r="H285" s="23"/>
      <c r="I285" s="23"/>
      <c r="J285" s="23"/>
      <c r="K285" s="23"/>
      <c r="L285" s="23"/>
      <c r="M285" s="23"/>
      <c r="N285" s="26"/>
      <c r="O285" s="26"/>
      <c r="P285" s="26"/>
      <c r="Q285" s="26"/>
      <c r="R285" s="26"/>
      <c r="S285" s="26"/>
      <c r="T285" s="27"/>
      <c r="U285" s="27"/>
      <c r="V285" s="27"/>
      <c r="W285" s="27"/>
      <c r="X285" s="27"/>
      <c r="Y285" s="27"/>
      <c r="Z285" s="28"/>
      <c r="AA285" s="28"/>
      <c r="AB285" s="28"/>
      <c r="AC285" s="28"/>
      <c r="AD285" s="28"/>
      <c r="AE285" s="28"/>
      <c r="AJ285" s="44"/>
      <c r="AK285" s="44"/>
      <c r="AL285" s="44"/>
      <c r="AM285" s="44"/>
      <c r="AN285" s="44"/>
      <c r="AO285" s="44"/>
      <c r="AP285" s="44"/>
      <c r="AQ285" s="44"/>
      <c r="AR285" s="44"/>
      <c r="AS285" s="44"/>
      <c r="AT285" s="44"/>
      <c r="AU285" s="44"/>
    </row>
    <row r="286" spans="1:47" x14ac:dyDescent="0.45">
      <c r="A286" s="3"/>
      <c r="B286" s="13"/>
      <c r="H286" s="23"/>
      <c r="I286" s="23"/>
      <c r="J286" s="23"/>
      <c r="K286" s="23"/>
      <c r="L286" s="23"/>
      <c r="M286" s="23"/>
      <c r="N286" s="26"/>
      <c r="O286" s="26"/>
      <c r="P286" s="26"/>
      <c r="Q286" s="26"/>
      <c r="R286" s="26"/>
      <c r="S286" s="26"/>
      <c r="T286" s="27"/>
      <c r="U286" s="27"/>
      <c r="V286" s="27"/>
      <c r="W286" s="27"/>
      <c r="X286" s="27"/>
      <c r="Y286" s="27"/>
      <c r="Z286" s="28"/>
      <c r="AA286" s="28"/>
      <c r="AB286" s="28"/>
      <c r="AC286" s="28"/>
      <c r="AD286" s="28"/>
      <c r="AE286" s="28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</row>
    <row r="287" spans="1:47" x14ac:dyDescent="0.45">
      <c r="A287" s="3"/>
      <c r="B287" s="13"/>
      <c r="H287" s="23"/>
      <c r="I287" s="23"/>
      <c r="J287" s="23"/>
      <c r="K287" s="23"/>
      <c r="L287" s="23"/>
      <c r="M287" s="23"/>
      <c r="N287" s="26"/>
      <c r="O287" s="26"/>
      <c r="P287" s="26"/>
      <c r="Q287" s="26"/>
      <c r="R287" s="26"/>
      <c r="S287" s="26"/>
      <c r="T287" s="27"/>
      <c r="U287" s="27"/>
      <c r="V287" s="27"/>
      <c r="W287" s="27"/>
      <c r="X287" s="27"/>
      <c r="Y287" s="27"/>
      <c r="Z287" s="28"/>
      <c r="AA287" s="28"/>
      <c r="AB287" s="28"/>
      <c r="AC287" s="28"/>
      <c r="AD287" s="28"/>
      <c r="AE287" s="28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</row>
    <row r="288" spans="1:47" x14ac:dyDescent="0.45">
      <c r="A288" s="3"/>
      <c r="B288" s="13"/>
      <c r="H288" s="23"/>
      <c r="I288" s="23"/>
      <c r="J288" s="23"/>
      <c r="K288" s="23"/>
      <c r="L288" s="23"/>
      <c r="M288" s="23"/>
      <c r="N288" s="26"/>
      <c r="O288" s="26"/>
      <c r="P288" s="26"/>
      <c r="Q288" s="26"/>
      <c r="R288" s="26"/>
      <c r="S288" s="26"/>
      <c r="T288" s="27"/>
      <c r="U288" s="27"/>
      <c r="V288" s="27"/>
      <c r="W288" s="27"/>
      <c r="X288" s="27"/>
      <c r="Y288" s="27"/>
      <c r="Z288" s="28"/>
      <c r="AA288" s="28"/>
      <c r="AB288" s="28"/>
      <c r="AC288" s="28"/>
      <c r="AD288" s="28"/>
      <c r="AE288" s="28"/>
      <c r="AJ288" s="44"/>
      <c r="AK288" s="44"/>
      <c r="AL288" s="44"/>
      <c r="AM288" s="44"/>
      <c r="AN288" s="44"/>
      <c r="AO288" s="44"/>
      <c r="AP288" s="44"/>
      <c r="AQ288" s="44"/>
      <c r="AR288" s="44"/>
      <c r="AS288" s="44"/>
      <c r="AT288" s="44"/>
      <c r="AU288" s="44"/>
    </row>
    <row r="289" spans="1:47" x14ac:dyDescent="0.45">
      <c r="A289" s="3"/>
      <c r="B289" s="13"/>
      <c r="H289" s="23"/>
      <c r="I289" s="23"/>
      <c r="J289" s="23"/>
      <c r="K289" s="23"/>
      <c r="L289" s="23"/>
      <c r="M289" s="23"/>
      <c r="N289" s="26"/>
      <c r="O289" s="26"/>
      <c r="P289" s="26"/>
      <c r="Q289" s="26"/>
      <c r="R289" s="26"/>
      <c r="S289" s="26"/>
      <c r="T289" s="27"/>
      <c r="U289" s="27"/>
      <c r="V289" s="27"/>
      <c r="W289" s="27"/>
      <c r="X289" s="27"/>
      <c r="Y289" s="27"/>
      <c r="Z289" s="28"/>
      <c r="AA289" s="28"/>
      <c r="AB289" s="28"/>
      <c r="AC289" s="28"/>
      <c r="AD289" s="28"/>
      <c r="AE289" s="28"/>
      <c r="AJ289" s="44"/>
      <c r="AK289" s="44"/>
      <c r="AL289" s="44"/>
      <c r="AM289" s="44"/>
      <c r="AN289" s="44"/>
      <c r="AO289" s="44"/>
      <c r="AP289" s="44"/>
      <c r="AQ289" s="44"/>
      <c r="AR289" s="44"/>
      <c r="AS289" s="44"/>
      <c r="AT289" s="44"/>
      <c r="AU289" s="44"/>
    </row>
    <row r="290" spans="1:47" x14ac:dyDescent="0.45">
      <c r="A290" s="3"/>
      <c r="B290" s="13"/>
      <c r="H290" s="23"/>
      <c r="I290" s="23"/>
      <c r="J290" s="23"/>
      <c r="K290" s="23"/>
      <c r="L290" s="23"/>
      <c r="M290" s="23"/>
      <c r="N290" s="26"/>
      <c r="O290" s="26"/>
      <c r="P290" s="26"/>
      <c r="Q290" s="26"/>
      <c r="R290" s="26"/>
      <c r="S290" s="26"/>
      <c r="T290" s="27"/>
      <c r="U290" s="27"/>
      <c r="V290" s="27"/>
      <c r="W290" s="27"/>
      <c r="X290" s="27"/>
      <c r="Y290" s="27"/>
      <c r="Z290" s="28"/>
      <c r="AA290" s="28"/>
      <c r="AB290" s="28"/>
      <c r="AC290" s="28"/>
      <c r="AD290" s="28"/>
      <c r="AE290" s="28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</row>
    <row r="291" spans="1:47" x14ac:dyDescent="0.45">
      <c r="A291" s="3"/>
      <c r="B291" s="13"/>
      <c r="H291" s="23"/>
      <c r="I291" s="23"/>
      <c r="J291" s="23"/>
      <c r="K291" s="23"/>
      <c r="L291" s="23"/>
      <c r="M291" s="23"/>
      <c r="N291" s="26"/>
      <c r="O291" s="26"/>
      <c r="P291" s="26"/>
      <c r="Q291" s="26"/>
      <c r="R291" s="26"/>
      <c r="S291" s="26"/>
      <c r="T291" s="27"/>
      <c r="U291" s="27"/>
      <c r="V291" s="27"/>
      <c r="W291" s="27"/>
      <c r="X291" s="27"/>
      <c r="Y291" s="27"/>
      <c r="Z291" s="28"/>
      <c r="AA291" s="28"/>
      <c r="AB291" s="28"/>
      <c r="AC291" s="28"/>
      <c r="AD291" s="28"/>
      <c r="AE291" s="28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</row>
    <row r="292" spans="1:47" x14ac:dyDescent="0.45">
      <c r="A292" s="3"/>
      <c r="B292" s="13"/>
      <c r="H292" s="23"/>
      <c r="I292" s="23"/>
      <c r="J292" s="23"/>
      <c r="K292" s="23"/>
      <c r="L292" s="23"/>
      <c r="M292" s="23"/>
      <c r="N292" s="26"/>
      <c r="O292" s="26"/>
      <c r="P292" s="26"/>
      <c r="Q292" s="26"/>
      <c r="R292" s="26"/>
      <c r="S292" s="26"/>
      <c r="T292" s="27"/>
      <c r="U292" s="27"/>
      <c r="V292" s="27"/>
      <c r="W292" s="27"/>
      <c r="X292" s="27"/>
      <c r="Y292" s="27"/>
      <c r="Z292" s="28"/>
      <c r="AA292" s="28"/>
      <c r="AB292" s="28"/>
      <c r="AC292" s="28"/>
      <c r="AD292" s="28"/>
      <c r="AE292" s="28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</row>
    <row r="293" spans="1:47" x14ac:dyDescent="0.45">
      <c r="A293" s="3"/>
      <c r="B293" s="13"/>
      <c r="H293" s="23"/>
      <c r="I293" s="23"/>
      <c r="J293" s="23"/>
      <c r="K293" s="23"/>
      <c r="L293" s="23"/>
      <c r="M293" s="23"/>
      <c r="N293" s="26"/>
      <c r="O293" s="26"/>
      <c r="P293" s="26"/>
      <c r="Q293" s="26"/>
      <c r="R293" s="26"/>
      <c r="S293" s="26"/>
      <c r="T293" s="27"/>
      <c r="U293" s="27"/>
      <c r="V293" s="27"/>
      <c r="W293" s="27"/>
      <c r="X293" s="27"/>
      <c r="Y293" s="27"/>
      <c r="Z293" s="28"/>
      <c r="AA293" s="28"/>
      <c r="AB293" s="28"/>
      <c r="AC293" s="28"/>
      <c r="AD293" s="28"/>
      <c r="AE293" s="28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</row>
    <row r="294" spans="1:47" x14ac:dyDescent="0.45">
      <c r="A294" s="3"/>
      <c r="B294" s="13"/>
      <c r="H294" s="23"/>
      <c r="I294" s="23"/>
      <c r="J294" s="23"/>
      <c r="K294" s="23"/>
      <c r="L294" s="23"/>
      <c r="M294" s="23"/>
      <c r="N294" s="26"/>
      <c r="O294" s="26"/>
      <c r="P294" s="26"/>
      <c r="Q294" s="26"/>
      <c r="R294" s="26"/>
      <c r="S294" s="26"/>
      <c r="T294" s="27"/>
      <c r="U294" s="27"/>
      <c r="V294" s="27"/>
      <c r="W294" s="27"/>
      <c r="X294" s="27"/>
      <c r="Y294" s="27"/>
      <c r="Z294" s="28"/>
      <c r="AA294" s="28"/>
      <c r="AB294" s="28"/>
      <c r="AC294" s="28"/>
      <c r="AD294" s="28"/>
      <c r="AE294" s="28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</row>
    <row r="295" spans="1:47" x14ac:dyDescent="0.45">
      <c r="A295" s="3"/>
      <c r="B295" s="13"/>
      <c r="H295" s="23"/>
      <c r="I295" s="23"/>
      <c r="J295" s="23"/>
      <c r="K295" s="23"/>
      <c r="L295" s="23"/>
      <c r="M295" s="23"/>
      <c r="N295" s="26"/>
      <c r="O295" s="26"/>
      <c r="P295" s="26"/>
      <c r="Q295" s="26"/>
      <c r="R295" s="26"/>
      <c r="S295" s="26"/>
      <c r="T295" s="27"/>
      <c r="U295" s="27"/>
      <c r="V295" s="27"/>
      <c r="W295" s="27"/>
      <c r="X295" s="27"/>
      <c r="Y295" s="27"/>
      <c r="Z295" s="28"/>
      <c r="AA295" s="28"/>
      <c r="AB295" s="28"/>
      <c r="AC295" s="28"/>
      <c r="AD295" s="28"/>
      <c r="AE295" s="28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</row>
    <row r="296" spans="1:47" x14ac:dyDescent="0.45">
      <c r="A296" s="3"/>
      <c r="B296" s="13"/>
      <c r="H296" s="23"/>
      <c r="I296" s="23"/>
      <c r="J296" s="23"/>
      <c r="K296" s="23"/>
      <c r="L296" s="23"/>
      <c r="M296" s="23"/>
      <c r="N296" s="26"/>
      <c r="O296" s="26"/>
      <c r="P296" s="26"/>
      <c r="Q296" s="26"/>
      <c r="R296" s="26"/>
      <c r="S296" s="26"/>
      <c r="T296" s="27"/>
      <c r="U296" s="27"/>
      <c r="V296" s="27"/>
      <c r="W296" s="27"/>
      <c r="X296" s="27"/>
      <c r="Y296" s="27"/>
      <c r="Z296" s="28"/>
      <c r="AA296" s="28"/>
      <c r="AB296" s="28"/>
      <c r="AC296" s="28"/>
      <c r="AD296" s="28"/>
      <c r="AE296" s="28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</row>
    <row r="297" spans="1:47" x14ac:dyDescent="0.45">
      <c r="A297" s="3"/>
      <c r="B297" s="13"/>
      <c r="H297" s="23"/>
      <c r="I297" s="23"/>
      <c r="J297" s="23"/>
      <c r="K297" s="23"/>
      <c r="L297" s="23"/>
      <c r="M297" s="23"/>
      <c r="N297" s="26"/>
      <c r="O297" s="26"/>
      <c r="P297" s="26"/>
      <c r="Q297" s="26"/>
      <c r="R297" s="26"/>
      <c r="S297" s="26"/>
      <c r="T297" s="27"/>
      <c r="U297" s="27"/>
      <c r="V297" s="27"/>
      <c r="W297" s="27"/>
      <c r="X297" s="27"/>
      <c r="Y297" s="27"/>
      <c r="Z297" s="28"/>
      <c r="AA297" s="28"/>
      <c r="AB297" s="28"/>
      <c r="AC297" s="28"/>
      <c r="AD297" s="28"/>
      <c r="AE297" s="28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</row>
    <row r="298" spans="1:47" x14ac:dyDescent="0.45">
      <c r="A298" s="3"/>
      <c r="B298" s="13"/>
      <c r="H298" s="23"/>
      <c r="I298" s="23"/>
      <c r="J298" s="23"/>
      <c r="K298" s="23"/>
      <c r="L298" s="23"/>
      <c r="M298" s="23"/>
      <c r="N298" s="26"/>
      <c r="O298" s="26"/>
      <c r="P298" s="26"/>
      <c r="Q298" s="26"/>
      <c r="R298" s="26"/>
      <c r="S298" s="26"/>
      <c r="T298" s="27"/>
      <c r="U298" s="27"/>
      <c r="V298" s="27"/>
      <c r="W298" s="27"/>
      <c r="X298" s="27"/>
      <c r="Y298" s="27"/>
      <c r="Z298" s="28"/>
      <c r="AA298" s="28"/>
      <c r="AB298" s="28"/>
      <c r="AC298" s="28"/>
      <c r="AD298" s="28"/>
      <c r="AE298" s="28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</row>
    <row r="299" spans="1:47" x14ac:dyDescent="0.45">
      <c r="A299" s="3"/>
      <c r="B299" s="13"/>
      <c r="H299" s="23"/>
      <c r="I299" s="23"/>
      <c r="J299" s="23"/>
      <c r="K299" s="23"/>
      <c r="L299" s="23"/>
      <c r="M299" s="23"/>
      <c r="N299" s="26"/>
      <c r="O299" s="26"/>
      <c r="P299" s="26"/>
      <c r="Q299" s="26"/>
      <c r="R299" s="26"/>
      <c r="S299" s="26"/>
      <c r="T299" s="27"/>
      <c r="U299" s="27"/>
      <c r="V299" s="27"/>
      <c r="W299" s="27"/>
      <c r="X299" s="27"/>
      <c r="Y299" s="27"/>
      <c r="Z299" s="28"/>
      <c r="AA299" s="28"/>
      <c r="AB299" s="28"/>
      <c r="AC299" s="28"/>
      <c r="AD299" s="28"/>
      <c r="AE299" s="28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</row>
    <row r="300" spans="1:47" x14ac:dyDescent="0.45">
      <c r="A300" s="3"/>
      <c r="B300" s="13"/>
      <c r="H300" s="23"/>
      <c r="I300" s="23"/>
      <c r="J300" s="23"/>
      <c r="K300" s="23"/>
      <c r="L300" s="23"/>
      <c r="M300" s="23"/>
      <c r="N300" s="26"/>
      <c r="O300" s="26"/>
      <c r="P300" s="26"/>
      <c r="Q300" s="26"/>
      <c r="R300" s="26"/>
      <c r="S300" s="26"/>
      <c r="T300" s="27"/>
      <c r="U300" s="27"/>
      <c r="V300" s="27"/>
      <c r="W300" s="27"/>
      <c r="X300" s="27"/>
      <c r="Y300" s="27"/>
      <c r="Z300" s="28"/>
      <c r="AA300" s="28"/>
      <c r="AB300" s="28"/>
      <c r="AC300" s="28"/>
      <c r="AD300" s="28"/>
      <c r="AE300" s="28"/>
      <c r="AJ300" s="44"/>
      <c r="AK300" s="44"/>
      <c r="AL300" s="44"/>
      <c r="AM300" s="44"/>
      <c r="AN300" s="44"/>
      <c r="AO300" s="44"/>
      <c r="AP300" s="44"/>
      <c r="AQ300" s="44"/>
      <c r="AR300" s="44"/>
      <c r="AS300" s="44"/>
      <c r="AT300" s="44"/>
      <c r="AU300" s="44"/>
    </row>
    <row r="301" spans="1:47" x14ac:dyDescent="0.45">
      <c r="A301" s="3"/>
      <c r="B301" s="13"/>
      <c r="H301" s="23"/>
      <c r="I301" s="23"/>
      <c r="J301" s="23"/>
      <c r="K301" s="23"/>
      <c r="L301" s="23"/>
      <c r="M301" s="23"/>
      <c r="N301" s="26"/>
      <c r="O301" s="26"/>
      <c r="P301" s="26"/>
      <c r="Q301" s="26"/>
      <c r="R301" s="26"/>
      <c r="S301" s="26"/>
      <c r="T301" s="27"/>
      <c r="U301" s="27"/>
      <c r="V301" s="27"/>
      <c r="W301" s="27"/>
      <c r="X301" s="27"/>
      <c r="Y301" s="27"/>
      <c r="Z301" s="28"/>
      <c r="AA301" s="28"/>
      <c r="AB301" s="28"/>
      <c r="AC301" s="28"/>
      <c r="AD301" s="28"/>
      <c r="AE301" s="28"/>
      <c r="AJ301" s="44"/>
      <c r="AK301" s="44"/>
      <c r="AL301" s="44"/>
      <c r="AM301" s="44"/>
      <c r="AN301" s="44"/>
      <c r="AO301" s="44"/>
      <c r="AP301" s="44"/>
      <c r="AQ301" s="44"/>
      <c r="AR301" s="44"/>
      <c r="AS301" s="44"/>
      <c r="AT301" s="44"/>
      <c r="AU301" s="44"/>
    </row>
    <row r="302" spans="1:47" x14ac:dyDescent="0.45">
      <c r="A302" s="3"/>
      <c r="B302" s="13"/>
      <c r="H302" s="23"/>
      <c r="I302" s="23"/>
      <c r="J302" s="23"/>
      <c r="K302" s="23"/>
      <c r="L302" s="23"/>
      <c r="M302" s="23"/>
      <c r="N302" s="26"/>
      <c r="O302" s="26"/>
      <c r="P302" s="26"/>
      <c r="Q302" s="26"/>
      <c r="R302" s="26"/>
      <c r="S302" s="26"/>
      <c r="T302" s="27"/>
      <c r="U302" s="27"/>
      <c r="V302" s="27"/>
      <c r="W302" s="27"/>
      <c r="X302" s="27"/>
      <c r="Y302" s="27"/>
      <c r="Z302" s="28"/>
      <c r="AA302" s="28"/>
      <c r="AB302" s="28"/>
      <c r="AC302" s="28"/>
      <c r="AD302" s="28"/>
      <c r="AE302" s="28"/>
      <c r="AJ302" s="44"/>
      <c r="AK302" s="44"/>
      <c r="AL302" s="44"/>
      <c r="AM302" s="44"/>
      <c r="AN302" s="44"/>
      <c r="AO302" s="44"/>
      <c r="AP302" s="44"/>
      <c r="AQ302" s="44"/>
      <c r="AR302" s="44"/>
      <c r="AS302" s="44"/>
      <c r="AT302" s="44"/>
      <c r="AU302" s="44"/>
    </row>
    <row r="303" spans="1:47" x14ac:dyDescent="0.45">
      <c r="A303" s="3"/>
      <c r="B303" s="13"/>
      <c r="H303" s="23"/>
      <c r="I303" s="23"/>
      <c r="J303" s="23"/>
      <c r="K303" s="23"/>
      <c r="L303" s="23"/>
      <c r="M303" s="23"/>
      <c r="N303" s="26"/>
      <c r="O303" s="26"/>
      <c r="P303" s="26"/>
      <c r="Q303" s="26"/>
      <c r="R303" s="26"/>
      <c r="S303" s="26"/>
      <c r="T303" s="27"/>
      <c r="U303" s="27"/>
      <c r="V303" s="27"/>
      <c r="W303" s="27"/>
      <c r="X303" s="27"/>
      <c r="Y303" s="27"/>
      <c r="Z303" s="28"/>
      <c r="AA303" s="28"/>
      <c r="AB303" s="28"/>
      <c r="AC303" s="28"/>
      <c r="AD303" s="28"/>
      <c r="AE303" s="28"/>
      <c r="AJ303" s="44"/>
      <c r="AK303" s="44"/>
      <c r="AL303" s="44"/>
      <c r="AM303" s="44"/>
      <c r="AN303" s="44"/>
      <c r="AO303" s="44"/>
      <c r="AP303" s="44"/>
      <c r="AQ303" s="44"/>
      <c r="AR303" s="44"/>
      <c r="AS303" s="44"/>
      <c r="AT303" s="44"/>
      <c r="AU303" s="44"/>
    </row>
    <row r="304" spans="1:47" x14ac:dyDescent="0.45">
      <c r="A304" s="3"/>
      <c r="B304" s="13"/>
      <c r="H304" s="23"/>
      <c r="I304" s="23"/>
      <c r="J304" s="23"/>
      <c r="K304" s="23"/>
      <c r="L304" s="23"/>
      <c r="M304" s="23"/>
      <c r="N304" s="26"/>
      <c r="O304" s="26"/>
      <c r="P304" s="26"/>
      <c r="Q304" s="26"/>
      <c r="R304" s="26"/>
      <c r="S304" s="26"/>
      <c r="T304" s="27"/>
      <c r="U304" s="27"/>
      <c r="V304" s="27"/>
      <c r="W304" s="27"/>
      <c r="X304" s="27"/>
      <c r="Y304" s="27"/>
      <c r="Z304" s="28"/>
      <c r="AA304" s="28"/>
      <c r="AB304" s="28"/>
      <c r="AC304" s="28"/>
      <c r="AD304" s="28"/>
      <c r="AE304" s="28"/>
      <c r="AJ304" s="44"/>
      <c r="AK304" s="44"/>
      <c r="AL304" s="44"/>
      <c r="AM304" s="44"/>
      <c r="AN304" s="44"/>
      <c r="AO304" s="44"/>
      <c r="AP304" s="44"/>
      <c r="AQ304" s="44"/>
      <c r="AR304" s="44"/>
      <c r="AS304" s="44"/>
      <c r="AT304" s="44"/>
      <c r="AU304" s="44"/>
    </row>
    <row r="305" spans="1:47" x14ac:dyDescent="0.45">
      <c r="A305" s="3"/>
      <c r="B305" s="13"/>
      <c r="H305" s="23"/>
      <c r="I305" s="23"/>
      <c r="J305" s="23"/>
      <c r="K305" s="23"/>
      <c r="L305" s="23"/>
      <c r="M305" s="23"/>
      <c r="N305" s="26"/>
      <c r="O305" s="26"/>
      <c r="P305" s="26"/>
      <c r="Q305" s="26"/>
      <c r="R305" s="26"/>
      <c r="S305" s="26"/>
      <c r="T305" s="27"/>
      <c r="U305" s="27"/>
      <c r="V305" s="27"/>
      <c r="W305" s="27"/>
      <c r="X305" s="27"/>
      <c r="Y305" s="27"/>
      <c r="Z305" s="28"/>
      <c r="AA305" s="28"/>
      <c r="AB305" s="28"/>
      <c r="AC305" s="28"/>
      <c r="AD305" s="28"/>
      <c r="AE305" s="28"/>
      <c r="AJ305" s="44"/>
      <c r="AK305" s="44"/>
      <c r="AL305" s="44"/>
      <c r="AM305" s="44"/>
      <c r="AN305" s="44"/>
      <c r="AO305" s="44"/>
      <c r="AP305" s="44"/>
      <c r="AQ305" s="44"/>
      <c r="AR305" s="44"/>
      <c r="AS305" s="44"/>
      <c r="AT305" s="44"/>
      <c r="AU305" s="44"/>
    </row>
    <row r="306" spans="1:47" x14ac:dyDescent="0.45">
      <c r="A306" s="3"/>
      <c r="B306" s="13"/>
      <c r="H306" s="23"/>
      <c r="I306" s="23"/>
      <c r="J306" s="23"/>
      <c r="K306" s="23"/>
      <c r="L306" s="23"/>
      <c r="M306" s="23"/>
      <c r="N306" s="26"/>
      <c r="O306" s="26"/>
      <c r="P306" s="26"/>
      <c r="Q306" s="26"/>
      <c r="R306" s="26"/>
      <c r="S306" s="26"/>
      <c r="T306" s="27"/>
      <c r="U306" s="27"/>
      <c r="V306" s="27"/>
      <c r="W306" s="27"/>
      <c r="X306" s="27"/>
      <c r="Y306" s="27"/>
      <c r="Z306" s="28"/>
      <c r="AA306" s="28"/>
      <c r="AB306" s="28"/>
      <c r="AC306" s="28"/>
      <c r="AD306" s="28"/>
      <c r="AE306" s="28"/>
      <c r="AJ306" s="44"/>
      <c r="AK306" s="44"/>
      <c r="AL306" s="44"/>
      <c r="AM306" s="44"/>
      <c r="AN306" s="44"/>
      <c r="AO306" s="44"/>
      <c r="AP306" s="44"/>
      <c r="AQ306" s="44"/>
      <c r="AR306" s="44"/>
      <c r="AS306" s="44"/>
      <c r="AT306" s="44"/>
      <c r="AU306" s="44"/>
    </row>
    <row r="307" spans="1:47" x14ac:dyDescent="0.45">
      <c r="A307" s="3"/>
      <c r="B307" s="13"/>
      <c r="H307" s="23"/>
      <c r="I307" s="23"/>
      <c r="J307" s="23"/>
      <c r="K307" s="23"/>
      <c r="L307" s="23"/>
      <c r="M307" s="23"/>
      <c r="N307" s="26"/>
      <c r="O307" s="26"/>
      <c r="P307" s="26"/>
      <c r="Q307" s="26"/>
      <c r="R307" s="26"/>
      <c r="S307" s="26"/>
      <c r="T307" s="27"/>
      <c r="U307" s="27"/>
      <c r="V307" s="27"/>
      <c r="W307" s="27"/>
      <c r="X307" s="27"/>
      <c r="Y307" s="27"/>
      <c r="Z307" s="28"/>
      <c r="AA307" s="28"/>
      <c r="AB307" s="28"/>
      <c r="AC307" s="28"/>
      <c r="AD307" s="28"/>
      <c r="AE307" s="28"/>
      <c r="AJ307" s="44"/>
      <c r="AK307" s="44"/>
      <c r="AL307" s="44"/>
      <c r="AM307" s="44"/>
      <c r="AN307" s="44"/>
      <c r="AO307" s="44"/>
      <c r="AP307" s="44"/>
      <c r="AQ307" s="44"/>
      <c r="AR307" s="44"/>
      <c r="AS307" s="44"/>
      <c r="AT307" s="44"/>
      <c r="AU307" s="44"/>
    </row>
    <row r="308" spans="1:47" x14ac:dyDescent="0.45">
      <c r="A308" s="3"/>
      <c r="B308" s="13"/>
      <c r="H308" s="23"/>
      <c r="I308" s="23"/>
      <c r="J308" s="23"/>
      <c r="K308" s="23"/>
      <c r="L308" s="23"/>
      <c r="M308" s="23"/>
      <c r="N308" s="26"/>
      <c r="O308" s="26"/>
      <c r="P308" s="26"/>
      <c r="Q308" s="26"/>
      <c r="R308" s="26"/>
      <c r="S308" s="26"/>
      <c r="T308" s="27"/>
      <c r="U308" s="27"/>
      <c r="V308" s="27"/>
      <c r="W308" s="27"/>
      <c r="X308" s="27"/>
      <c r="Y308" s="27"/>
      <c r="Z308" s="28"/>
      <c r="AA308" s="28"/>
      <c r="AB308" s="28"/>
      <c r="AC308" s="28"/>
      <c r="AD308" s="28"/>
      <c r="AE308" s="28"/>
      <c r="AJ308" s="44"/>
      <c r="AK308" s="44"/>
      <c r="AL308" s="44"/>
      <c r="AM308" s="44"/>
      <c r="AN308" s="44"/>
      <c r="AO308" s="44"/>
      <c r="AP308" s="44"/>
      <c r="AQ308" s="44"/>
      <c r="AR308" s="44"/>
      <c r="AS308" s="44"/>
      <c r="AT308" s="44"/>
      <c r="AU308" s="44"/>
    </row>
    <row r="309" spans="1:47" x14ac:dyDescent="0.45">
      <c r="A309" s="3"/>
      <c r="B309" s="13"/>
      <c r="H309" s="23"/>
      <c r="I309" s="23"/>
      <c r="J309" s="23"/>
      <c r="K309" s="23"/>
      <c r="L309" s="23"/>
      <c r="M309" s="23"/>
      <c r="N309" s="26"/>
      <c r="O309" s="26"/>
      <c r="P309" s="26"/>
      <c r="Q309" s="26"/>
      <c r="R309" s="26"/>
      <c r="S309" s="26"/>
      <c r="T309" s="27"/>
      <c r="U309" s="27"/>
      <c r="V309" s="27"/>
      <c r="W309" s="27"/>
      <c r="X309" s="27"/>
      <c r="Y309" s="27"/>
      <c r="Z309" s="28"/>
      <c r="AA309" s="28"/>
      <c r="AB309" s="28"/>
      <c r="AC309" s="28"/>
      <c r="AD309" s="28"/>
      <c r="AE309" s="28"/>
      <c r="AJ309" s="44"/>
      <c r="AK309" s="44"/>
      <c r="AL309" s="44"/>
      <c r="AM309" s="44"/>
      <c r="AN309" s="44"/>
      <c r="AO309" s="44"/>
      <c r="AP309" s="44"/>
      <c r="AQ309" s="44"/>
      <c r="AR309" s="44"/>
      <c r="AS309" s="44"/>
      <c r="AT309" s="44"/>
      <c r="AU309" s="44"/>
    </row>
    <row r="310" spans="1:47" x14ac:dyDescent="0.45">
      <c r="A310" s="3"/>
      <c r="B310" s="13"/>
      <c r="H310" s="23"/>
      <c r="I310" s="23"/>
      <c r="J310" s="23"/>
      <c r="K310" s="23"/>
      <c r="L310" s="23"/>
      <c r="M310" s="23"/>
      <c r="N310" s="26"/>
      <c r="O310" s="26"/>
      <c r="P310" s="26"/>
      <c r="Q310" s="26"/>
      <c r="R310" s="26"/>
      <c r="S310" s="26"/>
      <c r="T310" s="27"/>
      <c r="U310" s="27"/>
      <c r="V310" s="27"/>
      <c r="W310" s="27"/>
      <c r="X310" s="27"/>
      <c r="Y310" s="27"/>
      <c r="Z310" s="28"/>
      <c r="AA310" s="28"/>
      <c r="AB310" s="28"/>
      <c r="AC310" s="28"/>
      <c r="AD310" s="28"/>
      <c r="AE310" s="28"/>
      <c r="AJ310" s="44"/>
      <c r="AK310" s="44"/>
      <c r="AL310" s="44"/>
      <c r="AM310" s="44"/>
      <c r="AN310" s="44"/>
      <c r="AO310" s="44"/>
      <c r="AP310" s="44"/>
      <c r="AQ310" s="44"/>
      <c r="AR310" s="44"/>
      <c r="AS310" s="44"/>
      <c r="AT310" s="44"/>
      <c r="AU310" s="44"/>
    </row>
    <row r="311" spans="1:47" x14ac:dyDescent="0.45">
      <c r="A311" s="3"/>
      <c r="B311" s="13"/>
      <c r="H311" s="23"/>
      <c r="I311" s="23"/>
      <c r="J311" s="23"/>
      <c r="K311" s="23"/>
      <c r="L311" s="23"/>
      <c r="M311" s="23"/>
      <c r="N311" s="26"/>
      <c r="O311" s="26"/>
      <c r="P311" s="26"/>
      <c r="Q311" s="26"/>
      <c r="R311" s="26"/>
      <c r="S311" s="26"/>
      <c r="T311" s="27"/>
      <c r="U311" s="27"/>
      <c r="V311" s="27"/>
      <c r="W311" s="27"/>
      <c r="X311" s="27"/>
      <c r="Y311" s="27"/>
      <c r="Z311" s="28"/>
      <c r="AA311" s="28"/>
      <c r="AB311" s="28"/>
      <c r="AC311" s="28"/>
      <c r="AD311" s="28"/>
      <c r="AE311" s="28"/>
      <c r="AJ311" s="44"/>
      <c r="AK311" s="44"/>
      <c r="AL311" s="44"/>
      <c r="AM311" s="44"/>
      <c r="AN311" s="44"/>
      <c r="AO311" s="44"/>
      <c r="AP311" s="44"/>
      <c r="AQ311" s="44"/>
      <c r="AR311" s="44"/>
      <c r="AS311" s="44"/>
      <c r="AT311" s="44"/>
      <c r="AU311" s="44"/>
    </row>
    <row r="312" spans="1:47" x14ac:dyDescent="0.45">
      <c r="A312" s="3"/>
      <c r="B312" s="13"/>
      <c r="H312" s="23"/>
      <c r="I312" s="23"/>
      <c r="J312" s="23"/>
      <c r="K312" s="23"/>
      <c r="L312" s="23"/>
      <c r="M312" s="23"/>
      <c r="N312" s="26"/>
      <c r="O312" s="26"/>
      <c r="P312" s="26"/>
      <c r="Q312" s="26"/>
      <c r="R312" s="26"/>
      <c r="S312" s="26"/>
      <c r="T312" s="27"/>
      <c r="U312" s="27"/>
      <c r="V312" s="27"/>
      <c r="W312" s="27"/>
      <c r="X312" s="27"/>
      <c r="Y312" s="27"/>
      <c r="Z312" s="28"/>
      <c r="AA312" s="28"/>
      <c r="AB312" s="28"/>
      <c r="AC312" s="28"/>
      <c r="AD312" s="28"/>
      <c r="AE312" s="28"/>
      <c r="AJ312" s="44"/>
      <c r="AK312" s="44"/>
      <c r="AL312" s="44"/>
      <c r="AM312" s="44"/>
      <c r="AN312" s="44"/>
      <c r="AO312" s="44"/>
      <c r="AP312" s="44"/>
      <c r="AQ312" s="44"/>
      <c r="AR312" s="44"/>
      <c r="AS312" s="44"/>
      <c r="AT312" s="44"/>
      <c r="AU312" s="44"/>
    </row>
    <row r="313" spans="1:47" x14ac:dyDescent="0.45">
      <c r="A313" s="3"/>
      <c r="B313" s="13"/>
      <c r="H313" s="23"/>
      <c r="I313" s="23"/>
      <c r="J313" s="23"/>
      <c r="K313" s="23"/>
      <c r="L313" s="23"/>
      <c r="M313" s="23"/>
      <c r="N313" s="26"/>
      <c r="O313" s="26"/>
      <c r="P313" s="26"/>
      <c r="Q313" s="26"/>
      <c r="R313" s="26"/>
      <c r="S313" s="26"/>
      <c r="T313" s="27"/>
      <c r="U313" s="27"/>
      <c r="V313" s="27"/>
      <c r="W313" s="27"/>
      <c r="X313" s="27"/>
      <c r="Y313" s="27"/>
      <c r="Z313" s="28"/>
      <c r="AA313" s="28"/>
      <c r="AB313" s="28"/>
      <c r="AC313" s="28"/>
      <c r="AD313" s="28"/>
      <c r="AE313" s="28"/>
      <c r="AJ313" s="44"/>
      <c r="AK313" s="44"/>
      <c r="AL313" s="44"/>
      <c r="AM313" s="44"/>
      <c r="AN313" s="44"/>
      <c r="AO313" s="44"/>
      <c r="AP313" s="44"/>
      <c r="AQ313" s="44"/>
      <c r="AR313" s="44"/>
      <c r="AS313" s="44"/>
      <c r="AT313" s="44"/>
      <c r="AU313" s="44"/>
    </row>
    <row r="314" spans="1:47" x14ac:dyDescent="0.45">
      <c r="A314" s="3"/>
      <c r="B314" s="13"/>
      <c r="H314" s="23"/>
      <c r="I314" s="23"/>
      <c r="J314" s="23"/>
      <c r="K314" s="23"/>
      <c r="L314" s="23"/>
      <c r="M314" s="23"/>
      <c r="N314" s="26"/>
      <c r="O314" s="26"/>
      <c r="P314" s="26"/>
      <c r="Q314" s="26"/>
      <c r="R314" s="26"/>
      <c r="S314" s="26"/>
      <c r="T314" s="27"/>
      <c r="U314" s="27"/>
      <c r="V314" s="27"/>
      <c r="W314" s="27"/>
      <c r="X314" s="27"/>
      <c r="Y314" s="27"/>
      <c r="Z314" s="28"/>
      <c r="AA314" s="28"/>
      <c r="AB314" s="28"/>
      <c r="AC314" s="28"/>
      <c r="AD314" s="28"/>
      <c r="AE314" s="28"/>
      <c r="AJ314" s="44"/>
      <c r="AK314" s="44"/>
      <c r="AL314" s="44"/>
      <c r="AM314" s="44"/>
      <c r="AN314" s="44"/>
      <c r="AO314" s="44"/>
      <c r="AP314" s="44"/>
      <c r="AQ314" s="44"/>
      <c r="AR314" s="44"/>
      <c r="AS314" s="44"/>
      <c r="AT314" s="44"/>
      <c r="AU314" s="44"/>
    </row>
    <row r="315" spans="1:47" x14ac:dyDescent="0.45">
      <c r="A315" s="3"/>
      <c r="B315" s="13"/>
      <c r="H315" s="23"/>
      <c r="I315" s="23"/>
      <c r="J315" s="23"/>
      <c r="K315" s="23"/>
      <c r="L315" s="23"/>
      <c r="M315" s="23"/>
      <c r="N315" s="26"/>
      <c r="O315" s="26"/>
      <c r="P315" s="26"/>
      <c r="Q315" s="26"/>
      <c r="R315" s="26"/>
      <c r="S315" s="26"/>
      <c r="T315" s="27"/>
      <c r="U315" s="27"/>
      <c r="V315" s="27"/>
      <c r="W315" s="27"/>
      <c r="X315" s="27"/>
      <c r="Y315" s="27"/>
      <c r="Z315" s="28"/>
      <c r="AA315" s="28"/>
      <c r="AB315" s="28"/>
      <c r="AC315" s="28"/>
      <c r="AD315" s="28"/>
      <c r="AE315" s="28"/>
      <c r="AJ315" s="44"/>
      <c r="AK315" s="44"/>
      <c r="AL315" s="44"/>
      <c r="AM315" s="44"/>
      <c r="AN315" s="44"/>
      <c r="AO315" s="44"/>
      <c r="AP315" s="44"/>
      <c r="AQ315" s="44"/>
      <c r="AR315" s="44"/>
      <c r="AS315" s="44"/>
      <c r="AT315" s="44"/>
      <c r="AU315" s="44"/>
    </row>
    <row r="316" spans="1:47" x14ac:dyDescent="0.45">
      <c r="A316" s="3"/>
      <c r="B316" s="13"/>
      <c r="H316" s="23"/>
      <c r="I316" s="23"/>
      <c r="J316" s="23"/>
      <c r="K316" s="23"/>
      <c r="L316" s="23"/>
      <c r="M316" s="23"/>
      <c r="N316" s="26"/>
      <c r="O316" s="26"/>
      <c r="P316" s="26"/>
      <c r="Q316" s="26"/>
      <c r="R316" s="26"/>
      <c r="S316" s="26"/>
      <c r="T316" s="27"/>
      <c r="U316" s="27"/>
      <c r="V316" s="27"/>
      <c r="W316" s="27"/>
      <c r="X316" s="27"/>
      <c r="Y316" s="27"/>
      <c r="Z316" s="28"/>
      <c r="AA316" s="28"/>
      <c r="AB316" s="28"/>
      <c r="AC316" s="28"/>
      <c r="AD316" s="28"/>
      <c r="AE316" s="28"/>
      <c r="AJ316" s="44"/>
      <c r="AK316" s="44"/>
      <c r="AL316" s="44"/>
      <c r="AM316" s="44"/>
      <c r="AN316" s="44"/>
      <c r="AO316" s="44"/>
      <c r="AP316" s="44"/>
      <c r="AQ316" s="44"/>
      <c r="AR316" s="44"/>
      <c r="AS316" s="44"/>
      <c r="AT316" s="44"/>
      <c r="AU316" s="44"/>
    </row>
    <row r="317" spans="1:47" x14ac:dyDescent="0.45">
      <c r="A317" s="3"/>
      <c r="B317" s="13"/>
      <c r="H317" s="23"/>
      <c r="I317" s="23"/>
      <c r="J317" s="23"/>
      <c r="K317" s="23"/>
      <c r="L317" s="23"/>
      <c r="M317" s="23"/>
      <c r="N317" s="26"/>
      <c r="O317" s="26"/>
      <c r="P317" s="26"/>
      <c r="Q317" s="26"/>
      <c r="R317" s="26"/>
      <c r="S317" s="26"/>
      <c r="T317" s="27"/>
      <c r="U317" s="27"/>
      <c r="V317" s="27"/>
      <c r="W317" s="27"/>
      <c r="X317" s="27"/>
      <c r="Y317" s="27"/>
      <c r="Z317" s="28"/>
      <c r="AA317" s="28"/>
      <c r="AB317" s="28"/>
      <c r="AC317" s="28"/>
      <c r="AD317" s="28"/>
      <c r="AE317" s="28"/>
      <c r="AJ317" s="44"/>
      <c r="AK317" s="44"/>
      <c r="AL317" s="44"/>
      <c r="AM317" s="44"/>
      <c r="AN317" s="44"/>
      <c r="AO317" s="44"/>
      <c r="AP317" s="44"/>
      <c r="AQ317" s="44"/>
      <c r="AR317" s="44"/>
      <c r="AS317" s="44"/>
      <c r="AT317" s="44"/>
      <c r="AU317" s="44"/>
    </row>
    <row r="318" spans="1:47" x14ac:dyDescent="0.45">
      <c r="A318" s="3"/>
      <c r="B318" s="13"/>
      <c r="H318" s="23"/>
      <c r="I318" s="23"/>
      <c r="J318" s="23"/>
      <c r="K318" s="23"/>
      <c r="L318" s="23"/>
      <c r="M318" s="23"/>
      <c r="N318" s="26"/>
      <c r="O318" s="26"/>
      <c r="P318" s="26"/>
      <c r="Q318" s="26"/>
      <c r="R318" s="26"/>
      <c r="S318" s="26"/>
      <c r="T318" s="27"/>
      <c r="U318" s="27"/>
      <c r="V318" s="27"/>
      <c r="W318" s="27"/>
      <c r="X318" s="27"/>
      <c r="Y318" s="27"/>
      <c r="Z318" s="28"/>
      <c r="AA318" s="28"/>
      <c r="AB318" s="28"/>
      <c r="AC318" s="28"/>
      <c r="AD318" s="28"/>
      <c r="AE318" s="28"/>
      <c r="AJ318" s="44"/>
      <c r="AK318" s="44"/>
      <c r="AL318" s="44"/>
      <c r="AM318" s="44"/>
      <c r="AN318" s="44"/>
      <c r="AO318" s="44"/>
      <c r="AP318" s="44"/>
      <c r="AQ318" s="44"/>
      <c r="AR318" s="44"/>
      <c r="AS318" s="44"/>
      <c r="AT318" s="44"/>
      <c r="AU318" s="44"/>
    </row>
    <row r="319" spans="1:47" x14ac:dyDescent="0.45">
      <c r="A319" s="3"/>
      <c r="B319" s="13"/>
      <c r="H319" s="23"/>
      <c r="I319" s="23"/>
      <c r="J319" s="23"/>
      <c r="K319" s="23"/>
      <c r="L319" s="23"/>
      <c r="M319" s="23"/>
      <c r="N319" s="26"/>
      <c r="O319" s="26"/>
      <c r="P319" s="26"/>
      <c r="Q319" s="26"/>
      <c r="R319" s="26"/>
      <c r="S319" s="26"/>
      <c r="T319" s="27"/>
      <c r="U319" s="27"/>
      <c r="V319" s="27"/>
      <c r="W319" s="27"/>
      <c r="X319" s="27"/>
      <c r="Y319" s="27"/>
      <c r="Z319" s="28"/>
      <c r="AA319" s="28"/>
      <c r="AB319" s="28"/>
      <c r="AC319" s="28"/>
      <c r="AD319" s="28"/>
      <c r="AE319" s="28"/>
      <c r="AJ319" s="44"/>
      <c r="AK319" s="44"/>
      <c r="AL319" s="44"/>
      <c r="AM319" s="44"/>
      <c r="AN319" s="44"/>
      <c r="AO319" s="44"/>
      <c r="AP319" s="44"/>
      <c r="AQ319" s="44"/>
      <c r="AR319" s="44"/>
      <c r="AS319" s="44"/>
      <c r="AT319" s="44"/>
      <c r="AU319" s="44"/>
    </row>
    <row r="320" spans="1:47" x14ac:dyDescent="0.45">
      <c r="A320" s="3"/>
      <c r="B320" s="13"/>
      <c r="H320" s="23"/>
      <c r="I320" s="23"/>
      <c r="J320" s="23"/>
      <c r="K320" s="23"/>
      <c r="L320" s="23"/>
      <c r="M320" s="23"/>
      <c r="N320" s="26"/>
      <c r="O320" s="26"/>
      <c r="P320" s="26"/>
      <c r="Q320" s="26"/>
      <c r="R320" s="26"/>
      <c r="S320" s="26"/>
      <c r="T320" s="27"/>
      <c r="U320" s="27"/>
      <c r="V320" s="27"/>
      <c r="W320" s="27"/>
      <c r="X320" s="27"/>
      <c r="Y320" s="27"/>
      <c r="Z320" s="28"/>
      <c r="AA320" s="28"/>
      <c r="AB320" s="28"/>
      <c r="AC320" s="28"/>
      <c r="AD320" s="28"/>
      <c r="AE320" s="28"/>
      <c r="AJ320" s="44"/>
      <c r="AK320" s="44"/>
      <c r="AL320" s="44"/>
      <c r="AM320" s="44"/>
      <c r="AN320" s="44"/>
      <c r="AO320" s="44"/>
      <c r="AP320" s="44"/>
      <c r="AQ320" s="44"/>
      <c r="AR320" s="44"/>
      <c r="AS320" s="44"/>
      <c r="AT320" s="44"/>
      <c r="AU320" s="44"/>
    </row>
    <row r="321" spans="1:47" x14ac:dyDescent="0.45">
      <c r="A321" s="3"/>
      <c r="B321" s="13"/>
      <c r="H321" s="23"/>
      <c r="I321" s="23"/>
      <c r="J321" s="23"/>
      <c r="K321" s="23"/>
      <c r="L321" s="23"/>
      <c r="M321" s="23"/>
      <c r="N321" s="26"/>
      <c r="O321" s="26"/>
      <c r="P321" s="26"/>
      <c r="Q321" s="26"/>
      <c r="R321" s="26"/>
      <c r="S321" s="26"/>
      <c r="T321" s="27"/>
      <c r="U321" s="27"/>
      <c r="V321" s="27"/>
      <c r="W321" s="27"/>
      <c r="X321" s="27"/>
      <c r="Y321" s="27"/>
      <c r="Z321" s="28"/>
      <c r="AA321" s="28"/>
      <c r="AB321" s="28"/>
      <c r="AC321" s="28"/>
      <c r="AD321" s="28"/>
      <c r="AE321" s="28"/>
      <c r="AJ321" s="44"/>
      <c r="AK321" s="44"/>
      <c r="AL321" s="44"/>
      <c r="AM321" s="44"/>
      <c r="AN321" s="44"/>
      <c r="AO321" s="44"/>
      <c r="AP321" s="44"/>
      <c r="AQ321" s="44"/>
      <c r="AR321" s="44"/>
      <c r="AS321" s="44"/>
      <c r="AT321" s="44"/>
      <c r="AU321" s="44"/>
    </row>
    <row r="322" spans="1:47" x14ac:dyDescent="0.45">
      <c r="A322" s="3"/>
      <c r="B322" s="13"/>
      <c r="H322" s="23"/>
      <c r="I322" s="23"/>
      <c r="J322" s="23"/>
      <c r="K322" s="23"/>
      <c r="L322" s="23"/>
      <c r="M322" s="23"/>
      <c r="N322" s="26"/>
      <c r="O322" s="26"/>
      <c r="P322" s="26"/>
      <c r="Q322" s="26"/>
      <c r="R322" s="26"/>
      <c r="S322" s="26"/>
      <c r="T322" s="27"/>
      <c r="U322" s="27"/>
      <c r="V322" s="27"/>
      <c r="W322" s="27"/>
      <c r="X322" s="27"/>
      <c r="Y322" s="27"/>
      <c r="Z322" s="28"/>
      <c r="AA322" s="28"/>
      <c r="AB322" s="28"/>
      <c r="AC322" s="28"/>
      <c r="AD322" s="28"/>
      <c r="AE322" s="28"/>
      <c r="AJ322" s="44"/>
      <c r="AK322" s="44"/>
      <c r="AL322" s="44"/>
      <c r="AM322" s="44"/>
      <c r="AN322" s="44"/>
      <c r="AO322" s="44"/>
      <c r="AP322" s="44"/>
      <c r="AQ322" s="44"/>
      <c r="AR322" s="44"/>
      <c r="AS322" s="44"/>
      <c r="AT322" s="44"/>
      <c r="AU322" s="44"/>
    </row>
    <row r="323" spans="1:47" x14ac:dyDescent="0.45">
      <c r="A323" s="3"/>
      <c r="B323" s="13"/>
      <c r="H323" s="23"/>
      <c r="I323" s="23"/>
      <c r="J323" s="23"/>
      <c r="K323" s="23"/>
      <c r="L323" s="23"/>
      <c r="M323" s="23"/>
      <c r="N323" s="26"/>
      <c r="O323" s="26"/>
      <c r="P323" s="26"/>
      <c r="Q323" s="26"/>
      <c r="R323" s="26"/>
      <c r="S323" s="26"/>
      <c r="T323" s="27"/>
      <c r="U323" s="27"/>
      <c r="V323" s="27"/>
      <c r="W323" s="27"/>
      <c r="X323" s="27"/>
      <c r="Y323" s="27"/>
      <c r="Z323" s="28"/>
      <c r="AA323" s="28"/>
      <c r="AB323" s="28"/>
      <c r="AC323" s="28"/>
      <c r="AD323" s="28"/>
      <c r="AE323" s="28"/>
      <c r="AJ323" s="44"/>
      <c r="AK323" s="44"/>
      <c r="AL323" s="44"/>
      <c r="AM323" s="44"/>
      <c r="AN323" s="44"/>
      <c r="AO323" s="44"/>
      <c r="AP323" s="44"/>
      <c r="AQ323" s="44"/>
      <c r="AR323" s="44"/>
      <c r="AS323" s="44"/>
      <c r="AT323" s="44"/>
      <c r="AU323" s="44"/>
    </row>
    <row r="324" spans="1:47" x14ac:dyDescent="0.45">
      <c r="A324" s="3"/>
      <c r="B324" s="13"/>
      <c r="H324" s="23"/>
      <c r="I324" s="23"/>
      <c r="J324" s="23"/>
      <c r="K324" s="23"/>
      <c r="L324" s="23"/>
      <c r="M324" s="23"/>
      <c r="N324" s="26"/>
      <c r="O324" s="26"/>
      <c r="P324" s="26"/>
      <c r="Q324" s="26"/>
      <c r="R324" s="26"/>
      <c r="S324" s="26"/>
      <c r="T324" s="27"/>
      <c r="U324" s="27"/>
      <c r="V324" s="27"/>
      <c r="W324" s="27"/>
      <c r="X324" s="27"/>
      <c r="Y324" s="27"/>
      <c r="Z324" s="28"/>
      <c r="AA324" s="28"/>
      <c r="AB324" s="28"/>
      <c r="AC324" s="28"/>
      <c r="AD324" s="28"/>
      <c r="AE324" s="28"/>
      <c r="AJ324" s="44"/>
      <c r="AK324" s="44"/>
      <c r="AL324" s="44"/>
      <c r="AM324" s="44"/>
      <c r="AN324" s="44"/>
      <c r="AO324" s="44"/>
      <c r="AP324" s="44"/>
      <c r="AQ324" s="44"/>
      <c r="AR324" s="44"/>
      <c r="AS324" s="44"/>
      <c r="AT324" s="44"/>
      <c r="AU324" s="44"/>
    </row>
    <row r="325" spans="1:47" x14ac:dyDescent="0.45">
      <c r="A325" s="3"/>
      <c r="B325" s="13"/>
      <c r="H325" s="23"/>
      <c r="I325" s="23"/>
      <c r="J325" s="23"/>
      <c r="K325" s="23"/>
      <c r="L325" s="23"/>
      <c r="M325" s="23"/>
      <c r="N325" s="26"/>
      <c r="O325" s="26"/>
      <c r="P325" s="26"/>
      <c r="Q325" s="26"/>
      <c r="R325" s="26"/>
      <c r="S325" s="26"/>
      <c r="T325" s="27"/>
      <c r="U325" s="27"/>
      <c r="V325" s="27"/>
      <c r="W325" s="27"/>
      <c r="X325" s="27"/>
      <c r="Y325" s="27"/>
      <c r="Z325" s="28"/>
      <c r="AA325" s="28"/>
      <c r="AB325" s="28"/>
      <c r="AC325" s="28"/>
      <c r="AD325" s="28"/>
      <c r="AE325" s="28"/>
      <c r="AJ325" s="44"/>
      <c r="AK325" s="44"/>
      <c r="AL325" s="44"/>
      <c r="AM325" s="44"/>
      <c r="AN325" s="44"/>
      <c r="AO325" s="44"/>
      <c r="AP325" s="44"/>
      <c r="AQ325" s="44"/>
      <c r="AR325" s="44"/>
      <c r="AS325" s="44"/>
      <c r="AT325" s="44"/>
      <c r="AU325" s="44"/>
    </row>
    <row r="326" spans="1:47" x14ac:dyDescent="0.45">
      <c r="A326" s="3"/>
      <c r="B326" s="13"/>
      <c r="H326" s="23"/>
      <c r="I326" s="23"/>
      <c r="J326" s="23"/>
      <c r="K326" s="23"/>
      <c r="L326" s="23"/>
      <c r="M326" s="23"/>
      <c r="N326" s="26"/>
      <c r="O326" s="26"/>
      <c r="P326" s="26"/>
      <c r="Q326" s="26"/>
      <c r="R326" s="26"/>
      <c r="S326" s="26"/>
      <c r="T326" s="27"/>
      <c r="U326" s="27"/>
      <c r="V326" s="27"/>
      <c r="W326" s="27"/>
      <c r="X326" s="27"/>
      <c r="Y326" s="27"/>
      <c r="Z326" s="28"/>
      <c r="AA326" s="28"/>
      <c r="AB326" s="28"/>
      <c r="AC326" s="28"/>
      <c r="AD326" s="28"/>
      <c r="AE326" s="28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</row>
    <row r="327" spans="1:47" x14ac:dyDescent="0.45">
      <c r="A327" s="3"/>
      <c r="B327" s="13"/>
      <c r="H327" s="23"/>
      <c r="I327" s="23"/>
      <c r="J327" s="23"/>
      <c r="K327" s="23"/>
      <c r="L327" s="23"/>
      <c r="M327" s="23"/>
      <c r="N327" s="26"/>
      <c r="O327" s="26"/>
      <c r="P327" s="26"/>
      <c r="Q327" s="26"/>
      <c r="R327" s="26"/>
      <c r="S327" s="26"/>
      <c r="T327" s="27"/>
      <c r="U327" s="27"/>
      <c r="V327" s="27"/>
      <c r="W327" s="27"/>
      <c r="X327" s="27"/>
      <c r="Y327" s="27"/>
      <c r="Z327" s="28"/>
      <c r="AA327" s="28"/>
      <c r="AB327" s="28"/>
      <c r="AC327" s="28"/>
      <c r="AD327" s="28"/>
      <c r="AE327" s="28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</row>
    <row r="328" spans="1:47" x14ac:dyDescent="0.45">
      <c r="A328" s="3"/>
      <c r="B328" s="13"/>
      <c r="H328" s="23"/>
      <c r="I328" s="23"/>
      <c r="J328" s="23"/>
      <c r="K328" s="23"/>
      <c r="L328" s="23"/>
      <c r="M328" s="23"/>
      <c r="N328" s="26"/>
      <c r="O328" s="26"/>
      <c r="P328" s="26"/>
      <c r="Q328" s="26"/>
      <c r="R328" s="26"/>
      <c r="S328" s="26"/>
      <c r="T328" s="27"/>
      <c r="U328" s="27"/>
      <c r="V328" s="27"/>
      <c r="W328" s="27"/>
      <c r="X328" s="27"/>
      <c r="Y328" s="27"/>
      <c r="Z328" s="28"/>
      <c r="AA328" s="28"/>
      <c r="AB328" s="28"/>
      <c r="AC328" s="28"/>
      <c r="AD328" s="28"/>
      <c r="AE328" s="28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</row>
    <row r="329" spans="1:47" x14ac:dyDescent="0.45">
      <c r="A329" s="3"/>
      <c r="B329" s="13"/>
      <c r="H329" s="23"/>
      <c r="I329" s="23"/>
      <c r="J329" s="23"/>
      <c r="K329" s="23"/>
      <c r="L329" s="23"/>
      <c r="M329" s="23"/>
      <c r="N329" s="26"/>
      <c r="O329" s="26"/>
      <c r="P329" s="26"/>
      <c r="Q329" s="26"/>
      <c r="R329" s="26"/>
      <c r="S329" s="26"/>
      <c r="T329" s="27"/>
      <c r="U329" s="27"/>
      <c r="V329" s="27"/>
      <c r="W329" s="27"/>
      <c r="X329" s="27"/>
      <c r="Y329" s="27"/>
      <c r="Z329" s="28"/>
      <c r="AA329" s="28"/>
      <c r="AB329" s="28"/>
      <c r="AC329" s="28"/>
      <c r="AD329" s="28"/>
      <c r="AE329" s="28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</row>
    <row r="330" spans="1:47" x14ac:dyDescent="0.45">
      <c r="A330" s="3"/>
      <c r="B330" s="13"/>
      <c r="H330" s="23"/>
      <c r="I330" s="23"/>
      <c r="J330" s="23"/>
      <c r="K330" s="23"/>
      <c r="L330" s="23"/>
      <c r="M330" s="23"/>
      <c r="N330" s="26"/>
      <c r="O330" s="26"/>
      <c r="P330" s="26"/>
      <c r="Q330" s="26"/>
      <c r="R330" s="26"/>
      <c r="S330" s="26"/>
      <c r="T330" s="27"/>
      <c r="U330" s="27"/>
      <c r="V330" s="27"/>
      <c r="W330" s="27"/>
      <c r="X330" s="27"/>
      <c r="Y330" s="27"/>
      <c r="Z330" s="28"/>
      <c r="AA330" s="28"/>
      <c r="AB330" s="28"/>
      <c r="AC330" s="28"/>
      <c r="AD330" s="28"/>
      <c r="AE330" s="28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</row>
    <row r="331" spans="1:47" x14ac:dyDescent="0.45">
      <c r="A331" s="3"/>
      <c r="B331" s="13"/>
      <c r="H331" s="23"/>
      <c r="I331" s="23"/>
      <c r="J331" s="23"/>
      <c r="K331" s="23"/>
      <c r="L331" s="23"/>
      <c r="M331" s="23"/>
      <c r="N331" s="26"/>
      <c r="O331" s="26"/>
      <c r="P331" s="26"/>
      <c r="Q331" s="26"/>
      <c r="R331" s="26"/>
      <c r="S331" s="26"/>
      <c r="T331" s="27"/>
      <c r="U331" s="27"/>
      <c r="V331" s="27"/>
      <c r="W331" s="27"/>
      <c r="X331" s="27"/>
      <c r="Y331" s="27"/>
      <c r="Z331" s="28"/>
      <c r="AA331" s="28"/>
      <c r="AB331" s="28"/>
      <c r="AC331" s="28"/>
      <c r="AD331" s="28"/>
      <c r="AE331" s="28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</row>
    <row r="332" spans="1:47" x14ac:dyDescent="0.45">
      <c r="A332" s="3"/>
      <c r="B332" s="13"/>
      <c r="H332" s="23"/>
      <c r="I332" s="23"/>
      <c r="J332" s="23"/>
      <c r="K332" s="23"/>
      <c r="L332" s="23"/>
      <c r="M332" s="23"/>
      <c r="N332" s="26"/>
      <c r="O332" s="26"/>
      <c r="P332" s="26"/>
      <c r="Q332" s="26"/>
      <c r="R332" s="26"/>
      <c r="S332" s="26"/>
      <c r="T332" s="27"/>
      <c r="U332" s="27"/>
      <c r="V332" s="27"/>
      <c r="W332" s="27"/>
      <c r="X332" s="27"/>
      <c r="Y332" s="27"/>
      <c r="Z332" s="28"/>
      <c r="AA332" s="28"/>
      <c r="AB332" s="28"/>
      <c r="AC332" s="28"/>
      <c r="AD332" s="28"/>
      <c r="AE332" s="28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</row>
    <row r="333" spans="1:47" x14ac:dyDescent="0.45">
      <c r="A333" s="3"/>
      <c r="B333" s="13"/>
      <c r="H333" s="23"/>
      <c r="I333" s="23"/>
      <c r="J333" s="23"/>
      <c r="K333" s="23"/>
      <c r="L333" s="23"/>
      <c r="M333" s="23"/>
      <c r="N333" s="26"/>
      <c r="O333" s="26"/>
      <c r="P333" s="26"/>
      <c r="Q333" s="26"/>
      <c r="R333" s="26"/>
      <c r="S333" s="26"/>
      <c r="T333" s="27"/>
      <c r="U333" s="27"/>
      <c r="V333" s="27"/>
      <c r="W333" s="27"/>
      <c r="X333" s="27"/>
      <c r="Y333" s="27"/>
      <c r="Z333" s="28"/>
      <c r="AA333" s="28"/>
      <c r="AB333" s="28"/>
      <c r="AC333" s="28"/>
      <c r="AD333" s="28"/>
      <c r="AE333" s="28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</row>
    <row r="334" spans="1:47" x14ac:dyDescent="0.45">
      <c r="A334" s="3"/>
      <c r="B334" s="13"/>
      <c r="H334" s="23"/>
      <c r="I334" s="23"/>
      <c r="J334" s="23"/>
      <c r="K334" s="23"/>
      <c r="L334" s="23"/>
      <c r="M334" s="23"/>
      <c r="N334" s="26"/>
      <c r="O334" s="26"/>
      <c r="P334" s="26"/>
      <c r="Q334" s="26"/>
      <c r="R334" s="26"/>
      <c r="S334" s="26"/>
      <c r="T334" s="27"/>
      <c r="U334" s="27"/>
      <c r="V334" s="27"/>
      <c r="W334" s="27"/>
      <c r="X334" s="27"/>
      <c r="Y334" s="27"/>
      <c r="Z334" s="28"/>
      <c r="AA334" s="28"/>
      <c r="AB334" s="28"/>
      <c r="AC334" s="28"/>
      <c r="AD334" s="28"/>
      <c r="AE334" s="28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</row>
    <row r="335" spans="1:47" x14ac:dyDescent="0.45">
      <c r="A335" s="3"/>
      <c r="B335" s="13"/>
      <c r="H335" s="23"/>
      <c r="I335" s="23"/>
      <c r="J335" s="23"/>
      <c r="K335" s="23"/>
      <c r="L335" s="23"/>
      <c r="M335" s="23"/>
      <c r="N335" s="26"/>
      <c r="O335" s="26"/>
      <c r="P335" s="26"/>
      <c r="Q335" s="26"/>
      <c r="R335" s="26"/>
      <c r="S335" s="26"/>
      <c r="T335" s="27"/>
      <c r="U335" s="27"/>
      <c r="V335" s="27"/>
      <c r="W335" s="27"/>
      <c r="X335" s="27"/>
      <c r="Y335" s="27"/>
      <c r="Z335" s="28"/>
      <c r="AA335" s="28"/>
      <c r="AB335" s="28"/>
      <c r="AC335" s="28"/>
      <c r="AD335" s="28"/>
      <c r="AE335" s="28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</row>
    <row r="336" spans="1:47" x14ac:dyDescent="0.45">
      <c r="A336" s="3"/>
      <c r="B336" s="13"/>
      <c r="H336" s="23"/>
      <c r="I336" s="23"/>
      <c r="J336" s="23"/>
      <c r="K336" s="23"/>
      <c r="L336" s="23"/>
      <c r="M336" s="23"/>
      <c r="N336" s="26"/>
      <c r="O336" s="26"/>
      <c r="P336" s="26"/>
      <c r="Q336" s="26"/>
      <c r="R336" s="26"/>
      <c r="S336" s="26"/>
      <c r="T336" s="27"/>
      <c r="U336" s="27"/>
      <c r="V336" s="27"/>
      <c r="W336" s="27"/>
      <c r="X336" s="27"/>
      <c r="Y336" s="27"/>
      <c r="Z336" s="28"/>
      <c r="AA336" s="28"/>
      <c r="AB336" s="28"/>
      <c r="AC336" s="28"/>
      <c r="AD336" s="28"/>
      <c r="AE336" s="28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</row>
    <row r="337" spans="1:47" x14ac:dyDescent="0.45">
      <c r="A337" s="3"/>
      <c r="B337" s="13"/>
      <c r="H337" s="23"/>
      <c r="I337" s="23"/>
      <c r="J337" s="23"/>
      <c r="K337" s="23"/>
      <c r="L337" s="23"/>
      <c r="M337" s="23"/>
      <c r="N337" s="26"/>
      <c r="O337" s="26"/>
      <c r="P337" s="26"/>
      <c r="Q337" s="26"/>
      <c r="R337" s="26"/>
      <c r="S337" s="26"/>
      <c r="T337" s="27"/>
      <c r="U337" s="27"/>
      <c r="V337" s="27"/>
      <c r="W337" s="27"/>
      <c r="X337" s="27"/>
      <c r="Y337" s="27"/>
      <c r="Z337" s="28"/>
      <c r="AA337" s="28"/>
      <c r="AB337" s="28"/>
      <c r="AC337" s="28"/>
      <c r="AD337" s="28"/>
      <c r="AE337" s="28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</row>
    <row r="338" spans="1:47" x14ac:dyDescent="0.45">
      <c r="A338" s="3"/>
      <c r="B338" s="13"/>
      <c r="H338" s="23"/>
      <c r="I338" s="23"/>
      <c r="J338" s="23"/>
      <c r="K338" s="23"/>
      <c r="L338" s="23"/>
      <c r="M338" s="23"/>
      <c r="N338" s="26"/>
      <c r="O338" s="26"/>
      <c r="P338" s="26"/>
      <c r="Q338" s="26"/>
      <c r="R338" s="26"/>
      <c r="S338" s="26"/>
      <c r="T338" s="27"/>
      <c r="U338" s="27"/>
      <c r="V338" s="27"/>
      <c r="W338" s="27"/>
      <c r="X338" s="27"/>
      <c r="Y338" s="27"/>
      <c r="Z338" s="28"/>
      <c r="AA338" s="28"/>
      <c r="AB338" s="28"/>
      <c r="AC338" s="28"/>
      <c r="AD338" s="28"/>
      <c r="AE338" s="28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</row>
    <row r="339" spans="1:47" x14ac:dyDescent="0.45">
      <c r="A339" s="3"/>
      <c r="B339" s="13"/>
      <c r="H339" s="23"/>
      <c r="I339" s="23"/>
      <c r="J339" s="23"/>
      <c r="K339" s="23"/>
      <c r="L339" s="23"/>
      <c r="M339" s="23"/>
      <c r="N339" s="26"/>
      <c r="O339" s="26"/>
      <c r="P339" s="26"/>
      <c r="Q339" s="26"/>
      <c r="R339" s="26"/>
      <c r="S339" s="26"/>
      <c r="T339" s="27"/>
      <c r="U339" s="27"/>
      <c r="V339" s="27"/>
      <c r="W339" s="27"/>
      <c r="X339" s="27"/>
      <c r="Y339" s="27"/>
      <c r="Z339" s="28"/>
      <c r="AA339" s="28"/>
      <c r="AB339" s="28"/>
      <c r="AC339" s="28"/>
      <c r="AD339" s="28"/>
      <c r="AE339" s="28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</row>
    <row r="340" spans="1:47" x14ac:dyDescent="0.45">
      <c r="A340" s="3"/>
      <c r="B340" s="13"/>
      <c r="H340" s="23"/>
      <c r="I340" s="23"/>
      <c r="J340" s="23"/>
      <c r="K340" s="23"/>
      <c r="L340" s="23"/>
      <c r="M340" s="23"/>
      <c r="N340" s="26"/>
      <c r="O340" s="26"/>
      <c r="P340" s="26"/>
      <c r="Q340" s="26"/>
      <c r="R340" s="26"/>
      <c r="S340" s="26"/>
      <c r="T340" s="27"/>
      <c r="U340" s="27"/>
      <c r="V340" s="27"/>
      <c r="W340" s="27"/>
      <c r="X340" s="27"/>
      <c r="Y340" s="27"/>
      <c r="Z340" s="28"/>
      <c r="AA340" s="28"/>
      <c r="AB340" s="28"/>
      <c r="AC340" s="28"/>
      <c r="AD340" s="28"/>
      <c r="AE340" s="28"/>
      <c r="AJ340" s="44"/>
      <c r="AK340" s="44"/>
      <c r="AL340" s="44"/>
      <c r="AM340" s="44"/>
      <c r="AN340" s="44"/>
      <c r="AO340" s="44"/>
      <c r="AP340" s="44"/>
      <c r="AQ340" s="44"/>
      <c r="AR340" s="44"/>
      <c r="AS340" s="44"/>
      <c r="AT340" s="44"/>
      <c r="AU340" s="44"/>
    </row>
    <row r="341" spans="1:47" x14ac:dyDescent="0.45">
      <c r="A341" s="3"/>
      <c r="B341" s="13"/>
      <c r="H341" s="23"/>
      <c r="I341" s="23"/>
      <c r="J341" s="23"/>
      <c r="K341" s="23"/>
      <c r="L341" s="23"/>
      <c r="M341" s="23"/>
      <c r="N341" s="26"/>
      <c r="O341" s="26"/>
      <c r="P341" s="26"/>
      <c r="Q341" s="26"/>
      <c r="R341" s="26"/>
      <c r="S341" s="26"/>
      <c r="T341" s="27"/>
      <c r="U341" s="27"/>
      <c r="V341" s="27"/>
      <c r="W341" s="27"/>
      <c r="X341" s="27"/>
      <c r="Y341" s="27"/>
      <c r="Z341" s="28"/>
      <c r="AA341" s="28"/>
      <c r="AB341" s="28"/>
      <c r="AC341" s="28"/>
      <c r="AD341" s="28"/>
      <c r="AE341" s="28"/>
      <c r="AJ341" s="44"/>
      <c r="AK341" s="44"/>
      <c r="AL341" s="44"/>
      <c r="AM341" s="44"/>
      <c r="AN341" s="44"/>
      <c r="AO341" s="44"/>
      <c r="AP341" s="44"/>
      <c r="AQ341" s="44"/>
      <c r="AR341" s="44"/>
      <c r="AS341" s="44"/>
      <c r="AT341" s="44"/>
      <c r="AU341" s="44"/>
    </row>
    <row r="342" spans="1:47" x14ac:dyDescent="0.45">
      <c r="A342" s="3"/>
      <c r="B342" s="13"/>
      <c r="H342" s="23"/>
      <c r="I342" s="23"/>
      <c r="J342" s="23"/>
      <c r="K342" s="23"/>
      <c r="L342" s="23"/>
      <c r="M342" s="23"/>
      <c r="N342" s="26"/>
      <c r="O342" s="26"/>
      <c r="P342" s="26"/>
      <c r="Q342" s="26"/>
      <c r="R342" s="26"/>
      <c r="S342" s="26"/>
      <c r="T342" s="27"/>
      <c r="U342" s="27"/>
      <c r="V342" s="27"/>
      <c r="W342" s="27"/>
      <c r="X342" s="27"/>
      <c r="Y342" s="27"/>
      <c r="Z342" s="28"/>
      <c r="AA342" s="28"/>
      <c r="AB342" s="28"/>
      <c r="AC342" s="28"/>
      <c r="AD342" s="28"/>
      <c r="AE342" s="28"/>
      <c r="AJ342" s="44"/>
      <c r="AK342" s="44"/>
      <c r="AL342" s="44"/>
      <c r="AM342" s="44"/>
      <c r="AN342" s="44"/>
      <c r="AO342" s="44"/>
      <c r="AP342" s="44"/>
      <c r="AQ342" s="44"/>
      <c r="AR342" s="44"/>
      <c r="AS342" s="44"/>
      <c r="AT342" s="44"/>
      <c r="AU342" s="44"/>
    </row>
    <row r="343" spans="1:47" x14ac:dyDescent="0.45">
      <c r="A343" s="3"/>
      <c r="B343" s="13"/>
      <c r="H343" s="23"/>
      <c r="I343" s="23"/>
      <c r="J343" s="23"/>
      <c r="K343" s="23"/>
      <c r="L343" s="23"/>
      <c r="M343" s="23"/>
      <c r="N343" s="26"/>
      <c r="O343" s="26"/>
      <c r="P343" s="26"/>
      <c r="Q343" s="26"/>
      <c r="R343" s="26"/>
      <c r="S343" s="26"/>
      <c r="T343" s="27"/>
      <c r="U343" s="27"/>
      <c r="V343" s="27"/>
      <c r="W343" s="27"/>
      <c r="X343" s="27"/>
      <c r="Y343" s="27"/>
      <c r="Z343" s="28"/>
      <c r="AA343" s="28"/>
      <c r="AB343" s="28"/>
      <c r="AC343" s="28"/>
      <c r="AD343" s="28"/>
      <c r="AE343" s="28"/>
      <c r="AJ343" s="44"/>
      <c r="AK343" s="44"/>
      <c r="AL343" s="44"/>
      <c r="AM343" s="44"/>
      <c r="AN343" s="44"/>
      <c r="AO343" s="44"/>
      <c r="AP343" s="44"/>
      <c r="AQ343" s="44"/>
      <c r="AR343" s="44"/>
      <c r="AS343" s="44"/>
      <c r="AT343" s="44"/>
      <c r="AU343" s="44"/>
    </row>
    <row r="344" spans="1:47" x14ac:dyDescent="0.45">
      <c r="A344" s="3"/>
      <c r="B344" s="13"/>
      <c r="H344" s="23"/>
      <c r="I344" s="23"/>
      <c r="J344" s="23"/>
      <c r="K344" s="23"/>
      <c r="L344" s="23"/>
      <c r="M344" s="23"/>
      <c r="N344" s="26"/>
      <c r="O344" s="26"/>
      <c r="P344" s="26"/>
      <c r="Q344" s="26"/>
      <c r="R344" s="26"/>
      <c r="S344" s="26"/>
      <c r="T344" s="27"/>
      <c r="U344" s="27"/>
      <c r="V344" s="27"/>
      <c r="W344" s="27"/>
      <c r="X344" s="27"/>
      <c r="Y344" s="27"/>
      <c r="Z344" s="28"/>
      <c r="AA344" s="28"/>
      <c r="AB344" s="28"/>
      <c r="AC344" s="28"/>
      <c r="AD344" s="28"/>
      <c r="AE344" s="28"/>
      <c r="AJ344" s="44"/>
      <c r="AK344" s="44"/>
      <c r="AL344" s="44"/>
      <c r="AM344" s="44"/>
      <c r="AN344" s="44"/>
      <c r="AO344" s="44"/>
      <c r="AP344" s="44"/>
      <c r="AQ344" s="44"/>
      <c r="AR344" s="44"/>
      <c r="AS344" s="44"/>
      <c r="AT344" s="44"/>
      <c r="AU344" s="44"/>
    </row>
    <row r="345" spans="1:47" x14ac:dyDescent="0.45">
      <c r="A345" s="3"/>
      <c r="B345" s="13"/>
      <c r="H345" s="23"/>
      <c r="I345" s="23"/>
      <c r="J345" s="23"/>
      <c r="K345" s="23"/>
      <c r="L345" s="23"/>
      <c r="M345" s="23"/>
      <c r="N345" s="26"/>
      <c r="O345" s="26"/>
      <c r="P345" s="26"/>
      <c r="Q345" s="26"/>
      <c r="R345" s="26"/>
      <c r="S345" s="26"/>
      <c r="T345" s="27"/>
      <c r="U345" s="27"/>
      <c r="V345" s="27"/>
      <c r="W345" s="27"/>
      <c r="X345" s="27"/>
      <c r="Y345" s="27"/>
      <c r="Z345" s="28"/>
      <c r="AA345" s="28"/>
      <c r="AB345" s="28"/>
      <c r="AC345" s="28"/>
      <c r="AD345" s="28"/>
      <c r="AE345" s="28"/>
      <c r="AJ345" s="44"/>
      <c r="AK345" s="44"/>
      <c r="AL345" s="44"/>
      <c r="AM345" s="44"/>
      <c r="AN345" s="44"/>
      <c r="AO345" s="44"/>
      <c r="AP345" s="44"/>
      <c r="AQ345" s="44"/>
      <c r="AR345" s="44"/>
      <c r="AS345" s="44"/>
      <c r="AT345" s="44"/>
      <c r="AU345" s="44"/>
    </row>
    <row r="346" spans="1:47" x14ac:dyDescent="0.45">
      <c r="A346" s="3"/>
      <c r="B346" s="13"/>
      <c r="H346" s="23"/>
      <c r="I346" s="23"/>
      <c r="J346" s="23"/>
      <c r="K346" s="23"/>
      <c r="L346" s="23"/>
      <c r="M346" s="23"/>
      <c r="N346" s="26"/>
      <c r="O346" s="26"/>
      <c r="P346" s="26"/>
      <c r="Q346" s="26"/>
      <c r="R346" s="26"/>
      <c r="S346" s="26"/>
      <c r="T346" s="27"/>
      <c r="U346" s="27"/>
      <c r="V346" s="27"/>
      <c r="W346" s="27"/>
      <c r="X346" s="27"/>
      <c r="Y346" s="27"/>
      <c r="Z346" s="28"/>
      <c r="AA346" s="28"/>
      <c r="AB346" s="28"/>
      <c r="AC346" s="28"/>
      <c r="AD346" s="28"/>
      <c r="AE346" s="28"/>
      <c r="AJ346" s="44"/>
      <c r="AK346" s="44"/>
      <c r="AL346" s="44"/>
      <c r="AM346" s="44"/>
      <c r="AN346" s="44"/>
      <c r="AO346" s="44"/>
      <c r="AP346" s="44"/>
      <c r="AQ346" s="44"/>
      <c r="AR346" s="44"/>
      <c r="AS346" s="44"/>
      <c r="AT346" s="44"/>
      <c r="AU346" s="44"/>
    </row>
    <row r="347" spans="1:47" x14ac:dyDescent="0.45">
      <c r="A347" s="3"/>
      <c r="B347" s="13"/>
      <c r="H347" s="23"/>
      <c r="I347" s="23"/>
      <c r="J347" s="23"/>
      <c r="K347" s="23"/>
      <c r="L347" s="23"/>
      <c r="M347" s="23"/>
      <c r="N347" s="26"/>
      <c r="O347" s="26"/>
      <c r="P347" s="26"/>
      <c r="Q347" s="26"/>
      <c r="R347" s="26"/>
      <c r="S347" s="26"/>
      <c r="T347" s="27"/>
      <c r="U347" s="27"/>
      <c r="V347" s="27"/>
      <c r="W347" s="27"/>
      <c r="X347" s="27"/>
      <c r="Y347" s="27"/>
      <c r="Z347" s="28"/>
      <c r="AA347" s="28"/>
      <c r="AB347" s="28"/>
      <c r="AC347" s="28"/>
      <c r="AD347" s="28"/>
      <c r="AE347" s="28"/>
      <c r="AJ347" s="44"/>
      <c r="AK347" s="44"/>
      <c r="AL347" s="44"/>
      <c r="AM347" s="44"/>
      <c r="AN347" s="44"/>
      <c r="AO347" s="44"/>
      <c r="AP347" s="44"/>
      <c r="AQ347" s="44"/>
      <c r="AR347" s="44"/>
      <c r="AS347" s="44"/>
      <c r="AT347" s="44"/>
      <c r="AU347" s="44"/>
    </row>
    <row r="348" spans="1:47" x14ac:dyDescent="0.45">
      <c r="A348" s="3"/>
      <c r="B348" s="13"/>
      <c r="H348" s="23"/>
      <c r="I348" s="23"/>
      <c r="J348" s="23"/>
      <c r="K348" s="23"/>
      <c r="L348" s="23"/>
      <c r="M348" s="23"/>
      <c r="N348" s="26"/>
      <c r="O348" s="26"/>
      <c r="P348" s="26"/>
      <c r="Q348" s="26"/>
      <c r="R348" s="26"/>
      <c r="S348" s="26"/>
      <c r="T348" s="27"/>
      <c r="U348" s="27"/>
      <c r="V348" s="27"/>
      <c r="W348" s="27"/>
      <c r="X348" s="27"/>
      <c r="Y348" s="27"/>
      <c r="Z348" s="28"/>
      <c r="AA348" s="28"/>
      <c r="AB348" s="28"/>
      <c r="AC348" s="28"/>
      <c r="AD348" s="28"/>
      <c r="AE348" s="28"/>
      <c r="AJ348" s="44"/>
      <c r="AK348" s="44"/>
      <c r="AL348" s="44"/>
      <c r="AM348" s="44"/>
      <c r="AN348" s="44"/>
      <c r="AO348" s="44"/>
      <c r="AP348" s="44"/>
      <c r="AQ348" s="44"/>
      <c r="AR348" s="44"/>
      <c r="AS348" s="44"/>
      <c r="AT348" s="44"/>
      <c r="AU348" s="44"/>
    </row>
    <row r="349" spans="1:47" x14ac:dyDescent="0.45">
      <c r="A349" s="3"/>
      <c r="B349" s="13"/>
      <c r="H349" s="23"/>
      <c r="I349" s="23"/>
      <c r="J349" s="23"/>
      <c r="K349" s="23"/>
      <c r="L349" s="23"/>
      <c r="M349" s="23"/>
      <c r="N349" s="26"/>
      <c r="O349" s="26"/>
      <c r="P349" s="26"/>
      <c r="Q349" s="26"/>
      <c r="R349" s="26"/>
      <c r="S349" s="26"/>
      <c r="T349" s="27"/>
      <c r="U349" s="27"/>
      <c r="V349" s="27"/>
      <c r="W349" s="27"/>
      <c r="X349" s="27"/>
      <c r="Y349" s="27"/>
      <c r="Z349" s="28"/>
      <c r="AA349" s="28"/>
      <c r="AB349" s="28"/>
      <c r="AC349" s="28"/>
      <c r="AD349" s="28"/>
      <c r="AE349" s="28"/>
      <c r="AJ349" s="44"/>
      <c r="AK349" s="44"/>
      <c r="AL349" s="44"/>
      <c r="AM349" s="44"/>
      <c r="AN349" s="44"/>
      <c r="AO349" s="44"/>
      <c r="AP349" s="44"/>
      <c r="AQ349" s="44"/>
      <c r="AR349" s="44"/>
      <c r="AS349" s="44"/>
      <c r="AT349" s="44"/>
      <c r="AU349" s="44"/>
    </row>
    <row r="350" spans="1:47" x14ac:dyDescent="0.45">
      <c r="A350" s="3"/>
      <c r="B350" s="13"/>
      <c r="H350" s="23"/>
      <c r="I350" s="23"/>
      <c r="J350" s="23"/>
      <c r="K350" s="23"/>
      <c r="L350" s="23"/>
      <c r="M350" s="23"/>
      <c r="N350" s="26"/>
      <c r="O350" s="26"/>
      <c r="P350" s="26"/>
      <c r="Q350" s="26"/>
      <c r="R350" s="26"/>
      <c r="S350" s="26"/>
      <c r="T350" s="27"/>
      <c r="U350" s="27"/>
      <c r="V350" s="27"/>
      <c r="W350" s="27"/>
      <c r="X350" s="27"/>
      <c r="Y350" s="27"/>
      <c r="Z350" s="28"/>
      <c r="AA350" s="28"/>
      <c r="AB350" s="28"/>
      <c r="AC350" s="28"/>
      <c r="AD350" s="28"/>
      <c r="AE350" s="28"/>
      <c r="AJ350" s="44"/>
      <c r="AK350" s="44"/>
      <c r="AL350" s="44"/>
      <c r="AM350" s="44"/>
      <c r="AN350" s="44"/>
      <c r="AO350" s="44"/>
      <c r="AP350" s="44"/>
      <c r="AQ350" s="44"/>
      <c r="AR350" s="44"/>
      <c r="AS350" s="44"/>
      <c r="AT350" s="44"/>
      <c r="AU350" s="44"/>
    </row>
    <row r="351" spans="1:47" x14ac:dyDescent="0.45">
      <c r="A351" s="3"/>
      <c r="B351" s="13"/>
      <c r="H351" s="23"/>
      <c r="I351" s="23"/>
      <c r="J351" s="23"/>
      <c r="K351" s="23"/>
      <c r="L351" s="23"/>
      <c r="M351" s="23"/>
      <c r="N351" s="26"/>
      <c r="O351" s="26"/>
      <c r="P351" s="26"/>
      <c r="Q351" s="26"/>
      <c r="R351" s="26"/>
      <c r="S351" s="26"/>
      <c r="T351" s="27"/>
      <c r="U351" s="27"/>
      <c r="V351" s="27"/>
      <c r="W351" s="27"/>
      <c r="X351" s="27"/>
      <c r="Y351" s="27"/>
      <c r="Z351" s="28"/>
      <c r="AA351" s="28"/>
      <c r="AB351" s="28"/>
      <c r="AC351" s="28"/>
      <c r="AD351" s="28"/>
      <c r="AE351" s="28"/>
      <c r="AJ351" s="44"/>
      <c r="AK351" s="44"/>
      <c r="AL351" s="44"/>
      <c r="AM351" s="44"/>
      <c r="AN351" s="44"/>
      <c r="AO351" s="44"/>
      <c r="AP351" s="44"/>
      <c r="AQ351" s="44"/>
      <c r="AR351" s="44"/>
      <c r="AS351" s="44"/>
      <c r="AT351" s="44"/>
      <c r="AU351" s="44"/>
    </row>
    <row r="352" spans="1:47" x14ac:dyDescent="0.45">
      <c r="A352" s="3"/>
      <c r="B352" s="13"/>
      <c r="H352" s="23"/>
      <c r="I352" s="23"/>
      <c r="J352" s="23"/>
      <c r="K352" s="23"/>
      <c r="L352" s="23"/>
      <c r="M352" s="23"/>
      <c r="N352" s="26"/>
      <c r="O352" s="26"/>
      <c r="P352" s="26"/>
      <c r="Q352" s="26"/>
      <c r="R352" s="26"/>
      <c r="S352" s="26"/>
      <c r="T352" s="27"/>
      <c r="U352" s="27"/>
      <c r="V352" s="27"/>
      <c r="W352" s="27"/>
      <c r="X352" s="27"/>
      <c r="Y352" s="27"/>
      <c r="Z352" s="28"/>
      <c r="AA352" s="28"/>
      <c r="AB352" s="28"/>
      <c r="AC352" s="28"/>
      <c r="AD352" s="28"/>
      <c r="AE352" s="28"/>
      <c r="AJ352" s="44"/>
      <c r="AK352" s="44"/>
      <c r="AL352" s="44"/>
      <c r="AM352" s="44"/>
      <c r="AN352" s="44"/>
      <c r="AO352" s="44"/>
      <c r="AP352" s="44"/>
      <c r="AQ352" s="44"/>
      <c r="AR352" s="44"/>
      <c r="AS352" s="44"/>
      <c r="AT352" s="44"/>
      <c r="AU352" s="44"/>
    </row>
    <row r="353" spans="1:47" x14ac:dyDescent="0.45">
      <c r="A353" s="3"/>
      <c r="B353" s="13"/>
      <c r="H353" s="23"/>
      <c r="I353" s="23"/>
      <c r="J353" s="23"/>
      <c r="K353" s="23"/>
      <c r="L353" s="23"/>
      <c r="M353" s="23"/>
      <c r="N353" s="26"/>
      <c r="O353" s="26"/>
      <c r="P353" s="26"/>
      <c r="Q353" s="26"/>
      <c r="R353" s="26"/>
      <c r="S353" s="26"/>
      <c r="T353" s="27"/>
      <c r="U353" s="27"/>
      <c r="V353" s="27"/>
      <c r="W353" s="27"/>
      <c r="X353" s="27"/>
      <c r="Y353" s="27"/>
      <c r="Z353" s="28"/>
      <c r="AA353" s="28"/>
      <c r="AB353" s="28"/>
      <c r="AC353" s="28"/>
      <c r="AD353" s="28"/>
      <c r="AE353" s="28"/>
      <c r="AJ353" s="44"/>
      <c r="AK353" s="44"/>
      <c r="AL353" s="44"/>
      <c r="AM353" s="44"/>
      <c r="AN353" s="44"/>
      <c r="AO353" s="44"/>
      <c r="AP353" s="44"/>
      <c r="AQ353" s="44"/>
      <c r="AR353" s="44"/>
      <c r="AS353" s="44"/>
      <c r="AT353" s="44"/>
      <c r="AU353" s="44"/>
    </row>
    <row r="354" spans="1:47" x14ac:dyDescent="0.45">
      <c r="A354" s="3"/>
      <c r="B354" s="13"/>
      <c r="H354" s="23"/>
      <c r="I354" s="23"/>
      <c r="J354" s="23"/>
      <c r="K354" s="23"/>
      <c r="L354" s="23"/>
      <c r="M354" s="23"/>
      <c r="N354" s="26"/>
      <c r="O354" s="26"/>
      <c r="P354" s="26"/>
      <c r="Q354" s="26"/>
      <c r="R354" s="26"/>
      <c r="S354" s="26"/>
      <c r="T354" s="27"/>
      <c r="U354" s="27"/>
      <c r="V354" s="27"/>
      <c r="W354" s="27"/>
      <c r="X354" s="27"/>
      <c r="Y354" s="27"/>
      <c r="Z354" s="28"/>
      <c r="AA354" s="28"/>
      <c r="AB354" s="28"/>
      <c r="AC354" s="28"/>
      <c r="AD354" s="28"/>
      <c r="AE354" s="28"/>
      <c r="AJ354" s="44"/>
      <c r="AK354" s="44"/>
      <c r="AL354" s="44"/>
      <c r="AM354" s="44"/>
      <c r="AN354" s="44"/>
      <c r="AO354" s="44"/>
      <c r="AP354" s="44"/>
      <c r="AQ354" s="44"/>
      <c r="AR354" s="44"/>
      <c r="AS354" s="44"/>
      <c r="AT354" s="44"/>
      <c r="AU354" s="44"/>
    </row>
    <row r="355" spans="1:47" x14ac:dyDescent="0.45">
      <c r="A355" s="3"/>
      <c r="B355" s="13"/>
      <c r="H355" s="23"/>
      <c r="I355" s="23"/>
      <c r="J355" s="23"/>
      <c r="K355" s="23"/>
      <c r="L355" s="23"/>
      <c r="M355" s="23"/>
      <c r="N355" s="26"/>
      <c r="O355" s="26"/>
      <c r="P355" s="26"/>
      <c r="Q355" s="26"/>
      <c r="R355" s="26"/>
      <c r="S355" s="26"/>
      <c r="T355" s="27"/>
      <c r="U355" s="27"/>
      <c r="V355" s="27"/>
      <c r="W355" s="27"/>
      <c r="X355" s="27"/>
      <c r="Y355" s="27"/>
      <c r="Z355" s="28"/>
      <c r="AA355" s="28"/>
      <c r="AB355" s="28"/>
      <c r="AC355" s="28"/>
      <c r="AD355" s="28"/>
      <c r="AE355" s="28"/>
      <c r="AJ355" s="44"/>
      <c r="AK355" s="44"/>
      <c r="AL355" s="44"/>
      <c r="AM355" s="44"/>
      <c r="AN355" s="44"/>
      <c r="AO355" s="44"/>
      <c r="AP355" s="44"/>
      <c r="AQ355" s="44"/>
      <c r="AR355" s="44"/>
      <c r="AS355" s="44"/>
      <c r="AT355" s="44"/>
      <c r="AU355" s="44"/>
    </row>
    <row r="356" spans="1:47" x14ac:dyDescent="0.45">
      <c r="A356" s="3"/>
      <c r="B356" s="13"/>
      <c r="H356" s="23"/>
      <c r="I356" s="23"/>
      <c r="J356" s="23"/>
      <c r="K356" s="23"/>
      <c r="L356" s="23"/>
      <c r="M356" s="23"/>
      <c r="N356" s="26"/>
      <c r="O356" s="26"/>
      <c r="P356" s="26"/>
      <c r="Q356" s="26"/>
      <c r="R356" s="26"/>
      <c r="S356" s="26"/>
      <c r="T356" s="27"/>
      <c r="U356" s="27"/>
      <c r="V356" s="27"/>
      <c r="W356" s="27"/>
      <c r="X356" s="27"/>
      <c r="Y356" s="27"/>
      <c r="Z356" s="28"/>
      <c r="AA356" s="28"/>
      <c r="AB356" s="28"/>
      <c r="AC356" s="28"/>
      <c r="AD356" s="28"/>
      <c r="AE356" s="28"/>
      <c r="AJ356" s="44"/>
      <c r="AK356" s="44"/>
      <c r="AL356" s="44"/>
      <c r="AM356" s="44"/>
      <c r="AN356" s="44"/>
      <c r="AO356" s="44"/>
      <c r="AP356" s="44"/>
      <c r="AQ356" s="44"/>
      <c r="AR356" s="44"/>
      <c r="AS356" s="44"/>
      <c r="AT356" s="44"/>
      <c r="AU356" s="44"/>
    </row>
    <row r="357" spans="1:47" x14ac:dyDescent="0.45">
      <c r="A357" s="3"/>
      <c r="B357" s="13"/>
      <c r="H357" s="23"/>
      <c r="I357" s="23"/>
      <c r="J357" s="23"/>
      <c r="K357" s="23"/>
      <c r="L357" s="23"/>
      <c r="M357" s="23"/>
      <c r="N357" s="26"/>
      <c r="O357" s="26"/>
      <c r="P357" s="26"/>
      <c r="Q357" s="26"/>
      <c r="R357" s="26"/>
      <c r="S357" s="26"/>
      <c r="T357" s="27"/>
      <c r="U357" s="27"/>
      <c r="V357" s="27"/>
      <c r="W357" s="27"/>
      <c r="X357" s="27"/>
      <c r="Y357" s="27"/>
      <c r="Z357" s="28"/>
      <c r="AA357" s="28"/>
      <c r="AB357" s="28"/>
      <c r="AC357" s="28"/>
      <c r="AD357" s="28"/>
      <c r="AE357" s="28"/>
      <c r="AJ357" s="44"/>
      <c r="AK357" s="44"/>
      <c r="AL357" s="44"/>
      <c r="AM357" s="44"/>
      <c r="AN357" s="44"/>
      <c r="AO357" s="44"/>
      <c r="AP357" s="44"/>
      <c r="AQ357" s="44"/>
      <c r="AR357" s="44"/>
      <c r="AS357" s="44"/>
      <c r="AT357" s="44"/>
      <c r="AU357" s="44"/>
    </row>
    <row r="358" spans="1:47" x14ac:dyDescent="0.45">
      <c r="A358" s="3"/>
      <c r="B358" s="13"/>
      <c r="H358" s="23"/>
      <c r="I358" s="23"/>
      <c r="J358" s="23"/>
      <c r="K358" s="23"/>
      <c r="L358" s="23"/>
      <c r="M358" s="23"/>
      <c r="N358" s="26"/>
      <c r="O358" s="26"/>
      <c r="P358" s="26"/>
      <c r="Q358" s="26"/>
      <c r="R358" s="26"/>
      <c r="S358" s="26"/>
      <c r="T358" s="27"/>
      <c r="U358" s="27"/>
      <c r="V358" s="27"/>
      <c r="W358" s="27"/>
      <c r="X358" s="27"/>
      <c r="Y358" s="27"/>
      <c r="Z358" s="28"/>
      <c r="AA358" s="28"/>
      <c r="AB358" s="28"/>
      <c r="AC358" s="28"/>
      <c r="AD358" s="28"/>
      <c r="AE358" s="28"/>
      <c r="AJ358" s="44"/>
      <c r="AK358" s="44"/>
      <c r="AL358" s="44"/>
      <c r="AM358" s="44"/>
      <c r="AN358" s="44"/>
      <c r="AO358" s="44"/>
      <c r="AP358" s="44"/>
      <c r="AQ358" s="44"/>
      <c r="AR358" s="44"/>
      <c r="AS358" s="44"/>
      <c r="AT358" s="44"/>
      <c r="AU358" s="44"/>
    </row>
    <row r="359" spans="1:47" x14ac:dyDescent="0.45">
      <c r="A359" s="3"/>
      <c r="B359" s="13"/>
      <c r="H359" s="23"/>
      <c r="I359" s="23"/>
      <c r="J359" s="23"/>
      <c r="K359" s="23"/>
      <c r="L359" s="23"/>
      <c r="M359" s="23"/>
      <c r="N359" s="26"/>
      <c r="O359" s="26"/>
      <c r="P359" s="26"/>
      <c r="Q359" s="26"/>
      <c r="R359" s="26"/>
      <c r="S359" s="26"/>
      <c r="T359" s="27"/>
      <c r="U359" s="27"/>
      <c r="V359" s="27"/>
      <c r="W359" s="27"/>
      <c r="X359" s="27"/>
      <c r="Y359" s="27"/>
      <c r="Z359" s="28"/>
      <c r="AA359" s="28"/>
      <c r="AB359" s="28"/>
      <c r="AC359" s="28"/>
      <c r="AD359" s="28"/>
      <c r="AE359" s="28"/>
      <c r="AJ359" s="44"/>
      <c r="AK359" s="44"/>
      <c r="AL359" s="44"/>
      <c r="AM359" s="44"/>
      <c r="AN359" s="44"/>
      <c r="AO359" s="44"/>
      <c r="AP359" s="44"/>
      <c r="AQ359" s="44"/>
      <c r="AR359" s="44"/>
      <c r="AS359" s="44"/>
      <c r="AT359" s="44"/>
      <c r="AU359" s="44"/>
    </row>
    <row r="360" spans="1:47" x14ac:dyDescent="0.45">
      <c r="A360" s="3"/>
      <c r="B360" s="13"/>
      <c r="H360" s="23"/>
      <c r="I360" s="23"/>
      <c r="J360" s="23"/>
      <c r="K360" s="23"/>
      <c r="L360" s="23"/>
      <c r="M360" s="23"/>
      <c r="N360" s="26"/>
      <c r="O360" s="26"/>
      <c r="P360" s="26"/>
      <c r="Q360" s="26"/>
      <c r="R360" s="26"/>
      <c r="S360" s="26"/>
      <c r="T360" s="27"/>
      <c r="U360" s="27"/>
      <c r="V360" s="27"/>
      <c r="W360" s="27"/>
      <c r="X360" s="27"/>
      <c r="Y360" s="27"/>
      <c r="Z360" s="28"/>
      <c r="AA360" s="28"/>
      <c r="AB360" s="28"/>
      <c r="AC360" s="28"/>
      <c r="AD360" s="28"/>
      <c r="AE360" s="28"/>
      <c r="AJ360" s="44"/>
      <c r="AK360" s="44"/>
      <c r="AL360" s="44"/>
      <c r="AM360" s="44"/>
      <c r="AN360" s="44"/>
      <c r="AO360" s="44"/>
      <c r="AP360" s="44"/>
      <c r="AQ360" s="44"/>
      <c r="AR360" s="44"/>
      <c r="AS360" s="44"/>
      <c r="AT360" s="44"/>
      <c r="AU360" s="44"/>
    </row>
    <row r="361" spans="1:47" x14ac:dyDescent="0.45">
      <c r="A361" s="3"/>
      <c r="B361" s="13"/>
      <c r="H361" s="23"/>
      <c r="I361" s="23"/>
      <c r="J361" s="23"/>
      <c r="K361" s="23"/>
      <c r="L361" s="23"/>
      <c r="M361" s="23"/>
      <c r="N361" s="26"/>
      <c r="O361" s="26"/>
      <c r="P361" s="26"/>
      <c r="Q361" s="26"/>
      <c r="R361" s="26"/>
      <c r="S361" s="26"/>
      <c r="T361" s="27"/>
      <c r="U361" s="27"/>
      <c r="V361" s="27"/>
      <c r="W361" s="27"/>
      <c r="X361" s="27"/>
      <c r="Y361" s="27"/>
      <c r="Z361" s="28"/>
      <c r="AA361" s="28"/>
      <c r="AB361" s="28"/>
      <c r="AC361" s="28"/>
      <c r="AD361" s="28"/>
      <c r="AE361" s="28"/>
      <c r="AJ361" s="44"/>
      <c r="AK361" s="44"/>
      <c r="AL361" s="44"/>
      <c r="AM361" s="44"/>
      <c r="AN361" s="44"/>
      <c r="AO361" s="44"/>
      <c r="AP361" s="44"/>
      <c r="AQ361" s="44"/>
      <c r="AR361" s="44"/>
      <c r="AS361" s="44"/>
      <c r="AT361" s="44"/>
      <c r="AU361" s="44"/>
    </row>
    <row r="362" spans="1:47" x14ac:dyDescent="0.45">
      <c r="A362" s="3"/>
      <c r="B362" s="13"/>
      <c r="H362" s="23"/>
      <c r="I362" s="23"/>
      <c r="J362" s="23"/>
      <c r="K362" s="23"/>
      <c r="L362" s="23"/>
      <c r="M362" s="23"/>
      <c r="N362" s="26"/>
      <c r="O362" s="26"/>
      <c r="P362" s="26"/>
      <c r="Q362" s="26"/>
      <c r="R362" s="26"/>
      <c r="S362" s="26"/>
      <c r="T362" s="27"/>
      <c r="U362" s="27"/>
      <c r="V362" s="27"/>
      <c r="W362" s="27"/>
      <c r="X362" s="27"/>
      <c r="Y362" s="27"/>
      <c r="Z362" s="28"/>
      <c r="AA362" s="28"/>
      <c r="AB362" s="28"/>
      <c r="AC362" s="28"/>
      <c r="AD362" s="28"/>
      <c r="AE362" s="28"/>
      <c r="AJ362" s="44"/>
      <c r="AK362" s="44"/>
      <c r="AL362" s="44"/>
      <c r="AM362" s="44"/>
      <c r="AN362" s="44"/>
      <c r="AO362" s="44"/>
      <c r="AP362" s="44"/>
      <c r="AQ362" s="44"/>
      <c r="AR362" s="44"/>
      <c r="AS362" s="44"/>
      <c r="AT362" s="44"/>
      <c r="AU362" s="44"/>
    </row>
    <row r="363" spans="1:47" x14ac:dyDescent="0.45">
      <c r="A363" s="3"/>
      <c r="B363" s="13"/>
      <c r="H363" s="23"/>
      <c r="I363" s="23"/>
      <c r="J363" s="23"/>
      <c r="K363" s="23"/>
      <c r="L363" s="23"/>
      <c r="M363" s="23"/>
      <c r="N363" s="26"/>
      <c r="O363" s="26"/>
      <c r="P363" s="26"/>
      <c r="Q363" s="26"/>
      <c r="R363" s="26"/>
      <c r="S363" s="26"/>
      <c r="T363" s="27"/>
      <c r="U363" s="27"/>
      <c r="V363" s="27"/>
      <c r="W363" s="27"/>
      <c r="X363" s="27"/>
      <c r="Y363" s="27"/>
      <c r="Z363" s="28"/>
      <c r="AA363" s="28"/>
      <c r="AB363" s="28"/>
      <c r="AC363" s="28"/>
      <c r="AD363" s="28"/>
      <c r="AE363" s="28"/>
      <c r="AJ363" s="44"/>
      <c r="AK363" s="44"/>
      <c r="AL363" s="44"/>
      <c r="AM363" s="44"/>
      <c r="AN363" s="44"/>
      <c r="AO363" s="44"/>
      <c r="AP363" s="44"/>
      <c r="AQ363" s="44"/>
      <c r="AR363" s="44"/>
      <c r="AS363" s="44"/>
      <c r="AT363" s="44"/>
      <c r="AU363" s="44"/>
    </row>
    <row r="364" spans="1:47" x14ac:dyDescent="0.45">
      <c r="A364" s="3"/>
      <c r="B364" s="13"/>
      <c r="H364" s="23"/>
      <c r="I364" s="23"/>
      <c r="J364" s="23"/>
      <c r="K364" s="23"/>
      <c r="L364" s="23"/>
      <c r="M364" s="23"/>
      <c r="N364" s="26"/>
      <c r="O364" s="26"/>
      <c r="P364" s="26"/>
      <c r="Q364" s="26"/>
      <c r="R364" s="26"/>
      <c r="S364" s="26"/>
      <c r="T364" s="27"/>
      <c r="U364" s="27"/>
      <c r="V364" s="27"/>
      <c r="W364" s="27"/>
      <c r="X364" s="27"/>
      <c r="Y364" s="27"/>
      <c r="Z364" s="28"/>
      <c r="AA364" s="28"/>
      <c r="AB364" s="28"/>
      <c r="AC364" s="28"/>
      <c r="AD364" s="28"/>
      <c r="AE364" s="28"/>
      <c r="AJ364" s="44"/>
      <c r="AK364" s="44"/>
      <c r="AL364" s="44"/>
      <c r="AM364" s="44"/>
      <c r="AN364" s="44"/>
      <c r="AO364" s="44"/>
      <c r="AP364" s="44"/>
      <c r="AQ364" s="44"/>
      <c r="AR364" s="44"/>
      <c r="AS364" s="44"/>
      <c r="AT364" s="44"/>
      <c r="AU364" s="44"/>
    </row>
    <row r="365" spans="1:47" x14ac:dyDescent="0.45">
      <c r="A365" s="3"/>
      <c r="B365" s="13"/>
      <c r="H365" s="23"/>
      <c r="I365" s="23"/>
      <c r="J365" s="23"/>
      <c r="K365" s="23"/>
      <c r="L365" s="23"/>
      <c r="M365" s="23"/>
      <c r="N365" s="26"/>
      <c r="O365" s="26"/>
      <c r="P365" s="26"/>
      <c r="Q365" s="26"/>
      <c r="R365" s="26"/>
      <c r="S365" s="26"/>
      <c r="T365" s="27"/>
      <c r="U365" s="27"/>
      <c r="V365" s="27"/>
      <c r="W365" s="27"/>
      <c r="X365" s="27"/>
      <c r="Y365" s="27"/>
      <c r="Z365" s="28"/>
      <c r="AA365" s="28"/>
      <c r="AB365" s="28"/>
      <c r="AC365" s="28"/>
      <c r="AD365" s="28"/>
      <c r="AE365" s="28"/>
      <c r="AJ365" s="44"/>
      <c r="AK365" s="44"/>
      <c r="AL365" s="44"/>
      <c r="AM365" s="44"/>
      <c r="AN365" s="44"/>
      <c r="AO365" s="44"/>
      <c r="AP365" s="44"/>
      <c r="AQ365" s="44"/>
      <c r="AR365" s="44"/>
      <c r="AS365" s="44"/>
      <c r="AT365" s="44"/>
      <c r="AU365" s="44"/>
    </row>
    <row r="366" spans="1:47" x14ac:dyDescent="0.45">
      <c r="A366" s="3"/>
      <c r="B366" s="13"/>
      <c r="H366" s="23"/>
      <c r="I366" s="23"/>
      <c r="J366" s="23"/>
      <c r="K366" s="23"/>
      <c r="L366" s="23"/>
      <c r="M366" s="23"/>
      <c r="N366" s="26"/>
      <c r="O366" s="26"/>
      <c r="P366" s="26"/>
      <c r="Q366" s="26"/>
      <c r="R366" s="26"/>
      <c r="S366" s="26"/>
      <c r="T366" s="27"/>
      <c r="U366" s="27"/>
      <c r="V366" s="27"/>
      <c r="W366" s="27"/>
      <c r="X366" s="27"/>
      <c r="Y366" s="27"/>
      <c r="Z366" s="28"/>
      <c r="AA366" s="28"/>
      <c r="AB366" s="28"/>
      <c r="AC366" s="28"/>
      <c r="AD366" s="28"/>
      <c r="AE366" s="28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</row>
    <row r="367" spans="1:47" x14ac:dyDescent="0.45">
      <c r="A367" s="3"/>
      <c r="B367" s="13"/>
      <c r="H367" s="23"/>
      <c r="I367" s="23"/>
      <c r="J367" s="23"/>
      <c r="K367" s="23"/>
      <c r="L367" s="23"/>
      <c r="M367" s="23"/>
      <c r="N367" s="26"/>
      <c r="O367" s="26"/>
      <c r="P367" s="26"/>
      <c r="Q367" s="26"/>
      <c r="R367" s="26"/>
      <c r="S367" s="26"/>
      <c r="T367" s="27"/>
      <c r="U367" s="27"/>
      <c r="V367" s="27"/>
      <c r="W367" s="27"/>
      <c r="X367" s="27"/>
      <c r="Y367" s="27"/>
      <c r="Z367" s="28"/>
      <c r="AA367" s="28"/>
      <c r="AB367" s="28"/>
      <c r="AC367" s="28"/>
      <c r="AD367" s="28"/>
      <c r="AE367" s="28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</row>
    <row r="368" spans="1:47" x14ac:dyDescent="0.45">
      <c r="A368" s="3"/>
      <c r="B368" s="13"/>
      <c r="H368" s="23"/>
      <c r="I368" s="23"/>
      <c r="J368" s="23"/>
      <c r="K368" s="23"/>
      <c r="L368" s="23"/>
      <c r="M368" s="23"/>
      <c r="N368" s="26"/>
      <c r="O368" s="26"/>
      <c r="P368" s="26"/>
      <c r="Q368" s="26"/>
      <c r="R368" s="26"/>
      <c r="S368" s="26"/>
      <c r="T368" s="27"/>
      <c r="U368" s="27"/>
      <c r="V368" s="27"/>
      <c r="W368" s="27"/>
      <c r="X368" s="27"/>
      <c r="Y368" s="27"/>
      <c r="Z368" s="28"/>
      <c r="AA368" s="28"/>
      <c r="AB368" s="28"/>
      <c r="AC368" s="28"/>
      <c r="AD368" s="28"/>
      <c r="AE368" s="28"/>
      <c r="AJ368" s="44"/>
      <c r="AK368" s="44"/>
      <c r="AL368" s="44"/>
      <c r="AM368" s="44"/>
      <c r="AN368" s="44"/>
      <c r="AO368" s="44"/>
      <c r="AP368" s="44"/>
      <c r="AQ368" s="44"/>
      <c r="AR368" s="44"/>
      <c r="AS368" s="44"/>
      <c r="AT368" s="44"/>
      <c r="AU368" s="44"/>
    </row>
    <row r="369" spans="1:47" x14ac:dyDescent="0.45">
      <c r="A369" s="3"/>
      <c r="B369" s="13"/>
      <c r="H369" s="23"/>
      <c r="I369" s="23"/>
      <c r="J369" s="23"/>
      <c r="K369" s="23"/>
      <c r="L369" s="23"/>
      <c r="M369" s="23"/>
      <c r="N369" s="26"/>
      <c r="O369" s="26"/>
      <c r="P369" s="26"/>
      <c r="Q369" s="26"/>
      <c r="R369" s="26"/>
      <c r="S369" s="26"/>
      <c r="T369" s="27"/>
      <c r="U369" s="27"/>
      <c r="V369" s="27"/>
      <c r="W369" s="27"/>
      <c r="X369" s="27"/>
      <c r="Y369" s="27"/>
      <c r="Z369" s="28"/>
      <c r="AA369" s="28"/>
      <c r="AB369" s="28"/>
      <c r="AC369" s="28"/>
      <c r="AD369" s="28"/>
      <c r="AE369" s="28"/>
      <c r="AJ369" s="44"/>
      <c r="AK369" s="44"/>
      <c r="AL369" s="44"/>
      <c r="AM369" s="44"/>
      <c r="AN369" s="44"/>
      <c r="AO369" s="44"/>
      <c r="AP369" s="44"/>
      <c r="AQ369" s="44"/>
      <c r="AR369" s="44"/>
      <c r="AS369" s="44"/>
      <c r="AT369" s="44"/>
      <c r="AU369" s="44"/>
    </row>
    <row r="370" spans="1:47" x14ac:dyDescent="0.45">
      <c r="A370" s="3"/>
      <c r="B370" s="13"/>
      <c r="H370" s="23"/>
      <c r="I370" s="23"/>
      <c r="J370" s="23"/>
      <c r="K370" s="23"/>
      <c r="L370" s="23"/>
      <c r="M370" s="23"/>
      <c r="N370" s="26"/>
      <c r="O370" s="26"/>
      <c r="P370" s="26"/>
      <c r="Q370" s="26"/>
      <c r="R370" s="26"/>
      <c r="S370" s="26"/>
      <c r="T370" s="27"/>
      <c r="U370" s="27"/>
      <c r="V370" s="27"/>
      <c r="W370" s="27"/>
      <c r="X370" s="27"/>
      <c r="Y370" s="27"/>
      <c r="Z370" s="28"/>
      <c r="AA370" s="28"/>
      <c r="AB370" s="28"/>
      <c r="AC370" s="28"/>
      <c r="AD370" s="28"/>
      <c r="AE370" s="28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</row>
    <row r="371" spans="1:47" x14ac:dyDescent="0.45">
      <c r="A371" s="3"/>
      <c r="B371" s="13"/>
      <c r="H371" s="23"/>
      <c r="I371" s="23"/>
      <c r="J371" s="23"/>
      <c r="K371" s="23"/>
      <c r="L371" s="23"/>
      <c r="M371" s="23"/>
      <c r="N371" s="26"/>
      <c r="O371" s="26"/>
      <c r="P371" s="26"/>
      <c r="Q371" s="26"/>
      <c r="R371" s="26"/>
      <c r="S371" s="26"/>
      <c r="T371" s="27"/>
      <c r="U371" s="27"/>
      <c r="V371" s="27"/>
      <c r="W371" s="27"/>
      <c r="X371" s="27"/>
      <c r="Y371" s="27"/>
      <c r="Z371" s="28"/>
      <c r="AA371" s="28"/>
      <c r="AB371" s="28"/>
      <c r="AC371" s="28"/>
      <c r="AD371" s="28"/>
      <c r="AE371" s="28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</row>
    <row r="372" spans="1:47" x14ac:dyDescent="0.45">
      <c r="A372" s="3"/>
      <c r="B372" s="13"/>
      <c r="H372" s="23"/>
      <c r="I372" s="23"/>
      <c r="J372" s="23"/>
      <c r="K372" s="23"/>
      <c r="L372" s="23"/>
      <c r="M372" s="23"/>
      <c r="N372" s="26"/>
      <c r="O372" s="26"/>
      <c r="P372" s="26"/>
      <c r="Q372" s="26"/>
      <c r="R372" s="26"/>
      <c r="S372" s="26"/>
      <c r="T372" s="27"/>
      <c r="U372" s="27"/>
      <c r="V372" s="27"/>
      <c r="W372" s="27"/>
      <c r="X372" s="27"/>
      <c r="Y372" s="27"/>
      <c r="Z372" s="28"/>
      <c r="AA372" s="28"/>
      <c r="AB372" s="28"/>
      <c r="AC372" s="28"/>
      <c r="AD372" s="28"/>
      <c r="AE372" s="28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</row>
    <row r="373" spans="1:47" x14ac:dyDescent="0.45">
      <c r="A373" s="3"/>
      <c r="B373" s="13"/>
      <c r="H373" s="23"/>
      <c r="I373" s="23"/>
      <c r="J373" s="23"/>
      <c r="K373" s="23"/>
      <c r="L373" s="23"/>
      <c r="M373" s="23"/>
      <c r="N373" s="26"/>
      <c r="O373" s="26"/>
      <c r="P373" s="26"/>
      <c r="Q373" s="26"/>
      <c r="R373" s="26"/>
      <c r="S373" s="26"/>
      <c r="T373" s="27"/>
      <c r="U373" s="27"/>
      <c r="V373" s="27"/>
      <c r="W373" s="27"/>
      <c r="X373" s="27"/>
      <c r="Y373" s="27"/>
      <c r="Z373" s="28"/>
      <c r="AA373" s="28"/>
      <c r="AB373" s="28"/>
      <c r="AC373" s="28"/>
      <c r="AD373" s="28"/>
      <c r="AE373" s="28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</row>
    <row r="374" spans="1:47" x14ac:dyDescent="0.45">
      <c r="A374" s="3"/>
      <c r="B374" s="13"/>
      <c r="H374" s="23"/>
      <c r="I374" s="23"/>
      <c r="J374" s="23"/>
      <c r="K374" s="23"/>
      <c r="L374" s="23"/>
      <c r="M374" s="23"/>
      <c r="N374" s="26"/>
      <c r="O374" s="26"/>
      <c r="P374" s="26"/>
      <c r="Q374" s="26"/>
      <c r="R374" s="26"/>
      <c r="S374" s="26"/>
      <c r="T374" s="27"/>
      <c r="U374" s="27"/>
      <c r="V374" s="27"/>
      <c r="W374" s="27"/>
      <c r="X374" s="27"/>
      <c r="Y374" s="27"/>
      <c r="Z374" s="28"/>
      <c r="AA374" s="28"/>
      <c r="AB374" s="28"/>
      <c r="AC374" s="28"/>
      <c r="AD374" s="28"/>
      <c r="AE374" s="28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</row>
    <row r="375" spans="1:47" x14ac:dyDescent="0.45">
      <c r="A375" s="3"/>
      <c r="B375" s="13"/>
      <c r="H375" s="23"/>
      <c r="I375" s="23"/>
      <c r="J375" s="23"/>
      <c r="K375" s="23"/>
      <c r="L375" s="23"/>
      <c r="M375" s="23"/>
      <c r="N375" s="26"/>
      <c r="O375" s="26"/>
      <c r="P375" s="26"/>
      <c r="Q375" s="26"/>
      <c r="R375" s="26"/>
      <c r="S375" s="26"/>
      <c r="T375" s="27"/>
      <c r="U375" s="27"/>
      <c r="V375" s="27"/>
      <c r="W375" s="27"/>
      <c r="X375" s="27"/>
      <c r="Y375" s="27"/>
      <c r="Z375" s="28"/>
      <c r="AA375" s="28"/>
      <c r="AB375" s="28"/>
      <c r="AC375" s="28"/>
      <c r="AD375" s="28"/>
      <c r="AE375" s="28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</row>
    <row r="376" spans="1:47" x14ac:dyDescent="0.45">
      <c r="A376" s="3"/>
      <c r="B376" s="13"/>
      <c r="H376" s="23"/>
      <c r="I376" s="23"/>
      <c r="J376" s="23"/>
      <c r="K376" s="23"/>
      <c r="L376" s="23"/>
      <c r="M376" s="23"/>
      <c r="N376" s="26"/>
      <c r="O376" s="26"/>
      <c r="P376" s="26"/>
      <c r="Q376" s="26"/>
      <c r="R376" s="26"/>
      <c r="S376" s="26"/>
      <c r="T376" s="27"/>
      <c r="U376" s="27"/>
      <c r="V376" s="27"/>
      <c r="W376" s="27"/>
      <c r="X376" s="27"/>
      <c r="Y376" s="27"/>
      <c r="Z376" s="28"/>
      <c r="AA376" s="28"/>
      <c r="AB376" s="28"/>
      <c r="AC376" s="28"/>
      <c r="AD376" s="28"/>
      <c r="AE376" s="28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</row>
    <row r="377" spans="1:47" x14ac:dyDescent="0.45">
      <c r="A377" s="3"/>
      <c r="B377" s="13"/>
      <c r="H377" s="23"/>
      <c r="I377" s="23"/>
      <c r="J377" s="23"/>
      <c r="K377" s="23"/>
      <c r="L377" s="23"/>
      <c r="M377" s="23"/>
      <c r="N377" s="26"/>
      <c r="O377" s="26"/>
      <c r="P377" s="26"/>
      <c r="Q377" s="26"/>
      <c r="R377" s="26"/>
      <c r="S377" s="26"/>
      <c r="T377" s="27"/>
      <c r="U377" s="27"/>
      <c r="V377" s="27"/>
      <c r="W377" s="27"/>
      <c r="X377" s="27"/>
      <c r="Y377" s="27"/>
      <c r="Z377" s="28"/>
      <c r="AA377" s="28"/>
      <c r="AB377" s="28"/>
      <c r="AC377" s="28"/>
      <c r="AD377" s="28"/>
      <c r="AE377" s="28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</row>
    <row r="378" spans="1:47" x14ac:dyDescent="0.45">
      <c r="A378" s="3"/>
      <c r="B378" s="13"/>
      <c r="H378" s="23"/>
      <c r="I378" s="23"/>
      <c r="J378" s="23"/>
      <c r="K378" s="23"/>
      <c r="L378" s="23"/>
      <c r="M378" s="23"/>
      <c r="N378" s="26"/>
      <c r="O378" s="26"/>
      <c r="P378" s="26"/>
      <c r="Q378" s="26"/>
      <c r="R378" s="26"/>
      <c r="S378" s="26"/>
      <c r="T378" s="27"/>
      <c r="U378" s="27"/>
      <c r="V378" s="27"/>
      <c r="W378" s="27"/>
      <c r="X378" s="27"/>
      <c r="Y378" s="27"/>
      <c r="Z378" s="28"/>
      <c r="AA378" s="28"/>
      <c r="AB378" s="28"/>
      <c r="AC378" s="28"/>
      <c r="AD378" s="28"/>
      <c r="AE378" s="28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</row>
    <row r="379" spans="1:47" x14ac:dyDescent="0.45">
      <c r="A379" s="3"/>
      <c r="B379" s="13"/>
      <c r="H379" s="23"/>
      <c r="I379" s="23"/>
      <c r="J379" s="23"/>
      <c r="K379" s="23"/>
      <c r="L379" s="23"/>
      <c r="M379" s="23"/>
      <c r="N379" s="26"/>
      <c r="O379" s="26"/>
      <c r="P379" s="26"/>
      <c r="Q379" s="26"/>
      <c r="R379" s="26"/>
      <c r="S379" s="26"/>
      <c r="T379" s="27"/>
      <c r="U379" s="27"/>
      <c r="V379" s="27"/>
      <c r="W379" s="27"/>
      <c r="X379" s="27"/>
      <c r="Y379" s="27"/>
      <c r="Z379" s="28"/>
      <c r="AA379" s="28"/>
      <c r="AB379" s="28"/>
      <c r="AC379" s="28"/>
      <c r="AD379" s="28"/>
      <c r="AE379" s="28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</row>
    <row r="380" spans="1:47" x14ac:dyDescent="0.45">
      <c r="A380" s="3"/>
      <c r="B380" s="13"/>
      <c r="H380" s="23"/>
      <c r="I380" s="23"/>
      <c r="J380" s="23"/>
      <c r="K380" s="23"/>
      <c r="L380" s="23"/>
      <c r="M380" s="23"/>
      <c r="N380" s="26"/>
      <c r="O380" s="26"/>
      <c r="P380" s="26"/>
      <c r="Q380" s="26"/>
      <c r="R380" s="26"/>
      <c r="S380" s="26"/>
      <c r="T380" s="27"/>
      <c r="U380" s="27"/>
      <c r="V380" s="27"/>
      <c r="W380" s="27"/>
      <c r="X380" s="27"/>
      <c r="Y380" s="27"/>
      <c r="Z380" s="28"/>
      <c r="AA380" s="28"/>
      <c r="AB380" s="28"/>
      <c r="AC380" s="28"/>
      <c r="AD380" s="28"/>
      <c r="AE380" s="28"/>
      <c r="AJ380" s="44"/>
      <c r="AK380" s="44"/>
      <c r="AL380" s="44"/>
      <c r="AM380" s="44"/>
      <c r="AN380" s="44"/>
      <c r="AO380" s="44"/>
      <c r="AP380" s="44"/>
      <c r="AQ380" s="44"/>
      <c r="AR380" s="44"/>
      <c r="AS380" s="44"/>
      <c r="AT380" s="44"/>
      <c r="AU380" s="44"/>
    </row>
    <row r="381" spans="1:47" x14ac:dyDescent="0.45">
      <c r="A381" s="3"/>
      <c r="B381" s="13"/>
      <c r="H381" s="23"/>
      <c r="I381" s="23"/>
      <c r="J381" s="23"/>
      <c r="K381" s="23"/>
      <c r="L381" s="23"/>
      <c r="M381" s="23"/>
      <c r="N381" s="26"/>
      <c r="O381" s="26"/>
      <c r="P381" s="26"/>
      <c r="Q381" s="26"/>
      <c r="R381" s="26"/>
      <c r="S381" s="26"/>
      <c r="T381" s="27"/>
      <c r="U381" s="27"/>
      <c r="V381" s="27"/>
      <c r="W381" s="27"/>
      <c r="X381" s="27"/>
      <c r="Y381" s="27"/>
      <c r="Z381" s="28"/>
      <c r="AA381" s="28"/>
      <c r="AB381" s="28"/>
      <c r="AC381" s="28"/>
      <c r="AD381" s="28"/>
      <c r="AE381" s="28"/>
      <c r="AJ381" s="44"/>
      <c r="AK381" s="44"/>
      <c r="AL381" s="44"/>
      <c r="AM381" s="44"/>
      <c r="AN381" s="44"/>
      <c r="AO381" s="44"/>
      <c r="AP381" s="44"/>
      <c r="AQ381" s="44"/>
      <c r="AR381" s="44"/>
      <c r="AS381" s="44"/>
      <c r="AT381" s="44"/>
      <c r="AU381" s="44"/>
    </row>
    <row r="382" spans="1:47" x14ac:dyDescent="0.45">
      <c r="A382" s="3"/>
      <c r="B382" s="13"/>
      <c r="H382" s="23"/>
      <c r="I382" s="23"/>
      <c r="J382" s="23"/>
      <c r="K382" s="23"/>
      <c r="L382" s="23"/>
      <c r="M382" s="23"/>
      <c r="N382" s="26"/>
      <c r="O382" s="26"/>
      <c r="P382" s="26"/>
      <c r="Q382" s="26"/>
      <c r="R382" s="26"/>
      <c r="S382" s="26"/>
      <c r="T382" s="27"/>
      <c r="U382" s="27"/>
      <c r="V382" s="27"/>
      <c r="W382" s="27"/>
      <c r="X382" s="27"/>
      <c r="Y382" s="27"/>
      <c r="Z382" s="28"/>
      <c r="AA382" s="28"/>
      <c r="AB382" s="28"/>
      <c r="AC382" s="28"/>
      <c r="AD382" s="28"/>
      <c r="AE382" s="28"/>
      <c r="AJ382" s="44"/>
      <c r="AK382" s="44"/>
      <c r="AL382" s="44"/>
      <c r="AM382" s="44"/>
      <c r="AN382" s="44"/>
      <c r="AO382" s="44"/>
      <c r="AP382" s="44"/>
      <c r="AQ382" s="44"/>
      <c r="AR382" s="44"/>
      <c r="AS382" s="44"/>
      <c r="AT382" s="44"/>
      <c r="AU382" s="44"/>
    </row>
    <row r="383" spans="1:47" x14ac:dyDescent="0.45">
      <c r="A383" s="3"/>
      <c r="B383" s="13"/>
      <c r="H383" s="23"/>
      <c r="I383" s="23"/>
      <c r="J383" s="23"/>
      <c r="K383" s="23"/>
      <c r="L383" s="23"/>
      <c r="M383" s="23"/>
      <c r="N383" s="26"/>
      <c r="O383" s="26"/>
      <c r="P383" s="26"/>
      <c r="Q383" s="26"/>
      <c r="R383" s="26"/>
      <c r="S383" s="26"/>
      <c r="T383" s="27"/>
      <c r="U383" s="27"/>
      <c r="V383" s="27"/>
      <c r="W383" s="27"/>
      <c r="X383" s="27"/>
      <c r="Y383" s="27"/>
      <c r="Z383" s="28"/>
      <c r="AA383" s="28"/>
      <c r="AB383" s="28"/>
      <c r="AC383" s="28"/>
      <c r="AD383" s="28"/>
      <c r="AE383" s="28"/>
      <c r="AJ383" s="44"/>
      <c r="AK383" s="44"/>
      <c r="AL383" s="44"/>
      <c r="AM383" s="44"/>
      <c r="AN383" s="44"/>
      <c r="AO383" s="44"/>
      <c r="AP383" s="44"/>
      <c r="AQ383" s="44"/>
      <c r="AR383" s="44"/>
      <c r="AS383" s="44"/>
      <c r="AT383" s="44"/>
      <c r="AU383" s="44"/>
    </row>
    <row r="384" spans="1:47" x14ac:dyDescent="0.45">
      <c r="A384" s="3"/>
      <c r="B384" s="13"/>
      <c r="H384" s="23"/>
      <c r="I384" s="23"/>
      <c r="J384" s="23"/>
      <c r="K384" s="23"/>
      <c r="L384" s="23"/>
      <c r="M384" s="23"/>
      <c r="N384" s="26"/>
      <c r="O384" s="26"/>
      <c r="P384" s="26"/>
      <c r="Q384" s="26"/>
      <c r="R384" s="26"/>
      <c r="S384" s="26"/>
      <c r="T384" s="27"/>
      <c r="U384" s="27"/>
      <c r="V384" s="27"/>
      <c r="W384" s="27"/>
      <c r="X384" s="27"/>
      <c r="Y384" s="27"/>
      <c r="Z384" s="28"/>
      <c r="AA384" s="28"/>
      <c r="AB384" s="28"/>
      <c r="AC384" s="28"/>
      <c r="AD384" s="28"/>
      <c r="AE384" s="28"/>
      <c r="AJ384" s="44"/>
      <c r="AK384" s="44"/>
      <c r="AL384" s="44"/>
      <c r="AM384" s="44"/>
      <c r="AN384" s="44"/>
      <c r="AO384" s="44"/>
      <c r="AP384" s="44"/>
      <c r="AQ384" s="44"/>
      <c r="AR384" s="44"/>
      <c r="AS384" s="44"/>
      <c r="AT384" s="44"/>
      <c r="AU384" s="44"/>
    </row>
    <row r="385" spans="1:47" x14ac:dyDescent="0.45">
      <c r="A385" s="3"/>
      <c r="B385" s="13"/>
      <c r="H385" s="23"/>
      <c r="I385" s="23"/>
      <c r="J385" s="23"/>
      <c r="K385" s="23"/>
      <c r="L385" s="23"/>
      <c r="M385" s="23"/>
      <c r="N385" s="26"/>
      <c r="O385" s="26"/>
      <c r="P385" s="26"/>
      <c r="Q385" s="26"/>
      <c r="R385" s="26"/>
      <c r="S385" s="26"/>
      <c r="T385" s="27"/>
      <c r="U385" s="27"/>
      <c r="V385" s="27"/>
      <c r="W385" s="27"/>
      <c r="X385" s="27"/>
      <c r="Y385" s="27"/>
      <c r="Z385" s="28"/>
      <c r="AA385" s="28"/>
      <c r="AB385" s="28"/>
      <c r="AC385" s="28"/>
      <c r="AD385" s="28"/>
      <c r="AE385" s="28"/>
      <c r="AJ385" s="44"/>
      <c r="AK385" s="44"/>
      <c r="AL385" s="44"/>
      <c r="AM385" s="44"/>
      <c r="AN385" s="44"/>
      <c r="AO385" s="44"/>
      <c r="AP385" s="44"/>
      <c r="AQ385" s="44"/>
      <c r="AR385" s="44"/>
      <c r="AS385" s="44"/>
      <c r="AT385" s="44"/>
      <c r="AU385" s="44"/>
    </row>
    <row r="386" spans="1:47" x14ac:dyDescent="0.45">
      <c r="A386" s="3"/>
      <c r="B386" s="13"/>
      <c r="H386" s="23"/>
      <c r="I386" s="23"/>
      <c r="J386" s="23"/>
      <c r="K386" s="23"/>
      <c r="L386" s="23"/>
      <c r="M386" s="23"/>
      <c r="N386" s="26"/>
      <c r="O386" s="26"/>
      <c r="P386" s="26"/>
      <c r="Q386" s="26"/>
      <c r="R386" s="26"/>
      <c r="S386" s="26"/>
      <c r="T386" s="27"/>
      <c r="U386" s="27"/>
      <c r="V386" s="27"/>
      <c r="W386" s="27"/>
      <c r="X386" s="27"/>
      <c r="Y386" s="27"/>
      <c r="Z386" s="28"/>
      <c r="AA386" s="28"/>
      <c r="AB386" s="28"/>
      <c r="AC386" s="28"/>
      <c r="AD386" s="28"/>
      <c r="AE386" s="28"/>
      <c r="AJ386" s="44"/>
      <c r="AK386" s="44"/>
      <c r="AL386" s="44"/>
      <c r="AM386" s="44"/>
      <c r="AN386" s="44"/>
      <c r="AO386" s="44"/>
      <c r="AP386" s="44"/>
      <c r="AQ386" s="44"/>
      <c r="AR386" s="44"/>
      <c r="AS386" s="44"/>
      <c r="AT386" s="44"/>
      <c r="AU386" s="44"/>
    </row>
    <row r="387" spans="1:47" x14ac:dyDescent="0.45">
      <c r="A387" s="3"/>
      <c r="B387" s="13"/>
      <c r="H387" s="23"/>
      <c r="I387" s="23"/>
      <c r="J387" s="23"/>
      <c r="K387" s="23"/>
      <c r="L387" s="23"/>
      <c r="M387" s="23"/>
      <c r="N387" s="26"/>
      <c r="O387" s="26"/>
      <c r="P387" s="26"/>
      <c r="Q387" s="26"/>
      <c r="R387" s="26"/>
      <c r="S387" s="26"/>
      <c r="T387" s="27"/>
      <c r="U387" s="27"/>
      <c r="V387" s="27"/>
      <c r="W387" s="27"/>
      <c r="X387" s="27"/>
      <c r="Y387" s="27"/>
      <c r="Z387" s="28"/>
      <c r="AA387" s="28"/>
      <c r="AB387" s="28"/>
      <c r="AC387" s="28"/>
      <c r="AD387" s="28"/>
      <c r="AE387" s="28"/>
      <c r="AJ387" s="44"/>
      <c r="AK387" s="44"/>
      <c r="AL387" s="44"/>
      <c r="AM387" s="44"/>
      <c r="AN387" s="44"/>
      <c r="AO387" s="44"/>
      <c r="AP387" s="44"/>
      <c r="AQ387" s="44"/>
      <c r="AR387" s="44"/>
      <c r="AS387" s="44"/>
      <c r="AT387" s="44"/>
      <c r="AU387" s="44"/>
    </row>
    <row r="388" spans="1:47" x14ac:dyDescent="0.45">
      <c r="A388" s="3"/>
      <c r="B388" s="13"/>
      <c r="H388" s="23"/>
      <c r="I388" s="23"/>
      <c r="J388" s="23"/>
      <c r="K388" s="23"/>
      <c r="L388" s="23"/>
      <c r="M388" s="23"/>
      <c r="N388" s="26"/>
      <c r="O388" s="26"/>
      <c r="P388" s="26"/>
      <c r="Q388" s="26"/>
      <c r="R388" s="26"/>
      <c r="S388" s="26"/>
      <c r="T388" s="27"/>
      <c r="U388" s="27"/>
      <c r="V388" s="27"/>
      <c r="W388" s="27"/>
      <c r="X388" s="27"/>
      <c r="Y388" s="27"/>
      <c r="Z388" s="28"/>
      <c r="AA388" s="28"/>
      <c r="AB388" s="28"/>
      <c r="AC388" s="28"/>
      <c r="AD388" s="28"/>
      <c r="AE388" s="28"/>
      <c r="AJ388" s="44"/>
      <c r="AK388" s="44"/>
      <c r="AL388" s="44"/>
      <c r="AM388" s="44"/>
      <c r="AN388" s="44"/>
      <c r="AO388" s="44"/>
      <c r="AP388" s="44"/>
      <c r="AQ388" s="44"/>
      <c r="AR388" s="44"/>
      <c r="AS388" s="44"/>
      <c r="AT388" s="44"/>
      <c r="AU388" s="44"/>
    </row>
    <row r="389" spans="1:47" x14ac:dyDescent="0.45">
      <c r="A389" s="3"/>
      <c r="B389" s="13"/>
      <c r="H389" s="23"/>
      <c r="I389" s="23"/>
      <c r="J389" s="23"/>
      <c r="K389" s="23"/>
      <c r="L389" s="23"/>
      <c r="M389" s="23"/>
      <c r="N389" s="26"/>
      <c r="O389" s="26"/>
      <c r="P389" s="26"/>
      <c r="Q389" s="26"/>
      <c r="R389" s="26"/>
      <c r="S389" s="26"/>
      <c r="T389" s="27"/>
      <c r="U389" s="27"/>
      <c r="V389" s="27"/>
      <c r="W389" s="27"/>
      <c r="X389" s="27"/>
      <c r="Y389" s="27"/>
      <c r="Z389" s="28"/>
      <c r="AA389" s="28"/>
      <c r="AB389" s="28"/>
      <c r="AC389" s="28"/>
      <c r="AD389" s="28"/>
      <c r="AE389" s="28"/>
      <c r="AJ389" s="44"/>
      <c r="AK389" s="44"/>
      <c r="AL389" s="44"/>
      <c r="AM389" s="44"/>
      <c r="AN389" s="44"/>
      <c r="AO389" s="44"/>
      <c r="AP389" s="44"/>
      <c r="AQ389" s="44"/>
      <c r="AR389" s="44"/>
      <c r="AS389" s="44"/>
      <c r="AT389" s="44"/>
      <c r="AU389" s="44"/>
    </row>
    <row r="390" spans="1:47" x14ac:dyDescent="0.45">
      <c r="A390" s="3"/>
      <c r="B390" s="13"/>
      <c r="H390" s="23"/>
      <c r="I390" s="23"/>
      <c r="J390" s="23"/>
      <c r="K390" s="23"/>
      <c r="L390" s="23"/>
      <c r="M390" s="23"/>
      <c r="N390" s="26"/>
      <c r="O390" s="26"/>
      <c r="P390" s="26"/>
      <c r="Q390" s="26"/>
      <c r="R390" s="26"/>
      <c r="S390" s="26"/>
      <c r="T390" s="27"/>
      <c r="U390" s="27"/>
      <c r="V390" s="27"/>
      <c r="W390" s="27"/>
      <c r="X390" s="27"/>
      <c r="Y390" s="27"/>
      <c r="Z390" s="28"/>
      <c r="AA390" s="28"/>
      <c r="AB390" s="28"/>
      <c r="AC390" s="28"/>
      <c r="AD390" s="28"/>
      <c r="AE390" s="28"/>
      <c r="AJ390" s="44"/>
      <c r="AK390" s="44"/>
      <c r="AL390" s="44"/>
      <c r="AM390" s="44"/>
      <c r="AN390" s="44"/>
      <c r="AO390" s="44"/>
      <c r="AP390" s="44"/>
      <c r="AQ390" s="44"/>
      <c r="AR390" s="44"/>
      <c r="AS390" s="44"/>
      <c r="AT390" s="44"/>
      <c r="AU390" s="44"/>
    </row>
    <row r="391" spans="1:47" x14ac:dyDescent="0.45">
      <c r="A391" s="3"/>
      <c r="B391" s="13"/>
      <c r="H391" s="23"/>
      <c r="I391" s="23"/>
      <c r="J391" s="23"/>
      <c r="K391" s="23"/>
      <c r="L391" s="23"/>
      <c r="M391" s="23"/>
      <c r="N391" s="26"/>
      <c r="O391" s="26"/>
      <c r="P391" s="26"/>
      <c r="Q391" s="26"/>
      <c r="R391" s="26"/>
      <c r="S391" s="26"/>
      <c r="T391" s="27"/>
      <c r="U391" s="27"/>
      <c r="V391" s="27"/>
      <c r="W391" s="27"/>
      <c r="X391" s="27"/>
      <c r="Y391" s="27"/>
      <c r="Z391" s="28"/>
      <c r="AA391" s="28"/>
      <c r="AB391" s="28"/>
      <c r="AC391" s="28"/>
      <c r="AD391" s="28"/>
      <c r="AE391" s="28"/>
      <c r="AJ391" s="44"/>
      <c r="AK391" s="44"/>
      <c r="AL391" s="44"/>
      <c r="AM391" s="44"/>
      <c r="AN391" s="44"/>
      <c r="AO391" s="44"/>
      <c r="AP391" s="44"/>
      <c r="AQ391" s="44"/>
      <c r="AR391" s="44"/>
      <c r="AS391" s="44"/>
      <c r="AT391" s="44"/>
      <c r="AU391" s="44"/>
    </row>
    <row r="392" spans="1:47" x14ac:dyDescent="0.45">
      <c r="A392" s="3"/>
      <c r="B392" s="13"/>
      <c r="H392" s="23"/>
      <c r="I392" s="23"/>
      <c r="J392" s="23"/>
      <c r="K392" s="23"/>
      <c r="L392" s="23"/>
      <c r="M392" s="23"/>
      <c r="N392" s="26"/>
      <c r="O392" s="26"/>
      <c r="P392" s="26"/>
      <c r="Q392" s="26"/>
      <c r="R392" s="26"/>
      <c r="S392" s="26"/>
      <c r="T392" s="27"/>
      <c r="U392" s="27"/>
      <c r="V392" s="27"/>
      <c r="W392" s="27"/>
      <c r="X392" s="27"/>
      <c r="Y392" s="27"/>
      <c r="Z392" s="28"/>
      <c r="AA392" s="28"/>
      <c r="AB392" s="28"/>
      <c r="AC392" s="28"/>
      <c r="AD392" s="28"/>
      <c r="AE392" s="28"/>
      <c r="AJ392" s="44"/>
      <c r="AK392" s="44"/>
      <c r="AL392" s="44"/>
      <c r="AM392" s="44"/>
      <c r="AN392" s="44"/>
      <c r="AO392" s="44"/>
      <c r="AP392" s="44"/>
      <c r="AQ392" s="44"/>
      <c r="AR392" s="44"/>
      <c r="AS392" s="44"/>
      <c r="AT392" s="44"/>
      <c r="AU392" s="44"/>
    </row>
    <row r="393" spans="1:47" x14ac:dyDescent="0.45">
      <c r="A393" s="3"/>
      <c r="B393" s="13"/>
      <c r="H393" s="23"/>
      <c r="I393" s="23"/>
      <c r="J393" s="23"/>
      <c r="K393" s="23"/>
      <c r="L393" s="23"/>
      <c r="M393" s="23"/>
      <c r="N393" s="26"/>
      <c r="O393" s="26"/>
      <c r="P393" s="26"/>
      <c r="Q393" s="26"/>
      <c r="R393" s="26"/>
      <c r="S393" s="26"/>
      <c r="T393" s="27"/>
      <c r="U393" s="27"/>
      <c r="V393" s="27"/>
      <c r="W393" s="27"/>
      <c r="X393" s="27"/>
      <c r="Y393" s="27"/>
      <c r="Z393" s="28"/>
      <c r="AA393" s="28"/>
      <c r="AB393" s="28"/>
      <c r="AC393" s="28"/>
      <c r="AD393" s="28"/>
      <c r="AE393" s="28"/>
      <c r="AJ393" s="44"/>
      <c r="AK393" s="44"/>
      <c r="AL393" s="44"/>
      <c r="AM393" s="44"/>
      <c r="AN393" s="44"/>
      <c r="AO393" s="44"/>
      <c r="AP393" s="44"/>
      <c r="AQ393" s="44"/>
      <c r="AR393" s="44"/>
      <c r="AS393" s="44"/>
      <c r="AT393" s="44"/>
      <c r="AU393" s="44"/>
    </row>
    <row r="394" spans="1:47" x14ac:dyDescent="0.45">
      <c r="A394" s="3"/>
      <c r="B394" s="13"/>
      <c r="H394" s="23"/>
      <c r="I394" s="23"/>
      <c r="J394" s="23"/>
      <c r="K394" s="23"/>
      <c r="L394" s="23"/>
      <c r="M394" s="23"/>
      <c r="N394" s="26"/>
      <c r="O394" s="26"/>
      <c r="P394" s="26"/>
      <c r="Q394" s="26"/>
      <c r="R394" s="26"/>
      <c r="S394" s="26"/>
      <c r="T394" s="27"/>
      <c r="U394" s="27"/>
      <c r="V394" s="27"/>
      <c r="W394" s="27"/>
      <c r="X394" s="27"/>
      <c r="Y394" s="27"/>
      <c r="Z394" s="28"/>
      <c r="AA394" s="28"/>
      <c r="AB394" s="28"/>
      <c r="AC394" s="28"/>
      <c r="AD394" s="28"/>
      <c r="AE394" s="28"/>
      <c r="AJ394" s="44"/>
      <c r="AK394" s="44"/>
      <c r="AL394" s="44"/>
      <c r="AM394" s="44"/>
      <c r="AN394" s="44"/>
      <c r="AO394" s="44"/>
      <c r="AP394" s="44"/>
      <c r="AQ394" s="44"/>
      <c r="AR394" s="44"/>
      <c r="AS394" s="44"/>
      <c r="AT394" s="44"/>
      <c r="AU394" s="44"/>
    </row>
    <row r="395" spans="1:47" x14ac:dyDescent="0.45">
      <c r="A395" s="3"/>
      <c r="B395" s="13"/>
      <c r="H395" s="23"/>
      <c r="I395" s="23"/>
      <c r="J395" s="23"/>
      <c r="K395" s="23"/>
      <c r="L395" s="23"/>
      <c r="M395" s="23"/>
      <c r="N395" s="26"/>
      <c r="O395" s="26"/>
      <c r="P395" s="26"/>
      <c r="Q395" s="26"/>
      <c r="R395" s="26"/>
      <c r="S395" s="26"/>
      <c r="T395" s="27"/>
      <c r="U395" s="27"/>
      <c r="V395" s="27"/>
      <c r="W395" s="27"/>
      <c r="X395" s="27"/>
      <c r="Y395" s="27"/>
      <c r="Z395" s="28"/>
      <c r="AA395" s="28"/>
      <c r="AB395" s="28"/>
      <c r="AC395" s="28"/>
      <c r="AD395" s="28"/>
      <c r="AE395" s="28"/>
      <c r="AJ395" s="44"/>
      <c r="AK395" s="44"/>
      <c r="AL395" s="44"/>
      <c r="AM395" s="44"/>
      <c r="AN395" s="44"/>
      <c r="AO395" s="44"/>
      <c r="AP395" s="44"/>
      <c r="AQ395" s="44"/>
      <c r="AR395" s="44"/>
      <c r="AS395" s="44"/>
      <c r="AT395" s="44"/>
      <c r="AU395" s="44"/>
    </row>
    <row r="396" spans="1:47" x14ac:dyDescent="0.45">
      <c r="A396" s="3"/>
      <c r="B396" s="13"/>
      <c r="H396" s="23"/>
      <c r="I396" s="23"/>
      <c r="J396" s="23"/>
      <c r="K396" s="23"/>
      <c r="L396" s="23"/>
      <c r="M396" s="23"/>
      <c r="N396" s="26"/>
      <c r="O396" s="26"/>
      <c r="P396" s="26"/>
      <c r="Q396" s="26"/>
      <c r="R396" s="26"/>
      <c r="S396" s="26"/>
      <c r="T396" s="27"/>
      <c r="U396" s="27"/>
      <c r="V396" s="27"/>
      <c r="W396" s="27"/>
      <c r="X396" s="27"/>
      <c r="Y396" s="27"/>
      <c r="Z396" s="28"/>
      <c r="AA396" s="28"/>
      <c r="AB396" s="28"/>
      <c r="AC396" s="28"/>
      <c r="AD396" s="28"/>
      <c r="AE396" s="28"/>
      <c r="AJ396" s="44"/>
      <c r="AK396" s="44"/>
      <c r="AL396" s="44"/>
      <c r="AM396" s="44"/>
      <c r="AN396" s="44"/>
      <c r="AO396" s="44"/>
      <c r="AP396" s="44"/>
      <c r="AQ396" s="44"/>
      <c r="AR396" s="44"/>
      <c r="AS396" s="44"/>
      <c r="AT396" s="44"/>
      <c r="AU396" s="44"/>
    </row>
    <row r="397" spans="1:47" x14ac:dyDescent="0.45">
      <c r="A397" s="3"/>
      <c r="B397" s="13"/>
      <c r="H397" s="23"/>
      <c r="I397" s="23"/>
      <c r="J397" s="23"/>
      <c r="K397" s="23"/>
      <c r="L397" s="23"/>
      <c r="M397" s="23"/>
      <c r="N397" s="26"/>
      <c r="O397" s="26"/>
      <c r="P397" s="26"/>
      <c r="Q397" s="26"/>
      <c r="R397" s="26"/>
      <c r="S397" s="26"/>
      <c r="T397" s="27"/>
      <c r="U397" s="27"/>
      <c r="V397" s="27"/>
      <c r="W397" s="27"/>
      <c r="X397" s="27"/>
      <c r="Y397" s="27"/>
      <c r="Z397" s="28"/>
      <c r="AA397" s="28"/>
      <c r="AB397" s="28"/>
      <c r="AC397" s="28"/>
      <c r="AD397" s="28"/>
      <c r="AE397" s="28"/>
      <c r="AJ397" s="44"/>
      <c r="AK397" s="44"/>
      <c r="AL397" s="44"/>
      <c r="AM397" s="44"/>
      <c r="AN397" s="44"/>
      <c r="AO397" s="44"/>
      <c r="AP397" s="44"/>
      <c r="AQ397" s="44"/>
      <c r="AR397" s="44"/>
      <c r="AS397" s="44"/>
      <c r="AT397" s="44"/>
      <c r="AU397" s="44"/>
    </row>
    <row r="398" spans="1:47" x14ac:dyDescent="0.45">
      <c r="A398" s="3"/>
      <c r="B398" s="13"/>
      <c r="H398" s="23"/>
      <c r="I398" s="23"/>
      <c r="J398" s="23"/>
      <c r="K398" s="23"/>
      <c r="L398" s="23"/>
      <c r="M398" s="23"/>
      <c r="N398" s="26"/>
      <c r="O398" s="26"/>
      <c r="P398" s="26"/>
      <c r="Q398" s="26"/>
      <c r="R398" s="26"/>
      <c r="S398" s="26"/>
      <c r="T398" s="27"/>
      <c r="U398" s="27"/>
      <c r="V398" s="27"/>
      <c r="W398" s="27"/>
      <c r="X398" s="27"/>
      <c r="Y398" s="27"/>
      <c r="Z398" s="28"/>
      <c r="AA398" s="28"/>
      <c r="AB398" s="28"/>
      <c r="AC398" s="28"/>
      <c r="AD398" s="28"/>
      <c r="AE398" s="28"/>
      <c r="AJ398" s="44"/>
      <c r="AK398" s="44"/>
      <c r="AL398" s="44"/>
      <c r="AM398" s="44"/>
      <c r="AN398" s="44"/>
      <c r="AO398" s="44"/>
      <c r="AP398" s="44"/>
      <c r="AQ398" s="44"/>
      <c r="AR398" s="44"/>
      <c r="AS398" s="44"/>
      <c r="AT398" s="44"/>
      <c r="AU398" s="44"/>
    </row>
    <row r="399" spans="1:47" x14ac:dyDescent="0.45">
      <c r="A399" s="3"/>
      <c r="B399" s="13"/>
      <c r="H399" s="23"/>
      <c r="I399" s="23"/>
      <c r="J399" s="23"/>
      <c r="K399" s="23"/>
      <c r="L399" s="23"/>
      <c r="M399" s="23"/>
      <c r="N399" s="26"/>
      <c r="O399" s="26"/>
      <c r="P399" s="26"/>
      <c r="Q399" s="26"/>
      <c r="R399" s="26"/>
      <c r="S399" s="26"/>
      <c r="T399" s="27"/>
      <c r="U399" s="27"/>
      <c r="V399" s="27"/>
      <c r="W399" s="27"/>
      <c r="X399" s="27"/>
      <c r="Y399" s="27"/>
      <c r="Z399" s="28"/>
      <c r="AA399" s="28"/>
      <c r="AB399" s="28"/>
      <c r="AC399" s="28"/>
      <c r="AD399" s="28"/>
      <c r="AE399" s="28"/>
      <c r="AJ399" s="44"/>
      <c r="AK399" s="44"/>
      <c r="AL399" s="44"/>
      <c r="AM399" s="44"/>
      <c r="AN399" s="44"/>
      <c r="AO399" s="44"/>
      <c r="AP399" s="44"/>
      <c r="AQ399" s="44"/>
      <c r="AR399" s="44"/>
      <c r="AS399" s="44"/>
      <c r="AT399" s="44"/>
      <c r="AU399" s="44"/>
    </row>
    <row r="400" spans="1:47" x14ac:dyDescent="0.45">
      <c r="A400" s="3"/>
      <c r="B400" s="13"/>
      <c r="H400" s="23"/>
      <c r="I400" s="23"/>
      <c r="J400" s="23"/>
      <c r="K400" s="23"/>
      <c r="L400" s="23"/>
      <c r="M400" s="23"/>
      <c r="N400" s="26"/>
      <c r="O400" s="26"/>
      <c r="P400" s="26"/>
      <c r="Q400" s="26"/>
      <c r="R400" s="26"/>
      <c r="S400" s="26"/>
      <c r="T400" s="27"/>
      <c r="U400" s="27"/>
      <c r="V400" s="27"/>
      <c r="W400" s="27"/>
      <c r="X400" s="27"/>
      <c r="Y400" s="27"/>
      <c r="Z400" s="28"/>
      <c r="AA400" s="28"/>
      <c r="AB400" s="28"/>
      <c r="AC400" s="28"/>
      <c r="AD400" s="28"/>
      <c r="AE400" s="28"/>
      <c r="AJ400" s="44"/>
      <c r="AK400" s="44"/>
      <c r="AL400" s="44"/>
      <c r="AM400" s="44"/>
      <c r="AN400" s="44"/>
      <c r="AO400" s="44"/>
      <c r="AP400" s="44"/>
      <c r="AQ400" s="44"/>
      <c r="AR400" s="44"/>
      <c r="AS400" s="44"/>
      <c r="AT400" s="44"/>
      <c r="AU400" s="44"/>
    </row>
    <row r="401" spans="1:47" x14ac:dyDescent="0.45">
      <c r="A401" s="3"/>
      <c r="B401" s="13"/>
      <c r="H401" s="23"/>
      <c r="I401" s="23"/>
      <c r="J401" s="23"/>
      <c r="K401" s="23"/>
      <c r="L401" s="23"/>
      <c r="M401" s="23"/>
      <c r="N401" s="26"/>
      <c r="O401" s="26"/>
      <c r="P401" s="26"/>
      <c r="Q401" s="26"/>
      <c r="R401" s="26"/>
      <c r="S401" s="26"/>
      <c r="T401" s="27"/>
      <c r="U401" s="27"/>
      <c r="V401" s="27"/>
      <c r="W401" s="27"/>
      <c r="X401" s="27"/>
      <c r="Y401" s="27"/>
      <c r="Z401" s="28"/>
      <c r="AA401" s="28"/>
      <c r="AB401" s="28"/>
      <c r="AC401" s="28"/>
      <c r="AD401" s="28"/>
      <c r="AE401" s="28"/>
      <c r="AJ401" s="44"/>
      <c r="AK401" s="44"/>
      <c r="AL401" s="44"/>
      <c r="AM401" s="44"/>
      <c r="AN401" s="44"/>
      <c r="AO401" s="44"/>
      <c r="AP401" s="44"/>
      <c r="AQ401" s="44"/>
      <c r="AR401" s="44"/>
      <c r="AS401" s="44"/>
      <c r="AT401" s="44"/>
      <c r="AU401" s="44"/>
    </row>
    <row r="402" spans="1:47" x14ac:dyDescent="0.45">
      <c r="A402" s="3"/>
      <c r="B402" s="13"/>
      <c r="H402" s="23"/>
      <c r="I402" s="23"/>
      <c r="J402" s="23"/>
      <c r="K402" s="23"/>
      <c r="L402" s="23"/>
      <c r="M402" s="23"/>
      <c r="N402" s="26"/>
      <c r="O402" s="26"/>
      <c r="P402" s="26"/>
      <c r="Q402" s="26"/>
      <c r="R402" s="26"/>
      <c r="S402" s="26"/>
      <c r="T402" s="27"/>
      <c r="U402" s="27"/>
      <c r="V402" s="27"/>
      <c r="W402" s="27"/>
      <c r="X402" s="27"/>
      <c r="Y402" s="27"/>
      <c r="Z402" s="28"/>
      <c r="AA402" s="28"/>
      <c r="AB402" s="28"/>
      <c r="AC402" s="28"/>
      <c r="AD402" s="28"/>
      <c r="AE402" s="28"/>
      <c r="AJ402" s="44"/>
      <c r="AK402" s="44"/>
      <c r="AL402" s="44"/>
      <c r="AM402" s="44"/>
      <c r="AN402" s="44"/>
      <c r="AO402" s="44"/>
      <c r="AP402" s="44"/>
      <c r="AQ402" s="44"/>
      <c r="AR402" s="44"/>
      <c r="AS402" s="44"/>
      <c r="AT402" s="44"/>
      <c r="AU402" s="44"/>
    </row>
    <row r="403" spans="1:47" x14ac:dyDescent="0.45">
      <c r="A403" s="3"/>
      <c r="B403" s="13"/>
      <c r="H403" s="23"/>
      <c r="I403" s="23"/>
      <c r="J403" s="23"/>
      <c r="K403" s="23"/>
      <c r="L403" s="23"/>
      <c r="M403" s="23"/>
      <c r="N403" s="26"/>
      <c r="O403" s="26"/>
      <c r="P403" s="26"/>
      <c r="Q403" s="26"/>
      <c r="R403" s="26"/>
      <c r="S403" s="26"/>
      <c r="T403" s="27"/>
      <c r="U403" s="27"/>
      <c r="V403" s="27"/>
      <c r="W403" s="27"/>
      <c r="X403" s="27"/>
      <c r="Y403" s="27"/>
      <c r="Z403" s="28"/>
      <c r="AA403" s="28"/>
      <c r="AB403" s="28"/>
      <c r="AC403" s="28"/>
      <c r="AD403" s="28"/>
      <c r="AE403" s="28"/>
      <c r="AJ403" s="44"/>
      <c r="AK403" s="44"/>
      <c r="AL403" s="44"/>
      <c r="AM403" s="44"/>
      <c r="AN403" s="44"/>
      <c r="AO403" s="44"/>
      <c r="AP403" s="44"/>
      <c r="AQ403" s="44"/>
      <c r="AR403" s="44"/>
      <c r="AS403" s="44"/>
      <c r="AT403" s="44"/>
      <c r="AU403" s="44"/>
    </row>
    <row r="404" spans="1:47" x14ac:dyDescent="0.45">
      <c r="A404" s="3"/>
      <c r="B404" s="13"/>
      <c r="H404" s="23"/>
      <c r="I404" s="23"/>
      <c r="J404" s="23"/>
      <c r="K404" s="23"/>
      <c r="L404" s="23"/>
      <c r="M404" s="23"/>
      <c r="N404" s="26"/>
      <c r="O404" s="26"/>
      <c r="P404" s="26"/>
      <c r="Q404" s="26"/>
      <c r="R404" s="26"/>
      <c r="S404" s="26"/>
      <c r="T404" s="27"/>
      <c r="U404" s="27"/>
      <c r="V404" s="27"/>
      <c r="W404" s="27"/>
      <c r="X404" s="27"/>
      <c r="Y404" s="27"/>
      <c r="Z404" s="28"/>
      <c r="AA404" s="28"/>
      <c r="AB404" s="28"/>
      <c r="AC404" s="28"/>
      <c r="AD404" s="28"/>
      <c r="AE404" s="28"/>
      <c r="AJ404" s="44"/>
      <c r="AK404" s="44"/>
      <c r="AL404" s="44"/>
      <c r="AM404" s="44"/>
      <c r="AN404" s="44"/>
      <c r="AO404" s="44"/>
      <c r="AP404" s="44"/>
      <c r="AQ404" s="44"/>
      <c r="AR404" s="44"/>
      <c r="AS404" s="44"/>
      <c r="AT404" s="44"/>
      <c r="AU404" s="44"/>
    </row>
    <row r="405" spans="1:47" x14ac:dyDescent="0.45">
      <c r="A405" s="3"/>
      <c r="B405" s="13"/>
      <c r="H405" s="23"/>
      <c r="I405" s="23"/>
      <c r="J405" s="23"/>
      <c r="K405" s="23"/>
      <c r="L405" s="23"/>
      <c r="M405" s="23"/>
      <c r="N405" s="26"/>
      <c r="O405" s="26"/>
      <c r="P405" s="26"/>
      <c r="Q405" s="26"/>
      <c r="R405" s="26"/>
      <c r="S405" s="26"/>
      <c r="T405" s="27"/>
      <c r="U405" s="27"/>
      <c r="V405" s="27"/>
      <c r="W405" s="27"/>
      <c r="X405" s="27"/>
      <c r="Y405" s="27"/>
      <c r="Z405" s="28"/>
      <c r="AA405" s="28"/>
      <c r="AB405" s="28"/>
      <c r="AC405" s="28"/>
      <c r="AD405" s="28"/>
      <c r="AE405" s="28"/>
      <c r="AJ405" s="44"/>
      <c r="AK405" s="44"/>
      <c r="AL405" s="44"/>
      <c r="AM405" s="44"/>
      <c r="AN405" s="44"/>
      <c r="AO405" s="44"/>
      <c r="AP405" s="44"/>
      <c r="AQ405" s="44"/>
      <c r="AR405" s="44"/>
      <c r="AS405" s="44"/>
      <c r="AT405" s="44"/>
      <c r="AU405" s="44"/>
    </row>
    <row r="406" spans="1:47" x14ac:dyDescent="0.45">
      <c r="A406" s="3"/>
      <c r="B406" s="13"/>
      <c r="H406" s="23"/>
      <c r="I406" s="23"/>
      <c r="J406" s="23"/>
      <c r="K406" s="23"/>
      <c r="L406" s="23"/>
      <c r="M406" s="23"/>
      <c r="N406" s="26"/>
      <c r="O406" s="26"/>
      <c r="P406" s="26"/>
      <c r="Q406" s="26"/>
      <c r="R406" s="26"/>
      <c r="S406" s="26"/>
      <c r="T406" s="27"/>
      <c r="U406" s="27"/>
      <c r="V406" s="27"/>
      <c r="W406" s="27"/>
      <c r="X406" s="27"/>
      <c r="Y406" s="27"/>
      <c r="Z406" s="28"/>
      <c r="AA406" s="28"/>
      <c r="AB406" s="28"/>
      <c r="AC406" s="28"/>
      <c r="AD406" s="28"/>
      <c r="AE406" s="28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</row>
    <row r="407" spans="1:47" x14ac:dyDescent="0.45">
      <c r="A407" s="3"/>
      <c r="B407" s="13"/>
      <c r="H407" s="23"/>
      <c r="I407" s="23"/>
      <c r="J407" s="23"/>
      <c r="K407" s="23"/>
      <c r="L407" s="23"/>
      <c r="M407" s="23"/>
      <c r="N407" s="26"/>
      <c r="O407" s="26"/>
      <c r="P407" s="26"/>
      <c r="Q407" s="26"/>
      <c r="R407" s="26"/>
      <c r="S407" s="26"/>
      <c r="T407" s="27"/>
      <c r="U407" s="27"/>
      <c r="V407" s="27"/>
      <c r="W407" s="27"/>
      <c r="X407" s="27"/>
      <c r="Y407" s="27"/>
      <c r="Z407" s="28"/>
      <c r="AA407" s="28"/>
      <c r="AB407" s="28"/>
      <c r="AC407" s="28"/>
      <c r="AD407" s="28"/>
      <c r="AE407" s="28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</row>
    <row r="408" spans="1:47" x14ac:dyDescent="0.45">
      <c r="A408" s="3"/>
      <c r="B408" s="13"/>
      <c r="H408" s="23"/>
      <c r="I408" s="23"/>
      <c r="J408" s="23"/>
      <c r="K408" s="23"/>
      <c r="L408" s="23"/>
      <c r="M408" s="23"/>
      <c r="N408" s="26"/>
      <c r="O408" s="26"/>
      <c r="P408" s="26"/>
      <c r="Q408" s="26"/>
      <c r="R408" s="26"/>
      <c r="S408" s="26"/>
      <c r="T408" s="27"/>
      <c r="U408" s="27"/>
      <c r="V408" s="27"/>
      <c r="W408" s="27"/>
      <c r="X408" s="27"/>
      <c r="Y408" s="27"/>
      <c r="Z408" s="28"/>
      <c r="AA408" s="28"/>
      <c r="AB408" s="28"/>
      <c r="AC408" s="28"/>
      <c r="AD408" s="28"/>
      <c r="AE408" s="28"/>
      <c r="AJ408" s="44"/>
      <c r="AK408" s="44"/>
      <c r="AL408" s="44"/>
      <c r="AM408" s="44"/>
      <c r="AN408" s="44"/>
      <c r="AO408" s="44"/>
      <c r="AP408" s="44"/>
      <c r="AQ408" s="44"/>
      <c r="AR408" s="44"/>
      <c r="AS408" s="44"/>
      <c r="AT408" s="44"/>
      <c r="AU408" s="44"/>
    </row>
    <row r="409" spans="1:47" x14ac:dyDescent="0.45">
      <c r="A409" s="3"/>
      <c r="B409" s="13"/>
      <c r="H409" s="23"/>
      <c r="I409" s="23"/>
      <c r="J409" s="23"/>
      <c r="K409" s="23"/>
      <c r="L409" s="23"/>
      <c r="M409" s="23"/>
      <c r="N409" s="26"/>
      <c r="O409" s="26"/>
      <c r="P409" s="26"/>
      <c r="Q409" s="26"/>
      <c r="R409" s="26"/>
      <c r="S409" s="26"/>
      <c r="T409" s="27"/>
      <c r="U409" s="27"/>
      <c r="V409" s="27"/>
      <c r="W409" s="27"/>
      <c r="X409" s="27"/>
      <c r="Y409" s="27"/>
      <c r="Z409" s="28"/>
      <c r="AA409" s="28"/>
      <c r="AB409" s="28"/>
      <c r="AC409" s="28"/>
      <c r="AD409" s="28"/>
      <c r="AE409" s="28"/>
      <c r="AJ409" s="44"/>
      <c r="AK409" s="44"/>
      <c r="AL409" s="44"/>
      <c r="AM409" s="44"/>
      <c r="AN409" s="44"/>
      <c r="AO409" s="44"/>
      <c r="AP409" s="44"/>
      <c r="AQ409" s="44"/>
      <c r="AR409" s="44"/>
      <c r="AS409" s="44"/>
      <c r="AT409" s="44"/>
      <c r="AU409" s="44"/>
    </row>
    <row r="410" spans="1:47" x14ac:dyDescent="0.45">
      <c r="A410" s="3"/>
      <c r="B410" s="13"/>
      <c r="H410" s="23"/>
      <c r="I410" s="23"/>
      <c r="J410" s="23"/>
      <c r="K410" s="23"/>
      <c r="L410" s="23"/>
      <c r="M410" s="23"/>
      <c r="N410" s="26"/>
      <c r="O410" s="26"/>
      <c r="P410" s="26"/>
      <c r="Q410" s="26"/>
      <c r="R410" s="26"/>
      <c r="S410" s="26"/>
      <c r="T410" s="27"/>
      <c r="U410" s="27"/>
      <c r="V410" s="27"/>
      <c r="W410" s="27"/>
      <c r="X410" s="27"/>
      <c r="Y410" s="27"/>
      <c r="Z410" s="28"/>
      <c r="AA410" s="28"/>
      <c r="AB410" s="28"/>
      <c r="AC410" s="28"/>
      <c r="AD410" s="28"/>
      <c r="AE410" s="28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</row>
    <row r="411" spans="1:47" x14ac:dyDescent="0.45">
      <c r="A411" s="3"/>
      <c r="B411" s="13"/>
      <c r="H411" s="23"/>
      <c r="I411" s="23"/>
      <c r="J411" s="23"/>
      <c r="K411" s="23"/>
      <c r="L411" s="23"/>
      <c r="M411" s="23"/>
      <c r="N411" s="26"/>
      <c r="O411" s="26"/>
      <c r="P411" s="26"/>
      <c r="Q411" s="26"/>
      <c r="R411" s="26"/>
      <c r="S411" s="26"/>
      <c r="T411" s="27"/>
      <c r="U411" s="27"/>
      <c r="V411" s="27"/>
      <c r="W411" s="27"/>
      <c r="X411" s="27"/>
      <c r="Y411" s="27"/>
      <c r="Z411" s="28"/>
      <c r="AA411" s="28"/>
      <c r="AB411" s="28"/>
      <c r="AC411" s="28"/>
      <c r="AD411" s="28"/>
      <c r="AE411" s="28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</row>
    <row r="412" spans="1:47" x14ac:dyDescent="0.45">
      <c r="A412" s="3"/>
      <c r="B412" s="13"/>
      <c r="H412" s="23"/>
      <c r="I412" s="23"/>
      <c r="J412" s="23"/>
      <c r="K412" s="23"/>
      <c r="L412" s="23"/>
      <c r="M412" s="23"/>
      <c r="N412" s="26"/>
      <c r="O412" s="26"/>
      <c r="P412" s="26"/>
      <c r="Q412" s="26"/>
      <c r="R412" s="26"/>
      <c r="S412" s="26"/>
      <c r="T412" s="27"/>
      <c r="U412" s="27"/>
      <c r="V412" s="27"/>
      <c r="W412" s="27"/>
      <c r="X412" s="27"/>
      <c r="Y412" s="27"/>
      <c r="Z412" s="28"/>
      <c r="AA412" s="28"/>
      <c r="AB412" s="28"/>
      <c r="AC412" s="28"/>
      <c r="AD412" s="28"/>
      <c r="AE412" s="28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</row>
    <row r="413" spans="1:47" x14ac:dyDescent="0.45">
      <c r="A413" s="3"/>
      <c r="B413" s="13"/>
      <c r="H413" s="23"/>
      <c r="I413" s="23"/>
      <c r="J413" s="23"/>
      <c r="K413" s="23"/>
      <c r="L413" s="23"/>
      <c r="M413" s="23"/>
      <c r="N413" s="26"/>
      <c r="O413" s="26"/>
      <c r="P413" s="26"/>
      <c r="Q413" s="26"/>
      <c r="R413" s="26"/>
      <c r="S413" s="26"/>
      <c r="T413" s="27"/>
      <c r="U413" s="27"/>
      <c r="V413" s="27"/>
      <c r="W413" s="27"/>
      <c r="X413" s="27"/>
      <c r="Y413" s="27"/>
      <c r="Z413" s="28"/>
      <c r="AA413" s="28"/>
      <c r="AB413" s="28"/>
      <c r="AC413" s="28"/>
      <c r="AD413" s="28"/>
      <c r="AE413" s="28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</row>
    <row r="414" spans="1:47" x14ac:dyDescent="0.45">
      <c r="A414" s="3"/>
      <c r="B414" s="13"/>
      <c r="H414" s="23"/>
      <c r="I414" s="23"/>
      <c r="J414" s="23"/>
      <c r="K414" s="23"/>
      <c r="L414" s="23"/>
      <c r="M414" s="23"/>
      <c r="N414" s="26"/>
      <c r="O414" s="26"/>
      <c r="P414" s="26"/>
      <c r="Q414" s="26"/>
      <c r="R414" s="26"/>
      <c r="S414" s="26"/>
      <c r="T414" s="27"/>
      <c r="U414" s="27"/>
      <c r="V414" s="27"/>
      <c r="W414" s="27"/>
      <c r="X414" s="27"/>
      <c r="Y414" s="27"/>
      <c r="Z414" s="28"/>
      <c r="AA414" s="28"/>
      <c r="AB414" s="28"/>
      <c r="AC414" s="28"/>
      <c r="AD414" s="28"/>
      <c r="AE414" s="28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</row>
    <row r="415" spans="1:47" x14ac:dyDescent="0.45">
      <c r="A415" s="3"/>
      <c r="B415" s="13"/>
      <c r="H415" s="23"/>
      <c r="I415" s="23"/>
      <c r="J415" s="23"/>
      <c r="K415" s="23"/>
      <c r="L415" s="23"/>
      <c r="M415" s="23"/>
      <c r="N415" s="26"/>
      <c r="O415" s="26"/>
      <c r="P415" s="26"/>
      <c r="Q415" s="26"/>
      <c r="R415" s="26"/>
      <c r="S415" s="26"/>
      <c r="T415" s="27"/>
      <c r="U415" s="27"/>
      <c r="V415" s="27"/>
      <c r="W415" s="27"/>
      <c r="X415" s="27"/>
      <c r="Y415" s="27"/>
      <c r="Z415" s="28"/>
      <c r="AA415" s="28"/>
      <c r="AB415" s="28"/>
      <c r="AC415" s="28"/>
      <c r="AD415" s="28"/>
      <c r="AE415" s="28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</row>
    <row r="416" spans="1:47" x14ac:dyDescent="0.45">
      <c r="A416" s="3"/>
      <c r="B416" s="13"/>
      <c r="H416" s="23"/>
      <c r="I416" s="23"/>
      <c r="J416" s="23"/>
      <c r="K416" s="23"/>
      <c r="L416" s="23"/>
      <c r="M416" s="23"/>
      <c r="N416" s="26"/>
      <c r="O416" s="26"/>
      <c r="P416" s="26"/>
      <c r="Q416" s="26"/>
      <c r="R416" s="26"/>
      <c r="S416" s="26"/>
      <c r="T416" s="27"/>
      <c r="U416" s="27"/>
      <c r="V416" s="27"/>
      <c r="W416" s="27"/>
      <c r="X416" s="27"/>
      <c r="Y416" s="27"/>
      <c r="Z416" s="28"/>
      <c r="AA416" s="28"/>
      <c r="AB416" s="28"/>
      <c r="AC416" s="28"/>
      <c r="AD416" s="28"/>
      <c r="AE416" s="28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</row>
    <row r="417" spans="1:47" x14ac:dyDescent="0.45">
      <c r="A417" s="3"/>
      <c r="B417" s="13"/>
      <c r="H417" s="23"/>
      <c r="I417" s="23"/>
      <c r="J417" s="23"/>
      <c r="K417" s="23"/>
      <c r="L417" s="23"/>
      <c r="M417" s="23"/>
      <c r="N417" s="26"/>
      <c r="O417" s="26"/>
      <c r="P417" s="26"/>
      <c r="Q417" s="26"/>
      <c r="R417" s="26"/>
      <c r="S417" s="26"/>
      <c r="T417" s="27"/>
      <c r="U417" s="27"/>
      <c r="V417" s="27"/>
      <c r="W417" s="27"/>
      <c r="X417" s="27"/>
      <c r="Y417" s="27"/>
      <c r="Z417" s="28"/>
      <c r="AA417" s="28"/>
      <c r="AB417" s="28"/>
      <c r="AC417" s="28"/>
      <c r="AD417" s="28"/>
      <c r="AE417" s="28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</row>
    <row r="418" spans="1:47" x14ac:dyDescent="0.45">
      <c r="A418" s="3"/>
      <c r="B418" s="13"/>
      <c r="H418" s="23"/>
      <c r="I418" s="23"/>
      <c r="J418" s="23"/>
      <c r="K418" s="23"/>
      <c r="L418" s="23"/>
      <c r="M418" s="23"/>
      <c r="N418" s="26"/>
      <c r="O418" s="26"/>
      <c r="P418" s="26"/>
      <c r="Q418" s="26"/>
      <c r="R418" s="26"/>
      <c r="S418" s="26"/>
      <c r="T418" s="27"/>
      <c r="U418" s="27"/>
      <c r="V418" s="27"/>
      <c r="W418" s="27"/>
      <c r="X418" s="27"/>
      <c r="Y418" s="27"/>
      <c r="Z418" s="28"/>
      <c r="AA418" s="28"/>
      <c r="AB418" s="28"/>
      <c r="AC418" s="28"/>
      <c r="AD418" s="28"/>
      <c r="AE418" s="28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</row>
    <row r="419" spans="1:47" x14ac:dyDescent="0.45">
      <c r="A419" s="3"/>
      <c r="B419" s="13"/>
      <c r="H419" s="23"/>
      <c r="I419" s="23"/>
      <c r="J419" s="23"/>
      <c r="K419" s="23"/>
      <c r="L419" s="23"/>
      <c r="M419" s="23"/>
      <c r="N419" s="26"/>
      <c r="O419" s="26"/>
      <c r="P419" s="26"/>
      <c r="Q419" s="26"/>
      <c r="R419" s="26"/>
      <c r="S419" s="26"/>
      <c r="T419" s="27"/>
      <c r="U419" s="27"/>
      <c r="V419" s="27"/>
      <c r="W419" s="27"/>
      <c r="X419" s="27"/>
      <c r="Y419" s="27"/>
      <c r="Z419" s="28"/>
      <c r="AA419" s="28"/>
      <c r="AB419" s="28"/>
      <c r="AC419" s="28"/>
      <c r="AD419" s="28"/>
      <c r="AE419" s="28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</row>
    <row r="420" spans="1:47" x14ac:dyDescent="0.45">
      <c r="A420" s="3"/>
      <c r="B420" s="13"/>
      <c r="H420" s="23"/>
      <c r="I420" s="23"/>
      <c r="J420" s="23"/>
      <c r="K420" s="23"/>
      <c r="L420" s="23"/>
      <c r="M420" s="23"/>
      <c r="N420" s="26"/>
      <c r="O420" s="26"/>
      <c r="P420" s="26"/>
      <c r="Q420" s="26"/>
      <c r="R420" s="26"/>
      <c r="S420" s="26"/>
      <c r="T420" s="27"/>
      <c r="U420" s="27"/>
      <c r="V420" s="27"/>
      <c r="W420" s="27"/>
      <c r="X420" s="27"/>
      <c r="Y420" s="27"/>
      <c r="Z420" s="28"/>
      <c r="AA420" s="28"/>
      <c r="AB420" s="28"/>
      <c r="AC420" s="28"/>
      <c r="AD420" s="28"/>
      <c r="AE420" s="28"/>
      <c r="AJ420" s="44"/>
      <c r="AK420" s="44"/>
      <c r="AL420" s="44"/>
      <c r="AM420" s="44"/>
      <c r="AN420" s="44"/>
      <c r="AO420" s="44"/>
      <c r="AP420" s="44"/>
      <c r="AQ420" s="44"/>
      <c r="AR420" s="44"/>
      <c r="AS420" s="44"/>
      <c r="AT420" s="44"/>
      <c r="AU420" s="44"/>
    </row>
    <row r="421" spans="1:47" x14ac:dyDescent="0.45">
      <c r="A421" s="3"/>
      <c r="B421" s="13"/>
      <c r="H421" s="23"/>
      <c r="I421" s="23"/>
      <c r="J421" s="23"/>
      <c r="K421" s="23"/>
      <c r="L421" s="23"/>
      <c r="M421" s="23"/>
      <c r="N421" s="26"/>
      <c r="O421" s="26"/>
      <c r="P421" s="26"/>
      <c r="Q421" s="26"/>
      <c r="R421" s="26"/>
      <c r="S421" s="26"/>
      <c r="T421" s="27"/>
      <c r="U421" s="27"/>
      <c r="V421" s="27"/>
      <c r="W421" s="27"/>
      <c r="X421" s="27"/>
      <c r="Y421" s="27"/>
      <c r="Z421" s="28"/>
      <c r="AA421" s="28"/>
      <c r="AB421" s="28"/>
      <c r="AC421" s="28"/>
      <c r="AD421" s="28"/>
      <c r="AE421" s="28"/>
      <c r="AJ421" s="44"/>
      <c r="AK421" s="44"/>
      <c r="AL421" s="44"/>
      <c r="AM421" s="44"/>
      <c r="AN421" s="44"/>
      <c r="AO421" s="44"/>
      <c r="AP421" s="44"/>
      <c r="AQ421" s="44"/>
      <c r="AR421" s="44"/>
      <c r="AS421" s="44"/>
      <c r="AT421" s="44"/>
      <c r="AU421" s="44"/>
    </row>
    <row r="422" spans="1:47" x14ac:dyDescent="0.45">
      <c r="A422" s="3"/>
      <c r="B422" s="13"/>
      <c r="H422" s="23"/>
      <c r="I422" s="23"/>
      <c r="J422" s="23"/>
      <c r="K422" s="23"/>
      <c r="L422" s="23"/>
      <c r="M422" s="23"/>
      <c r="N422" s="26"/>
      <c r="O422" s="26"/>
      <c r="P422" s="26"/>
      <c r="Q422" s="26"/>
      <c r="R422" s="26"/>
      <c r="S422" s="26"/>
      <c r="T422" s="27"/>
      <c r="U422" s="27"/>
      <c r="V422" s="27"/>
      <c r="W422" s="27"/>
      <c r="X422" s="27"/>
      <c r="Y422" s="27"/>
      <c r="Z422" s="28"/>
      <c r="AA422" s="28"/>
      <c r="AB422" s="28"/>
      <c r="AC422" s="28"/>
      <c r="AD422" s="28"/>
      <c r="AE422" s="28"/>
      <c r="AJ422" s="44"/>
      <c r="AK422" s="44"/>
      <c r="AL422" s="44"/>
      <c r="AM422" s="44"/>
      <c r="AN422" s="44"/>
      <c r="AO422" s="44"/>
      <c r="AP422" s="44"/>
      <c r="AQ422" s="44"/>
      <c r="AR422" s="44"/>
      <c r="AS422" s="44"/>
      <c r="AT422" s="44"/>
      <c r="AU422" s="44"/>
    </row>
    <row r="423" spans="1:47" x14ac:dyDescent="0.45">
      <c r="A423" s="3"/>
      <c r="B423" s="13"/>
      <c r="H423" s="23"/>
      <c r="I423" s="23"/>
      <c r="J423" s="23"/>
      <c r="K423" s="23"/>
      <c r="L423" s="23"/>
      <c r="M423" s="23"/>
      <c r="N423" s="26"/>
      <c r="O423" s="26"/>
      <c r="P423" s="26"/>
      <c r="Q423" s="26"/>
      <c r="R423" s="26"/>
      <c r="S423" s="26"/>
      <c r="T423" s="27"/>
      <c r="U423" s="27"/>
      <c r="V423" s="27"/>
      <c r="W423" s="27"/>
      <c r="X423" s="27"/>
      <c r="Y423" s="27"/>
      <c r="Z423" s="28"/>
      <c r="AA423" s="28"/>
      <c r="AB423" s="28"/>
      <c r="AC423" s="28"/>
      <c r="AD423" s="28"/>
      <c r="AE423" s="28"/>
      <c r="AJ423" s="44"/>
      <c r="AK423" s="44"/>
      <c r="AL423" s="44"/>
      <c r="AM423" s="44"/>
      <c r="AN423" s="44"/>
      <c r="AO423" s="44"/>
      <c r="AP423" s="44"/>
      <c r="AQ423" s="44"/>
      <c r="AR423" s="44"/>
      <c r="AS423" s="44"/>
      <c r="AT423" s="44"/>
      <c r="AU423" s="44"/>
    </row>
    <row r="424" spans="1:47" x14ac:dyDescent="0.45">
      <c r="A424" s="3"/>
      <c r="B424" s="13"/>
      <c r="H424" s="23"/>
      <c r="I424" s="23"/>
      <c r="J424" s="23"/>
      <c r="K424" s="23"/>
      <c r="L424" s="23"/>
      <c r="M424" s="23"/>
      <c r="N424" s="26"/>
      <c r="O424" s="26"/>
      <c r="P424" s="26"/>
      <c r="Q424" s="26"/>
      <c r="R424" s="26"/>
      <c r="S424" s="26"/>
      <c r="T424" s="27"/>
      <c r="U424" s="27"/>
      <c r="V424" s="27"/>
      <c r="W424" s="27"/>
      <c r="X424" s="27"/>
      <c r="Y424" s="27"/>
      <c r="Z424" s="28"/>
      <c r="AA424" s="28"/>
      <c r="AB424" s="28"/>
      <c r="AC424" s="28"/>
      <c r="AD424" s="28"/>
      <c r="AE424" s="28"/>
      <c r="AJ424" s="44"/>
      <c r="AK424" s="44"/>
      <c r="AL424" s="44"/>
      <c r="AM424" s="44"/>
      <c r="AN424" s="44"/>
      <c r="AO424" s="44"/>
      <c r="AP424" s="44"/>
      <c r="AQ424" s="44"/>
      <c r="AR424" s="44"/>
      <c r="AS424" s="44"/>
      <c r="AT424" s="44"/>
      <c r="AU424" s="44"/>
    </row>
    <row r="425" spans="1:47" x14ac:dyDescent="0.45">
      <c r="A425" s="3"/>
      <c r="B425" s="13"/>
      <c r="H425" s="23"/>
      <c r="I425" s="23"/>
      <c r="J425" s="23"/>
      <c r="K425" s="23"/>
      <c r="L425" s="23"/>
      <c r="M425" s="23"/>
      <c r="N425" s="26"/>
      <c r="O425" s="26"/>
      <c r="P425" s="26"/>
      <c r="Q425" s="26"/>
      <c r="R425" s="26"/>
      <c r="S425" s="26"/>
      <c r="T425" s="27"/>
      <c r="U425" s="27"/>
      <c r="V425" s="27"/>
      <c r="W425" s="27"/>
      <c r="X425" s="27"/>
      <c r="Y425" s="27"/>
      <c r="Z425" s="28"/>
      <c r="AA425" s="28"/>
      <c r="AB425" s="28"/>
      <c r="AC425" s="28"/>
      <c r="AD425" s="28"/>
      <c r="AE425" s="28"/>
      <c r="AJ425" s="44"/>
      <c r="AK425" s="44"/>
      <c r="AL425" s="44"/>
      <c r="AM425" s="44"/>
      <c r="AN425" s="44"/>
      <c r="AO425" s="44"/>
      <c r="AP425" s="44"/>
      <c r="AQ425" s="44"/>
      <c r="AR425" s="44"/>
      <c r="AS425" s="44"/>
      <c r="AT425" s="44"/>
      <c r="AU425" s="44"/>
    </row>
    <row r="426" spans="1:47" x14ac:dyDescent="0.45">
      <c r="A426" s="3"/>
      <c r="B426" s="13"/>
      <c r="H426" s="23"/>
      <c r="I426" s="23"/>
      <c r="J426" s="23"/>
      <c r="K426" s="23"/>
      <c r="L426" s="23"/>
      <c r="M426" s="23"/>
      <c r="N426" s="26"/>
      <c r="O426" s="26"/>
      <c r="P426" s="26"/>
      <c r="Q426" s="26"/>
      <c r="R426" s="26"/>
      <c r="S426" s="26"/>
      <c r="T426" s="27"/>
      <c r="U426" s="27"/>
      <c r="V426" s="27"/>
      <c r="W426" s="27"/>
      <c r="X426" s="27"/>
      <c r="Y426" s="27"/>
      <c r="Z426" s="28"/>
      <c r="AA426" s="28"/>
      <c r="AB426" s="28"/>
      <c r="AC426" s="28"/>
      <c r="AD426" s="28"/>
      <c r="AE426" s="28"/>
      <c r="AJ426" s="44"/>
      <c r="AK426" s="44"/>
      <c r="AL426" s="44"/>
      <c r="AM426" s="44"/>
      <c r="AN426" s="44"/>
      <c r="AO426" s="44"/>
      <c r="AP426" s="44"/>
      <c r="AQ426" s="44"/>
      <c r="AR426" s="44"/>
      <c r="AS426" s="44"/>
      <c r="AT426" s="44"/>
      <c r="AU426" s="44"/>
    </row>
    <row r="427" spans="1:47" x14ac:dyDescent="0.45">
      <c r="A427" s="3"/>
      <c r="B427" s="13"/>
      <c r="H427" s="23"/>
      <c r="I427" s="23"/>
      <c r="J427" s="23"/>
      <c r="K427" s="23"/>
      <c r="L427" s="23"/>
      <c r="M427" s="23"/>
      <c r="N427" s="26"/>
      <c r="O427" s="26"/>
      <c r="P427" s="26"/>
      <c r="Q427" s="26"/>
      <c r="R427" s="26"/>
      <c r="S427" s="26"/>
      <c r="T427" s="27"/>
      <c r="U427" s="27"/>
      <c r="V427" s="27"/>
      <c r="W427" s="27"/>
      <c r="X427" s="27"/>
      <c r="Y427" s="27"/>
      <c r="Z427" s="28"/>
      <c r="AA427" s="28"/>
      <c r="AB427" s="28"/>
      <c r="AC427" s="28"/>
      <c r="AD427" s="28"/>
      <c r="AE427" s="28"/>
      <c r="AJ427" s="44"/>
      <c r="AK427" s="44"/>
      <c r="AL427" s="44"/>
      <c r="AM427" s="44"/>
      <c r="AN427" s="44"/>
      <c r="AO427" s="44"/>
      <c r="AP427" s="44"/>
      <c r="AQ427" s="44"/>
      <c r="AR427" s="44"/>
      <c r="AS427" s="44"/>
      <c r="AT427" s="44"/>
      <c r="AU427" s="44"/>
    </row>
    <row r="428" spans="1:47" x14ac:dyDescent="0.45">
      <c r="A428" s="3"/>
      <c r="B428" s="13"/>
      <c r="H428" s="23"/>
      <c r="I428" s="23"/>
      <c r="J428" s="23"/>
      <c r="K428" s="23"/>
      <c r="L428" s="23"/>
      <c r="M428" s="23"/>
      <c r="N428" s="26"/>
      <c r="O428" s="26"/>
      <c r="P428" s="26"/>
      <c r="Q428" s="26"/>
      <c r="R428" s="26"/>
      <c r="S428" s="26"/>
      <c r="T428" s="27"/>
      <c r="U428" s="27"/>
      <c r="V428" s="27"/>
      <c r="W428" s="27"/>
      <c r="X428" s="27"/>
      <c r="Y428" s="27"/>
      <c r="Z428" s="28"/>
      <c r="AA428" s="28"/>
      <c r="AB428" s="28"/>
      <c r="AC428" s="28"/>
      <c r="AD428" s="28"/>
      <c r="AE428" s="28"/>
      <c r="AJ428" s="44"/>
      <c r="AK428" s="44"/>
      <c r="AL428" s="44"/>
      <c r="AM428" s="44"/>
      <c r="AN428" s="44"/>
      <c r="AO428" s="44"/>
      <c r="AP428" s="44"/>
      <c r="AQ428" s="44"/>
      <c r="AR428" s="44"/>
      <c r="AS428" s="44"/>
      <c r="AT428" s="44"/>
      <c r="AU428" s="44"/>
    </row>
    <row r="429" spans="1:47" x14ac:dyDescent="0.45">
      <c r="A429" s="3"/>
      <c r="B429" s="13"/>
      <c r="H429" s="23"/>
      <c r="I429" s="23"/>
      <c r="J429" s="23"/>
      <c r="K429" s="23"/>
      <c r="L429" s="23"/>
      <c r="M429" s="23"/>
      <c r="N429" s="26"/>
      <c r="O429" s="26"/>
      <c r="P429" s="26"/>
      <c r="Q429" s="26"/>
      <c r="R429" s="26"/>
      <c r="S429" s="26"/>
      <c r="T429" s="27"/>
      <c r="U429" s="27"/>
      <c r="V429" s="27"/>
      <c r="W429" s="27"/>
      <c r="X429" s="27"/>
      <c r="Y429" s="27"/>
      <c r="Z429" s="28"/>
      <c r="AA429" s="28"/>
      <c r="AB429" s="28"/>
      <c r="AC429" s="28"/>
      <c r="AD429" s="28"/>
      <c r="AE429" s="28"/>
      <c r="AJ429" s="44"/>
      <c r="AK429" s="44"/>
      <c r="AL429" s="44"/>
      <c r="AM429" s="44"/>
      <c r="AN429" s="44"/>
      <c r="AO429" s="44"/>
      <c r="AP429" s="44"/>
      <c r="AQ429" s="44"/>
      <c r="AR429" s="44"/>
      <c r="AS429" s="44"/>
      <c r="AT429" s="44"/>
      <c r="AU429" s="44"/>
    </row>
    <row r="430" spans="1:47" x14ac:dyDescent="0.45">
      <c r="A430" s="3"/>
      <c r="B430" s="13"/>
      <c r="H430" s="23"/>
      <c r="I430" s="23"/>
      <c r="J430" s="23"/>
      <c r="K430" s="23"/>
      <c r="L430" s="23"/>
      <c r="M430" s="23"/>
      <c r="N430" s="26"/>
      <c r="O430" s="26"/>
      <c r="P430" s="26"/>
      <c r="Q430" s="26"/>
      <c r="R430" s="26"/>
      <c r="S430" s="26"/>
      <c r="T430" s="27"/>
      <c r="U430" s="27"/>
      <c r="V430" s="27"/>
      <c r="W430" s="27"/>
      <c r="X430" s="27"/>
      <c r="Y430" s="27"/>
      <c r="Z430" s="28"/>
      <c r="AA430" s="28"/>
      <c r="AB430" s="28"/>
      <c r="AC430" s="28"/>
      <c r="AD430" s="28"/>
      <c r="AE430" s="28"/>
      <c r="AJ430" s="44"/>
      <c r="AK430" s="44"/>
      <c r="AL430" s="44"/>
      <c r="AM430" s="44"/>
      <c r="AN430" s="44"/>
      <c r="AO430" s="44"/>
      <c r="AP430" s="44"/>
      <c r="AQ430" s="44"/>
      <c r="AR430" s="44"/>
      <c r="AS430" s="44"/>
      <c r="AT430" s="44"/>
      <c r="AU430" s="44"/>
    </row>
    <row r="431" spans="1:47" x14ac:dyDescent="0.45">
      <c r="A431" s="3"/>
      <c r="B431" s="13"/>
      <c r="H431" s="23"/>
      <c r="I431" s="23"/>
      <c r="J431" s="23"/>
      <c r="K431" s="23"/>
      <c r="L431" s="23"/>
      <c r="M431" s="23"/>
      <c r="N431" s="26"/>
      <c r="O431" s="26"/>
      <c r="P431" s="26"/>
      <c r="Q431" s="26"/>
      <c r="R431" s="26"/>
      <c r="S431" s="26"/>
      <c r="T431" s="27"/>
      <c r="U431" s="27"/>
      <c r="V431" s="27"/>
      <c r="W431" s="27"/>
      <c r="X431" s="27"/>
      <c r="Y431" s="27"/>
      <c r="Z431" s="28"/>
      <c r="AA431" s="28"/>
      <c r="AB431" s="28"/>
      <c r="AC431" s="28"/>
      <c r="AD431" s="28"/>
      <c r="AE431" s="28"/>
      <c r="AJ431" s="44"/>
      <c r="AK431" s="44"/>
      <c r="AL431" s="44"/>
      <c r="AM431" s="44"/>
      <c r="AN431" s="44"/>
      <c r="AO431" s="44"/>
      <c r="AP431" s="44"/>
      <c r="AQ431" s="44"/>
      <c r="AR431" s="44"/>
      <c r="AS431" s="44"/>
      <c r="AT431" s="44"/>
      <c r="AU431" s="44"/>
    </row>
    <row r="432" spans="1:47" x14ac:dyDescent="0.45">
      <c r="A432" s="3"/>
      <c r="B432" s="13"/>
      <c r="H432" s="23"/>
      <c r="I432" s="23"/>
      <c r="J432" s="23"/>
      <c r="K432" s="23"/>
      <c r="L432" s="23"/>
      <c r="M432" s="23"/>
      <c r="N432" s="26"/>
      <c r="O432" s="26"/>
      <c r="P432" s="26"/>
      <c r="Q432" s="26"/>
      <c r="R432" s="26"/>
      <c r="S432" s="26"/>
      <c r="T432" s="27"/>
      <c r="U432" s="27"/>
      <c r="V432" s="27"/>
      <c r="W432" s="27"/>
      <c r="X432" s="27"/>
      <c r="Y432" s="27"/>
      <c r="Z432" s="28"/>
      <c r="AA432" s="28"/>
      <c r="AB432" s="28"/>
      <c r="AC432" s="28"/>
      <c r="AD432" s="28"/>
      <c r="AE432" s="28"/>
      <c r="AJ432" s="44"/>
      <c r="AK432" s="44"/>
      <c r="AL432" s="44"/>
      <c r="AM432" s="44"/>
      <c r="AN432" s="44"/>
      <c r="AO432" s="44"/>
      <c r="AP432" s="44"/>
      <c r="AQ432" s="44"/>
      <c r="AR432" s="44"/>
      <c r="AS432" s="44"/>
      <c r="AT432" s="44"/>
      <c r="AU432" s="44"/>
    </row>
    <row r="433" spans="1:47" x14ac:dyDescent="0.45">
      <c r="A433" s="3"/>
      <c r="B433" s="13"/>
      <c r="H433" s="23"/>
      <c r="I433" s="23"/>
      <c r="J433" s="23"/>
      <c r="K433" s="23"/>
      <c r="L433" s="23"/>
      <c r="M433" s="23"/>
      <c r="N433" s="26"/>
      <c r="O433" s="26"/>
      <c r="P433" s="26"/>
      <c r="Q433" s="26"/>
      <c r="R433" s="26"/>
      <c r="S433" s="26"/>
      <c r="T433" s="27"/>
      <c r="U433" s="27"/>
      <c r="V433" s="27"/>
      <c r="W433" s="27"/>
      <c r="X433" s="27"/>
      <c r="Y433" s="27"/>
      <c r="Z433" s="28"/>
      <c r="AA433" s="28"/>
      <c r="AB433" s="28"/>
      <c r="AC433" s="28"/>
      <c r="AD433" s="28"/>
      <c r="AE433" s="28"/>
      <c r="AJ433" s="44"/>
      <c r="AK433" s="44"/>
      <c r="AL433" s="44"/>
      <c r="AM433" s="44"/>
      <c r="AN433" s="44"/>
      <c r="AO433" s="44"/>
      <c r="AP433" s="44"/>
      <c r="AQ433" s="44"/>
      <c r="AR433" s="44"/>
      <c r="AS433" s="44"/>
      <c r="AT433" s="44"/>
      <c r="AU433" s="44"/>
    </row>
    <row r="434" spans="1:47" x14ac:dyDescent="0.45">
      <c r="A434" s="3"/>
      <c r="B434" s="13"/>
      <c r="H434" s="23"/>
      <c r="I434" s="23"/>
      <c r="J434" s="23"/>
      <c r="K434" s="23"/>
      <c r="L434" s="23"/>
      <c r="M434" s="23"/>
      <c r="N434" s="26"/>
      <c r="O434" s="26"/>
      <c r="P434" s="26"/>
      <c r="Q434" s="26"/>
      <c r="R434" s="26"/>
      <c r="S434" s="26"/>
      <c r="T434" s="27"/>
      <c r="U434" s="27"/>
      <c r="V434" s="27"/>
      <c r="W434" s="27"/>
      <c r="X434" s="27"/>
      <c r="Y434" s="27"/>
      <c r="Z434" s="28"/>
      <c r="AA434" s="28"/>
      <c r="AB434" s="28"/>
      <c r="AC434" s="28"/>
      <c r="AD434" s="28"/>
      <c r="AE434" s="28"/>
      <c r="AJ434" s="44"/>
      <c r="AK434" s="44"/>
      <c r="AL434" s="44"/>
      <c r="AM434" s="44"/>
      <c r="AN434" s="44"/>
      <c r="AO434" s="44"/>
      <c r="AP434" s="44"/>
      <c r="AQ434" s="44"/>
      <c r="AR434" s="44"/>
      <c r="AS434" s="44"/>
      <c r="AT434" s="44"/>
      <c r="AU434" s="44"/>
    </row>
    <row r="435" spans="1:47" x14ac:dyDescent="0.45">
      <c r="A435" s="3"/>
      <c r="B435" s="13"/>
      <c r="H435" s="23"/>
      <c r="I435" s="23"/>
      <c r="J435" s="23"/>
      <c r="K435" s="23"/>
      <c r="L435" s="23"/>
      <c r="M435" s="23"/>
      <c r="N435" s="26"/>
      <c r="O435" s="26"/>
      <c r="P435" s="26"/>
      <c r="Q435" s="26"/>
      <c r="R435" s="26"/>
      <c r="S435" s="26"/>
      <c r="T435" s="27"/>
      <c r="U435" s="27"/>
      <c r="V435" s="27"/>
      <c r="W435" s="27"/>
      <c r="X435" s="27"/>
      <c r="Y435" s="27"/>
      <c r="Z435" s="28"/>
      <c r="AA435" s="28"/>
      <c r="AB435" s="28"/>
      <c r="AC435" s="28"/>
      <c r="AD435" s="28"/>
      <c r="AE435" s="28"/>
      <c r="AJ435" s="44"/>
      <c r="AK435" s="44"/>
      <c r="AL435" s="44"/>
      <c r="AM435" s="44"/>
      <c r="AN435" s="44"/>
      <c r="AO435" s="44"/>
      <c r="AP435" s="44"/>
      <c r="AQ435" s="44"/>
      <c r="AR435" s="44"/>
      <c r="AS435" s="44"/>
      <c r="AT435" s="44"/>
      <c r="AU435" s="44"/>
    </row>
    <row r="436" spans="1:47" x14ac:dyDescent="0.45">
      <c r="A436" s="3"/>
      <c r="B436" s="13"/>
      <c r="H436" s="23"/>
      <c r="I436" s="23"/>
      <c r="J436" s="23"/>
      <c r="K436" s="23"/>
      <c r="L436" s="23"/>
      <c r="M436" s="23"/>
      <c r="N436" s="26"/>
      <c r="O436" s="26"/>
      <c r="P436" s="26"/>
      <c r="Q436" s="26"/>
      <c r="R436" s="26"/>
      <c r="S436" s="26"/>
      <c r="T436" s="27"/>
      <c r="U436" s="27"/>
      <c r="V436" s="27"/>
      <c r="W436" s="27"/>
      <c r="X436" s="27"/>
      <c r="Y436" s="27"/>
      <c r="Z436" s="28"/>
      <c r="AA436" s="28"/>
      <c r="AB436" s="28"/>
      <c r="AC436" s="28"/>
      <c r="AD436" s="28"/>
      <c r="AE436" s="28"/>
      <c r="AJ436" s="44"/>
      <c r="AK436" s="44"/>
      <c r="AL436" s="44"/>
      <c r="AM436" s="44"/>
      <c r="AN436" s="44"/>
      <c r="AO436" s="44"/>
      <c r="AP436" s="44"/>
      <c r="AQ436" s="44"/>
      <c r="AR436" s="44"/>
      <c r="AS436" s="44"/>
      <c r="AT436" s="44"/>
      <c r="AU436" s="44"/>
    </row>
    <row r="437" spans="1:47" x14ac:dyDescent="0.45">
      <c r="A437" s="3"/>
      <c r="B437" s="13"/>
      <c r="H437" s="23"/>
      <c r="I437" s="23"/>
      <c r="J437" s="23"/>
      <c r="K437" s="23"/>
      <c r="L437" s="23"/>
      <c r="M437" s="23"/>
      <c r="N437" s="26"/>
      <c r="O437" s="26"/>
      <c r="P437" s="26"/>
      <c r="Q437" s="26"/>
      <c r="R437" s="26"/>
      <c r="S437" s="26"/>
      <c r="T437" s="27"/>
      <c r="U437" s="27"/>
      <c r="V437" s="27"/>
      <c r="W437" s="27"/>
      <c r="X437" s="27"/>
      <c r="Y437" s="27"/>
      <c r="Z437" s="28"/>
      <c r="AA437" s="28"/>
      <c r="AB437" s="28"/>
      <c r="AC437" s="28"/>
      <c r="AD437" s="28"/>
      <c r="AE437" s="28"/>
      <c r="AJ437" s="44"/>
      <c r="AK437" s="44"/>
      <c r="AL437" s="44"/>
      <c r="AM437" s="44"/>
      <c r="AN437" s="44"/>
      <c r="AO437" s="44"/>
      <c r="AP437" s="44"/>
      <c r="AQ437" s="44"/>
      <c r="AR437" s="44"/>
      <c r="AS437" s="44"/>
      <c r="AT437" s="44"/>
      <c r="AU437" s="44"/>
    </row>
    <row r="438" spans="1:47" x14ac:dyDescent="0.45">
      <c r="A438" s="3"/>
      <c r="B438" s="13"/>
      <c r="H438" s="23"/>
      <c r="I438" s="23"/>
      <c r="J438" s="23"/>
      <c r="K438" s="23"/>
      <c r="L438" s="23"/>
      <c r="M438" s="23"/>
      <c r="N438" s="26"/>
      <c r="O438" s="26"/>
      <c r="P438" s="26"/>
      <c r="Q438" s="26"/>
      <c r="R438" s="26"/>
      <c r="S438" s="26"/>
      <c r="T438" s="27"/>
      <c r="U438" s="27"/>
      <c r="V438" s="27"/>
      <c r="W438" s="27"/>
      <c r="X438" s="27"/>
      <c r="Y438" s="27"/>
      <c r="Z438" s="28"/>
      <c r="AA438" s="28"/>
      <c r="AB438" s="28"/>
      <c r="AC438" s="28"/>
      <c r="AD438" s="28"/>
      <c r="AE438" s="28"/>
      <c r="AJ438" s="44"/>
      <c r="AK438" s="44"/>
      <c r="AL438" s="44"/>
      <c r="AM438" s="44"/>
      <c r="AN438" s="44"/>
      <c r="AO438" s="44"/>
      <c r="AP438" s="44"/>
      <c r="AQ438" s="44"/>
      <c r="AR438" s="44"/>
      <c r="AS438" s="44"/>
      <c r="AT438" s="44"/>
      <c r="AU438" s="44"/>
    </row>
    <row r="439" spans="1:47" x14ac:dyDescent="0.45">
      <c r="A439" s="3"/>
      <c r="B439" s="13"/>
      <c r="H439" s="23"/>
      <c r="I439" s="23"/>
      <c r="J439" s="23"/>
      <c r="K439" s="23"/>
      <c r="L439" s="23"/>
      <c r="M439" s="23"/>
      <c r="N439" s="26"/>
      <c r="O439" s="26"/>
      <c r="P439" s="26"/>
      <c r="Q439" s="26"/>
      <c r="R439" s="26"/>
      <c r="S439" s="26"/>
      <c r="T439" s="27"/>
      <c r="U439" s="27"/>
      <c r="V439" s="27"/>
      <c r="W439" s="27"/>
      <c r="X439" s="27"/>
      <c r="Y439" s="27"/>
      <c r="Z439" s="28"/>
      <c r="AA439" s="28"/>
      <c r="AB439" s="28"/>
      <c r="AC439" s="28"/>
      <c r="AD439" s="28"/>
      <c r="AE439" s="28"/>
      <c r="AJ439" s="44"/>
      <c r="AK439" s="44"/>
      <c r="AL439" s="44"/>
      <c r="AM439" s="44"/>
      <c r="AN439" s="44"/>
      <c r="AO439" s="44"/>
      <c r="AP439" s="44"/>
      <c r="AQ439" s="44"/>
      <c r="AR439" s="44"/>
      <c r="AS439" s="44"/>
      <c r="AT439" s="44"/>
      <c r="AU439" s="44"/>
    </row>
    <row r="440" spans="1:47" x14ac:dyDescent="0.45">
      <c r="A440" s="3"/>
      <c r="B440" s="13"/>
      <c r="H440" s="23"/>
      <c r="I440" s="23"/>
      <c r="J440" s="23"/>
      <c r="K440" s="23"/>
      <c r="L440" s="23"/>
      <c r="M440" s="23"/>
      <c r="N440" s="26"/>
      <c r="O440" s="26"/>
      <c r="P440" s="26"/>
      <c r="Q440" s="26"/>
      <c r="R440" s="26"/>
      <c r="S440" s="26"/>
      <c r="T440" s="27"/>
      <c r="U440" s="27"/>
      <c r="V440" s="27"/>
      <c r="W440" s="27"/>
      <c r="X440" s="27"/>
      <c r="Y440" s="27"/>
      <c r="Z440" s="28"/>
      <c r="AA440" s="28"/>
      <c r="AB440" s="28"/>
      <c r="AC440" s="28"/>
      <c r="AD440" s="28"/>
      <c r="AE440" s="28"/>
      <c r="AJ440" s="44"/>
      <c r="AK440" s="44"/>
      <c r="AL440" s="44"/>
      <c r="AM440" s="44"/>
      <c r="AN440" s="44"/>
      <c r="AO440" s="44"/>
      <c r="AP440" s="44"/>
      <c r="AQ440" s="44"/>
      <c r="AR440" s="44"/>
      <c r="AS440" s="44"/>
      <c r="AT440" s="44"/>
      <c r="AU440" s="44"/>
    </row>
    <row r="441" spans="1:47" x14ac:dyDescent="0.45">
      <c r="A441" s="3"/>
      <c r="B441" s="13"/>
      <c r="H441" s="23"/>
      <c r="I441" s="23"/>
      <c r="J441" s="23"/>
      <c r="K441" s="23"/>
      <c r="L441" s="23"/>
      <c r="M441" s="23"/>
      <c r="N441" s="26"/>
      <c r="O441" s="26"/>
      <c r="P441" s="26"/>
      <c r="Q441" s="26"/>
      <c r="R441" s="26"/>
      <c r="S441" s="26"/>
      <c r="T441" s="27"/>
      <c r="U441" s="27"/>
      <c r="V441" s="27"/>
      <c r="W441" s="27"/>
      <c r="X441" s="27"/>
      <c r="Y441" s="27"/>
      <c r="Z441" s="28"/>
      <c r="AA441" s="28"/>
      <c r="AB441" s="28"/>
      <c r="AC441" s="28"/>
      <c r="AD441" s="28"/>
      <c r="AE441" s="28"/>
      <c r="AJ441" s="44"/>
      <c r="AK441" s="44"/>
      <c r="AL441" s="44"/>
      <c r="AM441" s="44"/>
      <c r="AN441" s="44"/>
      <c r="AO441" s="44"/>
      <c r="AP441" s="44"/>
      <c r="AQ441" s="44"/>
      <c r="AR441" s="44"/>
      <c r="AS441" s="44"/>
      <c r="AT441" s="44"/>
      <c r="AU441" s="44"/>
    </row>
    <row r="442" spans="1:47" x14ac:dyDescent="0.45">
      <c r="A442" s="3"/>
      <c r="B442" s="13"/>
      <c r="H442" s="23"/>
      <c r="I442" s="23"/>
      <c r="J442" s="23"/>
      <c r="K442" s="23"/>
      <c r="L442" s="23"/>
      <c r="M442" s="23"/>
      <c r="N442" s="26"/>
      <c r="O442" s="26"/>
      <c r="P442" s="26"/>
      <c r="Q442" s="26"/>
      <c r="R442" s="26"/>
      <c r="S442" s="26"/>
      <c r="T442" s="27"/>
      <c r="U442" s="27"/>
      <c r="V442" s="27"/>
      <c r="W442" s="27"/>
      <c r="X442" s="27"/>
      <c r="Y442" s="27"/>
      <c r="Z442" s="28"/>
      <c r="AA442" s="28"/>
      <c r="AB442" s="28"/>
      <c r="AC442" s="28"/>
      <c r="AD442" s="28"/>
      <c r="AE442" s="28"/>
      <c r="AJ442" s="44"/>
      <c r="AK442" s="44"/>
      <c r="AL442" s="44"/>
      <c r="AM442" s="44"/>
      <c r="AN442" s="44"/>
      <c r="AO442" s="44"/>
      <c r="AP442" s="44"/>
      <c r="AQ442" s="44"/>
      <c r="AR442" s="44"/>
      <c r="AS442" s="44"/>
      <c r="AT442" s="44"/>
      <c r="AU442" s="44"/>
    </row>
    <row r="443" spans="1:47" x14ac:dyDescent="0.45">
      <c r="A443" s="3"/>
      <c r="B443" s="13"/>
      <c r="H443" s="23"/>
      <c r="I443" s="23"/>
      <c r="J443" s="23"/>
      <c r="K443" s="23"/>
      <c r="L443" s="23"/>
      <c r="M443" s="23"/>
      <c r="N443" s="26"/>
      <c r="O443" s="26"/>
      <c r="P443" s="26"/>
      <c r="Q443" s="26"/>
      <c r="R443" s="26"/>
      <c r="S443" s="26"/>
      <c r="T443" s="27"/>
      <c r="U443" s="27"/>
      <c r="V443" s="27"/>
      <c r="W443" s="27"/>
      <c r="X443" s="27"/>
      <c r="Y443" s="27"/>
      <c r="Z443" s="28"/>
      <c r="AA443" s="28"/>
      <c r="AB443" s="28"/>
      <c r="AC443" s="28"/>
      <c r="AD443" s="28"/>
      <c r="AE443" s="28"/>
      <c r="AJ443" s="44"/>
      <c r="AK443" s="44"/>
      <c r="AL443" s="44"/>
      <c r="AM443" s="44"/>
      <c r="AN443" s="44"/>
      <c r="AO443" s="44"/>
      <c r="AP443" s="44"/>
      <c r="AQ443" s="44"/>
      <c r="AR443" s="44"/>
      <c r="AS443" s="44"/>
      <c r="AT443" s="44"/>
      <c r="AU443" s="44"/>
    </row>
    <row r="444" spans="1:47" x14ac:dyDescent="0.45">
      <c r="A444" s="3"/>
      <c r="B444" s="13"/>
      <c r="H444" s="23"/>
      <c r="I444" s="23"/>
      <c r="J444" s="23"/>
      <c r="K444" s="23"/>
      <c r="L444" s="23"/>
      <c r="M444" s="23"/>
      <c r="N444" s="26"/>
      <c r="O444" s="26"/>
      <c r="P444" s="26"/>
      <c r="Q444" s="26"/>
      <c r="R444" s="26"/>
      <c r="S444" s="26"/>
      <c r="T444" s="27"/>
      <c r="U444" s="27"/>
      <c r="V444" s="27"/>
      <c r="W444" s="27"/>
      <c r="X444" s="27"/>
      <c r="Y444" s="27"/>
      <c r="Z444" s="28"/>
      <c r="AA444" s="28"/>
      <c r="AB444" s="28"/>
      <c r="AC444" s="28"/>
      <c r="AD444" s="28"/>
      <c r="AE444" s="28"/>
      <c r="AJ444" s="44"/>
      <c r="AK444" s="44"/>
      <c r="AL444" s="44"/>
      <c r="AM444" s="44"/>
      <c r="AN444" s="44"/>
      <c r="AO444" s="44"/>
      <c r="AP444" s="44"/>
      <c r="AQ444" s="44"/>
      <c r="AR444" s="44"/>
      <c r="AS444" s="44"/>
      <c r="AT444" s="44"/>
      <c r="AU444" s="44"/>
    </row>
    <row r="445" spans="1:47" x14ac:dyDescent="0.45">
      <c r="A445" s="3"/>
      <c r="B445" s="13"/>
      <c r="H445" s="23"/>
      <c r="I445" s="23"/>
      <c r="J445" s="23"/>
      <c r="K445" s="23"/>
      <c r="L445" s="23"/>
      <c r="M445" s="23"/>
      <c r="N445" s="26"/>
      <c r="O445" s="26"/>
      <c r="P445" s="26"/>
      <c r="Q445" s="26"/>
      <c r="R445" s="26"/>
      <c r="S445" s="26"/>
      <c r="T445" s="27"/>
      <c r="U445" s="27"/>
      <c r="V445" s="27"/>
      <c r="W445" s="27"/>
      <c r="X445" s="27"/>
      <c r="Y445" s="27"/>
      <c r="Z445" s="28"/>
      <c r="AA445" s="28"/>
      <c r="AB445" s="28"/>
      <c r="AC445" s="28"/>
      <c r="AD445" s="28"/>
      <c r="AE445" s="28"/>
      <c r="AJ445" s="44"/>
      <c r="AK445" s="44"/>
      <c r="AL445" s="44"/>
      <c r="AM445" s="44"/>
      <c r="AN445" s="44"/>
      <c r="AO445" s="44"/>
      <c r="AP445" s="44"/>
      <c r="AQ445" s="44"/>
      <c r="AR445" s="44"/>
      <c r="AS445" s="44"/>
      <c r="AT445" s="44"/>
      <c r="AU445" s="44"/>
    </row>
    <row r="446" spans="1:47" x14ac:dyDescent="0.45">
      <c r="A446" s="3"/>
      <c r="B446" s="13"/>
      <c r="H446" s="23"/>
      <c r="I446" s="23"/>
      <c r="J446" s="23"/>
      <c r="K446" s="23"/>
      <c r="L446" s="23"/>
      <c r="M446" s="23"/>
      <c r="N446" s="26"/>
      <c r="O446" s="26"/>
      <c r="P446" s="26"/>
      <c r="Q446" s="26"/>
      <c r="R446" s="26"/>
      <c r="S446" s="26"/>
      <c r="T446" s="27"/>
      <c r="U446" s="27"/>
      <c r="V446" s="27"/>
      <c r="W446" s="27"/>
      <c r="X446" s="27"/>
      <c r="Y446" s="27"/>
      <c r="Z446" s="28"/>
      <c r="AA446" s="28"/>
      <c r="AB446" s="28"/>
      <c r="AC446" s="28"/>
      <c r="AD446" s="28"/>
      <c r="AE446" s="28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</row>
    <row r="447" spans="1:47" x14ac:dyDescent="0.45">
      <c r="A447" s="3"/>
      <c r="B447" s="13"/>
      <c r="H447" s="23"/>
      <c r="I447" s="23"/>
      <c r="J447" s="23"/>
      <c r="K447" s="23"/>
      <c r="L447" s="23"/>
      <c r="M447" s="23"/>
      <c r="N447" s="26"/>
      <c r="O447" s="26"/>
      <c r="P447" s="26"/>
      <c r="Q447" s="26"/>
      <c r="R447" s="26"/>
      <c r="S447" s="26"/>
      <c r="T447" s="27"/>
      <c r="U447" s="27"/>
      <c r="V447" s="27"/>
      <c r="W447" s="27"/>
      <c r="X447" s="27"/>
      <c r="Y447" s="27"/>
      <c r="Z447" s="28"/>
      <c r="AA447" s="28"/>
      <c r="AB447" s="28"/>
      <c r="AC447" s="28"/>
      <c r="AD447" s="28"/>
      <c r="AE447" s="28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</row>
    <row r="448" spans="1:47" x14ac:dyDescent="0.45">
      <c r="A448" s="3"/>
      <c r="B448" s="13"/>
      <c r="H448" s="23"/>
      <c r="I448" s="23"/>
      <c r="J448" s="23"/>
      <c r="K448" s="23"/>
      <c r="L448" s="23"/>
      <c r="M448" s="23"/>
      <c r="N448" s="26"/>
      <c r="O448" s="26"/>
      <c r="P448" s="26"/>
      <c r="Q448" s="26"/>
      <c r="R448" s="26"/>
      <c r="S448" s="26"/>
      <c r="T448" s="27"/>
      <c r="U448" s="27"/>
      <c r="V448" s="27"/>
      <c r="W448" s="27"/>
      <c r="X448" s="27"/>
      <c r="Y448" s="27"/>
      <c r="Z448" s="28"/>
      <c r="AA448" s="28"/>
      <c r="AB448" s="28"/>
      <c r="AC448" s="28"/>
      <c r="AD448" s="28"/>
      <c r="AE448" s="28"/>
      <c r="AJ448" s="44"/>
      <c r="AK448" s="44"/>
      <c r="AL448" s="44"/>
      <c r="AM448" s="44"/>
      <c r="AN448" s="44"/>
      <c r="AO448" s="44"/>
      <c r="AP448" s="44"/>
      <c r="AQ448" s="44"/>
      <c r="AR448" s="44"/>
      <c r="AS448" s="44"/>
      <c r="AT448" s="44"/>
      <c r="AU448" s="44"/>
    </row>
    <row r="449" spans="1:47" x14ac:dyDescent="0.45">
      <c r="A449" s="3"/>
      <c r="B449" s="13"/>
      <c r="H449" s="23"/>
      <c r="I449" s="23"/>
      <c r="J449" s="23"/>
      <c r="K449" s="23"/>
      <c r="L449" s="23"/>
      <c r="M449" s="23"/>
      <c r="N449" s="26"/>
      <c r="O449" s="26"/>
      <c r="P449" s="26"/>
      <c r="Q449" s="26"/>
      <c r="R449" s="26"/>
      <c r="S449" s="26"/>
      <c r="T449" s="27"/>
      <c r="U449" s="27"/>
      <c r="V449" s="27"/>
      <c r="W449" s="27"/>
      <c r="X449" s="27"/>
      <c r="Y449" s="27"/>
      <c r="Z449" s="28"/>
      <c r="AA449" s="28"/>
      <c r="AB449" s="28"/>
      <c r="AC449" s="28"/>
      <c r="AD449" s="28"/>
      <c r="AE449" s="28"/>
      <c r="AJ449" s="44"/>
      <c r="AK449" s="44"/>
      <c r="AL449" s="44"/>
      <c r="AM449" s="44"/>
      <c r="AN449" s="44"/>
      <c r="AO449" s="44"/>
      <c r="AP449" s="44"/>
      <c r="AQ449" s="44"/>
      <c r="AR449" s="44"/>
      <c r="AS449" s="44"/>
      <c r="AT449" s="44"/>
      <c r="AU449" s="44"/>
    </row>
    <row r="450" spans="1:47" x14ac:dyDescent="0.45">
      <c r="A450" s="3"/>
      <c r="B450" s="13"/>
      <c r="H450" s="23"/>
      <c r="I450" s="23"/>
      <c r="J450" s="23"/>
      <c r="K450" s="23"/>
      <c r="L450" s="23"/>
      <c r="M450" s="23"/>
      <c r="N450" s="26"/>
      <c r="O450" s="26"/>
      <c r="P450" s="26"/>
      <c r="Q450" s="26"/>
      <c r="R450" s="26"/>
      <c r="S450" s="26"/>
      <c r="T450" s="27"/>
      <c r="U450" s="27"/>
      <c r="V450" s="27"/>
      <c r="W450" s="27"/>
      <c r="X450" s="27"/>
      <c r="Y450" s="27"/>
      <c r="Z450" s="28"/>
      <c r="AA450" s="28"/>
      <c r="AB450" s="28"/>
      <c r="AC450" s="28"/>
      <c r="AD450" s="28"/>
      <c r="AE450" s="28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</row>
    <row r="451" spans="1:47" x14ac:dyDescent="0.45">
      <c r="A451" s="3"/>
      <c r="B451" s="13"/>
      <c r="H451" s="23"/>
      <c r="I451" s="23"/>
      <c r="J451" s="23"/>
      <c r="K451" s="23"/>
      <c r="L451" s="23"/>
      <c r="M451" s="23"/>
      <c r="N451" s="26"/>
      <c r="O451" s="26"/>
      <c r="P451" s="26"/>
      <c r="Q451" s="26"/>
      <c r="R451" s="26"/>
      <c r="S451" s="26"/>
      <c r="T451" s="27"/>
      <c r="U451" s="27"/>
      <c r="V451" s="27"/>
      <c r="W451" s="27"/>
      <c r="X451" s="27"/>
      <c r="Y451" s="27"/>
      <c r="Z451" s="28"/>
      <c r="AA451" s="28"/>
      <c r="AB451" s="28"/>
      <c r="AC451" s="28"/>
      <c r="AD451" s="28"/>
      <c r="AE451" s="28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</row>
    <row r="452" spans="1:47" x14ac:dyDescent="0.45">
      <c r="A452" s="3"/>
      <c r="B452" s="13"/>
      <c r="H452" s="23"/>
      <c r="I452" s="23"/>
      <c r="J452" s="23"/>
      <c r="K452" s="23"/>
      <c r="L452" s="23"/>
      <c r="M452" s="23"/>
      <c r="N452" s="26"/>
      <c r="O452" s="26"/>
      <c r="P452" s="26"/>
      <c r="Q452" s="26"/>
      <c r="R452" s="26"/>
      <c r="S452" s="26"/>
      <c r="T452" s="27"/>
      <c r="U452" s="27"/>
      <c r="V452" s="27"/>
      <c r="W452" s="27"/>
      <c r="X452" s="27"/>
      <c r="Y452" s="27"/>
      <c r="Z452" s="28"/>
      <c r="AA452" s="28"/>
      <c r="AB452" s="28"/>
      <c r="AC452" s="28"/>
      <c r="AD452" s="28"/>
      <c r="AE452" s="28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</row>
    <row r="453" spans="1:47" x14ac:dyDescent="0.45">
      <c r="A453" s="3"/>
      <c r="B453" s="13"/>
      <c r="H453" s="23"/>
      <c r="I453" s="23"/>
      <c r="J453" s="23"/>
      <c r="K453" s="23"/>
      <c r="L453" s="23"/>
      <c r="M453" s="23"/>
      <c r="N453" s="26"/>
      <c r="O453" s="26"/>
      <c r="P453" s="26"/>
      <c r="Q453" s="26"/>
      <c r="R453" s="26"/>
      <c r="S453" s="26"/>
      <c r="T453" s="27"/>
      <c r="U453" s="27"/>
      <c r="V453" s="27"/>
      <c r="W453" s="27"/>
      <c r="X453" s="27"/>
      <c r="Y453" s="27"/>
      <c r="Z453" s="28"/>
      <c r="AA453" s="28"/>
      <c r="AB453" s="28"/>
      <c r="AC453" s="28"/>
      <c r="AD453" s="28"/>
      <c r="AE453" s="28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</row>
    <row r="454" spans="1:47" x14ac:dyDescent="0.45">
      <c r="A454" s="3"/>
      <c r="B454" s="13"/>
      <c r="H454" s="23"/>
      <c r="I454" s="23"/>
      <c r="J454" s="23"/>
      <c r="K454" s="23"/>
      <c r="L454" s="23"/>
      <c r="M454" s="23"/>
      <c r="N454" s="26"/>
      <c r="O454" s="26"/>
      <c r="P454" s="26"/>
      <c r="Q454" s="26"/>
      <c r="R454" s="26"/>
      <c r="S454" s="26"/>
      <c r="T454" s="27"/>
      <c r="U454" s="27"/>
      <c r="V454" s="27"/>
      <c r="W454" s="27"/>
      <c r="X454" s="27"/>
      <c r="Y454" s="27"/>
      <c r="Z454" s="28"/>
      <c r="AA454" s="28"/>
      <c r="AB454" s="28"/>
      <c r="AC454" s="28"/>
      <c r="AD454" s="28"/>
      <c r="AE454" s="28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</row>
    <row r="455" spans="1:47" x14ac:dyDescent="0.45">
      <c r="A455" s="3"/>
      <c r="B455" s="13"/>
      <c r="H455" s="23"/>
      <c r="I455" s="23"/>
      <c r="J455" s="23"/>
      <c r="K455" s="23"/>
      <c r="L455" s="23"/>
      <c r="M455" s="23"/>
      <c r="N455" s="26"/>
      <c r="O455" s="26"/>
      <c r="P455" s="26"/>
      <c r="Q455" s="26"/>
      <c r="R455" s="26"/>
      <c r="S455" s="26"/>
      <c r="T455" s="27"/>
      <c r="U455" s="27"/>
      <c r="V455" s="27"/>
      <c r="W455" s="27"/>
      <c r="X455" s="27"/>
      <c r="Y455" s="27"/>
      <c r="Z455" s="28"/>
      <c r="AA455" s="28"/>
      <c r="AB455" s="28"/>
      <c r="AC455" s="28"/>
      <c r="AD455" s="28"/>
      <c r="AE455" s="28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</row>
    <row r="456" spans="1:47" x14ac:dyDescent="0.45">
      <c r="A456" s="3"/>
      <c r="B456" s="13"/>
      <c r="H456" s="23"/>
      <c r="I456" s="23"/>
      <c r="J456" s="23"/>
      <c r="K456" s="23"/>
      <c r="L456" s="23"/>
      <c r="M456" s="23"/>
      <c r="N456" s="26"/>
      <c r="O456" s="26"/>
      <c r="P456" s="26"/>
      <c r="Q456" s="26"/>
      <c r="R456" s="26"/>
      <c r="S456" s="26"/>
      <c r="T456" s="27"/>
      <c r="U456" s="27"/>
      <c r="V456" s="27"/>
      <c r="W456" s="27"/>
      <c r="X456" s="27"/>
      <c r="Y456" s="27"/>
      <c r="Z456" s="28"/>
      <c r="AA456" s="28"/>
      <c r="AB456" s="28"/>
      <c r="AC456" s="28"/>
      <c r="AD456" s="28"/>
      <c r="AE456" s="28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</row>
    <row r="457" spans="1:47" x14ac:dyDescent="0.45">
      <c r="A457" s="3"/>
      <c r="B457" s="13"/>
      <c r="H457" s="23"/>
      <c r="I457" s="23"/>
      <c r="J457" s="23"/>
      <c r="K457" s="23"/>
      <c r="L457" s="23"/>
      <c r="M457" s="23"/>
      <c r="N457" s="26"/>
      <c r="O457" s="26"/>
      <c r="P457" s="26"/>
      <c r="Q457" s="26"/>
      <c r="R457" s="26"/>
      <c r="S457" s="26"/>
      <c r="T457" s="27"/>
      <c r="U457" s="27"/>
      <c r="V457" s="27"/>
      <c r="W457" s="27"/>
      <c r="X457" s="27"/>
      <c r="Y457" s="27"/>
      <c r="Z457" s="28"/>
      <c r="AA457" s="28"/>
      <c r="AB457" s="28"/>
      <c r="AC457" s="28"/>
      <c r="AD457" s="28"/>
      <c r="AE457" s="28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</row>
    <row r="458" spans="1:47" x14ac:dyDescent="0.45">
      <c r="A458" s="3"/>
      <c r="B458" s="13"/>
      <c r="H458" s="23"/>
      <c r="I458" s="23"/>
      <c r="J458" s="23"/>
      <c r="K458" s="23"/>
      <c r="L458" s="23"/>
      <c r="M458" s="23"/>
      <c r="N458" s="26"/>
      <c r="O458" s="26"/>
      <c r="P458" s="26"/>
      <c r="Q458" s="26"/>
      <c r="R458" s="26"/>
      <c r="S458" s="26"/>
      <c r="T458" s="27"/>
      <c r="U458" s="27"/>
      <c r="V458" s="27"/>
      <c r="W458" s="27"/>
      <c r="X458" s="27"/>
      <c r="Y458" s="27"/>
      <c r="Z458" s="28"/>
      <c r="AA458" s="28"/>
      <c r="AB458" s="28"/>
      <c r="AC458" s="28"/>
      <c r="AD458" s="28"/>
      <c r="AE458" s="28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</row>
    <row r="459" spans="1:47" x14ac:dyDescent="0.45">
      <c r="A459" s="3"/>
      <c r="B459" s="13"/>
      <c r="H459" s="23"/>
      <c r="I459" s="23"/>
      <c r="J459" s="23"/>
      <c r="K459" s="23"/>
      <c r="L459" s="23"/>
      <c r="M459" s="23"/>
      <c r="N459" s="26"/>
      <c r="O459" s="26"/>
      <c r="P459" s="26"/>
      <c r="Q459" s="26"/>
      <c r="R459" s="26"/>
      <c r="S459" s="26"/>
      <c r="T459" s="27"/>
      <c r="U459" s="27"/>
      <c r="V459" s="27"/>
      <c r="W459" s="27"/>
      <c r="X459" s="27"/>
      <c r="Y459" s="27"/>
      <c r="Z459" s="28"/>
      <c r="AA459" s="28"/>
      <c r="AB459" s="28"/>
      <c r="AC459" s="28"/>
      <c r="AD459" s="28"/>
      <c r="AE459" s="28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</row>
    <row r="460" spans="1:47" x14ac:dyDescent="0.45">
      <c r="A460" s="3"/>
      <c r="B460" s="13"/>
      <c r="H460" s="23"/>
      <c r="I460" s="23"/>
      <c r="J460" s="23"/>
      <c r="K460" s="23"/>
      <c r="L460" s="23"/>
      <c r="M460" s="23"/>
      <c r="N460" s="26"/>
      <c r="O460" s="26"/>
      <c r="P460" s="26"/>
      <c r="Q460" s="26"/>
      <c r="R460" s="26"/>
      <c r="S460" s="26"/>
      <c r="T460" s="27"/>
      <c r="U460" s="27"/>
      <c r="V460" s="27"/>
      <c r="W460" s="27"/>
      <c r="X460" s="27"/>
      <c r="Y460" s="27"/>
      <c r="Z460" s="28"/>
      <c r="AA460" s="28"/>
      <c r="AB460" s="28"/>
      <c r="AC460" s="28"/>
      <c r="AD460" s="28"/>
      <c r="AE460" s="28"/>
      <c r="AJ460" s="44"/>
      <c r="AK460" s="44"/>
      <c r="AL460" s="44"/>
      <c r="AM460" s="44"/>
      <c r="AN460" s="44"/>
      <c r="AO460" s="44"/>
      <c r="AP460" s="44"/>
      <c r="AQ460" s="44"/>
      <c r="AR460" s="44"/>
      <c r="AS460" s="44"/>
      <c r="AT460" s="44"/>
      <c r="AU460" s="44"/>
    </row>
    <row r="461" spans="1:47" x14ac:dyDescent="0.45">
      <c r="A461" s="3"/>
      <c r="B461" s="13"/>
      <c r="H461" s="23"/>
      <c r="I461" s="23"/>
      <c r="J461" s="23"/>
      <c r="K461" s="23"/>
      <c r="L461" s="23"/>
      <c r="M461" s="23"/>
      <c r="N461" s="26"/>
      <c r="O461" s="26"/>
      <c r="P461" s="26"/>
      <c r="Q461" s="26"/>
      <c r="R461" s="26"/>
      <c r="S461" s="26"/>
      <c r="T461" s="27"/>
      <c r="U461" s="27"/>
      <c r="V461" s="27"/>
      <c r="W461" s="27"/>
      <c r="X461" s="27"/>
      <c r="Y461" s="27"/>
      <c r="Z461" s="28"/>
      <c r="AA461" s="28"/>
      <c r="AB461" s="28"/>
      <c r="AC461" s="28"/>
      <c r="AD461" s="28"/>
      <c r="AE461" s="28"/>
      <c r="AJ461" s="44"/>
      <c r="AK461" s="44"/>
      <c r="AL461" s="44"/>
      <c r="AM461" s="44"/>
      <c r="AN461" s="44"/>
      <c r="AO461" s="44"/>
      <c r="AP461" s="44"/>
      <c r="AQ461" s="44"/>
      <c r="AR461" s="44"/>
      <c r="AS461" s="44"/>
      <c r="AT461" s="44"/>
      <c r="AU461" s="44"/>
    </row>
    <row r="462" spans="1:47" x14ac:dyDescent="0.45">
      <c r="A462" s="3"/>
      <c r="B462" s="13"/>
      <c r="H462" s="23"/>
      <c r="I462" s="23"/>
      <c r="J462" s="23"/>
      <c r="K462" s="23"/>
      <c r="L462" s="23"/>
      <c r="M462" s="23"/>
      <c r="N462" s="26"/>
      <c r="O462" s="26"/>
      <c r="P462" s="26"/>
      <c r="Q462" s="26"/>
      <c r="R462" s="26"/>
      <c r="S462" s="26"/>
      <c r="T462" s="27"/>
      <c r="U462" s="27"/>
      <c r="V462" s="27"/>
      <c r="W462" s="27"/>
      <c r="X462" s="27"/>
      <c r="Y462" s="27"/>
      <c r="Z462" s="28"/>
      <c r="AA462" s="28"/>
      <c r="AB462" s="28"/>
      <c r="AC462" s="28"/>
      <c r="AD462" s="28"/>
      <c r="AE462" s="28"/>
      <c r="AJ462" s="44"/>
      <c r="AK462" s="44"/>
      <c r="AL462" s="44"/>
      <c r="AM462" s="44"/>
      <c r="AN462" s="44"/>
      <c r="AO462" s="44"/>
      <c r="AP462" s="44"/>
      <c r="AQ462" s="44"/>
      <c r="AR462" s="44"/>
      <c r="AS462" s="44"/>
      <c r="AT462" s="44"/>
      <c r="AU462" s="44"/>
    </row>
    <row r="463" spans="1:47" x14ac:dyDescent="0.45">
      <c r="A463" s="3"/>
      <c r="B463" s="13"/>
      <c r="H463" s="23"/>
      <c r="I463" s="23"/>
      <c r="J463" s="23"/>
      <c r="K463" s="23"/>
      <c r="L463" s="23"/>
      <c r="M463" s="23"/>
      <c r="N463" s="26"/>
      <c r="O463" s="26"/>
      <c r="P463" s="26"/>
      <c r="Q463" s="26"/>
      <c r="R463" s="26"/>
      <c r="S463" s="26"/>
      <c r="T463" s="27"/>
      <c r="U463" s="27"/>
      <c r="V463" s="27"/>
      <c r="W463" s="27"/>
      <c r="X463" s="27"/>
      <c r="Y463" s="27"/>
      <c r="Z463" s="28"/>
      <c r="AA463" s="28"/>
      <c r="AB463" s="28"/>
      <c r="AC463" s="28"/>
      <c r="AD463" s="28"/>
      <c r="AE463" s="28"/>
      <c r="AJ463" s="44"/>
      <c r="AK463" s="44"/>
      <c r="AL463" s="44"/>
      <c r="AM463" s="44"/>
      <c r="AN463" s="44"/>
      <c r="AO463" s="44"/>
      <c r="AP463" s="44"/>
      <c r="AQ463" s="44"/>
      <c r="AR463" s="44"/>
      <c r="AS463" s="44"/>
      <c r="AT463" s="44"/>
      <c r="AU463" s="44"/>
    </row>
    <row r="464" spans="1:47" x14ac:dyDescent="0.45">
      <c r="A464" s="3"/>
      <c r="B464" s="13"/>
      <c r="H464" s="23"/>
      <c r="I464" s="23"/>
      <c r="J464" s="23"/>
      <c r="K464" s="23"/>
      <c r="L464" s="23"/>
      <c r="M464" s="23"/>
      <c r="N464" s="26"/>
      <c r="O464" s="26"/>
      <c r="P464" s="26"/>
      <c r="Q464" s="26"/>
      <c r="R464" s="26"/>
      <c r="S464" s="26"/>
      <c r="T464" s="27"/>
      <c r="U464" s="27"/>
      <c r="V464" s="27"/>
      <c r="W464" s="27"/>
      <c r="X464" s="27"/>
      <c r="Y464" s="27"/>
      <c r="Z464" s="28"/>
      <c r="AA464" s="28"/>
      <c r="AB464" s="28"/>
      <c r="AC464" s="28"/>
      <c r="AD464" s="28"/>
      <c r="AE464" s="28"/>
      <c r="AJ464" s="44"/>
      <c r="AK464" s="44"/>
      <c r="AL464" s="44"/>
      <c r="AM464" s="44"/>
      <c r="AN464" s="44"/>
      <c r="AO464" s="44"/>
      <c r="AP464" s="44"/>
      <c r="AQ464" s="44"/>
      <c r="AR464" s="44"/>
      <c r="AS464" s="44"/>
      <c r="AT464" s="44"/>
      <c r="AU464" s="44"/>
    </row>
    <row r="465" spans="1:47" x14ac:dyDescent="0.45">
      <c r="A465" s="3"/>
      <c r="B465" s="13"/>
      <c r="H465" s="23"/>
      <c r="I465" s="23"/>
      <c r="J465" s="23"/>
      <c r="K465" s="23"/>
      <c r="L465" s="23"/>
      <c r="M465" s="23"/>
      <c r="N465" s="26"/>
      <c r="O465" s="26"/>
      <c r="P465" s="26"/>
      <c r="Q465" s="26"/>
      <c r="R465" s="26"/>
      <c r="S465" s="26"/>
      <c r="T465" s="27"/>
      <c r="U465" s="27"/>
      <c r="V465" s="27"/>
      <c r="W465" s="27"/>
      <c r="X465" s="27"/>
      <c r="Y465" s="27"/>
      <c r="Z465" s="28"/>
      <c r="AA465" s="28"/>
      <c r="AB465" s="28"/>
      <c r="AC465" s="28"/>
      <c r="AD465" s="28"/>
      <c r="AE465" s="28"/>
      <c r="AJ465" s="44"/>
      <c r="AK465" s="44"/>
      <c r="AL465" s="44"/>
      <c r="AM465" s="44"/>
      <c r="AN465" s="44"/>
      <c r="AO465" s="44"/>
      <c r="AP465" s="44"/>
      <c r="AQ465" s="44"/>
      <c r="AR465" s="44"/>
      <c r="AS465" s="44"/>
      <c r="AT465" s="44"/>
      <c r="AU465" s="44"/>
    </row>
    <row r="466" spans="1:47" x14ac:dyDescent="0.45">
      <c r="A466" s="3"/>
      <c r="B466" s="13"/>
      <c r="H466" s="23"/>
      <c r="I466" s="23"/>
      <c r="J466" s="23"/>
      <c r="K466" s="23"/>
      <c r="L466" s="23"/>
      <c r="M466" s="23"/>
      <c r="N466" s="26"/>
      <c r="O466" s="26"/>
      <c r="P466" s="26"/>
      <c r="Q466" s="26"/>
      <c r="R466" s="26"/>
      <c r="S466" s="26"/>
      <c r="T466" s="27"/>
      <c r="U466" s="27"/>
      <c r="V466" s="27"/>
      <c r="W466" s="27"/>
      <c r="X466" s="27"/>
      <c r="Y466" s="27"/>
      <c r="Z466" s="28"/>
      <c r="AA466" s="28"/>
      <c r="AB466" s="28"/>
      <c r="AC466" s="28"/>
      <c r="AD466" s="28"/>
      <c r="AE466" s="28"/>
      <c r="AJ466" s="44"/>
      <c r="AK466" s="44"/>
      <c r="AL466" s="44"/>
      <c r="AM466" s="44"/>
      <c r="AN466" s="44"/>
      <c r="AO466" s="44"/>
      <c r="AP466" s="44"/>
      <c r="AQ466" s="44"/>
      <c r="AR466" s="44"/>
      <c r="AS466" s="44"/>
      <c r="AT466" s="44"/>
      <c r="AU466" s="44"/>
    </row>
    <row r="467" spans="1:47" x14ac:dyDescent="0.45">
      <c r="A467" s="3"/>
      <c r="B467" s="13"/>
      <c r="H467" s="23"/>
      <c r="I467" s="23"/>
      <c r="J467" s="23"/>
      <c r="K467" s="23"/>
      <c r="L467" s="23"/>
      <c r="M467" s="23"/>
      <c r="N467" s="26"/>
      <c r="O467" s="26"/>
      <c r="P467" s="26"/>
      <c r="Q467" s="26"/>
      <c r="R467" s="26"/>
      <c r="S467" s="26"/>
      <c r="T467" s="27"/>
      <c r="U467" s="27"/>
      <c r="V467" s="27"/>
      <c r="W467" s="27"/>
      <c r="X467" s="27"/>
      <c r="Y467" s="27"/>
      <c r="Z467" s="28"/>
      <c r="AA467" s="28"/>
      <c r="AB467" s="28"/>
      <c r="AC467" s="28"/>
      <c r="AD467" s="28"/>
      <c r="AE467" s="28"/>
      <c r="AJ467" s="44"/>
      <c r="AK467" s="44"/>
      <c r="AL467" s="44"/>
      <c r="AM467" s="44"/>
      <c r="AN467" s="44"/>
      <c r="AO467" s="44"/>
      <c r="AP467" s="44"/>
      <c r="AQ467" s="44"/>
      <c r="AR467" s="44"/>
      <c r="AS467" s="44"/>
      <c r="AT467" s="44"/>
      <c r="AU467" s="44"/>
    </row>
    <row r="468" spans="1:47" x14ac:dyDescent="0.45">
      <c r="A468" s="3"/>
      <c r="B468" s="13"/>
      <c r="H468" s="23"/>
      <c r="I468" s="23"/>
      <c r="J468" s="23"/>
      <c r="K468" s="23"/>
      <c r="L468" s="23"/>
      <c r="M468" s="23"/>
      <c r="N468" s="26"/>
      <c r="O468" s="26"/>
      <c r="P468" s="26"/>
      <c r="Q468" s="26"/>
      <c r="R468" s="26"/>
      <c r="S468" s="26"/>
      <c r="T468" s="27"/>
      <c r="U468" s="27"/>
      <c r="V468" s="27"/>
      <c r="W468" s="27"/>
      <c r="X468" s="27"/>
      <c r="Y468" s="27"/>
      <c r="Z468" s="28"/>
      <c r="AA468" s="28"/>
      <c r="AB468" s="28"/>
      <c r="AC468" s="28"/>
      <c r="AD468" s="28"/>
      <c r="AE468" s="28"/>
      <c r="AJ468" s="44"/>
      <c r="AK468" s="44"/>
      <c r="AL468" s="44"/>
      <c r="AM468" s="44"/>
      <c r="AN468" s="44"/>
      <c r="AO468" s="44"/>
      <c r="AP468" s="44"/>
      <c r="AQ468" s="44"/>
      <c r="AR468" s="44"/>
      <c r="AS468" s="44"/>
      <c r="AT468" s="44"/>
      <c r="AU468" s="44"/>
    </row>
    <row r="469" spans="1:47" x14ac:dyDescent="0.45">
      <c r="A469" s="3"/>
      <c r="B469" s="13"/>
      <c r="H469" s="23"/>
      <c r="I469" s="23"/>
      <c r="J469" s="23"/>
      <c r="K469" s="23"/>
      <c r="L469" s="23"/>
      <c r="M469" s="23"/>
      <c r="N469" s="26"/>
      <c r="O469" s="26"/>
      <c r="P469" s="26"/>
      <c r="Q469" s="26"/>
      <c r="R469" s="26"/>
      <c r="S469" s="26"/>
      <c r="T469" s="27"/>
      <c r="U469" s="27"/>
      <c r="V469" s="27"/>
      <c r="W469" s="27"/>
      <c r="X469" s="27"/>
      <c r="Y469" s="27"/>
      <c r="Z469" s="28"/>
      <c r="AA469" s="28"/>
      <c r="AB469" s="28"/>
      <c r="AC469" s="28"/>
      <c r="AD469" s="28"/>
      <c r="AE469" s="28"/>
      <c r="AJ469" s="44"/>
      <c r="AK469" s="44"/>
      <c r="AL469" s="44"/>
      <c r="AM469" s="44"/>
      <c r="AN469" s="44"/>
      <c r="AO469" s="44"/>
      <c r="AP469" s="44"/>
      <c r="AQ469" s="44"/>
      <c r="AR469" s="44"/>
      <c r="AS469" s="44"/>
      <c r="AT469" s="44"/>
      <c r="AU469" s="44"/>
    </row>
    <row r="470" spans="1:47" x14ac:dyDescent="0.45">
      <c r="A470" s="3"/>
      <c r="B470" s="13"/>
      <c r="H470" s="23"/>
      <c r="I470" s="23"/>
      <c r="J470" s="23"/>
      <c r="K470" s="23"/>
      <c r="L470" s="23"/>
      <c r="M470" s="23"/>
      <c r="N470" s="26"/>
      <c r="O470" s="26"/>
      <c r="P470" s="26"/>
      <c r="Q470" s="26"/>
      <c r="R470" s="26"/>
      <c r="S470" s="26"/>
      <c r="T470" s="27"/>
      <c r="U470" s="27"/>
      <c r="V470" s="27"/>
      <c r="W470" s="27"/>
      <c r="X470" s="27"/>
      <c r="Y470" s="27"/>
      <c r="Z470" s="28"/>
      <c r="AA470" s="28"/>
      <c r="AB470" s="28"/>
      <c r="AC470" s="28"/>
      <c r="AD470" s="28"/>
      <c r="AE470" s="28"/>
      <c r="AJ470" s="44"/>
      <c r="AK470" s="44"/>
      <c r="AL470" s="44"/>
      <c r="AM470" s="44"/>
      <c r="AN470" s="44"/>
      <c r="AO470" s="44"/>
      <c r="AP470" s="44"/>
      <c r="AQ470" s="44"/>
      <c r="AR470" s="44"/>
      <c r="AS470" s="44"/>
      <c r="AT470" s="44"/>
      <c r="AU470" s="44"/>
    </row>
    <row r="471" spans="1:47" x14ac:dyDescent="0.45">
      <c r="A471" s="3"/>
      <c r="B471" s="13"/>
      <c r="H471" s="23"/>
      <c r="I471" s="23"/>
      <c r="J471" s="23"/>
      <c r="K471" s="23"/>
      <c r="L471" s="23"/>
      <c r="M471" s="23"/>
      <c r="N471" s="26"/>
      <c r="O471" s="26"/>
      <c r="P471" s="26"/>
      <c r="Q471" s="26"/>
      <c r="R471" s="26"/>
      <c r="S471" s="26"/>
      <c r="T471" s="27"/>
      <c r="U471" s="27"/>
      <c r="V471" s="27"/>
      <c r="W471" s="27"/>
      <c r="X471" s="27"/>
      <c r="Y471" s="27"/>
      <c r="Z471" s="28"/>
      <c r="AA471" s="28"/>
      <c r="AB471" s="28"/>
      <c r="AC471" s="28"/>
      <c r="AD471" s="28"/>
      <c r="AE471" s="28"/>
      <c r="AJ471" s="44"/>
      <c r="AK471" s="44"/>
      <c r="AL471" s="44"/>
      <c r="AM471" s="44"/>
      <c r="AN471" s="44"/>
      <c r="AO471" s="44"/>
      <c r="AP471" s="44"/>
      <c r="AQ471" s="44"/>
      <c r="AR471" s="44"/>
      <c r="AS471" s="44"/>
      <c r="AT471" s="44"/>
      <c r="AU471" s="44"/>
    </row>
    <row r="472" spans="1:47" x14ac:dyDescent="0.45">
      <c r="A472" s="3"/>
      <c r="B472" s="13"/>
      <c r="H472" s="23"/>
      <c r="I472" s="23"/>
      <c r="J472" s="23"/>
      <c r="K472" s="23"/>
      <c r="L472" s="23"/>
      <c r="M472" s="23"/>
      <c r="N472" s="26"/>
      <c r="O472" s="26"/>
      <c r="P472" s="26"/>
      <c r="Q472" s="26"/>
      <c r="R472" s="26"/>
      <c r="S472" s="26"/>
      <c r="T472" s="27"/>
      <c r="U472" s="27"/>
      <c r="V472" s="27"/>
      <c r="W472" s="27"/>
      <c r="X472" s="27"/>
      <c r="Y472" s="27"/>
      <c r="Z472" s="28"/>
      <c r="AA472" s="28"/>
      <c r="AB472" s="28"/>
      <c r="AC472" s="28"/>
      <c r="AD472" s="28"/>
      <c r="AE472" s="28"/>
      <c r="AJ472" s="44"/>
      <c r="AK472" s="44"/>
      <c r="AL472" s="44"/>
      <c r="AM472" s="44"/>
      <c r="AN472" s="44"/>
      <c r="AO472" s="44"/>
      <c r="AP472" s="44"/>
      <c r="AQ472" s="44"/>
      <c r="AR472" s="44"/>
      <c r="AS472" s="44"/>
      <c r="AT472" s="44"/>
      <c r="AU472" s="44"/>
    </row>
    <row r="473" spans="1:47" x14ac:dyDescent="0.45">
      <c r="A473" s="3"/>
      <c r="B473" s="13"/>
      <c r="H473" s="23"/>
      <c r="I473" s="23"/>
      <c r="J473" s="23"/>
      <c r="K473" s="23"/>
      <c r="L473" s="23"/>
      <c r="M473" s="23"/>
      <c r="N473" s="26"/>
      <c r="O473" s="26"/>
      <c r="P473" s="26"/>
      <c r="Q473" s="26"/>
      <c r="R473" s="26"/>
      <c r="S473" s="26"/>
      <c r="T473" s="27"/>
      <c r="U473" s="27"/>
      <c r="V473" s="27"/>
      <c r="W473" s="27"/>
      <c r="X473" s="27"/>
      <c r="Y473" s="27"/>
      <c r="Z473" s="28"/>
      <c r="AA473" s="28"/>
      <c r="AB473" s="28"/>
      <c r="AC473" s="28"/>
      <c r="AD473" s="28"/>
      <c r="AE473" s="28"/>
      <c r="AJ473" s="44"/>
      <c r="AK473" s="44"/>
      <c r="AL473" s="44"/>
      <c r="AM473" s="44"/>
      <c r="AN473" s="44"/>
      <c r="AO473" s="44"/>
      <c r="AP473" s="44"/>
      <c r="AQ473" s="44"/>
      <c r="AR473" s="44"/>
      <c r="AS473" s="44"/>
      <c r="AT473" s="44"/>
      <c r="AU473" s="44"/>
    </row>
    <row r="474" spans="1:47" x14ac:dyDescent="0.45">
      <c r="A474" s="3"/>
      <c r="B474" s="13"/>
      <c r="H474" s="23"/>
      <c r="I474" s="23"/>
      <c r="J474" s="23"/>
      <c r="K474" s="23"/>
      <c r="L474" s="23"/>
      <c r="M474" s="23"/>
      <c r="N474" s="26"/>
      <c r="O474" s="26"/>
      <c r="P474" s="26"/>
      <c r="Q474" s="26"/>
      <c r="R474" s="26"/>
      <c r="S474" s="26"/>
      <c r="T474" s="27"/>
      <c r="U474" s="27"/>
      <c r="V474" s="27"/>
      <c r="W474" s="27"/>
      <c r="X474" s="27"/>
      <c r="Y474" s="27"/>
      <c r="Z474" s="28"/>
      <c r="AA474" s="28"/>
      <c r="AB474" s="28"/>
      <c r="AC474" s="28"/>
      <c r="AD474" s="28"/>
      <c r="AE474" s="28"/>
      <c r="AJ474" s="44"/>
      <c r="AK474" s="44"/>
      <c r="AL474" s="44"/>
      <c r="AM474" s="44"/>
      <c r="AN474" s="44"/>
      <c r="AO474" s="44"/>
      <c r="AP474" s="44"/>
      <c r="AQ474" s="44"/>
      <c r="AR474" s="44"/>
      <c r="AS474" s="44"/>
      <c r="AT474" s="44"/>
      <c r="AU474" s="44"/>
    </row>
    <row r="475" spans="1:47" x14ac:dyDescent="0.45">
      <c r="A475" s="3"/>
      <c r="B475" s="13"/>
      <c r="H475" s="23"/>
      <c r="I475" s="23"/>
      <c r="J475" s="23"/>
      <c r="K475" s="23"/>
      <c r="L475" s="23"/>
      <c r="M475" s="23"/>
      <c r="N475" s="26"/>
      <c r="O475" s="26"/>
      <c r="P475" s="26"/>
      <c r="Q475" s="26"/>
      <c r="R475" s="26"/>
      <c r="S475" s="26"/>
      <c r="T475" s="27"/>
      <c r="U475" s="27"/>
      <c r="V475" s="27"/>
      <c r="W475" s="27"/>
      <c r="X475" s="27"/>
      <c r="Y475" s="27"/>
      <c r="Z475" s="28"/>
      <c r="AA475" s="28"/>
      <c r="AB475" s="28"/>
      <c r="AC475" s="28"/>
      <c r="AD475" s="28"/>
      <c r="AE475" s="28"/>
      <c r="AJ475" s="44"/>
      <c r="AK475" s="44"/>
      <c r="AL475" s="44"/>
      <c r="AM475" s="44"/>
      <c r="AN475" s="44"/>
      <c r="AO475" s="44"/>
      <c r="AP475" s="44"/>
      <c r="AQ475" s="44"/>
      <c r="AR475" s="44"/>
      <c r="AS475" s="44"/>
      <c r="AT475" s="44"/>
      <c r="AU475" s="44"/>
    </row>
    <row r="476" spans="1:47" x14ac:dyDescent="0.45">
      <c r="A476" s="3"/>
      <c r="B476" s="13"/>
      <c r="H476" s="23"/>
      <c r="I476" s="23"/>
      <c r="J476" s="23"/>
      <c r="K476" s="23"/>
      <c r="L476" s="23"/>
      <c r="M476" s="23"/>
      <c r="N476" s="26"/>
      <c r="O476" s="26"/>
      <c r="P476" s="26"/>
      <c r="Q476" s="26"/>
      <c r="R476" s="26"/>
      <c r="S476" s="26"/>
      <c r="T476" s="27"/>
      <c r="U476" s="27"/>
      <c r="V476" s="27"/>
      <c r="W476" s="27"/>
      <c r="X476" s="27"/>
      <c r="Y476" s="27"/>
      <c r="Z476" s="28"/>
      <c r="AA476" s="28"/>
      <c r="AB476" s="28"/>
      <c r="AC476" s="28"/>
      <c r="AD476" s="28"/>
      <c r="AE476" s="28"/>
      <c r="AJ476" s="44"/>
      <c r="AK476" s="44"/>
      <c r="AL476" s="44"/>
      <c r="AM476" s="44"/>
      <c r="AN476" s="44"/>
      <c r="AO476" s="44"/>
      <c r="AP476" s="44"/>
      <c r="AQ476" s="44"/>
      <c r="AR476" s="44"/>
      <c r="AS476" s="44"/>
      <c r="AT476" s="44"/>
      <c r="AU476" s="44"/>
    </row>
    <row r="477" spans="1:47" x14ac:dyDescent="0.45">
      <c r="A477" s="3"/>
      <c r="B477" s="13"/>
      <c r="H477" s="23"/>
      <c r="I477" s="23"/>
      <c r="J477" s="23"/>
      <c r="K477" s="23"/>
      <c r="L477" s="23"/>
      <c r="M477" s="23"/>
      <c r="N477" s="26"/>
      <c r="O477" s="26"/>
      <c r="P477" s="26"/>
      <c r="Q477" s="26"/>
      <c r="R477" s="26"/>
      <c r="S477" s="26"/>
      <c r="T477" s="27"/>
      <c r="U477" s="27"/>
      <c r="V477" s="27"/>
      <c r="W477" s="27"/>
      <c r="X477" s="27"/>
      <c r="Y477" s="27"/>
      <c r="Z477" s="28"/>
      <c r="AA477" s="28"/>
      <c r="AB477" s="28"/>
      <c r="AC477" s="28"/>
      <c r="AD477" s="28"/>
      <c r="AE477" s="28"/>
      <c r="AJ477" s="44"/>
      <c r="AK477" s="44"/>
      <c r="AL477" s="44"/>
      <c r="AM477" s="44"/>
      <c r="AN477" s="44"/>
      <c r="AO477" s="44"/>
      <c r="AP477" s="44"/>
      <c r="AQ477" s="44"/>
      <c r="AR477" s="44"/>
      <c r="AS477" s="44"/>
      <c r="AT477" s="44"/>
      <c r="AU477" s="44"/>
    </row>
    <row r="478" spans="1:47" x14ac:dyDescent="0.45">
      <c r="A478" s="3"/>
      <c r="B478" s="13"/>
      <c r="H478" s="23"/>
      <c r="I478" s="23"/>
      <c r="J478" s="23"/>
      <c r="K478" s="23"/>
      <c r="L478" s="23"/>
      <c r="M478" s="23"/>
      <c r="N478" s="26"/>
      <c r="O478" s="26"/>
      <c r="P478" s="26"/>
      <c r="Q478" s="26"/>
      <c r="R478" s="26"/>
      <c r="S478" s="26"/>
      <c r="T478" s="27"/>
      <c r="U478" s="27"/>
      <c r="V478" s="27"/>
      <c r="W478" s="27"/>
      <c r="X478" s="27"/>
      <c r="Y478" s="27"/>
      <c r="Z478" s="28"/>
      <c r="AA478" s="28"/>
      <c r="AB478" s="28"/>
      <c r="AC478" s="28"/>
      <c r="AD478" s="28"/>
      <c r="AE478" s="28"/>
      <c r="AJ478" s="44"/>
      <c r="AK478" s="44"/>
      <c r="AL478" s="44"/>
      <c r="AM478" s="44"/>
      <c r="AN478" s="44"/>
      <c r="AO478" s="44"/>
      <c r="AP478" s="44"/>
      <c r="AQ478" s="44"/>
      <c r="AR478" s="44"/>
      <c r="AS478" s="44"/>
      <c r="AT478" s="44"/>
      <c r="AU478" s="44"/>
    </row>
    <row r="479" spans="1:47" x14ac:dyDescent="0.45">
      <c r="A479" s="3"/>
      <c r="B479" s="13"/>
      <c r="H479" s="23"/>
      <c r="I479" s="23"/>
      <c r="J479" s="23"/>
      <c r="K479" s="23"/>
      <c r="L479" s="23"/>
      <c r="M479" s="23"/>
      <c r="N479" s="26"/>
      <c r="O479" s="26"/>
      <c r="P479" s="26"/>
      <c r="Q479" s="26"/>
      <c r="R479" s="26"/>
      <c r="S479" s="26"/>
      <c r="T479" s="27"/>
      <c r="U479" s="27"/>
      <c r="V479" s="27"/>
      <c r="W479" s="27"/>
      <c r="X479" s="27"/>
      <c r="Y479" s="27"/>
      <c r="Z479" s="28"/>
      <c r="AA479" s="28"/>
      <c r="AB479" s="28"/>
      <c r="AC479" s="28"/>
      <c r="AD479" s="28"/>
      <c r="AE479" s="28"/>
      <c r="AJ479" s="44"/>
      <c r="AK479" s="44"/>
      <c r="AL479" s="44"/>
      <c r="AM479" s="44"/>
      <c r="AN479" s="44"/>
      <c r="AO479" s="44"/>
      <c r="AP479" s="44"/>
      <c r="AQ479" s="44"/>
      <c r="AR479" s="44"/>
      <c r="AS479" s="44"/>
      <c r="AT479" s="44"/>
      <c r="AU479" s="44"/>
    </row>
    <row r="480" spans="1:47" x14ac:dyDescent="0.45">
      <c r="A480" s="3"/>
      <c r="B480" s="13"/>
      <c r="H480" s="23"/>
      <c r="I480" s="23"/>
      <c r="J480" s="23"/>
      <c r="K480" s="23"/>
      <c r="L480" s="23"/>
      <c r="M480" s="23"/>
      <c r="N480" s="26"/>
      <c r="O480" s="26"/>
      <c r="P480" s="26"/>
      <c r="Q480" s="26"/>
      <c r="R480" s="26"/>
      <c r="S480" s="26"/>
      <c r="T480" s="27"/>
      <c r="U480" s="27"/>
      <c r="V480" s="27"/>
      <c r="W480" s="27"/>
      <c r="X480" s="27"/>
      <c r="Y480" s="27"/>
      <c r="Z480" s="28"/>
      <c r="AA480" s="28"/>
      <c r="AB480" s="28"/>
      <c r="AC480" s="28"/>
      <c r="AD480" s="28"/>
      <c r="AE480" s="28"/>
      <c r="AJ480" s="44"/>
      <c r="AK480" s="44"/>
      <c r="AL480" s="44"/>
      <c r="AM480" s="44"/>
      <c r="AN480" s="44"/>
      <c r="AO480" s="44"/>
      <c r="AP480" s="44"/>
      <c r="AQ480" s="44"/>
      <c r="AR480" s="44"/>
      <c r="AS480" s="44"/>
      <c r="AT480" s="44"/>
      <c r="AU480" s="44"/>
    </row>
    <row r="481" spans="1:47" x14ac:dyDescent="0.45">
      <c r="A481" s="3"/>
      <c r="B481" s="13"/>
      <c r="H481" s="23"/>
      <c r="I481" s="23"/>
      <c r="J481" s="23"/>
      <c r="K481" s="23"/>
      <c r="L481" s="23"/>
      <c r="M481" s="23"/>
      <c r="N481" s="26"/>
      <c r="O481" s="26"/>
      <c r="P481" s="26"/>
      <c r="Q481" s="26"/>
      <c r="R481" s="26"/>
      <c r="S481" s="26"/>
      <c r="T481" s="27"/>
      <c r="U481" s="27"/>
      <c r="V481" s="27"/>
      <c r="W481" s="27"/>
      <c r="X481" s="27"/>
      <c r="Y481" s="27"/>
      <c r="Z481" s="28"/>
      <c r="AA481" s="28"/>
      <c r="AB481" s="28"/>
      <c r="AC481" s="28"/>
      <c r="AD481" s="28"/>
      <c r="AE481" s="28"/>
      <c r="AJ481" s="44"/>
      <c r="AK481" s="44"/>
      <c r="AL481" s="44"/>
      <c r="AM481" s="44"/>
      <c r="AN481" s="44"/>
      <c r="AO481" s="44"/>
      <c r="AP481" s="44"/>
      <c r="AQ481" s="44"/>
      <c r="AR481" s="44"/>
      <c r="AS481" s="44"/>
      <c r="AT481" s="44"/>
      <c r="AU481" s="44"/>
    </row>
    <row r="482" spans="1:47" x14ac:dyDescent="0.45">
      <c r="A482" s="3"/>
      <c r="B482" s="13"/>
      <c r="H482" s="23"/>
      <c r="I482" s="23"/>
      <c r="J482" s="23"/>
      <c r="K482" s="23"/>
      <c r="L482" s="23"/>
      <c r="M482" s="23"/>
      <c r="N482" s="26"/>
      <c r="O482" s="26"/>
      <c r="P482" s="26"/>
      <c r="Q482" s="26"/>
      <c r="R482" s="26"/>
      <c r="S482" s="26"/>
      <c r="T482" s="27"/>
      <c r="U482" s="27"/>
      <c r="V482" s="27"/>
      <c r="W482" s="27"/>
      <c r="X482" s="27"/>
      <c r="Y482" s="27"/>
      <c r="Z482" s="28"/>
      <c r="AA482" s="28"/>
      <c r="AB482" s="28"/>
      <c r="AC482" s="28"/>
      <c r="AD482" s="28"/>
      <c r="AE482" s="28"/>
      <c r="AJ482" s="44"/>
      <c r="AK482" s="44"/>
      <c r="AL482" s="44"/>
      <c r="AM482" s="44"/>
      <c r="AN482" s="44"/>
      <c r="AO482" s="44"/>
      <c r="AP482" s="44"/>
      <c r="AQ482" s="44"/>
      <c r="AR482" s="44"/>
      <c r="AS482" s="44"/>
      <c r="AT482" s="44"/>
      <c r="AU482" s="44"/>
    </row>
    <row r="483" spans="1:47" x14ac:dyDescent="0.45">
      <c r="A483" s="3"/>
      <c r="B483" s="13"/>
      <c r="H483" s="23"/>
      <c r="I483" s="23"/>
      <c r="J483" s="23"/>
      <c r="K483" s="23"/>
      <c r="L483" s="23"/>
      <c r="M483" s="23"/>
      <c r="N483" s="26"/>
      <c r="O483" s="26"/>
      <c r="P483" s="26"/>
      <c r="Q483" s="26"/>
      <c r="R483" s="26"/>
      <c r="S483" s="26"/>
      <c r="T483" s="27"/>
      <c r="U483" s="27"/>
      <c r="V483" s="27"/>
      <c r="W483" s="27"/>
      <c r="X483" s="27"/>
      <c r="Y483" s="27"/>
      <c r="Z483" s="28"/>
      <c r="AA483" s="28"/>
      <c r="AB483" s="28"/>
      <c r="AC483" s="28"/>
      <c r="AD483" s="28"/>
      <c r="AE483" s="28"/>
      <c r="AJ483" s="44"/>
      <c r="AK483" s="44"/>
      <c r="AL483" s="44"/>
      <c r="AM483" s="44"/>
      <c r="AN483" s="44"/>
      <c r="AO483" s="44"/>
      <c r="AP483" s="44"/>
      <c r="AQ483" s="44"/>
      <c r="AR483" s="44"/>
      <c r="AS483" s="44"/>
      <c r="AT483" s="44"/>
      <c r="AU483" s="44"/>
    </row>
    <row r="484" spans="1:47" x14ac:dyDescent="0.45">
      <c r="A484" s="3"/>
      <c r="B484" s="13"/>
      <c r="H484" s="23"/>
      <c r="I484" s="23"/>
      <c r="J484" s="23"/>
      <c r="K484" s="23"/>
      <c r="L484" s="23"/>
      <c r="M484" s="23"/>
      <c r="N484" s="26"/>
      <c r="O484" s="26"/>
      <c r="P484" s="26"/>
      <c r="Q484" s="26"/>
      <c r="R484" s="26"/>
      <c r="S484" s="26"/>
      <c r="T484" s="27"/>
      <c r="U484" s="27"/>
      <c r="V484" s="27"/>
      <c r="W484" s="27"/>
      <c r="X484" s="27"/>
      <c r="Y484" s="27"/>
      <c r="Z484" s="28"/>
      <c r="AA484" s="28"/>
      <c r="AB484" s="28"/>
      <c r="AC484" s="28"/>
      <c r="AD484" s="28"/>
      <c r="AE484" s="28"/>
      <c r="AJ484" s="44"/>
      <c r="AK484" s="44"/>
      <c r="AL484" s="44"/>
      <c r="AM484" s="44"/>
      <c r="AN484" s="44"/>
      <c r="AO484" s="44"/>
      <c r="AP484" s="44"/>
      <c r="AQ484" s="44"/>
      <c r="AR484" s="44"/>
      <c r="AS484" s="44"/>
      <c r="AT484" s="44"/>
      <c r="AU484" s="44"/>
    </row>
    <row r="485" spans="1:47" x14ac:dyDescent="0.45">
      <c r="A485" s="3"/>
      <c r="B485" s="13"/>
      <c r="H485" s="23"/>
      <c r="I485" s="23"/>
      <c r="J485" s="23"/>
      <c r="K485" s="23"/>
      <c r="L485" s="23"/>
      <c r="M485" s="23"/>
      <c r="N485" s="26"/>
      <c r="O485" s="26"/>
      <c r="P485" s="26"/>
      <c r="Q485" s="26"/>
      <c r="R485" s="26"/>
      <c r="S485" s="26"/>
      <c r="T485" s="27"/>
      <c r="U485" s="27"/>
      <c r="V485" s="27"/>
      <c r="W485" s="27"/>
      <c r="X485" s="27"/>
      <c r="Y485" s="27"/>
      <c r="Z485" s="28"/>
      <c r="AA485" s="28"/>
      <c r="AB485" s="28"/>
      <c r="AC485" s="28"/>
      <c r="AD485" s="28"/>
      <c r="AE485" s="28"/>
      <c r="AJ485" s="44"/>
      <c r="AK485" s="44"/>
      <c r="AL485" s="44"/>
      <c r="AM485" s="44"/>
      <c r="AN485" s="44"/>
      <c r="AO485" s="44"/>
      <c r="AP485" s="44"/>
      <c r="AQ485" s="44"/>
      <c r="AR485" s="44"/>
      <c r="AS485" s="44"/>
      <c r="AT485" s="44"/>
      <c r="AU485" s="44"/>
    </row>
    <row r="486" spans="1:47" x14ac:dyDescent="0.45">
      <c r="A486" s="3"/>
      <c r="B486" s="13"/>
      <c r="H486" s="23"/>
      <c r="I486" s="23"/>
      <c r="J486" s="23"/>
      <c r="K486" s="23"/>
      <c r="L486" s="23"/>
      <c r="M486" s="23"/>
      <c r="N486" s="26"/>
      <c r="O486" s="26"/>
      <c r="P486" s="26"/>
      <c r="Q486" s="26"/>
      <c r="R486" s="26"/>
      <c r="S486" s="26"/>
      <c r="T486" s="27"/>
      <c r="U486" s="27"/>
      <c r="V486" s="27"/>
      <c r="W486" s="27"/>
      <c r="X486" s="27"/>
      <c r="Y486" s="27"/>
      <c r="Z486" s="28"/>
      <c r="AA486" s="28"/>
      <c r="AB486" s="28"/>
      <c r="AC486" s="28"/>
      <c r="AD486" s="28"/>
      <c r="AE486" s="28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</row>
    <row r="487" spans="1:47" x14ac:dyDescent="0.45">
      <c r="A487" s="3"/>
      <c r="B487" s="13"/>
      <c r="H487" s="23"/>
      <c r="I487" s="23"/>
      <c r="J487" s="23"/>
      <c r="K487" s="23"/>
      <c r="L487" s="23"/>
      <c r="M487" s="23"/>
      <c r="N487" s="26"/>
      <c r="O487" s="26"/>
      <c r="P487" s="26"/>
      <c r="Q487" s="26"/>
      <c r="R487" s="26"/>
      <c r="S487" s="26"/>
      <c r="T487" s="27"/>
      <c r="U487" s="27"/>
      <c r="V487" s="27"/>
      <c r="W487" s="27"/>
      <c r="X487" s="27"/>
      <c r="Y487" s="27"/>
      <c r="Z487" s="28"/>
      <c r="AA487" s="28"/>
      <c r="AB487" s="28"/>
      <c r="AC487" s="28"/>
      <c r="AD487" s="28"/>
      <c r="AE487" s="28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</row>
    <row r="488" spans="1:47" x14ac:dyDescent="0.45">
      <c r="A488" s="3"/>
      <c r="B488" s="13"/>
      <c r="H488" s="23"/>
      <c r="I488" s="23"/>
      <c r="J488" s="23"/>
      <c r="K488" s="23"/>
      <c r="L488" s="23"/>
      <c r="M488" s="23"/>
      <c r="N488" s="26"/>
      <c r="O488" s="26"/>
      <c r="P488" s="26"/>
      <c r="Q488" s="26"/>
      <c r="R488" s="26"/>
      <c r="S488" s="26"/>
      <c r="T488" s="27"/>
      <c r="U488" s="27"/>
      <c r="V488" s="27"/>
      <c r="W488" s="27"/>
      <c r="X488" s="27"/>
      <c r="Y488" s="27"/>
      <c r="Z488" s="28"/>
      <c r="AA488" s="28"/>
      <c r="AB488" s="28"/>
      <c r="AC488" s="28"/>
      <c r="AD488" s="28"/>
      <c r="AE488" s="28"/>
      <c r="AJ488" s="44"/>
      <c r="AK488" s="44"/>
      <c r="AL488" s="44"/>
      <c r="AM488" s="44"/>
      <c r="AN488" s="44"/>
      <c r="AO488" s="44"/>
      <c r="AP488" s="44"/>
      <c r="AQ488" s="44"/>
      <c r="AR488" s="44"/>
      <c r="AS488" s="44"/>
      <c r="AT488" s="44"/>
      <c r="AU488" s="44"/>
    </row>
    <row r="489" spans="1:47" x14ac:dyDescent="0.45">
      <c r="A489" s="3"/>
      <c r="B489" s="13"/>
      <c r="H489" s="23"/>
      <c r="I489" s="23"/>
      <c r="J489" s="23"/>
      <c r="K489" s="23"/>
      <c r="L489" s="23"/>
      <c r="M489" s="23"/>
      <c r="N489" s="26"/>
      <c r="O489" s="26"/>
      <c r="P489" s="26"/>
      <c r="Q489" s="26"/>
      <c r="R489" s="26"/>
      <c r="S489" s="26"/>
      <c r="T489" s="27"/>
      <c r="U489" s="27"/>
      <c r="V489" s="27"/>
      <c r="W489" s="27"/>
      <c r="X489" s="27"/>
      <c r="Y489" s="27"/>
      <c r="Z489" s="28"/>
      <c r="AA489" s="28"/>
      <c r="AB489" s="28"/>
      <c r="AC489" s="28"/>
      <c r="AD489" s="28"/>
      <c r="AE489" s="28"/>
      <c r="AJ489" s="44"/>
      <c r="AK489" s="44"/>
      <c r="AL489" s="44"/>
      <c r="AM489" s="44"/>
      <c r="AN489" s="44"/>
      <c r="AO489" s="44"/>
      <c r="AP489" s="44"/>
      <c r="AQ489" s="44"/>
      <c r="AR489" s="44"/>
      <c r="AS489" s="44"/>
      <c r="AT489" s="44"/>
      <c r="AU489" s="44"/>
    </row>
    <row r="490" spans="1:47" x14ac:dyDescent="0.45">
      <c r="A490" s="3"/>
      <c r="B490" s="13"/>
      <c r="H490" s="23"/>
      <c r="I490" s="23"/>
      <c r="J490" s="23"/>
      <c r="K490" s="23"/>
      <c r="L490" s="23"/>
      <c r="M490" s="23"/>
      <c r="N490" s="26"/>
      <c r="O490" s="26"/>
      <c r="P490" s="26"/>
      <c r="Q490" s="26"/>
      <c r="R490" s="26"/>
      <c r="S490" s="26"/>
      <c r="T490" s="27"/>
      <c r="U490" s="27"/>
      <c r="V490" s="27"/>
      <c r="W490" s="27"/>
      <c r="X490" s="27"/>
      <c r="Y490" s="27"/>
      <c r="Z490" s="28"/>
      <c r="AA490" s="28"/>
      <c r="AB490" s="28"/>
      <c r="AC490" s="28"/>
      <c r="AD490" s="28"/>
      <c r="AE490" s="28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</row>
    <row r="491" spans="1:47" x14ac:dyDescent="0.45">
      <c r="A491" s="3"/>
      <c r="B491" s="13"/>
      <c r="H491" s="23"/>
      <c r="I491" s="23"/>
      <c r="J491" s="23"/>
      <c r="K491" s="23"/>
      <c r="L491" s="23"/>
      <c r="M491" s="23"/>
      <c r="N491" s="26"/>
      <c r="O491" s="26"/>
      <c r="P491" s="26"/>
      <c r="Q491" s="26"/>
      <c r="R491" s="26"/>
      <c r="S491" s="26"/>
      <c r="T491" s="27"/>
      <c r="U491" s="27"/>
      <c r="V491" s="27"/>
      <c r="W491" s="27"/>
      <c r="X491" s="27"/>
      <c r="Y491" s="27"/>
      <c r="Z491" s="28"/>
      <c r="AA491" s="28"/>
      <c r="AB491" s="28"/>
      <c r="AC491" s="28"/>
      <c r="AD491" s="28"/>
      <c r="AE491" s="28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</row>
    <row r="492" spans="1:47" x14ac:dyDescent="0.45">
      <c r="A492" s="3"/>
      <c r="B492" s="13"/>
      <c r="H492" s="23"/>
      <c r="I492" s="23"/>
      <c r="J492" s="23"/>
      <c r="K492" s="23"/>
      <c r="L492" s="23"/>
      <c r="M492" s="23"/>
      <c r="N492" s="26"/>
      <c r="O492" s="26"/>
      <c r="P492" s="26"/>
      <c r="Q492" s="26"/>
      <c r="R492" s="26"/>
      <c r="S492" s="26"/>
      <c r="T492" s="27"/>
      <c r="U492" s="27"/>
      <c r="V492" s="27"/>
      <c r="W492" s="27"/>
      <c r="X492" s="27"/>
      <c r="Y492" s="27"/>
      <c r="Z492" s="28"/>
      <c r="AA492" s="28"/>
      <c r="AB492" s="28"/>
      <c r="AC492" s="28"/>
      <c r="AD492" s="28"/>
      <c r="AE492" s="28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</row>
    <row r="493" spans="1:47" x14ac:dyDescent="0.45">
      <c r="A493" s="3"/>
      <c r="B493" s="13"/>
      <c r="H493" s="23"/>
      <c r="I493" s="23"/>
      <c r="J493" s="23"/>
      <c r="K493" s="23"/>
      <c r="L493" s="23"/>
      <c r="M493" s="23"/>
      <c r="N493" s="26"/>
      <c r="O493" s="26"/>
      <c r="P493" s="26"/>
      <c r="Q493" s="26"/>
      <c r="R493" s="26"/>
      <c r="S493" s="26"/>
      <c r="T493" s="27"/>
      <c r="U493" s="27"/>
      <c r="V493" s="27"/>
      <c r="W493" s="27"/>
      <c r="X493" s="27"/>
      <c r="Y493" s="27"/>
      <c r="Z493" s="28"/>
      <c r="AA493" s="28"/>
      <c r="AB493" s="28"/>
      <c r="AC493" s="28"/>
      <c r="AD493" s="28"/>
      <c r="AE493" s="28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</row>
    <row r="494" spans="1:47" x14ac:dyDescent="0.45">
      <c r="A494" s="3"/>
      <c r="B494" s="13"/>
      <c r="H494" s="23"/>
      <c r="I494" s="23"/>
      <c r="J494" s="23"/>
      <c r="K494" s="23"/>
      <c r="L494" s="23"/>
      <c r="M494" s="23"/>
      <c r="N494" s="26"/>
      <c r="O494" s="26"/>
      <c r="P494" s="26"/>
      <c r="Q494" s="26"/>
      <c r="R494" s="26"/>
      <c r="S494" s="26"/>
      <c r="T494" s="27"/>
      <c r="U494" s="27"/>
      <c r="V494" s="27"/>
      <c r="W494" s="27"/>
      <c r="X494" s="27"/>
      <c r="Y494" s="27"/>
      <c r="Z494" s="28"/>
      <c r="AA494" s="28"/>
      <c r="AB494" s="28"/>
      <c r="AC494" s="28"/>
      <c r="AD494" s="28"/>
      <c r="AE494" s="28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</row>
    <row r="495" spans="1:47" x14ac:dyDescent="0.45">
      <c r="A495" s="3"/>
      <c r="B495" s="13"/>
      <c r="H495" s="23"/>
      <c r="I495" s="23"/>
      <c r="J495" s="23"/>
      <c r="K495" s="23"/>
      <c r="L495" s="23"/>
      <c r="M495" s="23"/>
      <c r="N495" s="26"/>
      <c r="O495" s="26"/>
      <c r="P495" s="26"/>
      <c r="Q495" s="26"/>
      <c r="R495" s="26"/>
      <c r="S495" s="26"/>
      <c r="T495" s="27"/>
      <c r="U495" s="27"/>
      <c r="V495" s="27"/>
      <c r="W495" s="27"/>
      <c r="X495" s="27"/>
      <c r="Y495" s="27"/>
      <c r="Z495" s="28"/>
      <c r="AA495" s="28"/>
      <c r="AB495" s="28"/>
      <c r="AC495" s="28"/>
      <c r="AD495" s="28"/>
      <c r="AE495" s="28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</row>
    <row r="496" spans="1:47" x14ac:dyDescent="0.45">
      <c r="A496" s="3"/>
      <c r="B496" s="13"/>
      <c r="H496" s="23"/>
      <c r="I496" s="23"/>
      <c r="J496" s="23"/>
      <c r="K496" s="23"/>
      <c r="L496" s="23"/>
      <c r="M496" s="23"/>
      <c r="N496" s="26"/>
      <c r="O496" s="26"/>
      <c r="P496" s="26"/>
      <c r="Q496" s="26"/>
      <c r="R496" s="26"/>
      <c r="S496" s="26"/>
      <c r="T496" s="27"/>
      <c r="U496" s="27"/>
      <c r="V496" s="27"/>
      <c r="W496" s="27"/>
      <c r="X496" s="27"/>
      <c r="Y496" s="27"/>
      <c r="Z496" s="28"/>
      <c r="AA496" s="28"/>
      <c r="AB496" s="28"/>
      <c r="AC496" s="28"/>
      <c r="AD496" s="28"/>
      <c r="AE496" s="28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</row>
    <row r="497" spans="1:47" x14ac:dyDescent="0.45">
      <c r="A497" s="3"/>
      <c r="B497" s="13"/>
      <c r="H497" s="23"/>
      <c r="I497" s="23"/>
      <c r="J497" s="23"/>
      <c r="K497" s="23"/>
      <c r="L497" s="23"/>
      <c r="M497" s="23"/>
      <c r="N497" s="26"/>
      <c r="O497" s="26"/>
      <c r="P497" s="26"/>
      <c r="Q497" s="26"/>
      <c r="R497" s="26"/>
      <c r="S497" s="26"/>
      <c r="T497" s="27"/>
      <c r="U497" s="27"/>
      <c r="V497" s="27"/>
      <c r="W497" s="27"/>
      <c r="X497" s="27"/>
      <c r="Y497" s="27"/>
      <c r="Z497" s="28"/>
      <c r="AA497" s="28"/>
      <c r="AB497" s="28"/>
      <c r="AC497" s="28"/>
      <c r="AD497" s="28"/>
      <c r="AE497" s="28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</row>
    <row r="498" spans="1:47" x14ac:dyDescent="0.45">
      <c r="A498" s="3"/>
      <c r="B498" s="13"/>
      <c r="H498" s="23"/>
      <c r="I498" s="23"/>
      <c r="J498" s="23"/>
      <c r="K498" s="23"/>
      <c r="L498" s="23"/>
      <c r="M498" s="23"/>
      <c r="N498" s="26"/>
      <c r="O498" s="26"/>
      <c r="P498" s="26"/>
      <c r="Q498" s="26"/>
      <c r="R498" s="26"/>
      <c r="S498" s="26"/>
      <c r="T498" s="27"/>
      <c r="U498" s="27"/>
      <c r="V498" s="27"/>
      <c r="W498" s="27"/>
      <c r="X498" s="27"/>
      <c r="Y498" s="27"/>
      <c r="Z498" s="28"/>
      <c r="AA498" s="28"/>
      <c r="AB498" s="28"/>
      <c r="AC498" s="28"/>
      <c r="AD498" s="28"/>
      <c r="AE498" s="28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</row>
    <row r="499" spans="1:47" x14ac:dyDescent="0.45">
      <c r="A499" s="3"/>
      <c r="B499" s="13"/>
      <c r="H499" s="23"/>
      <c r="I499" s="23"/>
      <c r="J499" s="23"/>
      <c r="K499" s="23"/>
      <c r="L499" s="23"/>
      <c r="M499" s="23"/>
      <c r="N499" s="26"/>
      <c r="O499" s="26"/>
      <c r="P499" s="26"/>
      <c r="Q499" s="26"/>
      <c r="R499" s="26"/>
      <c r="S499" s="26"/>
      <c r="T499" s="27"/>
      <c r="U499" s="27"/>
      <c r="V499" s="27"/>
      <c r="W499" s="27"/>
      <c r="X499" s="27"/>
      <c r="Y499" s="27"/>
      <c r="Z499" s="28"/>
      <c r="AA499" s="28"/>
      <c r="AB499" s="28"/>
      <c r="AC499" s="28"/>
      <c r="AD499" s="28"/>
      <c r="AE499" s="28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</row>
    <row r="500" spans="1:47" x14ac:dyDescent="0.45">
      <c r="A500" s="3"/>
      <c r="B500" s="13"/>
      <c r="H500" s="23"/>
      <c r="I500" s="23"/>
      <c r="J500" s="23"/>
      <c r="K500" s="23"/>
      <c r="L500" s="23"/>
      <c r="M500" s="23"/>
      <c r="N500" s="26"/>
      <c r="O500" s="26"/>
      <c r="P500" s="26"/>
      <c r="Q500" s="26"/>
      <c r="R500" s="26"/>
      <c r="S500" s="26"/>
      <c r="T500" s="27"/>
      <c r="U500" s="27"/>
      <c r="V500" s="27"/>
      <c r="W500" s="27"/>
      <c r="X500" s="27"/>
      <c r="Y500" s="27"/>
      <c r="Z500" s="28"/>
      <c r="AA500" s="28"/>
      <c r="AB500" s="28"/>
      <c r="AC500" s="28"/>
      <c r="AD500" s="28"/>
      <c r="AE500" s="28"/>
      <c r="AJ500" s="44"/>
      <c r="AK500" s="44"/>
      <c r="AL500" s="44"/>
      <c r="AM500" s="44"/>
      <c r="AN500" s="44"/>
      <c r="AO500" s="44"/>
      <c r="AP500" s="44"/>
      <c r="AQ500" s="44"/>
      <c r="AR500" s="44"/>
      <c r="AS500" s="44"/>
      <c r="AT500" s="44"/>
      <c r="AU500" s="44"/>
    </row>
    <row r="501" spans="1:47" x14ac:dyDescent="0.45">
      <c r="A501" s="3"/>
      <c r="B501" s="13"/>
      <c r="H501" s="23"/>
      <c r="I501" s="23"/>
      <c r="J501" s="23"/>
      <c r="K501" s="23"/>
      <c r="L501" s="23"/>
      <c r="M501" s="23"/>
      <c r="N501" s="26"/>
      <c r="O501" s="26"/>
      <c r="P501" s="26"/>
      <c r="Q501" s="26"/>
      <c r="R501" s="26"/>
      <c r="S501" s="26"/>
      <c r="T501" s="27"/>
      <c r="U501" s="27"/>
      <c r="V501" s="27"/>
      <c r="W501" s="27"/>
      <c r="X501" s="27"/>
      <c r="Y501" s="27"/>
      <c r="Z501" s="28"/>
      <c r="AA501" s="28"/>
      <c r="AB501" s="28"/>
      <c r="AC501" s="28"/>
      <c r="AD501" s="28"/>
      <c r="AE501" s="28"/>
      <c r="AJ501" s="44"/>
      <c r="AK501" s="44"/>
      <c r="AL501" s="44"/>
      <c r="AM501" s="44"/>
      <c r="AN501" s="44"/>
      <c r="AO501" s="44"/>
      <c r="AP501" s="44"/>
      <c r="AQ501" s="44"/>
      <c r="AR501" s="44"/>
      <c r="AS501" s="44"/>
      <c r="AT501" s="44"/>
      <c r="AU501" s="44"/>
    </row>
    <row r="502" spans="1:47" x14ac:dyDescent="0.45">
      <c r="A502" s="3"/>
      <c r="B502" s="13"/>
      <c r="H502" s="23"/>
      <c r="I502" s="23"/>
      <c r="J502" s="23"/>
      <c r="K502" s="23"/>
      <c r="L502" s="23"/>
      <c r="M502" s="23"/>
      <c r="N502" s="26"/>
      <c r="O502" s="26"/>
      <c r="P502" s="26"/>
      <c r="Q502" s="26"/>
      <c r="R502" s="26"/>
      <c r="S502" s="26"/>
      <c r="T502" s="27"/>
      <c r="U502" s="27"/>
      <c r="V502" s="27"/>
      <c r="W502" s="27"/>
      <c r="X502" s="27"/>
      <c r="Y502" s="27"/>
      <c r="Z502" s="28"/>
      <c r="AA502" s="28"/>
      <c r="AB502" s="28"/>
      <c r="AC502" s="28"/>
      <c r="AD502" s="28"/>
      <c r="AE502" s="28"/>
      <c r="AJ502" s="44"/>
      <c r="AK502" s="44"/>
      <c r="AL502" s="44"/>
      <c r="AM502" s="44"/>
      <c r="AN502" s="44"/>
      <c r="AO502" s="44"/>
      <c r="AP502" s="44"/>
      <c r="AQ502" s="44"/>
      <c r="AR502" s="44"/>
      <c r="AS502" s="44"/>
      <c r="AT502" s="44"/>
      <c r="AU502" s="44"/>
    </row>
    <row r="503" spans="1:47" x14ac:dyDescent="0.45">
      <c r="A503" s="3"/>
      <c r="B503" s="13"/>
      <c r="H503" s="23"/>
      <c r="I503" s="23"/>
      <c r="J503" s="23"/>
      <c r="K503" s="23"/>
      <c r="L503" s="23"/>
      <c r="M503" s="23"/>
      <c r="N503" s="26"/>
      <c r="O503" s="26"/>
      <c r="P503" s="26"/>
      <c r="Q503" s="26"/>
      <c r="R503" s="26"/>
      <c r="S503" s="26"/>
      <c r="T503" s="27"/>
      <c r="U503" s="27"/>
      <c r="V503" s="27"/>
      <c r="W503" s="27"/>
      <c r="X503" s="27"/>
      <c r="Y503" s="27"/>
      <c r="Z503" s="28"/>
      <c r="AA503" s="28"/>
      <c r="AB503" s="28"/>
      <c r="AC503" s="28"/>
      <c r="AD503" s="28"/>
      <c r="AE503" s="28"/>
      <c r="AJ503" s="44"/>
      <c r="AK503" s="44"/>
      <c r="AL503" s="44"/>
      <c r="AM503" s="44"/>
      <c r="AN503" s="44"/>
      <c r="AO503" s="44"/>
      <c r="AP503" s="44"/>
      <c r="AQ503" s="44"/>
      <c r="AR503" s="44"/>
      <c r="AS503" s="44"/>
      <c r="AT503" s="44"/>
      <c r="AU503" s="44"/>
    </row>
    <row r="504" spans="1:47" x14ac:dyDescent="0.45">
      <c r="A504" s="3"/>
      <c r="B504" s="13"/>
      <c r="H504" s="23"/>
      <c r="I504" s="23"/>
      <c r="J504" s="23"/>
      <c r="K504" s="23"/>
      <c r="L504" s="23"/>
      <c r="M504" s="23"/>
      <c r="N504" s="26"/>
      <c r="O504" s="26"/>
      <c r="P504" s="26"/>
      <c r="Q504" s="26"/>
      <c r="R504" s="26"/>
      <c r="S504" s="26"/>
      <c r="T504" s="27"/>
      <c r="U504" s="27"/>
      <c r="V504" s="27"/>
      <c r="W504" s="27"/>
      <c r="X504" s="27"/>
      <c r="Y504" s="27"/>
      <c r="Z504" s="28"/>
      <c r="AA504" s="28"/>
      <c r="AB504" s="28"/>
      <c r="AC504" s="28"/>
      <c r="AD504" s="28"/>
      <c r="AE504" s="28"/>
      <c r="AJ504" s="44"/>
      <c r="AK504" s="44"/>
      <c r="AL504" s="44"/>
      <c r="AM504" s="44"/>
      <c r="AN504" s="44"/>
      <c r="AO504" s="44"/>
      <c r="AP504" s="44"/>
      <c r="AQ504" s="44"/>
      <c r="AR504" s="44"/>
      <c r="AS504" s="44"/>
      <c r="AT504" s="44"/>
      <c r="AU504" s="44"/>
    </row>
    <row r="505" spans="1:47" x14ac:dyDescent="0.45">
      <c r="A505" s="3"/>
      <c r="B505" s="13"/>
      <c r="H505" s="23"/>
      <c r="I505" s="23"/>
      <c r="J505" s="23"/>
      <c r="K505" s="23"/>
      <c r="L505" s="23"/>
      <c r="M505" s="23"/>
      <c r="N505" s="26"/>
      <c r="O505" s="26"/>
      <c r="P505" s="26"/>
      <c r="Q505" s="26"/>
      <c r="R505" s="26"/>
      <c r="S505" s="26"/>
      <c r="T505" s="27"/>
      <c r="U505" s="27"/>
      <c r="V505" s="27"/>
      <c r="W505" s="27"/>
      <c r="X505" s="27"/>
      <c r="Y505" s="27"/>
      <c r="Z505" s="28"/>
      <c r="AA505" s="28"/>
      <c r="AB505" s="28"/>
      <c r="AC505" s="28"/>
      <c r="AD505" s="28"/>
      <c r="AE505" s="28"/>
      <c r="AJ505" s="44"/>
      <c r="AK505" s="44"/>
      <c r="AL505" s="44"/>
      <c r="AM505" s="44"/>
      <c r="AN505" s="44"/>
      <c r="AO505" s="44"/>
      <c r="AP505" s="44"/>
      <c r="AQ505" s="44"/>
      <c r="AR505" s="44"/>
      <c r="AS505" s="44"/>
      <c r="AT505" s="44"/>
      <c r="AU505" s="44"/>
    </row>
    <row r="506" spans="1:47" x14ac:dyDescent="0.45">
      <c r="A506" s="3"/>
      <c r="B506" s="13"/>
      <c r="H506" s="23"/>
      <c r="I506" s="23"/>
      <c r="J506" s="23"/>
      <c r="K506" s="23"/>
      <c r="L506" s="23"/>
      <c r="M506" s="23"/>
      <c r="N506" s="26"/>
      <c r="O506" s="26"/>
      <c r="P506" s="26"/>
      <c r="Q506" s="26"/>
      <c r="R506" s="26"/>
      <c r="S506" s="26"/>
      <c r="T506" s="27"/>
      <c r="U506" s="27"/>
      <c r="V506" s="27"/>
      <c r="W506" s="27"/>
      <c r="X506" s="27"/>
      <c r="Y506" s="27"/>
      <c r="Z506" s="28"/>
      <c r="AA506" s="28"/>
      <c r="AB506" s="28"/>
      <c r="AC506" s="28"/>
      <c r="AD506" s="28"/>
      <c r="AE506" s="28"/>
      <c r="AJ506" s="44"/>
      <c r="AK506" s="44"/>
      <c r="AL506" s="44"/>
      <c r="AM506" s="44"/>
      <c r="AN506" s="44"/>
      <c r="AO506" s="44"/>
      <c r="AP506" s="44"/>
      <c r="AQ506" s="44"/>
      <c r="AR506" s="44"/>
      <c r="AS506" s="44"/>
      <c r="AT506" s="44"/>
      <c r="AU506" s="44"/>
    </row>
    <row r="507" spans="1:47" x14ac:dyDescent="0.45">
      <c r="A507" s="3"/>
      <c r="B507" s="13"/>
      <c r="H507" s="23"/>
      <c r="I507" s="23"/>
      <c r="J507" s="23"/>
      <c r="K507" s="23"/>
      <c r="L507" s="23"/>
      <c r="M507" s="23"/>
      <c r="N507" s="26"/>
      <c r="O507" s="26"/>
      <c r="P507" s="26"/>
      <c r="Q507" s="26"/>
      <c r="R507" s="26"/>
      <c r="S507" s="26"/>
      <c r="T507" s="27"/>
      <c r="U507" s="27"/>
      <c r="V507" s="27"/>
      <c r="W507" s="27"/>
      <c r="X507" s="27"/>
      <c r="Y507" s="27"/>
      <c r="Z507" s="28"/>
      <c r="AA507" s="28"/>
      <c r="AB507" s="28"/>
      <c r="AC507" s="28"/>
      <c r="AD507" s="28"/>
      <c r="AE507" s="28"/>
      <c r="AJ507" s="44"/>
      <c r="AK507" s="44"/>
      <c r="AL507" s="44"/>
      <c r="AM507" s="44"/>
      <c r="AN507" s="44"/>
      <c r="AO507" s="44"/>
      <c r="AP507" s="44"/>
      <c r="AQ507" s="44"/>
      <c r="AR507" s="44"/>
      <c r="AS507" s="44"/>
      <c r="AT507" s="44"/>
      <c r="AU507" s="44"/>
    </row>
    <row r="508" spans="1:47" x14ac:dyDescent="0.45">
      <c r="A508" s="3"/>
      <c r="B508" s="13"/>
      <c r="H508" s="23"/>
      <c r="I508" s="23"/>
      <c r="J508" s="23"/>
      <c r="K508" s="23"/>
      <c r="L508" s="23"/>
      <c r="M508" s="23"/>
      <c r="N508" s="26"/>
      <c r="O508" s="26"/>
      <c r="P508" s="26"/>
      <c r="Q508" s="26"/>
      <c r="R508" s="26"/>
      <c r="S508" s="26"/>
      <c r="T508" s="27"/>
      <c r="U508" s="27"/>
      <c r="V508" s="27"/>
      <c r="W508" s="27"/>
      <c r="X508" s="27"/>
      <c r="Y508" s="27"/>
      <c r="Z508" s="28"/>
      <c r="AA508" s="28"/>
      <c r="AB508" s="28"/>
      <c r="AC508" s="28"/>
      <c r="AD508" s="28"/>
      <c r="AE508" s="28"/>
      <c r="AJ508" s="44"/>
      <c r="AK508" s="44"/>
      <c r="AL508" s="44"/>
      <c r="AM508" s="44"/>
      <c r="AN508" s="44"/>
      <c r="AO508" s="44"/>
      <c r="AP508" s="44"/>
      <c r="AQ508" s="44"/>
      <c r="AR508" s="44"/>
      <c r="AS508" s="44"/>
      <c r="AT508" s="44"/>
      <c r="AU508" s="44"/>
    </row>
    <row r="509" spans="1:47" x14ac:dyDescent="0.45">
      <c r="A509" s="3"/>
      <c r="B509" s="13"/>
      <c r="H509" s="23"/>
      <c r="I509" s="23"/>
      <c r="J509" s="23"/>
      <c r="K509" s="23"/>
      <c r="L509" s="23"/>
      <c r="M509" s="23"/>
      <c r="N509" s="26"/>
      <c r="O509" s="26"/>
      <c r="P509" s="26"/>
      <c r="Q509" s="26"/>
      <c r="R509" s="26"/>
      <c r="S509" s="26"/>
      <c r="T509" s="27"/>
      <c r="U509" s="27"/>
      <c r="V509" s="27"/>
      <c r="W509" s="27"/>
      <c r="X509" s="27"/>
      <c r="Y509" s="27"/>
      <c r="Z509" s="28"/>
      <c r="AA509" s="28"/>
      <c r="AB509" s="28"/>
      <c r="AC509" s="28"/>
      <c r="AD509" s="28"/>
      <c r="AE509" s="28"/>
      <c r="AJ509" s="44"/>
      <c r="AK509" s="44"/>
      <c r="AL509" s="44"/>
      <c r="AM509" s="44"/>
      <c r="AN509" s="44"/>
      <c r="AO509" s="44"/>
      <c r="AP509" s="44"/>
      <c r="AQ509" s="44"/>
      <c r="AR509" s="44"/>
      <c r="AS509" s="44"/>
      <c r="AT509" s="44"/>
      <c r="AU509" s="44"/>
    </row>
    <row r="510" spans="1:47" x14ac:dyDescent="0.45">
      <c r="A510" s="3"/>
      <c r="B510" s="13"/>
      <c r="H510" s="23"/>
      <c r="I510" s="23"/>
      <c r="J510" s="23"/>
      <c r="K510" s="23"/>
      <c r="L510" s="23"/>
      <c r="M510" s="23"/>
      <c r="N510" s="26"/>
      <c r="O510" s="26"/>
      <c r="P510" s="26"/>
      <c r="Q510" s="26"/>
      <c r="R510" s="26"/>
      <c r="S510" s="26"/>
      <c r="T510" s="27"/>
      <c r="U510" s="27"/>
      <c r="V510" s="27"/>
      <c r="W510" s="27"/>
      <c r="X510" s="27"/>
      <c r="Y510" s="27"/>
      <c r="Z510" s="28"/>
      <c r="AA510" s="28"/>
      <c r="AB510" s="28"/>
      <c r="AC510" s="28"/>
      <c r="AD510" s="28"/>
      <c r="AE510" s="28"/>
      <c r="AJ510" s="44"/>
      <c r="AK510" s="44"/>
      <c r="AL510" s="44"/>
      <c r="AM510" s="44"/>
      <c r="AN510" s="44"/>
      <c r="AO510" s="44"/>
      <c r="AP510" s="44"/>
      <c r="AQ510" s="44"/>
      <c r="AR510" s="44"/>
      <c r="AS510" s="44"/>
      <c r="AT510" s="44"/>
      <c r="AU510" s="44"/>
    </row>
    <row r="511" spans="1:47" x14ac:dyDescent="0.45">
      <c r="A511" s="3"/>
      <c r="B511" s="13"/>
      <c r="H511" s="23"/>
      <c r="I511" s="23"/>
      <c r="J511" s="23"/>
      <c r="K511" s="23"/>
      <c r="L511" s="23"/>
      <c r="M511" s="23"/>
      <c r="N511" s="26"/>
      <c r="O511" s="26"/>
      <c r="P511" s="26"/>
      <c r="Q511" s="26"/>
      <c r="R511" s="26"/>
      <c r="S511" s="26"/>
      <c r="T511" s="27"/>
      <c r="U511" s="27"/>
      <c r="V511" s="27"/>
      <c r="W511" s="27"/>
      <c r="X511" s="27"/>
      <c r="Y511" s="27"/>
      <c r="Z511" s="28"/>
      <c r="AA511" s="28"/>
      <c r="AB511" s="28"/>
      <c r="AC511" s="28"/>
      <c r="AD511" s="28"/>
      <c r="AE511" s="28"/>
      <c r="AJ511" s="44"/>
      <c r="AK511" s="44"/>
      <c r="AL511" s="44"/>
      <c r="AM511" s="44"/>
      <c r="AN511" s="44"/>
      <c r="AO511" s="44"/>
      <c r="AP511" s="44"/>
      <c r="AQ511" s="44"/>
      <c r="AR511" s="44"/>
      <c r="AS511" s="44"/>
      <c r="AT511" s="44"/>
      <c r="AU511" s="44"/>
    </row>
    <row r="512" spans="1:47" x14ac:dyDescent="0.45">
      <c r="A512" s="3"/>
      <c r="B512" s="13"/>
      <c r="H512" s="23"/>
      <c r="I512" s="23"/>
      <c r="J512" s="23"/>
      <c r="K512" s="23"/>
      <c r="L512" s="23"/>
      <c r="M512" s="23"/>
      <c r="N512" s="26"/>
      <c r="O512" s="26"/>
      <c r="P512" s="26"/>
      <c r="Q512" s="26"/>
      <c r="R512" s="26"/>
      <c r="S512" s="26"/>
      <c r="T512" s="27"/>
      <c r="U512" s="27"/>
      <c r="V512" s="27"/>
      <c r="W512" s="27"/>
      <c r="X512" s="27"/>
      <c r="Y512" s="27"/>
      <c r="Z512" s="28"/>
      <c r="AA512" s="28"/>
      <c r="AB512" s="28"/>
      <c r="AC512" s="28"/>
      <c r="AD512" s="28"/>
      <c r="AE512" s="28"/>
      <c r="AJ512" s="44"/>
      <c r="AK512" s="44"/>
      <c r="AL512" s="44"/>
      <c r="AM512" s="44"/>
      <c r="AN512" s="44"/>
      <c r="AO512" s="44"/>
      <c r="AP512" s="44"/>
      <c r="AQ512" s="44"/>
      <c r="AR512" s="44"/>
      <c r="AS512" s="44"/>
      <c r="AT512" s="44"/>
      <c r="AU512" s="44"/>
    </row>
    <row r="513" spans="1:47" x14ac:dyDescent="0.45">
      <c r="A513" s="3"/>
      <c r="B513" s="13"/>
      <c r="H513" s="23"/>
      <c r="I513" s="23"/>
      <c r="J513" s="23"/>
      <c r="K513" s="23"/>
      <c r="L513" s="23"/>
      <c r="M513" s="23"/>
      <c r="N513" s="26"/>
      <c r="O513" s="26"/>
      <c r="P513" s="26"/>
      <c r="Q513" s="26"/>
      <c r="R513" s="26"/>
      <c r="S513" s="26"/>
      <c r="T513" s="27"/>
      <c r="U513" s="27"/>
      <c r="V513" s="27"/>
      <c r="W513" s="27"/>
      <c r="X513" s="27"/>
      <c r="Y513" s="27"/>
      <c r="Z513" s="28"/>
      <c r="AA513" s="28"/>
      <c r="AB513" s="28"/>
      <c r="AC513" s="28"/>
      <c r="AD513" s="28"/>
      <c r="AE513" s="28"/>
      <c r="AJ513" s="44"/>
      <c r="AK513" s="44"/>
      <c r="AL513" s="44"/>
      <c r="AM513" s="44"/>
      <c r="AN513" s="44"/>
      <c r="AO513" s="44"/>
      <c r="AP513" s="44"/>
      <c r="AQ513" s="44"/>
      <c r="AR513" s="44"/>
      <c r="AS513" s="44"/>
      <c r="AT513" s="44"/>
      <c r="AU513" s="44"/>
    </row>
    <row r="514" spans="1:47" x14ac:dyDescent="0.45">
      <c r="A514" s="3"/>
      <c r="B514" s="13"/>
      <c r="H514" s="23"/>
      <c r="I514" s="23"/>
      <c r="J514" s="23"/>
      <c r="K514" s="23"/>
      <c r="L514" s="23"/>
      <c r="M514" s="23"/>
      <c r="N514" s="26"/>
      <c r="O514" s="26"/>
      <c r="P514" s="26"/>
      <c r="Q514" s="26"/>
      <c r="R514" s="26"/>
      <c r="S514" s="26"/>
      <c r="T514" s="27"/>
      <c r="U514" s="27"/>
      <c r="V514" s="27"/>
      <c r="W514" s="27"/>
      <c r="X514" s="27"/>
      <c r="Y514" s="27"/>
      <c r="Z514" s="28"/>
      <c r="AA514" s="28"/>
      <c r="AB514" s="28"/>
      <c r="AC514" s="28"/>
      <c r="AD514" s="28"/>
      <c r="AE514" s="28"/>
      <c r="AJ514" s="44"/>
      <c r="AK514" s="44"/>
      <c r="AL514" s="44"/>
      <c r="AM514" s="44"/>
      <c r="AN514" s="44"/>
      <c r="AO514" s="44"/>
      <c r="AP514" s="44"/>
      <c r="AQ514" s="44"/>
      <c r="AR514" s="44"/>
      <c r="AS514" s="44"/>
      <c r="AT514" s="44"/>
      <c r="AU514" s="44"/>
    </row>
    <row r="515" spans="1:47" x14ac:dyDescent="0.45">
      <c r="A515" s="3"/>
      <c r="B515" s="13"/>
      <c r="H515" s="23"/>
      <c r="I515" s="23"/>
      <c r="J515" s="23"/>
      <c r="K515" s="23"/>
      <c r="L515" s="23"/>
      <c r="M515" s="23"/>
      <c r="N515" s="26"/>
      <c r="O515" s="26"/>
      <c r="P515" s="26"/>
      <c r="Q515" s="26"/>
      <c r="R515" s="26"/>
      <c r="S515" s="26"/>
      <c r="T515" s="27"/>
      <c r="U515" s="27"/>
      <c r="V515" s="27"/>
      <c r="W515" s="27"/>
      <c r="X515" s="27"/>
      <c r="Y515" s="27"/>
      <c r="Z515" s="28"/>
      <c r="AA515" s="28"/>
      <c r="AB515" s="28"/>
      <c r="AC515" s="28"/>
      <c r="AD515" s="28"/>
      <c r="AE515" s="28"/>
      <c r="AJ515" s="44"/>
      <c r="AK515" s="44"/>
      <c r="AL515" s="44"/>
      <c r="AM515" s="44"/>
      <c r="AN515" s="44"/>
      <c r="AO515" s="44"/>
      <c r="AP515" s="44"/>
      <c r="AQ515" s="44"/>
      <c r="AR515" s="44"/>
      <c r="AS515" s="44"/>
      <c r="AT515" s="44"/>
      <c r="AU515" s="44"/>
    </row>
    <row r="516" spans="1:47" x14ac:dyDescent="0.45">
      <c r="A516" s="3"/>
      <c r="B516" s="13"/>
      <c r="H516" s="23"/>
      <c r="I516" s="23"/>
      <c r="J516" s="23"/>
      <c r="K516" s="23"/>
      <c r="L516" s="23"/>
      <c r="M516" s="23"/>
      <c r="N516" s="26"/>
      <c r="O516" s="26"/>
      <c r="P516" s="26"/>
      <c r="Q516" s="26"/>
      <c r="R516" s="26"/>
      <c r="S516" s="26"/>
      <c r="T516" s="27"/>
      <c r="U516" s="27"/>
      <c r="V516" s="27"/>
      <c r="W516" s="27"/>
      <c r="X516" s="27"/>
      <c r="Y516" s="27"/>
      <c r="Z516" s="28"/>
      <c r="AA516" s="28"/>
      <c r="AB516" s="28"/>
      <c r="AC516" s="28"/>
      <c r="AD516" s="28"/>
      <c r="AE516" s="28"/>
      <c r="AJ516" s="44"/>
      <c r="AK516" s="44"/>
      <c r="AL516" s="44"/>
      <c r="AM516" s="44"/>
      <c r="AN516" s="44"/>
      <c r="AO516" s="44"/>
      <c r="AP516" s="44"/>
      <c r="AQ516" s="44"/>
      <c r="AR516" s="44"/>
      <c r="AS516" s="44"/>
      <c r="AT516" s="44"/>
      <c r="AU516" s="44"/>
    </row>
    <row r="517" spans="1:47" x14ac:dyDescent="0.45">
      <c r="A517" s="3"/>
      <c r="B517" s="13"/>
      <c r="H517" s="23"/>
      <c r="I517" s="23"/>
      <c r="J517" s="23"/>
      <c r="K517" s="23"/>
      <c r="L517" s="23"/>
      <c r="M517" s="23"/>
      <c r="N517" s="26"/>
      <c r="O517" s="26"/>
      <c r="P517" s="26"/>
      <c r="Q517" s="26"/>
      <c r="R517" s="26"/>
      <c r="S517" s="26"/>
      <c r="T517" s="27"/>
      <c r="U517" s="27"/>
      <c r="V517" s="27"/>
      <c r="W517" s="27"/>
      <c r="X517" s="27"/>
      <c r="Y517" s="27"/>
      <c r="Z517" s="28"/>
      <c r="AA517" s="28"/>
      <c r="AB517" s="28"/>
      <c r="AC517" s="28"/>
      <c r="AD517" s="28"/>
      <c r="AE517" s="28"/>
      <c r="AJ517" s="44"/>
      <c r="AK517" s="44"/>
      <c r="AL517" s="44"/>
      <c r="AM517" s="44"/>
      <c r="AN517" s="44"/>
      <c r="AO517" s="44"/>
      <c r="AP517" s="44"/>
      <c r="AQ517" s="44"/>
      <c r="AR517" s="44"/>
      <c r="AS517" s="44"/>
      <c r="AT517" s="44"/>
      <c r="AU517" s="44"/>
    </row>
    <row r="518" spans="1:47" x14ac:dyDescent="0.45">
      <c r="A518" s="3"/>
      <c r="B518" s="13"/>
      <c r="H518" s="23"/>
      <c r="I518" s="23"/>
      <c r="J518" s="23"/>
      <c r="K518" s="23"/>
      <c r="L518" s="23"/>
      <c r="M518" s="23"/>
      <c r="N518" s="26"/>
      <c r="O518" s="26"/>
      <c r="P518" s="26"/>
      <c r="Q518" s="26"/>
      <c r="R518" s="26"/>
      <c r="S518" s="26"/>
      <c r="T518" s="27"/>
      <c r="U518" s="27"/>
      <c r="V518" s="27"/>
      <c r="W518" s="27"/>
      <c r="X518" s="27"/>
      <c r="Y518" s="27"/>
      <c r="Z518" s="28"/>
      <c r="AA518" s="28"/>
      <c r="AB518" s="28"/>
      <c r="AC518" s="28"/>
      <c r="AD518" s="28"/>
      <c r="AE518" s="28"/>
      <c r="AJ518" s="44"/>
      <c r="AK518" s="44"/>
      <c r="AL518" s="44"/>
      <c r="AM518" s="44"/>
      <c r="AN518" s="44"/>
      <c r="AO518" s="44"/>
      <c r="AP518" s="44"/>
      <c r="AQ518" s="44"/>
      <c r="AR518" s="44"/>
      <c r="AS518" s="44"/>
      <c r="AT518" s="44"/>
      <c r="AU518" s="44"/>
    </row>
    <row r="519" spans="1:47" x14ac:dyDescent="0.45">
      <c r="A519" s="3"/>
      <c r="B519" s="13"/>
      <c r="H519" s="23"/>
      <c r="I519" s="23"/>
      <c r="J519" s="23"/>
      <c r="K519" s="23"/>
      <c r="L519" s="23"/>
      <c r="M519" s="23"/>
      <c r="N519" s="26"/>
      <c r="O519" s="26"/>
      <c r="P519" s="26"/>
      <c r="Q519" s="26"/>
      <c r="R519" s="26"/>
      <c r="S519" s="26"/>
      <c r="T519" s="27"/>
      <c r="U519" s="27"/>
      <c r="V519" s="27"/>
      <c r="W519" s="27"/>
      <c r="X519" s="27"/>
      <c r="Y519" s="27"/>
      <c r="Z519" s="28"/>
      <c r="AA519" s="28"/>
      <c r="AB519" s="28"/>
      <c r="AC519" s="28"/>
      <c r="AD519" s="28"/>
      <c r="AE519" s="28"/>
      <c r="AJ519" s="44"/>
      <c r="AK519" s="44"/>
      <c r="AL519" s="44"/>
      <c r="AM519" s="44"/>
      <c r="AN519" s="44"/>
      <c r="AO519" s="44"/>
      <c r="AP519" s="44"/>
      <c r="AQ519" s="44"/>
      <c r="AR519" s="44"/>
      <c r="AS519" s="44"/>
      <c r="AT519" s="44"/>
      <c r="AU519" s="44"/>
    </row>
    <row r="520" spans="1:47" x14ac:dyDescent="0.45">
      <c r="A520" s="3"/>
      <c r="B520" s="13"/>
      <c r="H520" s="23"/>
      <c r="I520" s="23"/>
      <c r="J520" s="23"/>
      <c r="K520" s="23"/>
      <c r="L520" s="23"/>
      <c r="M520" s="23"/>
      <c r="N520" s="26"/>
      <c r="O520" s="26"/>
      <c r="P520" s="26"/>
      <c r="Q520" s="26"/>
      <c r="R520" s="26"/>
      <c r="S520" s="26"/>
      <c r="T520" s="27"/>
      <c r="U520" s="27"/>
      <c r="V520" s="27"/>
      <c r="W520" s="27"/>
      <c r="X520" s="27"/>
      <c r="Y520" s="27"/>
      <c r="Z520" s="28"/>
      <c r="AA520" s="28"/>
      <c r="AB520" s="28"/>
      <c r="AC520" s="28"/>
      <c r="AD520" s="28"/>
      <c r="AE520" s="28"/>
      <c r="AJ520" s="44"/>
      <c r="AK520" s="44"/>
      <c r="AL520" s="44"/>
      <c r="AM520" s="44"/>
      <c r="AN520" s="44"/>
      <c r="AO520" s="44"/>
      <c r="AP520" s="44"/>
      <c r="AQ520" s="44"/>
      <c r="AR520" s="44"/>
      <c r="AS520" s="44"/>
      <c r="AT520" s="44"/>
      <c r="AU520" s="44"/>
    </row>
    <row r="521" spans="1:47" x14ac:dyDescent="0.45">
      <c r="A521" s="3"/>
      <c r="B521" s="13"/>
      <c r="H521" s="23"/>
      <c r="I521" s="23"/>
      <c r="J521" s="23"/>
      <c r="K521" s="23"/>
      <c r="L521" s="23"/>
      <c r="M521" s="23"/>
      <c r="N521" s="26"/>
      <c r="O521" s="26"/>
      <c r="P521" s="26"/>
      <c r="Q521" s="26"/>
      <c r="R521" s="26"/>
      <c r="S521" s="26"/>
      <c r="T521" s="27"/>
      <c r="U521" s="27"/>
      <c r="V521" s="27"/>
      <c r="W521" s="27"/>
      <c r="X521" s="27"/>
      <c r="Y521" s="27"/>
      <c r="Z521" s="28"/>
      <c r="AA521" s="28"/>
      <c r="AB521" s="28"/>
      <c r="AC521" s="28"/>
      <c r="AD521" s="28"/>
      <c r="AE521" s="28"/>
      <c r="AJ521" s="44"/>
      <c r="AK521" s="44"/>
      <c r="AL521" s="44"/>
      <c r="AM521" s="44"/>
      <c r="AN521" s="44"/>
      <c r="AO521" s="44"/>
      <c r="AP521" s="44"/>
      <c r="AQ521" s="44"/>
      <c r="AR521" s="44"/>
      <c r="AS521" s="44"/>
      <c r="AT521" s="44"/>
      <c r="AU521" s="44"/>
    </row>
    <row r="522" spans="1:47" x14ac:dyDescent="0.45">
      <c r="A522" s="3"/>
      <c r="B522" s="13"/>
      <c r="H522" s="23"/>
      <c r="I522" s="23"/>
      <c r="J522" s="23"/>
      <c r="K522" s="23"/>
      <c r="L522" s="23"/>
      <c r="M522" s="23"/>
      <c r="N522" s="26"/>
      <c r="O522" s="26"/>
      <c r="P522" s="26"/>
      <c r="Q522" s="26"/>
      <c r="R522" s="26"/>
      <c r="S522" s="26"/>
      <c r="T522" s="27"/>
      <c r="U522" s="27"/>
      <c r="V522" s="27"/>
      <c r="W522" s="27"/>
      <c r="X522" s="27"/>
      <c r="Y522" s="27"/>
      <c r="Z522" s="28"/>
      <c r="AA522" s="28"/>
      <c r="AB522" s="28"/>
      <c r="AC522" s="28"/>
      <c r="AD522" s="28"/>
      <c r="AE522" s="28"/>
      <c r="AJ522" s="44"/>
      <c r="AK522" s="44"/>
      <c r="AL522" s="44"/>
      <c r="AM522" s="44"/>
      <c r="AN522" s="44"/>
      <c r="AO522" s="44"/>
      <c r="AP522" s="44"/>
      <c r="AQ522" s="44"/>
      <c r="AR522" s="44"/>
      <c r="AS522" s="44"/>
      <c r="AT522" s="44"/>
      <c r="AU522" s="44"/>
    </row>
    <row r="523" spans="1:47" x14ac:dyDescent="0.45">
      <c r="A523" s="3"/>
      <c r="B523" s="13"/>
      <c r="H523" s="23"/>
      <c r="I523" s="23"/>
      <c r="J523" s="23"/>
      <c r="K523" s="23"/>
      <c r="L523" s="23"/>
      <c r="M523" s="23"/>
      <c r="N523" s="26"/>
      <c r="O523" s="26"/>
      <c r="P523" s="26"/>
      <c r="Q523" s="26"/>
      <c r="R523" s="26"/>
      <c r="S523" s="26"/>
      <c r="T523" s="27"/>
      <c r="U523" s="27"/>
      <c r="V523" s="27"/>
      <c r="W523" s="27"/>
      <c r="X523" s="27"/>
      <c r="Y523" s="27"/>
      <c r="Z523" s="28"/>
      <c r="AA523" s="28"/>
      <c r="AB523" s="28"/>
      <c r="AC523" s="28"/>
      <c r="AD523" s="28"/>
      <c r="AE523" s="28"/>
      <c r="AJ523" s="44"/>
      <c r="AK523" s="44"/>
      <c r="AL523" s="44"/>
      <c r="AM523" s="44"/>
      <c r="AN523" s="44"/>
      <c r="AO523" s="44"/>
      <c r="AP523" s="44"/>
      <c r="AQ523" s="44"/>
      <c r="AR523" s="44"/>
      <c r="AS523" s="44"/>
      <c r="AT523" s="44"/>
      <c r="AU523" s="44"/>
    </row>
    <row r="524" spans="1:47" x14ac:dyDescent="0.45">
      <c r="A524" s="3"/>
      <c r="B524" s="13"/>
      <c r="H524" s="23"/>
      <c r="I524" s="23"/>
      <c r="J524" s="23"/>
      <c r="K524" s="23"/>
      <c r="L524" s="23"/>
      <c r="M524" s="23"/>
      <c r="N524" s="26"/>
      <c r="O524" s="26"/>
      <c r="P524" s="26"/>
      <c r="Q524" s="26"/>
      <c r="R524" s="26"/>
      <c r="S524" s="26"/>
      <c r="T524" s="27"/>
      <c r="U524" s="27"/>
      <c r="V524" s="27"/>
      <c r="W524" s="27"/>
      <c r="X524" s="27"/>
      <c r="Y524" s="27"/>
      <c r="Z524" s="28"/>
      <c r="AA524" s="28"/>
      <c r="AB524" s="28"/>
      <c r="AC524" s="28"/>
      <c r="AD524" s="28"/>
      <c r="AE524" s="28"/>
      <c r="AJ524" s="44"/>
      <c r="AK524" s="44"/>
      <c r="AL524" s="44"/>
      <c r="AM524" s="44"/>
      <c r="AN524" s="44"/>
      <c r="AO524" s="44"/>
      <c r="AP524" s="44"/>
      <c r="AQ524" s="44"/>
      <c r="AR524" s="44"/>
      <c r="AS524" s="44"/>
      <c r="AT524" s="44"/>
      <c r="AU524" s="44"/>
    </row>
    <row r="525" spans="1:47" x14ac:dyDescent="0.45">
      <c r="A525" s="3"/>
      <c r="B525" s="13"/>
      <c r="H525" s="23"/>
      <c r="I525" s="23"/>
      <c r="J525" s="23"/>
      <c r="K525" s="23"/>
      <c r="L525" s="23"/>
      <c r="M525" s="23"/>
      <c r="N525" s="26"/>
      <c r="O525" s="26"/>
      <c r="P525" s="26"/>
      <c r="Q525" s="26"/>
      <c r="R525" s="26"/>
      <c r="S525" s="26"/>
      <c r="T525" s="27"/>
      <c r="U525" s="27"/>
      <c r="V525" s="27"/>
      <c r="W525" s="27"/>
      <c r="X525" s="27"/>
      <c r="Y525" s="27"/>
      <c r="Z525" s="28"/>
      <c r="AA525" s="28"/>
      <c r="AB525" s="28"/>
      <c r="AC525" s="28"/>
      <c r="AD525" s="28"/>
      <c r="AE525" s="28"/>
      <c r="AJ525" s="44"/>
      <c r="AK525" s="44"/>
      <c r="AL525" s="44"/>
      <c r="AM525" s="44"/>
      <c r="AN525" s="44"/>
      <c r="AO525" s="44"/>
      <c r="AP525" s="44"/>
      <c r="AQ525" s="44"/>
      <c r="AR525" s="44"/>
      <c r="AS525" s="44"/>
      <c r="AT525" s="44"/>
      <c r="AU525" s="44"/>
    </row>
    <row r="526" spans="1:47" x14ac:dyDescent="0.45">
      <c r="A526" s="3"/>
      <c r="B526" s="13"/>
      <c r="H526" s="23"/>
      <c r="I526" s="23"/>
      <c r="J526" s="23"/>
      <c r="K526" s="23"/>
      <c r="L526" s="23"/>
      <c r="M526" s="23"/>
      <c r="N526" s="26"/>
      <c r="O526" s="26"/>
      <c r="P526" s="26"/>
      <c r="Q526" s="26"/>
      <c r="R526" s="26"/>
      <c r="S526" s="26"/>
      <c r="T526" s="27"/>
      <c r="U526" s="27"/>
      <c r="V526" s="27"/>
      <c r="W526" s="27"/>
      <c r="X526" s="27"/>
      <c r="Y526" s="27"/>
      <c r="Z526" s="28"/>
      <c r="AA526" s="28"/>
      <c r="AB526" s="28"/>
      <c r="AC526" s="28"/>
      <c r="AD526" s="28"/>
      <c r="AE526" s="28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</row>
    <row r="527" spans="1:47" x14ac:dyDescent="0.45">
      <c r="A527" s="3"/>
      <c r="B527" s="13"/>
      <c r="H527" s="23"/>
      <c r="I527" s="23"/>
      <c r="J527" s="23"/>
      <c r="K527" s="23"/>
      <c r="L527" s="23"/>
      <c r="M527" s="23"/>
      <c r="N527" s="26"/>
      <c r="O527" s="26"/>
      <c r="P527" s="26"/>
      <c r="Q527" s="26"/>
      <c r="R527" s="26"/>
      <c r="S527" s="26"/>
      <c r="T527" s="27"/>
      <c r="U527" s="27"/>
      <c r="V527" s="27"/>
      <c r="W527" s="27"/>
      <c r="X527" s="27"/>
      <c r="Y527" s="27"/>
      <c r="Z527" s="28"/>
      <c r="AA527" s="28"/>
      <c r="AB527" s="28"/>
      <c r="AC527" s="28"/>
      <c r="AD527" s="28"/>
      <c r="AE527" s="28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</row>
    <row r="528" spans="1:47" x14ac:dyDescent="0.45">
      <c r="A528" s="3"/>
      <c r="B528" s="13"/>
      <c r="H528" s="23"/>
      <c r="I528" s="23"/>
      <c r="J528" s="23"/>
      <c r="K528" s="23"/>
      <c r="L528" s="23"/>
      <c r="M528" s="23"/>
      <c r="N528" s="26"/>
      <c r="O528" s="26"/>
      <c r="P528" s="26"/>
      <c r="Q528" s="26"/>
      <c r="R528" s="26"/>
      <c r="S528" s="26"/>
      <c r="T528" s="27"/>
      <c r="U528" s="27"/>
      <c r="V528" s="27"/>
      <c r="W528" s="27"/>
      <c r="X528" s="27"/>
      <c r="Y528" s="27"/>
      <c r="Z528" s="28"/>
      <c r="AA528" s="28"/>
      <c r="AB528" s="28"/>
      <c r="AC528" s="28"/>
      <c r="AD528" s="28"/>
      <c r="AE528" s="28"/>
      <c r="AJ528" s="44"/>
      <c r="AK528" s="44"/>
      <c r="AL528" s="44"/>
      <c r="AM528" s="44"/>
      <c r="AN528" s="44"/>
      <c r="AO528" s="44"/>
      <c r="AP528" s="44"/>
      <c r="AQ528" s="44"/>
      <c r="AR528" s="44"/>
      <c r="AS528" s="44"/>
      <c r="AT528" s="44"/>
      <c r="AU528" s="44"/>
    </row>
    <row r="529" spans="1:47" x14ac:dyDescent="0.45">
      <c r="A529" s="3"/>
      <c r="B529" s="13"/>
      <c r="H529" s="23"/>
      <c r="I529" s="23"/>
      <c r="J529" s="23"/>
      <c r="K529" s="23"/>
      <c r="L529" s="23"/>
      <c r="M529" s="23"/>
      <c r="N529" s="26"/>
      <c r="O529" s="26"/>
      <c r="P529" s="26"/>
      <c r="Q529" s="26"/>
      <c r="R529" s="26"/>
      <c r="S529" s="26"/>
      <c r="T529" s="27"/>
      <c r="U529" s="27"/>
      <c r="V529" s="27"/>
      <c r="W529" s="27"/>
      <c r="X529" s="27"/>
      <c r="Y529" s="27"/>
      <c r="Z529" s="28"/>
      <c r="AA529" s="28"/>
      <c r="AB529" s="28"/>
      <c r="AC529" s="28"/>
      <c r="AD529" s="28"/>
      <c r="AE529" s="28"/>
      <c r="AJ529" s="44"/>
      <c r="AK529" s="44"/>
      <c r="AL529" s="44"/>
      <c r="AM529" s="44"/>
      <c r="AN529" s="44"/>
      <c r="AO529" s="44"/>
      <c r="AP529" s="44"/>
      <c r="AQ529" s="44"/>
      <c r="AR529" s="44"/>
      <c r="AS529" s="44"/>
      <c r="AT529" s="44"/>
      <c r="AU529" s="44"/>
    </row>
    <row r="530" spans="1:47" x14ac:dyDescent="0.45">
      <c r="A530" s="3"/>
      <c r="B530" s="13"/>
      <c r="H530" s="23"/>
      <c r="I530" s="23"/>
      <c r="J530" s="23"/>
      <c r="K530" s="23"/>
      <c r="L530" s="23"/>
      <c r="M530" s="23"/>
      <c r="N530" s="26"/>
      <c r="O530" s="26"/>
      <c r="P530" s="26"/>
      <c r="Q530" s="26"/>
      <c r="R530" s="26"/>
      <c r="S530" s="26"/>
      <c r="T530" s="27"/>
      <c r="U530" s="27"/>
      <c r="V530" s="27"/>
      <c r="W530" s="27"/>
      <c r="X530" s="27"/>
      <c r="Y530" s="27"/>
      <c r="Z530" s="28"/>
      <c r="AA530" s="28"/>
      <c r="AB530" s="28"/>
      <c r="AC530" s="28"/>
      <c r="AD530" s="28"/>
      <c r="AE530" s="28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</row>
    <row r="531" spans="1:47" x14ac:dyDescent="0.45">
      <c r="A531" s="3"/>
      <c r="B531" s="13"/>
      <c r="H531" s="23"/>
      <c r="I531" s="23"/>
      <c r="J531" s="23"/>
      <c r="K531" s="23"/>
      <c r="L531" s="23"/>
      <c r="M531" s="23"/>
      <c r="N531" s="26"/>
      <c r="O531" s="26"/>
      <c r="P531" s="26"/>
      <c r="Q531" s="26"/>
      <c r="R531" s="26"/>
      <c r="S531" s="26"/>
      <c r="T531" s="27"/>
      <c r="U531" s="27"/>
      <c r="V531" s="27"/>
      <c r="W531" s="27"/>
      <c r="X531" s="27"/>
      <c r="Y531" s="27"/>
      <c r="Z531" s="28"/>
      <c r="AA531" s="28"/>
      <c r="AB531" s="28"/>
      <c r="AC531" s="28"/>
      <c r="AD531" s="28"/>
      <c r="AE531" s="28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</row>
    <row r="532" spans="1:47" x14ac:dyDescent="0.45">
      <c r="A532" s="3"/>
      <c r="B532" s="13"/>
      <c r="H532" s="23"/>
      <c r="I532" s="23"/>
      <c r="J532" s="23"/>
      <c r="K532" s="23"/>
      <c r="L532" s="23"/>
      <c r="M532" s="23"/>
      <c r="N532" s="26"/>
      <c r="O532" s="26"/>
      <c r="P532" s="26"/>
      <c r="Q532" s="26"/>
      <c r="R532" s="26"/>
      <c r="S532" s="26"/>
      <c r="T532" s="27"/>
      <c r="U532" s="27"/>
      <c r="V532" s="27"/>
      <c r="W532" s="27"/>
      <c r="X532" s="27"/>
      <c r="Y532" s="27"/>
      <c r="Z532" s="28"/>
      <c r="AA532" s="28"/>
      <c r="AB532" s="28"/>
      <c r="AC532" s="28"/>
      <c r="AD532" s="28"/>
      <c r="AE532" s="28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</row>
    <row r="533" spans="1:47" x14ac:dyDescent="0.45">
      <c r="A533" s="3"/>
      <c r="B533" s="13"/>
      <c r="H533" s="23"/>
      <c r="I533" s="23"/>
      <c r="J533" s="23"/>
      <c r="K533" s="23"/>
      <c r="L533" s="23"/>
      <c r="M533" s="23"/>
      <c r="N533" s="26"/>
      <c r="O533" s="26"/>
      <c r="P533" s="26"/>
      <c r="Q533" s="26"/>
      <c r="R533" s="26"/>
      <c r="S533" s="26"/>
      <c r="T533" s="27"/>
      <c r="U533" s="27"/>
      <c r="V533" s="27"/>
      <c r="W533" s="27"/>
      <c r="X533" s="27"/>
      <c r="Y533" s="27"/>
      <c r="Z533" s="28"/>
      <c r="AA533" s="28"/>
      <c r="AB533" s="28"/>
      <c r="AC533" s="28"/>
      <c r="AD533" s="28"/>
      <c r="AE533" s="28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</row>
    <row r="534" spans="1:47" x14ac:dyDescent="0.45">
      <c r="A534" s="3"/>
      <c r="B534" s="13"/>
      <c r="H534" s="23"/>
      <c r="I534" s="23"/>
      <c r="J534" s="23"/>
      <c r="K534" s="23"/>
      <c r="L534" s="23"/>
      <c r="M534" s="23"/>
      <c r="N534" s="26"/>
      <c r="O534" s="26"/>
      <c r="P534" s="26"/>
      <c r="Q534" s="26"/>
      <c r="R534" s="26"/>
      <c r="S534" s="26"/>
      <c r="T534" s="27"/>
      <c r="U534" s="27"/>
      <c r="V534" s="27"/>
      <c r="W534" s="27"/>
      <c r="X534" s="27"/>
      <c r="Y534" s="27"/>
      <c r="Z534" s="28"/>
      <c r="AA534" s="28"/>
      <c r="AB534" s="28"/>
      <c r="AC534" s="28"/>
      <c r="AD534" s="28"/>
      <c r="AE534" s="28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</row>
    <row r="535" spans="1:47" x14ac:dyDescent="0.45">
      <c r="A535" s="3"/>
      <c r="B535" s="13"/>
      <c r="H535" s="23"/>
      <c r="I535" s="23"/>
      <c r="J535" s="23"/>
      <c r="K535" s="23"/>
      <c r="L535" s="23"/>
      <c r="M535" s="23"/>
      <c r="N535" s="26"/>
      <c r="O535" s="26"/>
      <c r="P535" s="26"/>
      <c r="Q535" s="26"/>
      <c r="R535" s="26"/>
      <c r="S535" s="26"/>
      <c r="T535" s="27"/>
      <c r="U535" s="27"/>
      <c r="V535" s="27"/>
      <c r="W535" s="27"/>
      <c r="X535" s="27"/>
      <c r="Y535" s="27"/>
      <c r="Z535" s="28"/>
      <c r="AA535" s="28"/>
      <c r="AB535" s="28"/>
      <c r="AC535" s="28"/>
      <c r="AD535" s="28"/>
      <c r="AE535" s="28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</row>
    <row r="536" spans="1:47" x14ac:dyDescent="0.45">
      <c r="A536" s="3"/>
      <c r="B536" s="13"/>
      <c r="H536" s="23"/>
      <c r="I536" s="23"/>
      <c r="J536" s="23"/>
      <c r="K536" s="23"/>
      <c r="L536" s="23"/>
      <c r="M536" s="23"/>
      <c r="N536" s="26"/>
      <c r="O536" s="26"/>
      <c r="P536" s="26"/>
      <c r="Q536" s="26"/>
      <c r="R536" s="26"/>
      <c r="S536" s="26"/>
      <c r="T536" s="27"/>
      <c r="U536" s="27"/>
      <c r="V536" s="27"/>
      <c r="W536" s="27"/>
      <c r="X536" s="27"/>
      <c r="Y536" s="27"/>
      <c r="Z536" s="28"/>
      <c r="AA536" s="28"/>
      <c r="AB536" s="28"/>
      <c r="AC536" s="28"/>
      <c r="AD536" s="28"/>
      <c r="AE536" s="28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</row>
    <row r="537" spans="1:47" x14ac:dyDescent="0.45">
      <c r="A537" s="3"/>
      <c r="B537" s="13"/>
      <c r="H537" s="23"/>
      <c r="I537" s="23"/>
      <c r="J537" s="23"/>
      <c r="K537" s="23"/>
      <c r="L537" s="23"/>
      <c r="M537" s="23"/>
      <c r="N537" s="26"/>
      <c r="O537" s="26"/>
      <c r="P537" s="26"/>
      <c r="Q537" s="26"/>
      <c r="R537" s="26"/>
      <c r="S537" s="26"/>
      <c r="T537" s="27"/>
      <c r="U537" s="27"/>
      <c r="V537" s="27"/>
      <c r="W537" s="27"/>
      <c r="X537" s="27"/>
      <c r="Y537" s="27"/>
      <c r="Z537" s="28"/>
      <c r="AA537" s="28"/>
      <c r="AB537" s="28"/>
      <c r="AC537" s="28"/>
      <c r="AD537" s="28"/>
      <c r="AE537" s="28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</row>
    <row r="538" spans="1:47" x14ac:dyDescent="0.45">
      <c r="A538" s="3"/>
      <c r="B538" s="13"/>
      <c r="H538" s="23"/>
      <c r="I538" s="23"/>
      <c r="J538" s="23"/>
      <c r="K538" s="23"/>
      <c r="L538" s="23"/>
      <c r="M538" s="23"/>
      <c r="N538" s="26"/>
      <c r="O538" s="26"/>
      <c r="P538" s="26"/>
      <c r="Q538" s="26"/>
      <c r="R538" s="26"/>
      <c r="S538" s="26"/>
      <c r="T538" s="27"/>
      <c r="U538" s="27"/>
      <c r="V538" s="27"/>
      <c r="W538" s="27"/>
      <c r="X538" s="27"/>
      <c r="Y538" s="27"/>
      <c r="Z538" s="28"/>
      <c r="AA538" s="28"/>
      <c r="AB538" s="28"/>
      <c r="AC538" s="28"/>
      <c r="AD538" s="28"/>
      <c r="AE538" s="28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</row>
    <row r="539" spans="1:47" x14ac:dyDescent="0.45">
      <c r="A539" s="3"/>
      <c r="B539" s="13"/>
      <c r="H539" s="23"/>
      <c r="I539" s="23"/>
      <c r="J539" s="23"/>
      <c r="K539" s="23"/>
      <c r="L539" s="23"/>
      <c r="M539" s="23"/>
      <c r="N539" s="26"/>
      <c r="O539" s="26"/>
      <c r="P539" s="26"/>
      <c r="Q539" s="26"/>
      <c r="R539" s="26"/>
      <c r="S539" s="26"/>
      <c r="T539" s="27"/>
      <c r="U539" s="27"/>
      <c r="V539" s="27"/>
      <c r="W539" s="27"/>
      <c r="X539" s="27"/>
      <c r="Y539" s="27"/>
      <c r="Z539" s="28"/>
      <c r="AA539" s="28"/>
      <c r="AB539" s="28"/>
      <c r="AC539" s="28"/>
      <c r="AD539" s="28"/>
      <c r="AE539" s="28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</row>
    <row r="540" spans="1:47" x14ac:dyDescent="0.45">
      <c r="A540" s="3"/>
      <c r="B540" s="13"/>
      <c r="H540" s="23"/>
      <c r="I540" s="23"/>
      <c r="J540" s="23"/>
      <c r="K540" s="23"/>
      <c r="L540" s="23"/>
      <c r="M540" s="23"/>
      <c r="N540" s="26"/>
      <c r="O540" s="26"/>
      <c r="P540" s="26"/>
      <c r="Q540" s="26"/>
      <c r="R540" s="26"/>
      <c r="S540" s="26"/>
      <c r="T540" s="27"/>
      <c r="U540" s="27"/>
      <c r="V540" s="27"/>
      <c r="W540" s="27"/>
      <c r="X540" s="27"/>
      <c r="Y540" s="27"/>
      <c r="Z540" s="28"/>
      <c r="AA540" s="28"/>
      <c r="AB540" s="28"/>
      <c r="AC540" s="28"/>
      <c r="AD540" s="28"/>
      <c r="AE540" s="28"/>
      <c r="AJ540" s="44"/>
      <c r="AK540" s="44"/>
      <c r="AL540" s="44"/>
      <c r="AM540" s="44"/>
      <c r="AN540" s="44"/>
      <c r="AO540" s="44"/>
      <c r="AP540" s="44"/>
      <c r="AQ540" s="44"/>
      <c r="AR540" s="44"/>
      <c r="AS540" s="44"/>
      <c r="AT540" s="44"/>
      <c r="AU540" s="44"/>
    </row>
    <row r="541" spans="1:47" x14ac:dyDescent="0.45">
      <c r="A541" s="3"/>
      <c r="B541" s="13"/>
      <c r="H541" s="23"/>
      <c r="I541" s="23"/>
      <c r="J541" s="23"/>
      <c r="K541" s="23"/>
      <c r="L541" s="23"/>
      <c r="M541" s="23"/>
      <c r="N541" s="26"/>
      <c r="O541" s="26"/>
      <c r="P541" s="26"/>
      <c r="Q541" s="26"/>
      <c r="R541" s="26"/>
      <c r="S541" s="26"/>
      <c r="T541" s="27"/>
      <c r="U541" s="27"/>
      <c r="V541" s="27"/>
      <c r="W541" s="27"/>
      <c r="X541" s="27"/>
      <c r="Y541" s="27"/>
      <c r="Z541" s="28"/>
      <c r="AA541" s="28"/>
      <c r="AB541" s="28"/>
      <c r="AC541" s="28"/>
      <c r="AD541" s="28"/>
      <c r="AE541" s="28"/>
      <c r="AJ541" s="44"/>
      <c r="AK541" s="44"/>
      <c r="AL541" s="44"/>
      <c r="AM541" s="44"/>
      <c r="AN541" s="44"/>
      <c r="AO541" s="44"/>
      <c r="AP541" s="44"/>
      <c r="AQ541" s="44"/>
      <c r="AR541" s="44"/>
      <c r="AS541" s="44"/>
      <c r="AT541" s="44"/>
      <c r="AU541" s="44"/>
    </row>
    <row r="542" spans="1:47" x14ac:dyDescent="0.45">
      <c r="A542" s="3"/>
      <c r="B542" s="13"/>
      <c r="H542" s="23"/>
      <c r="I542" s="23"/>
      <c r="J542" s="23"/>
      <c r="K542" s="23"/>
      <c r="L542" s="23"/>
      <c r="M542" s="23"/>
      <c r="N542" s="26"/>
      <c r="O542" s="26"/>
      <c r="P542" s="26"/>
      <c r="Q542" s="26"/>
      <c r="R542" s="26"/>
      <c r="S542" s="26"/>
      <c r="T542" s="27"/>
      <c r="U542" s="27"/>
      <c r="V542" s="27"/>
      <c r="W542" s="27"/>
      <c r="X542" s="27"/>
      <c r="Y542" s="27"/>
      <c r="Z542" s="28"/>
      <c r="AA542" s="28"/>
      <c r="AB542" s="28"/>
      <c r="AC542" s="28"/>
      <c r="AD542" s="28"/>
      <c r="AE542" s="28"/>
      <c r="AJ542" s="44"/>
      <c r="AK542" s="44"/>
      <c r="AL542" s="44"/>
      <c r="AM542" s="44"/>
      <c r="AN542" s="44"/>
      <c r="AO542" s="44"/>
      <c r="AP542" s="44"/>
      <c r="AQ542" s="44"/>
      <c r="AR542" s="44"/>
      <c r="AS542" s="44"/>
      <c r="AT542" s="44"/>
      <c r="AU542" s="44"/>
    </row>
    <row r="543" spans="1:47" x14ac:dyDescent="0.45">
      <c r="A543" s="3"/>
      <c r="B543" s="13"/>
      <c r="H543" s="23"/>
      <c r="I543" s="23"/>
      <c r="J543" s="23"/>
      <c r="K543" s="23"/>
      <c r="L543" s="23"/>
      <c r="M543" s="23"/>
      <c r="N543" s="26"/>
      <c r="O543" s="26"/>
      <c r="P543" s="26"/>
      <c r="Q543" s="26"/>
      <c r="R543" s="26"/>
      <c r="S543" s="26"/>
      <c r="T543" s="27"/>
      <c r="U543" s="27"/>
      <c r="V543" s="27"/>
      <c r="W543" s="27"/>
      <c r="X543" s="27"/>
      <c r="Y543" s="27"/>
      <c r="Z543" s="28"/>
      <c r="AA543" s="28"/>
      <c r="AB543" s="28"/>
      <c r="AC543" s="28"/>
      <c r="AD543" s="28"/>
      <c r="AE543" s="28"/>
      <c r="AJ543" s="44"/>
      <c r="AK543" s="44"/>
      <c r="AL543" s="44"/>
      <c r="AM543" s="44"/>
      <c r="AN543" s="44"/>
      <c r="AO543" s="44"/>
      <c r="AP543" s="44"/>
      <c r="AQ543" s="44"/>
      <c r="AR543" s="44"/>
      <c r="AS543" s="44"/>
      <c r="AT543" s="44"/>
      <c r="AU543" s="44"/>
    </row>
    <row r="544" spans="1:47" x14ac:dyDescent="0.45">
      <c r="A544" s="3"/>
      <c r="B544" s="13"/>
      <c r="H544" s="23"/>
      <c r="I544" s="23"/>
      <c r="J544" s="23"/>
      <c r="K544" s="23"/>
      <c r="L544" s="23"/>
      <c r="M544" s="23"/>
      <c r="N544" s="26"/>
      <c r="O544" s="26"/>
      <c r="P544" s="26"/>
      <c r="Q544" s="26"/>
      <c r="R544" s="26"/>
      <c r="S544" s="26"/>
      <c r="T544" s="27"/>
      <c r="U544" s="27"/>
      <c r="V544" s="27"/>
      <c r="W544" s="27"/>
      <c r="X544" s="27"/>
      <c r="Y544" s="27"/>
      <c r="Z544" s="28"/>
      <c r="AA544" s="28"/>
      <c r="AB544" s="28"/>
      <c r="AC544" s="28"/>
      <c r="AD544" s="28"/>
      <c r="AE544" s="28"/>
      <c r="AJ544" s="44"/>
      <c r="AK544" s="44"/>
      <c r="AL544" s="44"/>
      <c r="AM544" s="44"/>
      <c r="AN544" s="44"/>
      <c r="AO544" s="44"/>
      <c r="AP544" s="44"/>
      <c r="AQ544" s="44"/>
      <c r="AR544" s="44"/>
      <c r="AS544" s="44"/>
      <c r="AT544" s="44"/>
      <c r="AU544" s="44"/>
    </row>
    <row r="545" spans="1:47" x14ac:dyDescent="0.45">
      <c r="A545" s="3"/>
      <c r="B545" s="13"/>
      <c r="H545" s="23"/>
      <c r="I545" s="23"/>
      <c r="J545" s="23"/>
      <c r="K545" s="23"/>
      <c r="L545" s="23"/>
      <c r="M545" s="23"/>
      <c r="N545" s="26"/>
      <c r="O545" s="26"/>
      <c r="P545" s="26"/>
      <c r="Q545" s="26"/>
      <c r="R545" s="26"/>
      <c r="S545" s="26"/>
      <c r="T545" s="27"/>
      <c r="U545" s="27"/>
      <c r="V545" s="27"/>
      <c r="W545" s="27"/>
      <c r="X545" s="27"/>
      <c r="Y545" s="27"/>
      <c r="Z545" s="28"/>
      <c r="AA545" s="28"/>
      <c r="AB545" s="28"/>
      <c r="AC545" s="28"/>
      <c r="AD545" s="28"/>
      <c r="AE545" s="28"/>
      <c r="AJ545" s="44"/>
      <c r="AK545" s="44"/>
      <c r="AL545" s="44"/>
      <c r="AM545" s="44"/>
      <c r="AN545" s="44"/>
      <c r="AO545" s="44"/>
      <c r="AP545" s="44"/>
      <c r="AQ545" s="44"/>
      <c r="AR545" s="44"/>
      <c r="AS545" s="44"/>
      <c r="AT545" s="44"/>
      <c r="AU545" s="44"/>
    </row>
    <row r="546" spans="1:47" x14ac:dyDescent="0.45">
      <c r="A546" s="3"/>
      <c r="B546" s="13"/>
      <c r="H546" s="23"/>
      <c r="I546" s="23"/>
      <c r="J546" s="23"/>
      <c r="K546" s="23"/>
      <c r="L546" s="23"/>
      <c r="M546" s="23"/>
      <c r="N546" s="26"/>
      <c r="O546" s="26"/>
      <c r="P546" s="26"/>
      <c r="Q546" s="26"/>
      <c r="R546" s="26"/>
      <c r="S546" s="26"/>
      <c r="T546" s="27"/>
      <c r="U546" s="27"/>
      <c r="V546" s="27"/>
      <c r="W546" s="27"/>
      <c r="X546" s="27"/>
      <c r="Y546" s="27"/>
      <c r="Z546" s="28"/>
      <c r="AA546" s="28"/>
      <c r="AB546" s="28"/>
      <c r="AC546" s="28"/>
      <c r="AD546" s="28"/>
      <c r="AE546" s="28"/>
      <c r="AJ546" s="44"/>
      <c r="AK546" s="44"/>
      <c r="AL546" s="44"/>
      <c r="AM546" s="44"/>
      <c r="AN546" s="44"/>
      <c r="AO546" s="44"/>
      <c r="AP546" s="44"/>
      <c r="AQ546" s="44"/>
      <c r="AR546" s="44"/>
      <c r="AS546" s="44"/>
      <c r="AT546" s="44"/>
      <c r="AU546" s="44"/>
    </row>
    <row r="547" spans="1:47" x14ac:dyDescent="0.45">
      <c r="A547" s="3"/>
      <c r="B547" s="13"/>
      <c r="H547" s="23"/>
      <c r="I547" s="23"/>
      <c r="J547" s="23"/>
      <c r="K547" s="23"/>
      <c r="L547" s="23"/>
      <c r="M547" s="23"/>
      <c r="N547" s="26"/>
      <c r="O547" s="26"/>
      <c r="P547" s="26"/>
      <c r="Q547" s="26"/>
      <c r="R547" s="26"/>
      <c r="S547" s="26"/>
      <c r="T547" s="27"/>
      <c r="U547" s="27"/>
      <c r="V547" s="27"/>
      <c r="W547" s="27"/>
      <c r="X547" s="27"/>
      <c r="Y547" s="27"/>
      <c r="Z547" s="28"/>
      <c r="AA547" s="28"/>
      <c r="AB547" s="28"/>
      <c r="AC547" s="28"/>
      <c r="AD547" s="28"/>
      <c r="AE547" s="28"/>
      <c r="AJ547" s="44"/>
      <c r="AK547" s="44"/>
      <c r="AL547" s="44"/>
      <c r="AM547" s="44"/>
      <c r="AN547" s="44"/>
      <c r="AO547" s="44"/>
      <c r="AP547" s="44"/>
      <c r="AQ547" s="44"/>
      <c r="AR547" s="44"/>
      <c r="AS547" s="44"/>
      <c r="AT547" s="44"/>
      <c r="AU547" s="44"/>
    </row>
    <row r="548" spans="1:47" x14ac:dyDescent="0.45">
      <c r="A548" s="3"/>
      <c r="B548" s="13"/>
      <c r="H548" s="23"/>
      <c r="I548" s="23"/>
      <c r="J548" s="23"/>
      <c r="K548" s="23"/>
      <c r="L548" s="23"/>
      <c r="M548" s="23"/>
      <c r="N548" s="26"/>
      <c r="O548" s="26"/>
      <c r="P548" s="26"/>
      <c r="Q548" s="26"/>
      <c r="R548" s="26"/>
      <c r="S548" s="26"/>
      <c r="T548" s="27"/>
      <c r="U548" s="27"/>
      <c r="V548" s="27"/>
      <c r="W548" s="27"/>
      <c r="X548" s="27"/>
      <c r="Y548" s="27"/>
      <c r="Z548" s="28"/>
      <c r="AA548" s="28"/>
      <c r="AB548" s="28"/>
      <c r="AC548" s="28"/>
      <c r="AD548" s="28"/>
      <c r="AE548" s="28"/>
      <c r="AJ548" s="44"/>
      <c r="AK548" s="44"/>
      <c r="AL548" s="44"/>
      <c r="AM548" s="44"/>
      <c r="AN548" s="44"/>
      <c r="AO548" s="44"/>
      <c r="AP548" s="44"/>
      <c r="AQ548" s="44"/>
      <c r="AR548" s="44"/>
      <c r="AS548" s="44"/>
      <c r="AT548" s="44"/>
      <c r="AU548" s="44"/>
    </row>
    <row r="549" spans="1:47" x14ac:dyDescent="0.45">
      <c r="A549" s="3"/>
      <c r="B549" s="13"/>
      <c r="H549" s="23"/>
      <c r="I549" s="23"/>
      <c r="J549" s="23"/>
      <c r="K549" s="23"/>
      <c r="L549" s="23"/>
      <c r="M549" s="23"/>
      <c r="N549" s="26"/>
      <c r="O549" s="26"/>
      <c r="P549" s="26"/>
      <c r="Q549" s="26"/>
      <c r="R549" s="26"/>
      <c r="S549" s="26"/>
      <c r="T549" s="27"/>
      <c r="U549" s="27"/>
      <c r="V549" s="27"/>
      <c r="W549" s="27"/>
      <c r="X549" s="27"/>
      <c r="Y549" s="27"/>
      <c r="Z549" s="28"/>
      <c r="AA549" s="28"/>
      <c r="AB549" s="28"/>
      <c r="AC549" s="28"/>
      <c r="AD549" s="28"/>
      <c r="AE549" s="28"/>
      <c r="AJ549" s="44"/>
      <c r="AK549" s="44"/>
      <c r="AL549" s="44"/>
      <c r="AM549" s="44"/>
      <c r="AN549" s="44"/>
      <c r="AO549" s="44"/>
      <c r="AP549" s="44"/>
      <c r="AQ549" s="44"/>
      <c r="AR549" s="44"/>
      <c r="AS549" s="44"/>
      <c r="AT549" s="44"/>
      <c r="AU549" s="44"/>
    </row>
    <row r="550" spans="1:47" x14ac:dyDescent="0.45">
      <c r="A550" s="3"/>
      <c r="B550" s="13"/>
      <c r="H550" s="23"/>
      <c r="I550" s="23"/>
      <c r="J550" s="23"/>
      <c r="K550" s="23"/>
      <c r="L550" s="23"/>
      <c r="M550" s="23"/>
      <c r="N550" s="26"/>
      <c r="O550" s="26"/>
      <c r="P550" s="26"/>
      <c r="Q550" s="26"/>
      <c r="R550" s="26"/>
      <c r="S550" s="26"/>
      <c r="T550" s="27"/>
      <c r="U550" s="27"/>
      <c r="V550" s="27"/>
      <c r="W550" s="27"/>
      <c r="X550" s="27"/>
      <c r="Y550" s="27"/>
      <c r="Z550" s="28"/>
      <c r="AA550" s="28"/>
      <c r="AB550" s="28"/>
      <c r="AC550" s="28"/>
      <c r="AD550" s="28"/>
      <c r="AE550" s="28"/>
      <c r="AJ550" s="44"/>
      <c r="AK550" s="44"/>
      <c r="AL550" s="44"/>
      <c r="AM550" s="44"/>
      <c r="AN550" s="44"/>
      <c r="AO550" s="44"/>
      <c r="AP550" s="44"/>
      <c r="AQ550" s="44"/>
      <c r="AR550" s="44"/>
      <c r="AS550" s="44"/>
      <c r="AT550" s="44"/>
      <c r="AU550" s="44"/>
    </row>
    <row r="551" spans="1:47" x14ac:dyDescent="0.45">
      <c r="A551" s="3"/>
      <c r="B551" s="13"/>
      <c r="H551" s="23"/>
      <c r="I551" s="23"/>
      <c r="J551" s="23"/>
      <c r="K551" s="23"/>
      <c r="L551" s="23"/>
      <c r="M551" s="23"/>
      <c r="N551" s="26"/>
      <c r="O551" s="26"/>
      <c r="P551" s="26"/>
      <c r="Q551" s="26"/>
      <c r="R551" s="26"/>
      <c r="S551" s="26"/>
      <c r="T551" s="27"/>
      <c r="U551" s="27"/>
      <c r="V551" s="27"/>
      <c r="W551" s="27"/>
      <c r="X551" s="27"/>
      <c r="Y551" s="27"/>
      <c r="Z551" s="28"/>
      <c r="AA551" s="28"/>
      <c r="AB551" s="28"/>
      <c r="AC551" s="28"/>
      <c r="AD551" s="28"/>
      <c r="AE551" s="28"/>
      <c r="AJ551" s="44"/>
      <c r="AK551" s="44"/>
      <c r="AL551" s="44"/>
      <c r="AM551" s="44"/>
      <c r="AN551" s="44"/>
      <c r="AO551" s="44"/>
      <c r="AP551" s="44"/>
      <c r="AQ551" s="44"/>
      <c r="AR551" s="44"/>
      <c r="AS551" s="44"/>
      <c r="AT551" s="44"/>
      <c r="AU551" s="44"/>
    </row>
    <row r="552" spans="1:47" x14ac:dyDescent="0.45">
      <c r="A552" s="3"/>
      <c r="B552" s="13"/>
      <c r="H552" s="23"/>
      <c r="I552" s="23"/>
      <c r="J552" s="23"/>
      <c r="K552" s="23"/>
      <c r="L552" s="23"/>
      <c r="M552" s="23"/>
      <c r="N552" s="26"/>
      <c r="O552" s="26"/>
      <c r="P552" s="26"/>
      <c r="Q552" s="26"/>
      <c r="R552" s="26"/>
      <c r="S552" s="26"/>
      <c r="T552" s="27"/>
      <c r="U552" s="27"/>
      <c r="V552" s="27"/>
      <c r="W552" s="27"/>
      <c r="X552" s="27"/>
      <c r="Y552" s="27"/>
      <c r="Z552" s="28"/>
      <c r="AA552" s="28"/>
      <c r="AB552" s="28"/>
      <c r="AC552" s="28"/>
      <c r="AD552" s="28"/>
      <c r="AE552" s="28"/>
      <c r="AJ552" s="44"/>
      <c r="AK552" s="44"/>
      <c r="AL552" s="44"/>
      <c r="AM552" s="44"/>
      <c r="AN552" s="44"/>
      <c r="AO552" s="44"/>
      <c r="AP552" s="44"/>
      <c r="AQ552" s="44"/>
      <c r="AR552" s="44"/>
      <c r="AS552" s="44"/>
      <c r="AT552" s="44"/>
      <c r="AU552" s="44"/>
    </row>
    <row r="553" spans="1:47" x14ac:dyDescent="0.45">
      <c r="A553" s="3"/>
      <c r="B553" s="13"/>
      <c r="H553" s="23"/>
      <c r="I553" s="23"/>
      <c r="J553" s="23"/>
      <c r="K553" s="23"/>
      <c r="L553" s="23"/>
      <c r="M553" s="23"/>
      <c r="N553" s="26"/>
      <c r="O553" s="26"/>
      <c r="P553" s="26"/>
      <c r="Q553" s="26"/>
      <c r="R553" s="26"/>
      <c r="S553" s="26"/>
      <c r="T553" s="27"/>
      <c r="U553" s="27"/>
      <c r="V553" s="27"/>
      <c r="W553" s="27"/>
      <c r="X553" s="27"/>
      <c r="Y553" s="27"/>
      <c r="Z553" s="28"/>
      <c r="AA553" s="28"/>
      <c r="AB553" s="28"/>
      <c r="AC553" s="28"/>
      <c r="AD553" s="28"/>
      <c r="AE553" s="28"/>
      <c r="AJ553" s="44"/>
      <c r="AK553" s="44"/>
      <c r="AL553" s="44"/>
      <c r="AM553" s="44"/>
      <c r="AN553" s="44"/>
      <c r="AO553" s="44"/>
      <c r="AP553" s="44"/>
      <c r="AQ553" s="44"/>
      <c r="AR553" s="44"/>
      <c r="AS553" s="44"/>
      <c r="AT553" s="44"/>
      <c r="AU553" s="44"/>
    </row>
    <row r="554" spans="1:47" x14ac:dyDescent="0.45">
      <c r="A554" s="3"/>
      <c r="B554" s="13"/>
      <c r="H554" s="23"/>
      <c r="I554" s="23"/>
      <c r="J554" s="23"/>
      <c r="K554" s="23"/>
      <c r="L554" s="23"/>
      <c r="M554" s="23"/>
      <c r="N554" s="26"/>
      <c r="O554" s="26"/>
      <c r="P554" s="26"/>
      <c r="Q554" s="26"/>
      <c r="R554" s="26"/>
      <c r="S554" s="26"/>
      <c r="T554" s="27"/>
      <c r="U554" s="27"/>
      <c r="V554" s="27"/>
      <c r="W554" s="27"/>
      <c r="X554" s="27"/>
      <c r="Y554" s="27"/>
      <c r="Z554" s="28"/>
      <c r="AA554" s="28"/>
      <c r="AB554" s="28"/>
      <c r="AC554" s="28"/>
      <c r="AD554" s="28"/>
      <c r="AE554" s="28"/>
      <c r="AJ554" s="44"/>
      <c r="AK554" s="44"/>
      <c r="AL554" s="44"/>
      <c r="AM554" s="44"/>
      <c r="AN554" s="44"/>
      <c r="AO554" s="44"/>
      <c r="AP554" s="44"/>
      <c r="AQ554" s="44"/>
      <c r="AR554" s="44"/>
      <c r="AS554" s="44"/>
      <c r="AT554" s="44"/>
      <c r="AU554" s="44"/>
    </row>
    <row r="555" spans="1:47" x14ac:dyDescent="0.45">
      <c r="A555" s="3"/>
      <c r="B555" s="13"/>
      <c r="H555" s="23"/>
      <c r="I555" s="23"/>
      <c r="J555" s="23"/>
      <c r="K555" s="23"/>
      <c r="L555" s="23"/>
      <c r="M555" s="23"/>
      <c r="N555" s="26"/>
      <c r="O555" s="26"/>
      <c r="P555" s="26"/>
      <c r="Q555" s="26"/>
      <c r="R555" s="26"/>
      <c r="S555" s="26"/>
      <c r="T555" s="27"/>
      <c r="U555" s="27"/>
      <c r="V555" s="27"/>
      <c r="W555" s="27"/>
      <c r="X555" s="27"/>
      <c r="Y555" s="27"/>
      <c r="Z555" s="28"/>
      <c r="AA555" s="28"/>
      <c r="AB555" s="28"/>
      <c r="AC555" s="28"/>
      <c r="AD555" s="28"/>
      <c r="AE555" s="28"/>
      <c r="AJ555" s="44"/>
      <c r="AK555" s="44"/>
      <c r="AL555" s="44"/>
      <c r="AM555" s="44"/>
      <c r="AN555" s="44"/>
      <c r="AO555" s="44"/>
      <c r="AP555" s="44"/>
      <c r="AQ555" s="44"/>
      <c r="AR555" s="44"/>
      <c r="AS555" s="44"/>
      <c r="AT555" s="44"/>
      <c r="AU555" s="44"/>
    </row>
    <row r="556" spans="1:47" x14ac:dyDescent="0.45">
      <c r="A556" s="3"/>
      <c r="B556" s="13"/>
      <c r="H556" s="23"/>
      <c r="I556" s="23"/>
      <c r="J556" s="23"/>
      <c r="K556" s="23"/>
      <c r="L556" s="23"/>
      <c r="M556" s="23"/>
      <c r="N556" s="26"/>
      <c r="O556" s="26"/>
      <c r="P556" s="26"/>
      <c r="Q556" s="26"/>
      <c r="R556" s="26"/>
      <c r="S556" s="26"/>
      <c r="T556" s="27"/>
      <c r="U556" s="27"/>
      <c r="V556" s="27"/>
      <c r="W556" s="27"/>
      <c r="X556" s="27"/>
      <c r="Y556" s="27"/>
      <c r="Z556" s="28"/>
      <c r="AA556" s="28"/>
      <c r="AB556" s="28"/>
      <c r="AC556" s="28"/>
      <c r="AD556" s="28"/>
      <c r="AE556" s="28"/>
      <c r="AJ556" s="44"/>
      <c r="AK556" s="44"/>
      <c r="AL556" s="44"/>
      <c r="AM556" s="44"/>
      <c r="AN556" s="44"/>
      <c r="AO556" s="44"/>
      <c r="AP556" s="44"/>
      <c r="AQ556" s="44"/>
      <c r="AR556" s="44"/>
      <c r="AS556" s="44"/>
      <c r="AT556" s="44"/>
      <c r="AU556" s="44"/>
    </row>
    <row r="557" spans="1:47" x14ac:dyDescent="0.45">
      <c r="A557" s="3"/>
      <c r="B557" s="13"/>
      <c r="H557" s="23"/>
      <c r="I557" s="23"/>
      <c r="J557" s="23"/>
      <c r="K557" s="23"/>
      <c r="L557" s="23"/>
      <c r="M557" s="23"/>
      <c r="N557" s="26"/>
      <c r="O557" s="26"/>
      <c r="P557" s="26"/>
      <c r="Q557" s="26"/>
      <c r="R557" s="26"/>
      <c r="S557" s="26"/>
      <c r="T557" s="27"/>
      <c r="U557" s="27"/>
      <c r="V557" s="27"/>
      <c r="W557" s="27"/>
      <c r="X557" s="27"/>
      <c r="Y557" s="27"/>
      <c r="Z557" s="28"/>
      <c r="AA557" s="28"/>
      <c r="AB557" s="28"/>
      <c r="AC557" s="28"/>
      <c r="AD557" s="28"/>
      <c r="AE557" s="28"/>
      <c r="AJ557" s="44"/>
      <c r="AK557" s="44"/>
      <c r="AL557" s="44"/>
      <c r="AM557" s="44"/>
      <c r="AN557" s="44"/>
      <c r="AO557" s="44"/>
      <c r="AP557" s="44"/>
      <c r="AQ557" s="44"/>
      <c r="AR557" s="44"/>
      <c r="AS557" s="44"/>
      <c r="AT557" s="44"/>
      <c r="AU557" s="44"/>
    </row>
    <row r="558" spans="1:47" x14ac:dyDescent="0.45">
      <c r="A558" s="3"/>
      <c r="B558" s="13"/>
      <c r="H558" s="23"/>
      <c r="I558" s="23"/>
      <c r="J558" s="23"/>
      <c r="K558" s="23"/>
      <c r="L558" s="23"/>
      <c r="M558" s="23"/>
      <c r="N558" s="26"/>
      <c r="O558" s="26"/>
      <c r="P558" s="26"/>
      <c r="Q558" s="26"/>
      <c r="R558" s="26"/>
      <c r="S558" s="26"/>
      <c r="T558" s="27"/>
      <c r="U558" s="27"/>
      <c r="V558" s="27"/>
      <c r="W558" s="27"/>
      <c r="X558" s="27"/>
      <c r="Y558" s="27"/>
      <c r="Z558" s="28"/>
      <c r="AA558" s="28"/>
      <c r="AB558" s="28"/>
      <c r="AC558" s="28"/>
      <c r="AD558" s="28"/>
      <c r="AE558" s="28"/>
      <c r="AJ558" s="44"/>
      <c r="AK558" s="44"/>
      <c r="AL558" s="44"/>
      <c r="AM558" s="44"/>
      <c r="AN558" s="44"/>
      <c r="AO558" s="44"/>
      <c r="AP558" s="44"/>
      <c r="AQ558" s="44"/>
      <c r="AR558" s="44"/>
      <c r="AS558" s="44"/>
      <c r="AT558" s="44"/>
      <c r="AU558" s="44"/>
    </row>
    <row r="559" spans="1:47" x14ac:dyDescent="0.45">
      <c r="A559" s="3"/>
      <c r="B559" s="13"/>
      <c r="H559" s="23"/>
      <c r="I559" s="23"/>
      <c r="J559" s="23"/>
      <c r="K559" s="23"/>
      <c r="L559" s="23"/>
      <c r="M559" s="23"/>
      <c r="N559" s="26"/>
      <c r="O559" s="26"/>
      <c r="P559" s="26"/>
      <c r="Q559" s="26"/>
      <c r="R559" s="26"/>
      <c r="S559" s="26"/>
      <c r="T559" s="27"/>
      <c r="U559" s="27"/>
      <c r="V559" s="27"/>
      <c r="W559" s="27"/>
      <c r="X559" s="27"/>
      <c r="Y559" s="27"/>
      <c r="Z559" s="28"/>
      <c r="AA559" s="28"/>
      <c r="AB559" s="28"/>
      <c r="AC559" s="28"/>
      <c r="AD559" s="28"/>
      <c r="AE559" s="28"/>
      <c r="AJ559" s="44"/>
      <c r="AK559" s="44"/>
      <c r="AL559" s="44"/>
      <c r="AM559" s="44"/>
      <c r="AN559" s="44"/>
      <c r="AO559" s="44"/>
      <c r="AP559" s="44"/>
      <c r="AQ559" s="44"/>
      <c r="AR559" s="44"/>
      <c r="AS559" s="44"/>
      <c r="AT559" s="44"/>
      <c r="AU559" s="44"/>
    </row>
    <row r="560" spans="1:47" x14ac:dyDescent="0.45">
      <c r="A560" s="3"/>
      <c r="B560" s="13"/>
      <c r="H560" s="23"/>
      <c r="I560" s="23"/>
      <c r="J560" s="23"/>
      <c r="K560" s="23"/>
      <c r="L560" s="23"/>
      <c r="M560" s="23"/>
      <c r="N560" s="26"/>
      <c r="O560" s="26"/>
      <c r="P560" s="26"/>
      <c r="Q560" s="26"/>
      <c r="R560" s="26"/>
      <c r="S560" s="26"/>
      <c r="T560" s="27"/>
      <c r="U560" s="27"/>
      <c r="V560" s="27"/>
      <c r="W560" s="27"/>
      <c r="X560" s="27"/>
      <c r="Y560" s="27"/>
      <c r="Z560" s="28"/>
      <c r="AA560" s="28"/>
      <c r="AB560" s="28"/>
      <c r="AC560" s="28"/>
      <c r="AD560" s="28"/>
      <c r="AE560" s="28"/>
      <c r="AJ560" s="44"/>
      <c r="AK560" s="44"/>
      <c r="AL560" s="44"/>
      <c r="AM560" s="44"/>
      <c r="AN560" s="44"/>
      <c r="AO560" s="44"/>
      <c r="AP560" s="44"/>
      <c r="AQ560" s="44"/>
      <c r="AR560" s="44"/>
      <c r="AS560" s="44"/>
      <c r="AT560" s="44"/>
      <c r="AU560" s="44"/>
    </row>
    <row r="561" spans="1:47" x14ac:dyDescent="0.45">
      <c r="A561" s="3"/>
      <c r="B561" s="13"/>
      <c r="H561" s="23"/>
      <c r="I561" s="23"/>
      <c r="J561" s="23"/>
      <c r="K561" s="23"/>
      <c r="L561" s="23"/>
      <c r="M561" s="23"/>
      <c r="N561" s="26"/>
      <c r="O561" s="26"/>
      <c r="P561" s="26"/>
      <c r="Q561" s="26"/>
      <c r="R561" s="26"/>
      <c r="S561" s="26"/>
      <c r="T561" s="27"/>
      <c r="U561" s="27"/>
      <c r="V561" s="27"/>
      <c r="W561" s="27"/>
      <c r="X561" s="27"/>
      <c r="Y561" s="27"/>
      <c r="Z561" s="28"/>
      <c r="AA561" s="28"/>
      <c r="AB561" s="28"/>
      <c r="AC561" s="28"/>
      <c r="AD561" s="28"/>
      <c r="AE561" s="28"/>
      <c r="AJ561" s="44"/>
      <c r="AK561" s="44"/>
      <c r="AL561" s="44"/>
      <c r="AM561" s="44"/>
      <c r="AN561" s="44"/>
      <c r="AO561" s="44"/>
      <c r="AP561" s="44"/>
      <c r="AQ561" s="44"/>
      <c r="AR561" s="44"/>
      <c r="AS561" s="44"/>
      <c r="AT561" s="44"/>
      <c r="AU561" s="44"/>
    </row>
    <row r="562" spans="1:47" x14ac:dyDescent="0.45">
      <c r="A562" s="3"/>
      <c r="B562" s="13"/>
      <c r="H562" s="23"/>
      <c r="I562" s="23"/>
      <c r="J562" s="23"/>
      <c r="K562" s="23"/>
      <c r="L562" s="23"/>
      <c r="M562" s="23"/>
      <c r="N562" s="26"/>
      <c r="O562" s="26"/>
      <c r="P562" s="26"/>
      <c r="Q562" s="26"/>
      <c r="R562" s="26"/>
      <c r="S562" s="26"/>
      <c r="T562" s="27"/>
      <c r="U562" s="27"/>
      <c r="V562" s="27"/>
      <c r="W562" s="27"/>
      <c r="X562" s="27"/>
      <c r="Y562" s="27"/>
      <c r="Z562" s="28"/>
      <c r="AA562" s="28"/>
      <c r="AB562" s="28"/>
      <c r="AC562" s="28"/>
      <c r="AD562" s="28"/>
      <c r="AE562" s="28"/>
      <c r="AJ562" s="44"/>
      <c r="AK562" s="44"/>
      <c r="AL562" s="44"/>
      <c r="AM562" s="44"/>
      <c r="AN562" s="44"/>
      <c r="AO562" s="44"/>
      <c r="AP562" s="44"/>
      <c r="AQ562" s="44"/>
      <c r="AR562" s="44"/>
      <c r="AS562" s="44"/>
      <c r="AT562" s="44"/>
      <c r="AU562" s="44"/>
    </row>
    <row r="563" spans="1:47" x14ac:dyDescent="0.45">
      <c r="A563" s="3"/>
      <c r="B563" s="13"/>
      <c r="H563" s="23"/>
      <c r="I563" s="23"/>
      <c r="J563" s="23"/>
      <c r="K563" s="23"/>
      <c r="L563" s="23"/>
      <c r="M563" s="23"/>
      <c r="N563" s="26"/>
      <c r="O563" s="26"/>
      <c r="P563" s="26"/>
      <c r="Q563" s="26"/>
      <c r="R563" s="26"/>
      <c r="S563" s="26"/>
      <c r="T563" s="27"/>
      <c r="U563" s="27"/>
      <c r="V563" s="27"/>
      <c r="W563" s="27"/>
      <c r="X563" s="27"/>
      <c r="Y563" s="27"/>
      <c r="Z563" s="28"/>
      <c r="AA563" s="28"/>
      <c r="AB563" s="28"/>
      <c r="AC563" s="28"/>
      <c r="AD563" s="28"/>
      <c r="AE563" s="28"/>
      <c r="AJ563" s="44"/>
      <c r="AK563" s="44"/>
      <c r="AL563" s="44"/>
      <c r="AM563" s="44"/>
      <c r="AN563" s="44"/>
      <c r="AO563" s="44"/>
      <c r="AP563" s="44"/>
      <c r="AQ563" s="44"/>
      <c r="AR563" s="44"/>
      <c r="AS563" s="44"/>
      <c r="AT563" s="44"/>
      <c r="AU563" s="44"/>
    </row>
    <row r="564" spans="1:47" x14ac:dyDescent="0.45">
      <c r="A564" s="3"/>
      <c r="B564" s="13"/>
      <c r="H564" s="23"/>
      <c r="I564" s="23"/>
      <c r="J564" s="23"/>
      <c r="K564" s="23"/>
      <c r="L564" s="23"/>
      <c r="M564" s="23"/>
      <c r="N564" s="26"/>
      <c r="O564" s="26"/>
      <c r="P564" s="26"/>
      <c r="Q564" s="26"/>
      <c r="R564" s="26"/>
      <c r="S564" s="26"/>
      <c r="T564" s="27"/>
      <c r="U564" s="27"/>
      <c r="V564" s="27"/>
      <c r="W564" s="27"/>
      <c r="X564" s="27"/>
      <c r="Y564" s="27"/>
      <c r="Z564" s="28"/>
      <c r="AA564" s="28"/>
      <c r="AB564" s="28"/>
      <c r="AC564" s="28"/>
      <c r="AD564" s="28"/>
      <c r="AE564" s="28"/>
      <c r="AJ564" s="44"/>
      <c r="AK564" s="44"/>
      <c r="AL564" s="44"/>
      <c r="AM564" s="44"/>
      <c r="AN564" s="44"/>
      <c r="AO564" s="44"/>
      <c r="AP564" s="44"/>
      <c r="AQ564" s="44"/>
      <c r="AR564" s="44"/>
      <c r="AS564" s="44"/>
      <c r="AT564" s="44"/>
      <c r="AU564" s="44"/>
    </row>
    <row r="565" spans="1:47" x14ac:dyDescent="0.45">
      <c r="A565" s="3"/>
      <c r="B565" s="13"/>
      <c r="H565" s="23"/>
      <c r="I565" s="23"/>
      <c r="J565" s="23"/>
      <c r="K565" s="23"/>
      <c r="L565" s="23"/>
      <c r="M565" s="23"/>
      <c r="N565" s="26"/>
      <c r="O565" s="26"/>
      <c r="P565" s="26"/>
      <c r="Q565" s="26"/>
      <c r="R565" s="26"/>
      <c r="S565" s="26"/>
      <c r="T565" s="27"/>
      <c r="U565" s="27"/>
      <c r="V565" s="27"/>
      <c r="W565" s="27"/>
      <c r="X565" s="27"/>
      <c r="Y565" s="27"/>
      <c r="Z565" s="28"/>
      <c r="AA565" s="28"/>
      <c r="AB565" s="28"/>
      <c r="AC565" s="28"/>
      <c r="AD565" s="28"/>
      <c r="AE565" s="28"/>
      <c r="AJ565" s="44"/>
      <c r="AK565" s="44"/>
      <c r="AL565" s="44"/>
      <c r="AM565" s="44"/>
      <c r="AN565" s="44"/>
      <c r="AO565" s="44"/>
      <c r="AP565" s="44"/>
      <c r="AQ565" s="44"/>
      <c r="AR565" s="44"/>
      <c r="AS565" s="44"/>
      <c r="AT565" s="44"/>
      <c r="AU565" s="44"/>
    </row>
    <row r="566" spans="1:47" x14ac:dyDescent="0.45">
      <c r="A566" s="3"/>
      <c r="B566" s="13"/>
      <c r="H566" s="23"/>
      <c r="I566" s="23"/>
      <c r="J566" s="23"/>
      <c r="K566" s="23"/>
      <c r="L566" s="23"/>
      <c r="M566" s="23"/>
      <c r="N566" s="26"/>
      <c r="O566" s="26"/>
      <c r="P566" s="26"/>
      <c r="Q566" s="26"/>
      <c r="R566" s="26"/>
      <c r="S566" s="26"/>
      <c r="T566" s="27"/>
      <c r="U566" s="27"/>
      <c r="V566" s="27"/>
      <c r="W566" s="27"/>
      <c r="X566" s="27"/>
      <c r="Y566" s="27"/>
      <c r="Z566" s="28"/>
      <c r="AA566" s="28"/>
      <c r="AB566" s="28"/>
      <c r="AC566" s="28"/>
      <c r="AD566" s="28"/>
      <c r="AE566" s="28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</row>
    <row r="567" spans="1:47" x14ac:dyDescent="0.45">
      <c r="A567" s="3"/>
      <c r="B567" s="13"/>
      <c r="H567" s="23"/>
      <c r="I567" s="23"/>
      <c r="J567" s="23"/>
      <c r="K567" s="23"/>
      <c r="L567" s="23"/>
      <c r="M567" s="23"/>
      <c r="N567" s="26"/>
      <c r="O567" s="26"/>
      <c r="P567" s="26"/>
      <c r="Q567" s="26"/>
      <c r="R567" s="26"/>
      <c r="S567" s="26"/>
      <c r="T567" s="27"/>
      <c r="U567" s="27"/>
      <c r="V567" s="27"/>
      <c r="W567" s="27"/>
      <c r="X567" s="27"/>
      <c r="Y567" s="27"/>
      <c r="Z567" s="28"/>
      <c r="AA567" s="28"/>
      <c r="AB567" s="28"/>
      <c r="AC567" s="28"/>
      <c r="AD567" s="28"/>
      <c r="AE567" s="28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</row>
    <row r="568" spans="1:47" x14ac:dyDescent="0.45">
      <c r="A568" s="3"/>
      <c r="B568" s="13"/>
      <c r="H568" s="23"/>
      <c r="I568" s="23"/>
      <c r="J568" s="23"/>
      <c r="K568" s="23"/>
      <c r="L568" s="23"/>
      <c r="M568" s="23"/>
      <c r="N568" s="26"/>
      <c r="O568" s="26"/>
      <c r="P568" s="26"/>
      <c r="Q568" s="26"/>
      <c r="R568" s="26"/>
      <c r="S568" s="26"/>
      <c r="T568" s="27"/>
      <c r="U568" s="27"/>
      <c r="V568" s="27"/>
      <c r="W568" s="27"/>
      <c r="X568" s="27"/>
      <c r="Y568" s="27"/>
      <c r="Z568" s="28"/>
      <c r="AA568" s="28"/>
      <c r="AB568" s="28"/>
      <c r="AC568" s="28"/>
      <c r="AD568" s="28"/>
      <c r="AE568" s="28"/>
      <c r="AJ568" s="44"/>
      <c r="AK568" s="44"/>
      <c r="AL568" s="44"/>
      <c r="AM568" s="44"/>
      <c r="AN568" s="44"/>
      <c r="AO568" s="44"/>
      <c r="AP568" s="44"/>
      <c r="AQ568" s="44"/>
      <c r="AR568" s="44"/>
      <c r="AS568" s="44"/>
      <c r="AT568" s="44"/>
      <c r="AU568" s="44"/>
    </row>
    <row r="569" spans="1:47" x14ac:dyDescent="0.45">
      <c r="A569" s="3"/>
      <c r="B569" s="13"/>
      <c r="H569" s="23"/>
      <c r="I569" s="23"/>
      <c r="J569" s="23"/>
      <c r="K569" s="23"/>
      <c r="L569" s="23"/>
      <c r="M569" s="23"/>
      <c r="N569" s="26"/>
      <c r="O569" s="26"/>
      <c r="P569" s="26"/>
      <c r="Q569" s="26"/>
      <c r="R569" s="26"/>
      <c r="S569" s="26"/>
      <c r="T569" s="27"/>
      <c r="U569" s="27"/>
      <c r="V569" s="27"/>
      <c r="W569" s="27"/>
      <c r="X569" s="27"/>
      <c r="Y569" s="27"/>
      <c r="Z569" s="28"/>
      <c r="AA569" s="28"/>
      <c r="AB569" s="28"/>
      <c r="AC569" s="28"/>
      <c r="AD569" s="28"/>
      <c r="AE569" s="28"/>
      <c r="AJ569" s="44"/>
      <c r="AK569" s="44"/>
      <c r="AL569" s="44"/>
      <c r="AM569" s="44"/>
      <c r="AN569" s="44"/>
      <c r="AO569" s="44"/>
      <c r="AP569" s="44"/>
      <c r="AQ569" s="44"/>
      <c r="AR569" s="44"/>
      <c r="AS569" s="44"/>
      <c r="AT569" s="44"/>
      <c r="AU569" s="44"/>
    </row>
    <row r="570" spans="1:47" x14ac:dyDescent="0.45">
      <c r="A570" s="3"/>
      <c r="B570" s="13"/>
      <c r="H570" s="23"/>
      <c r="I570" s="23"/>
      <c r="J570" s="23"/>
      <c r="K570" s="23"/>
      <c r="L570" s="23"/>
      <c r="M570" s="23"/>
      <c r="N570" s="26"/>
      <c r="O570" s="26"/>
      <c r="P570" s="26"/>
      <c r="Q570" s="26"/>
      <c r="R570" s="26"/>
      <c r="S570" s="26"/>
      <c r="T570" s="27"/>
      <c r="U570" s="27"/>
      <c r="V570" s="27"/>
      <c r="W570" s="27"/>
      <c r="X570" s="27"/>
      <c r="Y570" s="27"/>
      <c r="Z570" s="28"/>
      <c r="AA570" s="28"/>
      <c r="AB570" s="28"/>
      <c r="AC570" s="28"/>
      <c r="AD570" s="28"/>
      <c r="AE570" s="28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</row>
    <row r="571" spans="1:47" x14ac:dyDescent="0.45">
      <c r="A571" s="3"/>
      <c r="B571" s="13"/>
      <c r="H571" s="23"/>
      <c r="I571" s="23"/>
      <c r="J571" s="23"/>
      <c r="K571" s="23"/>
      <c r="L571" s="23"/>
      <c r="M571" s="23"/>
      <c r="N571" s="26"/>
      <c r="O571" s="26"/>
      <c r="P571" s="26"/>
      <c r="Q571" s="26"/>
      <c r="R571" s="26"/>
      <c r="S571" s="26"/>
      <c r="T571" s="27"/>
      <c r="U571" s="27"/>
      <c r="V571" s="27"/>
      <c r="W571" s="27"/>
      <c r="X571" s="27"/>
      <c r="Y571" s="27"/>
      <c r="Z571" s="28"/>
      <c r="AA571" s="28"/>
      <c r="AB571" s="28"/>
      <c r="AC571" s="28"/>
      <c r="AD571" s="28"/>
      <c r="AE571" s="28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</row>
    <row r="572" spans="1:47" x14ac:dyDescent="0.45">
      <c r="A572" s="3"/>
      <c r="B572" s="13"/>
      <c r="H572" s="23"/>
      <c r="I572" s="23"/>
      <c r="J572" s="23"/>
      <c r="K572" s="23"/>
      <c r="L572" s="23"/>
      <c r="M572" s="23"/>
      <c r="N572" s="26"/>
      <c r="O572" s="26"/>
      <c r="P572" s="26"/>
      <c r="Q572" s="26"/>
      <c r="R572" s="26"/>
      <c r="S572" s="26"/>
      <c r="T572" s="27"/>
      <c r="U572" s="27"/>
      <c r="V572" s="27"/>
      <c r="W572" s="27"/>
      <c r="X572" s="27"/>
      <c r="Y572" s="27"/>
      <c r="Z572" s="28"/>
      <c r="AA572" s="28"/>
      <c r="AB572" s="28"/>
      <c r="AC572" s="28"/>
      <c r="AD572" s="28"/>
      <c r="AE572" s="28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</row>
    <row r="573" spans="1:47" x14ac:dyDescent="0.45">
      <c r="A573" s="3"/>
      <c r="B573" s="13"/>
      <c r="H573" s="23"/>
      <c r="I573" s="23"/>
      <c r="J573" s="23"/>
      <c r="K573" s="23"/>
      <c r="L573" s="23"/>
      <c r="M573" s="23"/>
      <c r="N573" s="26"/>
      <c r="O573" s="26"/>
      <c r="P573" s="26"/>
      <c r="Q573" s="26"/>
      <c r="R573" s="26"/>
      <c r="S573" s="26"/>
      <c r="T573" s="27"/>
      <c r="U573" s="27"/>
      <c r="V573" s="27"/>
      <c r="W573" s="27"/>
      <c r="X573" s="27"/>
      <c r="Y573" s="27"/>
      <c r="Z573" s="28"/>
      <c r="AA573" s="28"/>
      <c r="AB573" s="28"/>
      <c r="AC573" s="28"/>
      <c r="AD573" s="28"/>
      <c r="AE573" s="28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</row>
    <row r="574" spans="1:47" x14ac:dyDescent="0.45">
      <c r="A574" s="3"/>
      <c r="B574" s="13"/>
      <c r="H574" s="23"/>
      <c r="I574" s="23"/>
      <c r="J574" s="23"/>
      <c r="K574" s="23"/>
      <c r="L574" s="23"/>
      <c r="M574" s="23"/>
      <c r="N574" s="26"/>
      <c r="O574" s="26"/>
      <c r="P574" s="26"/>
      <c r="Q574" s="26"/>
      <c r="R574" s="26"/>
      <c r="S574" s="26"/>
      <c r="T574" s="27"/>
      <c r="U574" s="27"/>
      <c r="V574" s="27"/>
      <c r="W574" s="27"/>
      <c r="X574" s="27"/>
      <c r="Y574" s="27"/>
      <c r="Z574" s="28"/>
      <c r="AA574" s="28"/>
      <c r="AB574" s="28"/>
      <c r="AC574" s="28"/>
      <c r="AD574" s="28"/>
      <c r="AE574" s="28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</row>
    <row r="575" spans="1:47" x14ac:dyDescent="0.45">
      <c r="A575" s="3"/>
      <c r="B575" s="13"/>
      <c r="H575" s="23"/>
      <c r="I575" s="23"/>
      <c r="J575" s="23"/>
      <c r="K575" s="23"/>
      <c r="L575" s="23"/>
      <c r="M575" s="23"/>
      <c r="N575" s="26"/>
      <c r="O575" s="26"/>
      <c r="P575" s="26"/>
      <c r="Q575" s="26"/>
      <c r="R575" s="26"/>
      <c r="S575" s="26"/>
      <c r="T575" s="27"/>
      <c r="U575" s="27"/>
      <c r="V575" s="27"/>
      <c r="W575" s="27"/>
      <c r="X575" s="27"/>
      <c r="Y575" s="27"/>
      <c r="Z575" s="28"/>
      <c r="AA575" s="28"/>
      <c r="AB575" s="28"/>
      <c r="AC575" s="28"/>
      <c r="AD575" s="28"/>
      <c r="AE575" s="28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</row>
    <row r="576" spans="1:47" x14ac:dyDescent="0.45">
      <c r="A576" s="3"/>
      <c r="B576" s="13"/>
      <c r="H576" s="23"/>
      <c r="I576" s="23"/>
      <c r="J576" s="23"/>
      <c r="K576" s="23"/>
      <c r="L576" s="23"/>
      <c r="M576" s="23"/>
      <c r="N576" s="26"/>
      <c r="O576" s="26"/>
      <c r="P576" s="26"/>
      <c r="Q576" s="26"/>
      <c r="R576" s="26"/>
      <c r="S576" s="26"/>
      <c r="T576" s="27"/>
      <c r="U576" s="27"/>
      <c r="V576" s="27"/>
      <c r="W576" s="27"/>
      <c r="X576" s="27"/>
      <c r="Y576" s="27"/>
      <c r="Z576" s="28"/>
      <c r="AA576" s="28"/>
      <c r="AB576" s="28"/>
      <c r="AC576" s="28"/>
      <c r="AD576" s="28"/>
      <c r="AE576" s="28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</row>
    <row r="577" spans="1:47" x14ac:dyDescent="0.45">
      <c r="A577" s="3"/>
      <c r="B577" s="13"/>
      <c r="H577" s="23"/>
      <c r="I577" s="23"/>
      <c r="J577" s="23"/>
      <c r="K577" s="23"/>
      <c r="L577" s="23"/>
      <c r="M577" s="23"/>
      <c r="N577" s="26"/>
      <c r="O577" s="26"/>
      <c r="P577" s="26"/>
      <c r="Q577" s="26"/>
      <c r="R577" s="26"/>
      <c r="S577" s="26"/>
      <c r="T577" s="27"/>
      <c r="U577" s="27"/>
      <c r="V577" s="27"/>
      <c r="W577" s="27"/>
      <c r="X577" s="27"/>
      <c r="Y577" s="27"/>
      <c r="Z577" s="28"/>
      <c r="AA577" s="28"/>
      <c r="AB577" s="28"/>
      <c r="AC577" s="28"/>
      <c r="AD577" s="28"/>
      <c r="AE577" s="28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</row>
    <row r="578" spans="1:47" x14ac:dyDescent="0.45">
      <c r="A578" s="3"/>
      <c r="B578" s="13"/>
      <c r="H578" s="23"/>
      <c r="I578" s="23"/>
      <c r="J578" s="23"/>
      <c r="K578" s="23"/>
      <c r="L578" s="23"/>
      <c r="M578" s="23"/>
      <c r="N578" s="26"/>
      <c r="O578" s="26"/>
      <c r="P578" s="26"/>
      <c r="Q578" s="26"/>
      <c r="R578" s="26"/>
      <c r="S578" s="26"/>
      <c r="T578" s="27"/>
      <c r="U578" s="27"/>
      <c r="V578" s="27"/>
      <c r="W578" s="27"/>
      <c r="X578" s="27"/>
      <c r="Y578" s="27"/>
      <c r="Z578" s="28"/>
      <c r="AA578" s="28"/>
      <c r="AB578" s="28"/>
      <c r="AC578" s="28"/>
      <c r="AD578" s="28"/>
      <c r="AE578" s="28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</row>
    <row r="579" spans="1:47" x14ac:dyDescent="0.45">
      <c r="A579" s="3"/>
      <c r="B579" s="13"/>
      <c r="H579" s="23"/>
      <c r="I579" s="23"/>
      <c r="J579" s="23"/>
      <c r="K579" s="23"/>
      <c r="L579" s="23"/>
      <c r="M579" s="23"/>
      <c r="N579" s="26"/>
      <c r="O579" s="26"/>
      <c r="P579" s="26"/>
      <c r="Q579" s="26"/>
      <c r="R579" s="26"/>
      <c r="S579" s="26"/>
      <c r="T579" s="27"/>
      <c r="U579" s="27"/>
      <c r="V579" s="27"/>
      <c r="W579" s="27"/>
      <c r="X579" s="27"/>
      <c r="Y579" s="27"/>
      <c r="Z579" s="28"/>
      <c r="AA579" s="28"/>
      <c r="AB579" s="28"/>
      <c r="AC579" s="28"/>
      <c r="AD579" s="28"/>
      <c r="AE579" s="28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</row>
    <row r="580" spans="1:47" x14ac:dyDescent="0.45">
      <c r="A580" s="3"/>
      <c r="B580" s="13"/>
      <c r="H580" s="23"/>
      <c r="I580" s="23"/>
      <c r="J580" s="23"/>
      <c r="K580" s="23"/>
      <c r="L580" s="23"/>
      <c r="M580" s="23"/>
      <c r="N580" s="26"/>
      <c r="O580" s="26"/>
      <c r="P580" s="26"/>
      <c r="Q580" s="26"/>
      <c r="R580" s="26"/>
      <c r="S580" s="26"/>
      <c r="T580" s="27"/>
      <c r="U580" s="27"/>
      <c r="V580" s="27"/>
      <c r="W580" s="27"/>
      <c r="X580" s="27"/>
      <c r="Y580" s="27"/>
      <c r="Z580" s="28"/>
      <c r="AA580" s="28"/>
      <c r="AB580" s="28"/>
      <c r="AC580" s="28"/>
      <c r="AD580" s="28"/>
      <c r="AE580" s="28"/>
      <c r="AJ580" s="44"/>
      <c r="AK580" s="44"/>
      <c r="AL580" s="44"/>
      <c r="AM580" s="44"/>
      <c r="AN580" s="44"/>
      <c r="AO580" s="44"/>
      <c r="AP580" s="44"/>
      <c r="AQ580" s="44"/>
      <c r="AR580" s="44"/>
      <c r="AS580" s="44"/>
      <c r="AT580" s="44"/>
      <c r="AU580" s="44"/>
    </row>
    <row r="581" spans="1:47" x14ac:dyDescent="0.45">
      <c r="A581" s="3"/>
      <c r="B581" s="13"/>
      <c r="H581" s="23"/>
      <c r="I581" s="23"/>
      <c r="J581" s="23"/>
      <c r="K581" s="23"/>
      <c r="L581" s="23"/>
      <c r="M581" s="23"/>
      <c r="N581" s="26"/>
      <c r="O581" s="26"/>
      <c r="P581" s="26"/>
      <c r="Q581" s="26"/>
      <c r="R581" s="26"/>
      <c r="S581" s="26"/>
      <c r="T581" s="27"/>
      <c r="U581" s="27"/>
      <c r="V581" s="27"/>
      <c r="W581" s="27"/>
      <c r="X581" s="27"/>
      <c r="Y581" s="27"/>
      <c r="Z581" s="28"/>
      <c r="AA581" s="28"/>
      <c r="AB581" s="28"/>
      <c r="AC581" s="28"/>
      <c r="AD581" s="28"/>
      <c r="AE581" s="28"/>
      <c r="AJ581" s="44"/>
      <c r="AK581" s="44"/>
      <c r="AL581" s="44"/>
      <c r="AM581" s="44"/>
      <c r="AN581" s="44"/>
      <c r="AO581" s="44"/>
      <c r="AP581" s="44"/>
      <c r="AQ581" s="44"/>
      <c r="AR581" s="44"/>
      <c r="AS581" s="44"/>
      <c r="AT581" s="44"/>
      <c r="AU581" s="44"/>
    </row>
    <row r="582" spans="1:47" x14ac:dyDescent="0.45">
      <c r="A582" s="3"/>
      <c r="B582" s="13"/>
      <c r="H582" s="23"/>
      <c r="I582" s="23"/>
      <c r="J582" s="23"/>
      <c r="K582" s="23"/>
      <c r="L582" s="23"/>
      <c r="M582" s="23"/>
      <c r="N582" s="26"/>
      <c r="O582" s="26"/>
      <c r="P582" s="26"/>
      <c r="Q582" s="26"/>
      <c r="R582" s="26"/>
      <c r="S582" s="26"/>
      <c r="T582" s="27"/>
      <c r="U582" s="27"/>
      <c r="V582" s="27"/>
      <c r="W582" s="27"/>
      <c r="X582" s="27"/>
      <c r="Y582" s="27"/>
      <c r="Z582" s="28"/>
      <c r="AA582" s="28"/>
      <c r="AB582" s="28"/>
      <c r="AC582" s="28"/>
      <c r="AD582" s="28"/>
      <c r="AE582" s="28"/>
      <c r="AJ582" s="44"/>
      <c r="AK582" s="44"/>
      <c r="AL582" s="44"/>
      <c r="AM582" s="44"/>
      <c r="AN582" s="44"/>
      <c r="AO582" s="44"/>
      <c r="AP582" s="44"/>
      <c r="AQ582" s="44"/>
      <c r="AR582" s="44"/>
      <c r="AS582" s="44"/>
      <c r="AT582" s="44"/>
      <c r="AU582" s="44"/>
    </row>
    <row r="583" spans="1:47" x14ac:dyDescent="0.45">
      <c r="A583" s="3"/>
      <c r="B583" s="13"/>
      <c r="H583" s="23"/>
      <c r="I583" s="23"/>
      <c r="J583" s="23"/>
      <c r="K583" s="23"/>
      <c r="L583" s="23"/>
      <c r="M583" s="23"/>
      <c r="N583" s="26"/>
      <c r="O583" s="26"/>
      <c r="P583" s="26"/>
      <c r="Q583" s="26"/>
      <c r="R583" s="26"/>
      <c r="S583" s="26"/>
      <c r="T583" s="27"/>
      <c r="U583" s="27"/>
      <c r="V583" s="27"/>
      <c r="W583" s="27"/>
      <c r="X583" s="27"/>
      <c r="Y583" s="27"/>
      <c r="Z583" s="28"/>
      <c r="AA583" s="28"/>
      <c r="AB583" s="28"/>
      <c r="AC583" s="28"/>
      <c r="AD583" s="28"/>
      <c r="AE583" s="28"/>
      <c r="AJ583" s="44"/>
      <c r="AK583" s="44"/>
      <c r="AL583" s="44"/>
      <c r="AM583" s="44"/>
      <c r="AN583" s="44"/>
      <c r="AO583" s="44"/>
      <c r="AP583" s="44"/>
      <c r="AQ583" s="44"/>
      <c r="AR583" s="44"/>
      <c r="AS583" s="44"/>
      <c r="AT583" s="44"/>
      <c r="AU583" s="44"/>
    </row>
    <row r="584" spans="1:47" x14ac:dyDescent="0.45">
      <c r="A584" s="3"/>
      <c r="B584" s="13"/>
      <c r="H584" s="23"/>
      <c r="I584" s="23"/>
      <c r="J584" s="23"/>
      <c r="K584" s="23"/>
      <c r="L584" s="23"/>
      <c r="M584" s="23"/>
      <c r="N584" s="26"/>
      <c r="O584" s="26"/>
      <c r="P584" s="26"/>
      <c r="Q584" s="26"/>
      <c r="R584" s="26"/>
      <c r="S584" s="26"/>
      <c r="T584" s="27"/>
      <c r="U584" s="27"/>
      <c r="V584" s="27"/>
      <c r="W584" s="27"/>
      <c r="X584" s="27"/>
      <c r="Y584" s="27"/>
      <c r="Z584" s="28"/>
      <c r="AA584" s="28"/>
      <c r="AB584" s="28"/>
      <c r="AC584" s="28"/>
      <c r="AD584" s="28"/>
      <c r="AE584" s="28"/>
      <c r="AJ584" s="44"/>
      <c r="AK584" s="44"/>
      <c r="AL584" s="44"/>
      <c r="AM584" s="44"/>
      <c r="AN584" s="44"/>
      <c r="AO584" s="44"/>
      <c r="AP584" s="44"/>
      <c r="AQ584" s="44"/>
      <c r="AR584" s="44"/>
      <c r="AS584" s="44"/>
      <c r="AT584" s="44"/>
      <c r="AU584" s="44"/>
    </row>
    <row r="585" spans="1:47" x14ac:dyDescent="0.45">
      <c r="A585" s="3"/>
      <c r="B585" s="13"/>
      <c r="H585" s="23"/>
      <c r="I585" s="23"/>
      <c r="J585" s="23"/>
      <c r="K585" s="23"/>
      <c r="L585" s="23"/>
      <c r="M585" s="23"/>
      <c r="N585" s="26"/>
      <c r="O585" s="26"/>
      <c r="P585" s="26"/>
      <c r="Q585" s="26"/>
      <c r="R585" s="26"/>
      <c r="S585" s="26"/>
      <c r="T585" s="27"/>
      <c r="U585" s="27"/>
      <c r="V585" s="27"/>
      <c r="W585" s="27"/>
      <c r="X585" s="27"/>
      <c r="Y585" s="27"/>
      <c r="Z585" s="28"/>
      <c r="AA585" s="28"/>
      <c r="AB585" s="28"/>
      <c r="AC585" s="28"/>
      <c r="AD585" s="28"/>
      <c r="AE585" s="28"/>
      <c r="AJ585" s="44"/>
      <c r="AK585" s="44"/>
      <c r="AL585" s="44"/>
      <c r="AM585" s="44"/>
      <c r="AN585" s="44"/>
      <c r="AO585" s="44"/>
      <c r="AP585" s="44"/>
      <c r="AQ585" s="44"/>
      <c r="AR585" s="44"/>
      <c r="AS585" s="44"/>
      <c r="AT585" s="44"/>
      <c r="AU585" s="44"/>
    </row>
    <row r="586" spans="1:47" x14ac:dyDescent="0.45">
      <c r="A586" s="3"/>
      <c r="B586" s="13"/>
      <c r="H586" s="23"/>
      <c r="I586" s="23"/>
      <c r="J586" s="23"/>
      <c r="K586" s="23"/>
      <c r="L586" s="23"/>
      <c r="M586" s="23"/>
      <c r="N586" s="26"/>
      <c r="O586" s="26"/>
      <c r="P586" s="26"/>
      <c r="Q586" s="26"/>
      <c r="R586" s="26"/>
      <c r="S586" s="26"/>
      <c r="T586" s="27"/>
      <c r="U586" s="27"/>
      <c r="V586" s="27"/>
      <c r="W586" s="27"/>
      <c r="X586" s="27"/>
      <c r="Y586" s="27"/>
      <c r="Z586" s="28"/>
      <c r="AA586" s="28"/>
      <c r="AB586" s="28"/>
      <c r="AC586" s="28"/>
      <c r="AD586" s="28"/>
      <c r="AE586" s="28"/>
      <c r="AJ586" s="44"/>
      <c r="AK586" s="44"/>
      <c r="AL586" s="44"/>
      <c r="AM586" s="44"/>
      <c r="AN586" s="44"/>
      <c r="AO586" s="44"/>
      <c r="AP586" s="44"/>
      <c r="AQ586" s="44"/>
      <c r="AR586" s="44"/>
      <c r="AS586" s="44"/>
      <c r="AT586" s="44"/>
      <c r="AU586" s="44"/>
    </row>
    <row r="587" spans="1:47" x14ac:dyDescent="0.45">
      <c r="A587" s="3"/>
      <c r="B587" s="13"/>
      <c r="H587" s="23"/>
      <c r="I587" s="23"/>
      <c r="J587" s="23"/>
      <c r="K587" s="23"/>
      <c r="L587" s="23"/>
      <c r="M587" s="23"/>
      <c r="N587" s="26"/>
      <c r="O587" s="26"/>
      <c r="P587" s="26"/>
      <c r="Q587" s="26"/>
      <c r="R587" s="26"/>
      <c r="S587" s="26"/>
      <c r="T587" s="27"/>
      <c r="U587" s="27"/>
      <c r="V587" s="27"/>
      <c r="W587" s="27"/>
      <c r="X587" s="27"/>
      <c r="Y587" s="27"/>
      <c r="Z587" s="28"/>
      <c r="AA587" s="28"/>
      <c r="AB587" s="28"/>
      <c r="AC587" s="28"/>
      <c r="AD587" s="28"/>
      <c r="AE587" s="28"/>
      <c r="AJ587" s="44"/>
      <c r="AK587" s="44"/>
      <c r="AL587" s="44"/>
      <c r="AM587" s="44"/>
      <c r="AN587" s="44"/>
      <c r="AO587" s="44"/>
      <c r="AP587" s="44"/>
      <c r="AQ587" s="44"/>
      <c r="AR587" s="44"/>
      <c r="AS587" s="44"/>
      <c r="AT587" s="44"/>
      <c r="AU587" s="44"/>
    </row>
    <row r="588" spans="1:47" x14ac:dyDescent="0.45">
      <c r="A588" s="3"/>
      <c r="B588" s="13"/>
      <c r="H588" s="23"/>
      <c r="I588" s="23"/>
      <c r="J588" s="23"/>
      <c r="K588" s="23"/>
      <c r="L588" s="23"/>
      <c r="M588" s="23"/>
      <c r="N588" s="26"/>
      <c r="O588" s="26"/>
      <c r="P588" s="26"/>
      <c r="Q588" s="26"/>
      <c r="R588" s="26"/>
      <c r="S588" s="26"/>
      <c r="T588" s="27"/>
      <c r="U588" s="27"/>
      <c r="V588" s="27"/>
      <c r="W588" s="27"/>
      <c r="X588" s="27"/>
      <c r="Y588" s="27"/>
      <c r="Z588" s="28"/>
      <c r="AA588" s="28"/>
      <c r="AB588" s="28"/>
      <c r="AC588" s="28"/>
      <c r="AD588" s="28"/>
      <c r="AE588" s="28"/>
      <c r="AJ588" s="44"/>
      <c r="AK588" s="44"/>
      <c r="AL588" s="44"/>
      <c r="AM588" s="44"/>
      <c r="AN588" s="44"/>
      <c r="AO588" s="44"/>
      <c r="AP588" s="44"/>
      <c r="AQ588" s="44"/>
      <c r="AR588" s="44"/>
      <c r="AS588" s="44"/>
      <c r="AT588" s="44"/>
      <c r="AU588" s="44"/>
    </row>
    <row r="589" spans="1:47" x14ac:dyDescent="0.45">
      <c r="A589" s="3"/>
      <c r="B589" s="13"/>
      <c r="H589" s="23"/>
      <c r="I589" s="23"/>
      <c r="J589" s="23"/>
      <c r="K589" s="23"/>
      <c r="L589" s="23"/>
      <c r="M589" s="23"/>
      <c r="N589" s="26"/>
      <c r="O589" s="26"/>
      <c r="P589" s="26"/>
      <c r="Q589" s="26"/>
      <c r="R589" s="26"/>
      <c r="S589" s="26"/>
      <c r="T589" s="27"/>
      <c r="U589" s="27"/>
      <c r="V589" s="27"/>
      <c r="W589" s="27"/>
      <c r="X589" s="27"/>
      <c r="Y589" s="27"/>
      <c r="Z589" s="28"/>
      <c r="AA589" s="28"/>
      <c r="AB589" s="28"/>
      <c r="AC589" s="28"/>
      <c r="AD589" s="28"/>
      <c r="AE589" s="28"/>
      <c r="AJ589" s="44"/>
      <c r="AK589" s="44"/>
      <c r="AL589" s="44"/>
      <c r="AM589" s="44"/>
      <c r="AN589" s="44"/>
      <c r="AO589" s="44"/>
      <c r="AP589" s="44"/>
      <c r="AQ589" s="44"/>
      <c r="AR589" s="44"/>
      <c r="AS589" s="44"/>
      <c r="AT589" s="44"/>
      <c r="AU589" s="44"/>
    </row>
    <row r="590" spans="1:47" x14ac:dyDescent="0.45">
      <c r="A590" s="3"/>
      <c r="B590" s="13"/>
      <c r="H590" s="23"/>
      <c r="I590" s="23"/>
      <c r="J590" s="23"/>
      <c r="K590" s="23"/>
      <c r="L590" s="23"/>
      <c r="M590" s="23"/>
      <c r="N590" s="26"/>
      <c r="O590" s="26"/>
      <c r="P590" s="26"/>
      <c r="Q590" s="26"/>
      <c r="R590" s="26"/>
      <c r="S590" s="26"/>
      <c r="T590" s="27"/>
      <c r="U590" s="27"/>
      <c r="V590" s="27"/>
      <c r="W590" s="27"/>
      <c r="X590" s="27"/>
      <c r="Y590" s="27"/>
      <c r="Z590" s="28"/>
      <c r="AA590" s="28"/>
      <c r="AB590" s="28"/>
      <c r="AC590" s="28"/>
      <c r="AD590" s="28"/>
      <c r="AE590" s="28"/>
      <c r="AJ590" s="44"/>
      <c r="AK590" s="44"/>
      <c r="AL590" s="44"/>
      <c r="AM590" s="44"/>
      <c r="AN590" s="44"/>
      <c r="AO590" s="44"/>
      <c r="AP590" s="44"/>
      <c r="AQ590" s="44"/>
      <c r="AR590" s="44"/>
      <c r="AS590" s="44"/>
      <c r="AT590" s="44"/>
      <c r="AU590" s="44"/>
    </row>
    <row r="591" spans="1:47" x14ac:dyDescent="0.45">
      <c r="A591" s="3"/>
      <c r="B591" s="13"/>
      <c r="H591" s="23"/>
      <c r="I591" s="23"/>
      <c r="J591" s="23"/>
      <c r="K591" s="23"/>
      <c r="L591" s="23"/>
      <c r="M591" s="23"/>
      <c r="N591" s="26"/>
      <c r="O591" s="26"/>
      <c r="P591" s="26"/>
      <c r="Q591" s="26"/>
      <c r="R591" s="26"/>
      <c r="S591" s="26"/>
      <c r="T591" s="27"/>
      <c r="U591" s="27"/>
      <c r="V591" s="27"/>
      <c r="W591" s="27"/>
      <c r="X591" s="27"/>
      <c r="Y591" s="27"/>
      <c r="Z591" s="28"/>
      <c r="AA591" s="28"/>
      <c r="AB591" s="28"/>
      <c r="AC591" s="28"/>
      <c r="AD591" s="28"/>
      <c r="AE591" s="28"/>
      <c r="AJ591" s="44"/>
      <c r="AK591" s="44"/>
      <c r="AL591" s="44"/>
      <c r="AM591" s="44"/>
      <c r="AN591" s="44"/>
      <c r="AO591" s="44"/>
      <c r="AP591" s="44"/>
      <c r="AQ591" s="44"/>
      <c r="AR591" s="44"/>
      <c r="AS591" s="44"/>
      <c r="AT591" s="44"/>
      <c r="AU591" s="44"/>
    </row>
    <row r="592" spans="1:47" x14ac:dyDescent="0.45">
      <c r="A592" s="3"/>
      <c r="B592" s="13"/>
      <c r="H592" s="23"/>
      <c r="I592" s="23"/>
      <c r="J592" s="23"/>
      <c r="K592" s="23"/>
      <c r="L592" s="23"/>
      <c r="M592" s="23"/>
      <c r="N592" s="26"/>
      <c r="O592" s="26"/>
      <c r="P592" s="26"/>
      <c r="Q592" s="26"/>
      <c r="R592" s="26"/>
      <c r="S592" s="26"/>
      <c r="T592" s="27"/>
      <c r="U592" s="27"/>
      <c r="V592" s="27"/>
      <c r="W592" s="27"/>
      <c r="X592" s="27"/>
      <c r="Y592" s="27"/>
      <c r="Z592" s="28"/>
      <c r="AA592" s="28"/>
      <c r="AB592" s="28"/>
      <c r="AC592" s="28"/>
      <c r="AD592" s="28"/>
      <c r="AE592" s="28"/>
      <c r="AJ592" s="44"/>
      <c r="AK592" s="44"/>
      <c r="AL592" s="44"/>
      <c r="AM592" s="44"/>
      <c r="AN592" s="44"/>
      <c r="AO592" s="44"/>
      <c r="AP592" s="44"/>
      <c r="AQ592" s="44"/>
      <c r="AR592" s="44"/>
      <c r="AS592" s="44"/>
      <c r="AT592" s="44"/>
      <c r="AU592" s="44"/>
    </row>
    <row r="593" spans="1:47" x14ac:dyDescent="0.45">
      <c r="A593" s="3"/>
      <c r="B593" s="13"/>
      <c r="H593" s="23"/>
      <c r="I593" s="23"/>
      <c r="J593" s="23"/>
      <c r="K593" s="23"/>
      <c r="L593" s="23"/>
      <c r="M593" s="23"/>
      <c r="N593" s="26"/>
      <c r="O593" s="26"/>
      <c r="P593" s="26"/>
      <c r="Q593" s="26"/>
      <c r="R593" s="26"/>
      <c r="S593" s="26"/>
      <c r="T593" s="27"/>
      <c r="U593" s="27"/>
      <c r="V593" s="27"/>
      <c r="W593" s="27"/>
      <c r="X593" s="27"/>
      <c r="Y593" s="27"/>
      <c r="Z593" s="28"/>
      <c r="AA593" s="28"/>
      <c r="AB593" s="28"/>
      <c r="AC593" s="28"/>
      <c r="AD593" s="28"/>
      <c r="AE593" s="28"/>
      <c r="AJ593" s="44"/>
      <c r="AK593" s="44"/>
      <c r="AL593" s="44"/>
      <c r="AM593" s="44"/>
      <c r="AN593" s="44"/>
      <c r="AO593" s="44"/>
      <c r="AP593" s="44"/>
      <c r="AQ593" s="44"/>
      <c r="AR593" s="44"/>
      <c r="AS593" s="44"/>
      <c r="AT593" s="44"/>
      <c r="AU593" s="44"/>
    </row>
    <row r="594" spans="1:47" x14ac:dyDescent="0.45">
      <c r="A594" s="3"/>
      <c r="B594" s="13"/>
      <c r="H594" s="23"/>
      <c r="I594" s="23"/>
      <c r="J594" s="23"/>
      <c r="K594" s="23"/>
      <c r="L594" s="23"/>
      <c r="M594" s="23"/>
      <c r="N594" s="26"/>
      <c r="O594" s="26"/>
      <c r="P594" s="26"/>
      <c r="Q594" s="26"/>
      <c r="R594" s="26"/>
      <c r="S594" s="26"/>
      <c r="T594" s="27"/>
      <c r="U594" s="27"/>
      <c r="V594" s="27"/>
      <c r="W594" s="27"/>
      <c r="X594" s="27"/>
      <c r="Y594" s="27"/>
      <c r="Z594" s="28"/>
      <c r="AA594" s="28"/>
      <c r="AB594" s="28"/>
      <c r="AC594" s="28"/>
      <c r="AD594" s="28"/>
      <c r="AE594" s="28"/>
      <c r="AJ594" s="44"/>
      <c r="AK594" s="44"/>
      <c r="AL594" s="44"/>
      <c r="AM594" s="44"/>
      <c r="AN594" s="44"/>
      <c r="AO594" s="44"/>
      <c r="AP594" s="44"/>
      <c r="AQ594" s="44"/>
      <c r="AR594" s="44"/>
      <c r="AS594" s="44"/>
      <c r="AT594" s="44"/>
      <c r="AU594" s="44"/>
    </row>
    <row r="595" spans="1:47" x14ac:dyDescent="0.45">
      <c r="A595" s="3"/>
      <c r="B595" s="13"/>
      <c r="H595" s="23"/>
      <c r="I595" s="23"/>
      <c r="J595" s="23"/>
      <c r="K595" s="23"/>
      <c r="L595" s="23"/>
      <c r="M595" s="23"/>
      <c r="N595" s="26"/>
      <c r="O595" s="26"/>
      <c r="P595" s="26"/>
      <c r="Q595" s="26"/>
      <c r="R595" s="26"/>
      <c r="S595" s="26"/>
      <c r="T595" s="27"/>
      <c r="U595" s="27"/>
      <c r="V595" s="27"/>
      <c r="W595" s="27"/>
      <c r="X595" s="27"/>
      <c r="Y595" s="27"/>
      <c r="Z595" s="28"/>
      <c r="AA595" s="28"/>
      <c r="AB595" s="28"/>
      <c r="AC595" s="28"/>
      <c r="AD595" s="28"/>
      <c r="AE595" s="28"/>
      <c r="AJ595" s="44"/>
      <c r="AK595" s="44"/>
      <c r="AL595" s="44"/>
      <c r="AM595" s="44"/>
      <c r="AN595" s="44"/>
      <c r="AO595" s="44"/>
      <c r="AP595" s="44"/>
      <c r="AQ595" s="44"/>
      <c r="AR595" s="44"/>
      <c r="AS595" s="44"/>
      <c r="AT595" s="44"/>
      <c r="AU595" s="44"/>
    </row>
    <row r="596" spans="1:47" x14ac:dyDescent="0.45">
      <c r="A596" s="3"/>
      <c r="B596" s="13"/>
      <c r="H596" s="23"/>
      <c r="I596" s="23"/>
      <c r="J596" s="23"/>
      <c r="K596" s="23"/>
      <c r="L596" s="23"/>
      <c r="M596" s="23"/>
      <c r="N596" s="26"/>
      <c r="O596" s="26"/>
      <c r="P596" s="26"/>
      <c r="Q596" s="26"/>
      <c r="R596" s="26"/>
      <c r="S596" s="26"/>
      <c r="T596" s="27"/>
      <c r="U596" s="27"/>
      <c r="V596" s="27"/>
      <c r="W596" s="27"/>
      <c r="X596" s="27"/>
      <c r="Y596" s="27"/>
      <c r="Z596" s="28"/>
      <c r="AA596" s="28"/>
      <c r="AB596" s="28"/>
      <c r="AC596" s="28"/>
      <c r="AD596" s="28"/>
      <c r="AE596" s="28"/>
      <c r="AJ596" s="44"/>
      <c r="AK596" s="44"/>
      <c r="AL596" s="44"/>
      <c r="AM596" s="44"/>
      <c r="AN596" s="44"/>
      <c r="AO596" s="44"/>
      <c r="AP596" s="44"/>
      <c r="AQ596" s="44"/>
      <c r="AR596" s="44"/>
      <c r="AS596" s="44"/>
      <c r="AT596" s="44"/>
      <c r="AU596" s="44"/>
    </row>
    <row r="597" spans="1:47" x14ac:dyDescent="0.45">
      <c r="A597" s="3"/>
      <c r="B597" s="13"/>
      <c r="H597" s="23"/>
      <c r="I597" s="23"/>
      <c r="J597" s="23"/>
      <c r="K597" s="23"/>
      <c r="L597" s="23"/>
      <c r="M597" s="23"/>
      <c r="N597" s="26"/>
      <c r="O597" s="26"/>
      <c r="P597" s="26"/>
      <c r="Q597" s="26"/>
      <c r="R597" s="26"/>
      <c r="S597" s="26"/>
      <c r="T597" s="27"/>
      <c r="U597" s="27"/>
      <c r="V597" s="27"/>
      <c r="W597" s="27"/>
      <c r="X597" s="27"/>
      <c r="Y597" s="27"/>
      <c r="Z597" s="28"/>
      <c r="AA597" s="28"/>
      <c r="AB597" s="28"/>
      <c r="AC597" s="28"/>
      <c r="AD597" s="28"/>
      <c r="AE597" s="28"/>
      <c r="AJ597" s="44"/>
      <c r="AK597" s="44"/>
      <c r="AL597" s="44"/>
      <c r="AM597" s="44"/>
      <c r="AN597" s="44"/>
      <c r="AO597" s="44"/>
      <c r="AP597" s="44"/>
      <c r="AQ597" s="44"/>
      <c r="AR597" s="44"/>
      <c r="AS597" s="44"/>
      <c r="AT597" s="44"/>
      <c r="AU597" s="44"/>
    </row>
    <row r="598" spans="1:47" x14ac:dyDescent="0.45">
      <c r="A598" s="3"/>
      <c r="B598" s="13"/>
      <c r="H598" s="23"/>
      <c r="I598" s="23"/>
      <c r="J598" s="23"/>
      <c r="K598" s="23"/>
      <c r="L598" s="23"/>
      <c r="M598" s="23"/>
      <c r="N598" s="26"/>
      <c r="O598" s="26"/>
      <c r="P598" s="26"/>
      <c r="Q598" s="26"/>
      <c r="R598" s="26"/>
      <c r="S598" s="26"/>
      <c r="T598" s="27"/>
      <c r="U598" s="27"/>
      <c r="V598" s="27"/>
      <c r="W598" s="27"/>
      <c r="X598" s="27"/>
      <c r="Y598" s="27"/>
      <c r="Z598" s="28"/>
      <c r="AA598" s="28"/>
      <c r="AB598" s="28"/>
      <c r="AC598" s="28"/>
      <c r="AD598" s="28"/>
      <c r="AE598" s="28"/>
      <c r="AJ598" s="44"/>
      <c r="AK598" s="44"/>
      <c r="AL598" s="44"/>
      <c r="AM598" s="44"/>
      <c r="AN598" s="44"/>
      <c r="AO598" s="44"/>
      <c r="AP598" s="44"/>
      <c r="AQ598" s="44"/>
      <c r="AR598" s="44"/>
      <c r="AS598" s="44"/>
      <c r="AT598" s="44"/>
      <c r="AU598" s="44"/>
    </row>
    <row r="599" spans="1:47" x14ac:dyDescent="0.45">
      <c r="A599" s="3"/>
      <c r="B599" s="13"/>
      <c r="H599" s="23"/>
      <c r="I599" s="23"/>
      <c r="J599" s="23"/>
      <c r="K599" s="23"/>
      <c r="L599" s="23"/>
      <c r="M599" s="23"/>
      <c r="N599" s="26"/>
      <c r="O599" s="26"/>
      <c r="P599" s="26"/>
      <c r="Q599" s="26"/>
      <c r="R599" s="26"/>
      <c r="S599" s="26"/>
      <c r="T599" s="27"/>
      <c r="U599" s="27"/>
      <c r="V599" s="27"/>
      <c r="W599" s="27"/>
      <c r="X599" s="27"/>
      <c r="Y599" s="27"/>
      <c r="Z599" s="28"/>
      <c r="AA599" s="28"/>
      <c r="AB599" s="28"/>
      <c r="AC599" s="28"/>
      <c r="AD599" s="28"/>
      <c r="AE599" s="28"/>
      <c r="AJ599" s="44"/>
      <c r="AK599" s="44"/>
      <c r="AL599" s="44"/>
      <c r="AM599" s="44"/>
      <c r="AN599" s="44"/>
      <c r="AO599" s="44"/>
      <c r="AP599" s="44"/>
      <c r="AQ599" s="44"/>
      <c r="AR599" s="44"/>
      <c r="AS599" s="44"/>
      <c r="AT599" s="44"/>
      <c r="AU599" s="44"/>
    </row>
    <row r="600" spans="1:47" x14ac:dyDescent="0.45">
      <c r="A600" s="3"/>
      <c r="B600" s="13"/>
      <c r="H600" s="23"/>
      <c r="I600" s="23"/>
      <c r="J600" s="23"/>
      <c r="K600" s="23"/>
      <c r="L600" s="23"/>
      <c r="M600" s="23"/>
      <c r="N600" s="26"/>
      <c r="O600" s="26"/>
      <c r="P600" s="26"/>
      <c r="Q600" s="26"/>
      <c r="R600" s="26"/>
      <c r="S600" s="26"/>
      <c r="T600" s="27"/>
      <c r="U600" s="27"/>
      <c r="V600" s="27"/>
      <c r="W600" s="27"/>
      <c r="X600" s="27"/>
      <c r="Y600" s="27"/>
      <c r="Z600" s="28"/>
      <c r="AA600" s="28"/>
      <c r="AB600" s="28"/>
      <c r="AC600" s="28"/>
      <c r="AD600" s="28"/>
      <c r="AE600" s="28"/>
      <c r="AJ600" s="44"/>
      <c r="AK600" s="44"/>
      <c r="AL600" s="44"/>
      <c r="AM600" s="44"/>
      <c r="AN600" s="44"/>
      <c r="AO600" s="44"/>
      <c r="AP600" s="44"/>
      <c r="AQ600" s="44"/>
      <c r="AR600" s="44"/>
      <c r="AS600" s="44"/>
      <c r="AT600" s="44"/>
      <c r="AU600" s="44"/>
    </row>
    <row r="601" spans="1:47" x14ac:dyDescent="0.45">
      <c r="A601" s="3"/>
      <c r="B601" s="13"/>
      <c r="H601" s="23"/>
      <c r="I601" s="23"/>
      <c r="J601" s="23"/>
      <c r="K601" s="23"/>
      <c r="L601" s="23"/>
      <c r="M601" s="23"/>
      <c r="N601" s="26"/>
      <c r="O601" s="26"/>
      <c r="P601" s="26"/>
      <c r="Q601" s="26"/>
      <c r="R601" s="26"/>
      <c r="S601" s="26"/>
      <c r="T601" s="27"/>
      <c r="U601" s="27"/>
      <c r="V601" s="27"/>
      <c r="W601" s="27"/>
      <c r="X601" s="27"/>
      <c r="Y601" s="27"/>
      <c r="Z601" s="28"/>
      <c r="AA601" s="28"/>
      <c r="AB601" s="28"/>
      <c r="AC601" s="28"/>
      <c r="AD601" s="28"/>
      <c r="AE601" s="28"/>
      <c r="AJ601" s="44"/>
      <c r="AK601" s="44"/>
      <c r="AL601" s="44"/>
      <c r="AM601" s="44"/>
      <c r="AN601" s="44"/>
      <c r="AO601" s="44"/>
      <c r="AP601" s="44"/>
      <c r="AQ601" s="44"/>
      <c r="AR601" s="44"/>
      <c r="AS601" s="44"/>
      <c r="AT601" s="44"/>
      <c r="AU601" s="44"/>
    </row>
    <row r="602" spans="1:47" x14ac:dyDescent="0.45">
      <c r="A602" s="3"/>
      <c r="B602" s="13"/>
      <c r="H602" s="23"/>
      <c r="I602" s="23"/>
      <c r="J602" s="23"/>
      <c r="K602" s="23"/>
      <c r="L602" s="23"/>
      <c r="M602" s="23"/>
      <c r="N602" s="26"/>
      <c r="O602" s="26"/>
      <c r="P602" s="26"/>
      <c r="Q602" s="26"/>
      <c r="R602" s="26"/>
      <c r="S602" s="26"/>
      <c r="T602" s="27"/>
      <c r="U602" s="27"/>
      <c r="V602" s="27"/>
      <c r="W602" s="27"/>
      <c r="X602" s="27"/>
      <c r="Y602" s="27"/>
      <c r="Z602" s="28"/>
      <c r="AA602" s="28"/>
      <c r="AB602" s="28"/>
      <c r="AC602" s="28"/>
      <c r="AD602" s="28"/>
      <c r="AE602" s="28"/>
      <c r="AJ602" s="44"/>
      <c r="AK602" s="44"/>
      <c r="AL602" s="44"/>
      <c r="AM602" s="44"/>
      <c r="AN602" s="44"/>
      <c r="AO602" s="44"/>
      <c r="AP602" s="44"/>
      <c r="AQ602" s="44"/>
      <c r="AR602" s="44"/>
      <c r="AS602" s="44"/>
      <c r="AT602" s="44"/>
      <c r="AU602" s="44"/>
    </row>
    <row r="603" spans="1:47" x14ac:dyDescent="0.45">
      <c r="A603" s="3"/>
      <c r="B603" s="13"/>
      <c r="H603" s="23"/>
      <c r="I603" s="23"/>
      <c r="J603" s="23"/>
      <c r="K603" s="23"/>
      <c r="L603" s="23"/>
      <c r="M603" s="23"/>
      <c r="N603" s="26"/>
      <c r="O603" s="26"/>
      <c r="P603" s="26"/>
      <c r="Q603" s="26"/>
      <c r="R603" s="26"/>
      <c r="S603" s="26"/>
      <c r="T603" s="27"/>
      <c r="U603" s="27"/>
      <c r="V603" s="27"/>
      <c r="W603" s="27"/>
      <c r="X603" s="27"/>
      <c r="Y603" s="27"/>
      <c r="Z603" s="28"/>
      <c r="AA603" s="28"/>
      <c r="AB603" s="28"/>
      <c r="AC603" s="28"/>
      <c r="AD603" s="28"/>
      <c r="AE603" s="28"/>
      <c r="AJ603" s="44"/>
      <c r="AK603" s="44"/>
      <c r="AL603" s="44"/>
      <c r="AM603" s="44"/>
      <c r="AN603" s="44"/>
      <c r="AO603" s="44"/>
      <c r="AP603" s="44"/>
      <c r="AQ603" s="44"/>
      <c r="AR603" s="44"/>
      <c r="AS603" s="44"/>
      <c r="AT603" s="44"/>
      <c r="AU603" s="44"/>
    </row>
    <row r="604" spans="1:47" x14ac:dyDescent="0.45">
      <c r="A604" s="3"/>
      <c r="B604" s="13"/>
      <c r="H604" s="23"/>
      <c r="I604" s="23"/>
      <c r="J604" s="23"/>
      <c r="K604" s="23"/>
      <c r="L604" s="23"/>
      <c r="M604" s="23"/>
      <c r="N604" s="26"/>
      <c r="O604" s="26"/>
      <c r="P604" s="26"/>
      <c r="Q604" s="26"/>
      <c r="R604" s="26"/>
      <c r="S604" s="26"/>
      <c r="T604" s="27"/>
      <c r="U604" s="27"/>
      <c r="V604" s="27"/>
      <c r="W604" s="27"/>
      <c r="X604" s="27"/>
      <c r="Y604" s="27"/>
      <c r="Z604" s="28"/>
      <c r="AA604" s="28"/>
      <c r="AB604" s="28"/>
      <c r="AC604" s="28"/>
      <c r="AD604" s="28"/>
      <c r="AE604" s="28"/>
      <c r="AJ604" s="44"/>
      <c r="AK604" s="44"/>
      <c r="AL604" s="44"/>
      <c r="AM604" s="44"/>
      <c r="AN604" s="44"/>
      <c r="AO604" s="44"/>
      <c r="AP604" s="44"/>
      <c r="AQ604" s="44"/>
      <c r="AR604" s="44"/>
      <c r="AS604" s="44"/>
      <c r="AT604" s="44"/>
      <c r="AU604" s="44"/>
    </row>
    <row r="605" spans="1:47" x14ac:dyDescent="0.45">
      <c r="A605" s="3"/>
      <c r="B605" s="13"/>
      <c r="H605" s="23"/>
      <c r="I605" s="23"/>
      <c r="J605" s="23"/>
      <c r="K605" s="23"/>
      <c r="L605" s="23"/>
      <c r="M605" s="23"/>
      <c r="N605" s="26"/>
      <c r="O605" s="26"/>
      <c r="P605" s="26"/>
      <c r="Q605" s="26"/>
      <c r="R605" s="26"/>
      <c r="S605" s="26"/>
      <c r="T605" s="27"/>
      <c r="U605" s="27"/>
      <c r="V605" s="27"/>
      <c r="W605" s="27"/>
      <c r="X605" s="27"/>
      <c r="Y605" s="27"/>
      <c r="Z605" s="28"/>
      <c r="AA605" s="28"/>
      <c r="AB605" s="28"/>
      <c r="AC605" s="28"/>
      <c r="AD605" s="28"/>
      <c r="AE605" s="28"/>
      <c r="AJ605" s="44"/>
      <c r="AK605" s="44"/>
      <c r="AL605" s="44"/>
      <c r="AM605" s="44"/>
      <c r="AN605" s="44"/>
      <c r="AO605" s="44"/>
      <c r="AP605" s="44"/>
      <c r="AQ605" s="44"/>
      <c r="AR605" s="44"/>
      <c r="AS605" s="44"/>
      <c r="AT605" s="44"/>
      <c r="AU605" s="44"/>
    </row>
    <row r="606" spans="1:47" x14ac:dyDescent="0.45">
      <c r="A606" s="3"/>
      <c r="B606" s="13"/>
      <c r="H606" s="23"/>
      <c r="I606" s="23"/>
      <c r="J606" s="23"/>
      <c r="K606" s="23"/>
      <c r="L606" s="23"/>
      <c r="M606" s="23"/>
      <c r="N606" s="26"/>
      <c r="O606" s="26"/>
      <c r="P606" s="26"/>
      <c r="Q606" s="26"/>
      <c r="R606" s="26"/>
      <c r="S606" s="26"/>
      <c r="T606" s="27"/>
      <c r="U606" s="27"/>
      <c r="V606" s="27"/>
      <c r="W606" s="27"/>
      <c r="X606" s="27"/>
      <c r="Y606" s="27"/>
      <c r="Z606" s="28"/>
      <c r="AA606" s="28"/>
      <c r="AB606" s="28"/>
      <c r="AC606" s="28"/>
      <c r="AD606" s="28"/>
      <c r="AE606" s="28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</row>
    <row r="607" spans="1:47" x14ac:dyDescent="0.45">
      <c r="A607" s="3"/>
      <c r="B607" s="13"/>
      <c r="H607" s="23"/>
      <c r="I607" s="23"/>
      <c r="J607" s="23"/>
      <c r="K607" s="23"/>
      <c r="L607" s="23"/>
      <c r="M607" s="23"/>
      <c r="N607" s="26"/>
      <c r="O607" s="26"/>
      <c r="P607" s="26"/>
      <c r="Q607" s="26"/>
      <c r="R607" s="26"/>
      <c r="S607" s="26"/>
      <c r="T607" s="27"/>
      <c r="U607" s="27"/>
      <c r="V607" s="27"/>
      <c r="W607" s="27"/>
      <c r="X607" s="27"/>
      <c r="Y607" s="27"/>
      <c r="Z607" s="28"/>
      <c r="AA607" s="28"/>
      <c r="AB607" s="28"/>
      <c r="AC607" s="28"/>
      <c r="AD607" s="28"/>
      <c r="AE607" s="28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</row>
    <row r="608" spans="1:47" x14ac:dyDescent="0.45">
      <c r="A608" s="3"/>
      <c r="B608" s="13"/>
      <c r="H608" s="23"/>
      <c r="I608" s="23"/>
      <c r="J608" s="23"/>
      <c r="K608" s="23"/>
      <c r="L608" s="23"/>
      <c r="M608" s="23"/>
      <c r="N608" s="26"/>
      <c r="O608" s="26"/>
      <c r="P608" s="26"/>
      <c r="Q608" s="26"/>
      <c r="R608" s="26"/>
      <c r="S608" s="26"/>
      <c r="T608" s="27"/>
      <c r="U608" s="27"/>
      <c r="V608" s="27"/>
      <c r="W608" s="27"/>
      <c r="X608" s="27"/>
      <c r="Y608" s="27"/>
      <c r="Z608" s="28"/>
      <c r="AA608" s="28"/>
      <c r="AB608" s="28"/>
      <c r="AC608" s="28"/>
      <c r="AD608" s="28"/>
      <c r="AE608" s="28"/>
      <c r="AJ608" s="44"/>
      <c r="AK608" s="44"/>
      <c r="AL608" s="44"/>
      <c r="AM608" s="44"/>
      <c r="AN608" s="44"/>
      <c r="AO608" s="44"/>
      <c r="AP608" s="44"/>
      <c r="AQ608" s="44"/>
      <c r="AR608" s="44"/>
      <c r="AS608" s="44"/>
      <c r="AT608" s="44"/>
      <c r="AU608" s="44"/>
    </row>
    <row r="609" spans="1:47" x14ac:dyDescent="0.45">
      <c r="A609" s="3"/>
      <c r="B609" s="13"/>
      <c r="H609" s="23"/>
      <c r="I609" s="23"/>
      <c r="J609" s="23"/>
      <c r="K609" s="23"/>
      <c r="L609" s="23"/>
      <c r="M609" s="23"/>
      <c r="N609" s="26"/>
      <c r="O609" s="26"/>
      <c r="P609" s="26"/>
      <c r="Q609" s="26"/>
      <c r="R609" s="26"/>
      <c r="S609" s="26"/>
      <c r="T609" s="27"/>
      <c r="U609" s="27"/>
      <c r="V609" s="27"/>
      <c r="W609" s="27"/>
      <c r="X609" s="27"/>
      <c r="Y609" s="27"/>
      <c r="Z609" s="28"/>
      <c r="AA609" s="28"/>
      <c r="AB609" s="28"/>
      <c r="AC609" s="28"/>
      <c r="AD609" s="28"/>
      <c r="AE609" s="28"/>
      <c r="AJ609" s="44"/>
      <c r="AK609" s="44"/>
      <c r="AL609" s="44"/>
      <c r="AM609" s="44"/>
      <c r="AN609" s="44"/>
      <c r="AO609" s="44"/>
      <c r="AP609" s="44"/>
      <c r="AQ609" s="44"/>
      <c r="AR609" s="44"/>
      <c r="AS609" s="44"/>
      <c r="AT609" s="44"/>
      <c r="AU609" s="44"/>
    </row>
    <row r="610" spans="1:47" x14ac:dyDescent="0.45">
      <c r="A610" s="3"/>
      <c r="B610" s="13"/>
      <c r="H610" s="23"/>
      <c r="I610" s="23"/>
      <c r="J610" s="23"/>
      <c r="K610" s="23"/>
      <c r="L610" s="23"/>
      <c r="M610" s="23"/>
      <c r="N610" s="26"/>
      <c r="O610" s="26"/>
      <c r="P610" s="26"/>
      <c r="Q610" s="26"/>
      <c r="R610" s="26"/>
      <c r="S610" s="26"/>
      <c r="T610" s="27"/>
      <c r="U610" s="27"/>
      <c r="V610" s="27"/>
      <c r="W610" s="27"/>
      <c r="X610" s="27"/>
      <c r="Y610" s="27"/>
      <c r="Z610" s="28"/>
      <c r="AA610" s="28"/>
      <c r="AB610" s="28"/>
      <c r="AC610" s="28"/>
      <c r="AD610" s="28"/>
      <c r="AE610" s="28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</row>
    <row r="611" spans="1:47" x14ac:dyDescent="0.45">
      <c r="A611" s="3"/>
      <c r="B611" s="13"/>
      <c r="H611" s="23"/>
      <c r="I611" s="23"/>
      <c r="J611" s="23"/>
      <c r="K611" s="23"/>
      <c r="L611" s="23"/>
      <c r="M611" s="23"/>
      <c r="N611" s="26"/>
      <c r="O611" s="26"/>
      <c r="P611" s="26"/>
      <c r="Q611" s="26"/>
      <c r="R611" s="26"/>
      <c r="S611" s="26"/>
      <c r="T611" s="27"/>
      <c r="U611" s="27"/>
      <c r="V611" s="27"/>
      <c r="W611" s="27"/>
      <c r="X611" s="27"/>
      <c r="Y611" s="27"/>
      <c r="Z611" s="28"/>
      <c r="AA611" s="28"/>
      <c r="AB611" s="28"/>
      <c r="AC611" s="28"/>
      <c r="AD611" s="28"/>
      <c r="AE611" s="28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</row>
    <row r="612" spans="1:47" x14ac:dyDescent="0.45">
      <c r="A612" s="3"/>
      <c r="B612" s="13"/>
      <c r="H612" s="23"/>
      <c r="I612" s="23"/>
      <c r="J612" s="23"/>
      <c r="K612" s="23"/>
      <c r="L612" s="23"/>
      <c r="M612" s="23"/>
      <c r="N612" s="26"/>
      <c r="O612" s="26"/>
      <c r="P612" s="26"/>
      <c r="Q612" s="26"/>
      <c r="R612" s="26"/>
      <c r="S612" s="26"/>
      <c r="T612" s="27"/>
      <c r="U612" s="27"/>
      <c r="V612" s="27"/>
      <c r="W612" s="27"/>
      <c r="X612" s="27"/>
      <c r="Y612" s="27"/>
      <c r="Z612" s="28"/>
      <c r="AA612" s="28"/>
      <c r="AB612" s="28"/>
      <c r="AC612" s="28"/>
      <c r="AD612" s="28"/>
      <c r="AE612" s="28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</row>
    <row r="613" spans="1:47" x14ac:dyDescent="0.45">
      <c r="A613" s="3"/>
      <c r="B613" s="13"/>
      <c r="H613" s="23"/>
      <c r="I613" s="23"/>
      <c r="J613" s="23"/>
      <c r="K613" s="23"/>
      <c r="L613" s="23"/>
      <c r="M613" s="23"/>
      <c r="N613" s="26"/>
      <c r="O613" s="26"/>
      <c r="P613" s="26"/>
      <c r="Q613" s="26"/>
      <c r="R613" s="26"/>
      <c r="S613" s="26"/>
      <c r="T613" s="27"/>
      <c r="U613" s="27"/>
      <c r="V613" s="27"/>
      <c r="W613" s="27"/>
      <c r="X613" s="27"/>
      <c r="Y613" s="27"/>
      <c r="Z613" s="28"/>
      <c r="AA613" s="28"/>
      <c r="AB613" s="28"/>
      <c r="AC613" s="28"/>
      <c r="AD613" s="28"/>
      <c r="AE613" s="28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</row>
    <row r="614" spans="1:47" x14ac:dyDescent="0.45">
      <c r="A614" s="3"/>
      <c r="B614" s="13"/>
      <c r="H614" s="23"/>
      <c r="I614" s="23"/>
      <c r="J614" s="23"/>
      <c r="K614" s="23"/>
      <c r="L614" s="23"/>
      <c r="M614" s="23"/>
      <c r="N614" s="26"/>
      <c r="O614" s="26"/>
      <c r="P614" s="26"/>
      <c r="Q614" s="26"/>
      <c r="R614" s="26"/>
      <c r="S614" s="26"/>
      <c r="T614" s="27"/>
      <c r="U614" s="27"/>
      <c r="V614" s="27"/>
      <c r="W614" s="27"/>
      <c r="X614" s="27"/>
      <c r="Y614" s="27"/>
      <c r="Z614" s="28"/>
      <c r="AA614" s="28"/>
      <c r="AB614" s="28"/>
      <c r="AC614" s="28"/>
      <c r="AD614" s="28"/>
      <c r="AE614" s="28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</row>
    <row r="615" spans="1:47" x14ac:dyDescent="0.45">
      <c r="A615" s="3"/>
      <c r="B615" s="13"/>
      <c r="H615" s="23"/>
      <c r="I615" s="23"/>
      <c r="J615" s="23"/>
      <c r="K615" s="23"/>
      <c r="L615" s="23"/>
      <c r="M615" s="23"/>
      <c r="N615" s="26"/>
      <c r="O615" s="26"/>
      <c r="P615" s="26"/>
      <c r="Q615" s="26"/>
      <c r="R615" s="26"/>
      <c r="S615" s="26"/>
      <c r="T615" s="27"/>
      <c r="U615" s="27"/>
      <c r="V615" s="27"/>
      <c r="W615" s="27"/>
      <c r="X615" s="27"/>
      <c r="Y615" s="27"/>
      <c r="Z615" s="28"/>
      <c r="AA615" s="28"/>
      <c r="AB615" s="28"/>
      <c r="AC615" s="28"/>
      <c r="AD615" s="28"/>
      <c r="AE615" s="28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</row>
    <row r="616" spans="1:47" x14ac:dyDescent="0.45">
      <c r="A616" s="3"/>
      <c r="B616" s="13"/>
      <c r="H616" s="23"/>
      <c r="I616" s="23"/>
      <c r="J616" s="23"/>
      <c r="K616" s="23"/>
      <c r="L616" s="23"/>
      <c r="M616" s="23"/>
      <c r="N616" s="26"/>
      <c r="O616" s="26"/>
      <c r="P616" s="26"/>
      <c r="Q616" s="26"/>
      <c r="R616" s="26"/>
      <c r="S616" s="26"/>
      <c r="T616" s="27"/>
      <c r="U616" s="27"/>
      <c r="V616" s="27"/>
      <c r="W616" s="27"/>
      <c r="X616" s="27"/>
      <c r="Y616" s="27"/>
      <c r="Z616" s="28"/>
      <c r="AA616" s="28"/>
      <c r="AB616" s="28"/>
      <c r="AC616" s="28"/>
      <c r="AD616" s="28"/>
      <c r="AE616" s="28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</row>
    <row r="617" spans="1:47" x14ac:dyDescent="0.45">
      <c r="A617" s="3"/>
      <c r="B617" s="13"/>
      <c r="H617" s="23"/>
      <c r="I617" s="23"/>
      <c r="J617" s="23"/>
      <c r="K617" s="23"/>
      <c r="L617" s="23"/>
      <c r="M617" s="23"/>
      <c r="N617" s="26"/>
      <c r="O617" s="26"/>
      <c r="P617" s="26"/>
      <c r="Q617" s="26"/>
      <c r="R617" s="26"/>
      <c r="S617" s="26"/>
      <c r="T617" s="27"/>
      <c r="U617" s="27"/>
      <c r="V617" s="27"/>
      <c r="W617" s="27"/>
      <c r="X617" s="27"/>
      <c r="Y617" s="27"/>
      <c r="Z617" s="28"/>
      <c r="AA617" s="28"/>
      <c r="AB617" s="28"/>
      <c r="AC617" s="28"/>
      <c r="AD617" s="28"/>
      <c r="AE617" s="28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</row>
    <row r="618" spans="1:47" x14ac:dyDescent="0.45">
      <c r="A618" s="3"/>
      <c r="B618" s="13"/>
      <c r="H618" s="23"/>
      <c r="I618" s="23"/>
      <c r="J618" s="23"/>
      <c r="K618" s="23"/>
      <c r="L618" s="23"/>
      <c r="M618" s="23"/>
      <c r="N618" s="26"/>
      <c r="O618" s="26"/>
      <c r="P618" s="26"/>
      <c r="Q618" s="26"/>
      <c r="R618" s="26"/>
      <c r="S618" s="26"/>
      <c r="T618" s="27"/>
      <c r="U618" s="27"/>
      <c r="V618" s="27"/>
      <c r="W618" s="27"/>
      <c r="X618" s="27"/>
      <c r="Y618" s="27"/>
      <c r="Z618" s="28"/>
      <c r="AA618" s="28"/>
      <c r="AB618" s="28"/>
      <c r="AC618" s="28"/>
      <c r="AD618" s="28"/>
      <c r="AE618" s="28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</row>
    <row r="619" spans="1:47" x14ac:dyDescent="0.45">
      <c r="A619" s="3"/>
      <c r="B619" s="13"/>
      <c r="H619" s="23"/>
      <c r="I619" s="23"/>
      <c r="J619" s="23"/>
      <c r="K619" s="23"/>
      <c r="L619" s="23"/>
      <c r="M619" s="23"/>
      <c r="N619" s="26"/>
      <c r="O619" s="26"/>
      <c r="P619" s="26"/>
      <c r="Q619" s="26"/>
      <c r="R619" s="26"/>
      <c r="S619" s="26"/>
      <c r="T619" s="27"/>
      <c r="U619" s="27"/>
      <c r="V619" s="27"/>
      <c r="W619" s="27"/>
      <c r="X619" s="27"/>
      <c r="Y619" s="27"/>
      <c r="Z619" s="28"/>
      <c r="AA619" s="28"/>
      <c r="AB619" s="28"/>
      <c r="AC619" s="28"/>
      <c r="AD619" s="28"/>
      <c r="AE619" s="28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</row>
    <row r="620" spans="1:47" x14ac:dyDescent="0.45">
      <c r="A620" s="3"/>
      <c r="B620" s="13"/>
      <c r="H620" s="23"/>
      <c r="I620" s="23"/>
      <c r="J620" s="23"/>
      <c r="K620" s="23"/>
      <c r="L620" s="23"/>
      <c r="M620" s="23"/>
      <c r="N620" s="26"/>
      <c r="O620" s="26"/>
      <c r="P620" s="26"/>
      <c r="Q620" s="26"/>
      <c r="R620" s="26"/>
      <c r="S620" s="26"/>
      <c r="T620" s="27"/>
      <c r="U620" s="27"/>
      <c r="V620" s="27"/>
      <c r="W620" s="27"/>
      <c r="X620" s="27"/>
      <c r="Y620" s="27"/>
      <c r="Z620" s="28"/>
      <c r="AA620" s="28"/>
      <c r="AB620" s="28"/>
      <c r="AC620" s="28"/>
      <c r="AD620" s="28"/>
      <c r="AE620" s="28"/>
      <c r="AJ620" s="44"/>
      <c r="AK620" s="44"/>
      <c r="AL620" s="44"/>
      <c r="AM620" s="44"/>
      <c r="AN620" s="44"/>
      <c r="AO620" s="44"/>
      <c r="AP620" s="44"/>
      <c r="AQ620" s="44"/>
      <c r="AR620" s="44"/>
      <c r="AS620" s="44"/>
      <c r="AT620" s="44"/>
      <c r="AU620" s="44"/>
    </row>
    <row r="621" spans="1:47" x14ac:dyDescent="0.45">
      <c r="A621" s="3"/>
      <c r="B621" s="13"/>
      <c r="H621" s="23"/>
      <c r="I621" s="23"/>
      <c r="J621" s="23"/>
      <c r="K621" s="23"/>
      <c r="L621" s="23"/>
      <c r="M621" s="23"/>
      <c r="N621" s="26"/>
      <c r="O621" s="26"/>
      <c r="P621" s="26"/>
      <c r="Q621" s="26"/>
      <c r="R621" s="26"/>
      <c r="S621" s="26"/>
      <c r="T621" s="27"/>
      <c r="U621" s="27"/>
      <c r="V621" s="27"/>
      <c r="W621" s="27"/>
      <c r="X621" s="27"/>
      <c r="Y621" s="27"/>
      <c r="Z621" s="28"/>
      <c r="AA621" s="28"/>
      <c r="AB621" s="28"/>
      <c r="AC621" s="28"/>
      <c r="AD621" s="28"/>
      <c r="AE621" s="28"/>
      <c r="AJ621" s="44"/>
      <c r="AK621" s="44"/>
      <c r="AL621" s="44"/>
      <c r="AM621" s="44"/>
      <c r="AN621" s="44"/>
      <c r="AO621" s="44"/>
      <c r="AP621" s="44"/>
      <c r="AQ621" s="44"/>
      <c r="AR621" s="44"/>
      <c r="AS621" s="44"/>
      <c r="AT621" s="44"/>
      <c r="AU621" s="44"/>
    </row>
    <row r="622" spans="1:47" x14ac:dyDescent="0.45">
      <c r="A622" s="3"/>
      <c r="B622" s="13"/>
      <c r="H622" s="23"/>
      <c r="I622" s="23"/>
      <c r="J622" s="23"/>
      <c r="K622" s="23"/>
      <c r="L622" s="23"/>
      <c r="M622" s="23"/>
      <c r="N622" s="26"/>
      <c r="O622" s="26"/>
      <c r="P622" s="26"/>
      <c r="Q622" s="26"/>
      <c r="R622" s="26"/>
      <c r="S622" s="26"/>
      <c r="T622" s="27"/>
      <c r="U622" s="27"/>
      <c r="V622" s="27"/>
      <c r="W622" s="27"/>
      <c r="X622" s="27"/>
      <c r="Y622" s="27"/>
      <c r="Z622" s="28"/>
      <c r="AA622" s="28"/>
      <c r="AB622" s="28"/>
      <c r="AC622" s="28"/>
      <c r="AD622" s="28"/>
      <c r="AE622" s="28"/>
      <c r="AJ622" s="44"/>
      <c r="AK622" s="44"/>
      <c r="AL622" s="44"/>
      <c r="AM622" s="44"/>
      <c r="AN622" s="44"/>
      <c r="AO622" s="44"/>
      <c r="AP622" s="44"/>
      <c r="AQ622" s="44"/>
      <c r="AR622" s="44"/>
      <c r="AS622" s="44"/>
      <c r="AT622" s="44"/>
      <c r="AU622" s="44"/>
    </row>
    <row r="623" spans="1:47" x14ac:dyDescent="0.45">
      <c r="A623" s="3"/>
      <c r="B623" s="13"/>
      <c r="H623" s="23"/>
      <c r="I623" s="23"/>
      <c r="J623" s="23"/>
      <c r="K623" s="23"/>
      <c r="L623" s="23"/>
      <c r="M623" s="23"/>
      <c r="N623" s="26"/>
      <c r="O623" s="26"/>
      <c r="P623" s="26"/>
      <c r="Q623" s="26"/>
      <c r="R623" s="26"/>
      <c r="S623" s="26"/>
      <c r="T623" s="27"/>
      <c r="U623" s="27"/>
      <c r="V623" s="27"/>
      <c r="W623" s="27"/>
      <c r="X623" s="27"/>
      <c r="Y623" s="27"/>
      <c r="Z623" s="28"/>
      <c r="AA623" s="28"/>
      <c r="AB623" s="28"/>
      <c r="AC623" s="28"/>
      <c r="AD623" s="28"/>
      <c r="AE623" s="28"/>
      <c r="AJ623" s="44"/>
      <c r="AK623" s="44"/>
      <c r="AL623" s="44"/>
      <c r="AM623" s="44"/>
      <c r="AN623" s="44"/>
      <c r="AO623" s="44"/>
      <c r="AP623" s="44"/>
      <c r="AQ623" s="44"/>
      <c r="AR623" s="44"/>
      <c r="AS623" s="44"/>
      <c r="AT623" s="44"/>
      <c r="AU623" s="44"/>
    </row>
    <row r="624" spans="1:47" x14ac:dyDescent="0.45">
      <c r="A624" s="3"/>
      <c r="B624" s="13"/>
      <c r="H624" s="23"/>
      <c r="I624" s="23"/>
      <c r="J624" s="23"/>
      <c r="K624" s="23"/>
      <c r="L624" s="23"/>
      <c r="M624" s="23"/>
      <c r="N624" s="26"/>
      <c r="O624" s="26"/>
      <c r="P624" s="26"/>
      <c r="Q624" s="26"/>
      <c r="R624" s="26"/>
      <c r="S624" s="26"/>
      <c r="T624" s="27"/>
      <c r="U624" s="27"/>
      <c r="V624" s="27"/>
      <c r="W624" s="27"/>
      <c r="X624" s="27"/>
      <c r="Y624" s="27"/>
      <c r="Z624" s="28"/>
      <c r="AA624" s="28"/>
      <c r="AB624" s="28"/>
      <c r="AC624" s="28"/>
      <c r="AD624" s="28"/>
      <c r="AE624" s="28"/>
      <c r="AJ624" s="44"/>
      <c r="AK624" s="44"/>
      <c r="AL624" s="44"/>
      <c r="AM624" s="44"/>
      <c r="AN624" s="44"/>
      <c r="AO624" s="44"/>
      <c r="AP624" s="44"/>
      <c r="AQ624" s="44"/>
      <c r="AR624" s="44"/>
      <c r="AS624" s="44"/>
      <c r="AT624" s="44"/>
      <c r="AU624" s="44"/>
    </row>
    <row r="625" spans="1:47" x14ac:dyDescent="0.45">
      <c r="A625" s="3"/>
      <c r="B625" s="13"/>
      <c r="H625" s="23"/>
      <c r="I625" s="23"/>
      <c r="J625" s="23"/>
      <c r="K625" s="23"/>
      <c r="L625" s="23"/>
      <c r="M625" s="23"/>
      <c r="N625" s="26"/>
      <c r="O625" s="26"/>
      <c r="P625" s="26"/>
      <c r="Q625" s="26"/>
      <c r="R625" s="26"/>
      <c r="S625" s="26"/>
      <c r="T625" s="27"/>
      <c r="U625" s="27"/>
      <c r="V625" s="27"/>
      <c r="W625" s="27"/>
      <c r="X625" s="27"/>
      <c r="Y625" s="27"/>
      <c r="Z625" s="28"/>
      <c r="AA625" s="28"/>
      <c r="AB625" s="28"/>
      <c r="AC625" s="28"/>
      <c r="AD625" s="28"/>
      <c r="AE625" s="28"/>
      <c r="AJ625" s="44"/>
      <c r="AK625" s="44"/>
      <c r="AL625" s="44"/>
      <c r="AM625" s="44"/>
      <c r="AN625" s="44"/>
      <c r="AO625" s="44"/>
      <c r="AP625" s="44"/>
      <c r="AQ625" s="44"/>
      <c r="AR625" s="44"/>
      <c r="AS625" s="44"/>
      <c r="AT625" s="44"/>
      <c r="AU625" s="44"/>
    </row>
    <row r="626" spans="1:47" x14ac:dyDescent="0.45">
      <c r="A626" s="3"/>
      <c r="B626" s="13"/>
      <c r="H626" s="23"/>
      <c r="I626" s="23"/>
      <c r="J626" s="23"/>
      <c r="K626" s="23"/>
      <c r="L626" s="23"/>
      <c r="M626" s="23"/>
      <c r="N626" s="26"/>
      <c r="O626" s="26"/>
      <c r="P626" s="26"/>
      <c r="Q626" s="26"/>
      <c r="R626" s="26"/>
      <c r="S626" s="26"/>
      <c r="T626" s="27"/>
      <c r="U626" s="27"/>
      <c r="V626" s="27"/>
      <c r="W626" s="27"/>
      <c r="X626" s="27"/>
      <c r="Y626" s="27"/>
      <c r="Z626" s="28"/>
      <c r="AA626" s="28"/>
      <c r="AB626" s="28"/>
      <c r="AC626" s="28"/>
      <c r="AD626" s="28"/>
      <c r="AE626" s="28"/>
      <c r="AJ626" s="44"/>
      <c r="AK626" s="44"/>
      <c r="AL626" s="44"/>
      <c r="AM626" s="44"/>
      <c r="AN626" s="44"/>
      <c r="AO626" s="44"/>
      <c r="AP626" s="44"/>
      <c r="AQ626" s="44"/>
      <c r="AR626" s="44"/>
      <c r="AS626" s="44"/>
      <c r="AT626" s="44"/>
      <c r="AU626" s="44"/>
    </row>
    <row r="627" spans="1:47" x14ac:dyDescent="0.45">
      <c r="A627" s="3"/>
      <c r="B627" s="13"/>
      <c r="H627" s="23"/>
      <c r="I627" s="23"/>
      <c r="J627" s="23"/>
      <c r="K627" s="23"/>
      <c r="L627" s="23"/>
      <c r="M627" s="23"/>
      <c r="N627" s="26"/>
      <c r="O627" s="26"/>
      <c r="P627" s="26"/>
      <c r="Q627" s="26"/>
      <c r="R627" s="26"/>
      <c r="S627" s="26"/>
      <c r="T627" s="27"/>
      <c r="U627" s="27"/>
      <c r="V627" s="27"/>
      <c r="W627" s="27"/>
      <c r="X627" s="27"/>
      <c r="Y627" s="27"/>
      <c r="Z627" s="28"/>
      <c r="AA627" s="28"/>
      <c r="AB627" s="28"/>
      <c r="AC627" s="28"/>
      <c r="AD627" s="28"/>
      <c r="AE627" s="28"/>
      <c r="AJ627" s="44"/>
      <c r="AK627" s="44"/>
      <c r="AL627" s="44"/>
      <c r="AM627" s="44"/>
      <c r="AN627" s="44"/>
      <c r="AO627" s="44"/>
      <c r="AP627" s="44"/>
      <c r="AQ627" s="44"/>
      <c r="AR627" s="44"/>
      <c r="AS627" s="44"/>
      <c r="AT627" s="44"/>
      <c r="AU627" s="44"/>
    </row>
    <row r="628" spans="1:47" x14ac:dyDescent="0.45">
      <c r="A628" s="3"/>
      <c r="B628" s="13"/>
      <c r="H628" s="23"/>
      <c r="I628" s="23"/>
      <c r="J628" s="23"/>
      <c r="K628" s="23"/>
      <c r="L628" s="23"/>
      <c r="M628" s="23"/>
      <c r="N628" s="26"/>
      <c r="O628" s="26"/>
      <c r="P628" s="26"/>
      <c r="Q628" s="26"/>
      <c r="R628" s="26"/>
      <c r="S628" s="26"/>
      <c r="T628" s="27"/>
      <c r="U628" s="27"/>
      <c r="V628" s="27"/>
      <c r="W628" s="27"/>
      <c r="X628" s="27"/>
      <c r="Y628" s="27"/>
      <c r="Z628" s="28"/>
      <c r="AA628" s="28"/>
      <c r="AB628" s="28"/>
      <c r="AC628" s="28"/>
      <c r="AD628" s="28"/>
      <c r="AE628" s="28"/>
      <c r="AJ628" s="44"/>
      <c r="AK628" s="44"/>
      <c r="AL628" s="44"/>
      <c r="AM628" s="44"/>
      <c r="AN628" s="44"/>
      <c r="AO628" s="44"/>
      <c r="AP628" s="44"/>
      <c r="AQ628" s="44"/>
      <c r="AR628" s="44"/>
      <c r="AS628" s="44"/>
      <c r="AT628" s="44"/>
      <c r="AU628" s="44"/>
    </row>
    <row r="629" spans="1:47" x14ac:dyDescent="0.45">
      <c r="A629" s="3"/>
      <c r="B629" s="13"/>
      <c r="H629" s="23"/>
      <c r="I629" s="23"/>
      <c r="J629" s="23"/>
      <c r="K629" s="23"/>
      <c r="L629" s="23"/>
      <c r="M629" s="23"/>
      <c r="N629" s="26"/>
      <c r="O629" s="26"/>
      <c r="P629" s="26"/>
      <c r="Q629" s="26"/>
      <c r="R629" s="26"/>
      <c r="S629" s="26"/>
      <c r="T629" s="27"/>
      <c r="U629" s="27"/>
      <c r="V629" s="27"/>
      <c r="W629" s="27"/>
      <c r="X629" s="27"/>
      <c r="Y629" s="27"/>
      <c r="Z629" s="28"/>
      <c r="AA629" s="28"/>
      <c r="AB629" s="28"/>
      <c r="AC629" s="28"/>
      <c r="AD629" s="28"/>
      <c r="AE629" s="28"/>
      <c r="AJ629" s="44"/>
      <c r="AK629" s="44"/>
      <c r="AL629" s="44"/>
      <c r="AM629" s="44"/>
      <c r="AN629" s="44"/>
      <c r="AO629" s="44"/>
      <c r="AP629" s="44"/>
      <c r="AQ629" s="44"/>
      <c r="AR629" s="44"/>
      <c r="AS629" s="44"/>
      <c r="AT629" s="44"/>
      <c r="AU629" s="44"/>
    </row>
    <row r="630" spans="1:47" x14ac:dyDescent="0.45">
      <c r="A630" s="3"/>
      <c r="B630" s="13"/>
      <c r="H630" s="23"/>
      <c r="I630" s="23"/>
      <c r="J630" s="23"/>
      <c r="K630" s="23"/>
      <c r="L630" s="23"/>
      <c r="M630" s="23"/>
      <c r="N630" s="26"/>
      <c r="O630" s="26"/>
      <c r="P630" s="26"/>
      <c r="Q630" s="26"/>
      <c r="R630" s="26"/>
      <c r="S630" s="26"/>
      <c r="T630" s="27"/>
      <c r="U630" s="27"/>
      <c r="V630" s="27"/>
      <c r="W630" s="27"/>
      <c r="X630" s="27"/>
      <c r="Y630" s="27"/>
      <c r="Z630" s="28"/>
      <c r="AA630" s="28"/>
      <c r="AB630" s="28"/>
      <c r="AC630" s="28"/>
      <c r="AD630" s="28"/>
      <c r="AE630" s="28"/>
      <c r="AJ630" s="44"/>
      <c r="AK630" s="44"/>
      <c r="AL630" s="44"/>
      <c r="AM630" s="44"/>
      <c r="AN630" s="44"/>
      <c r="AO630" s="44"/>
      <c r="AP630" s="44"/>
      <c r="AQ630" s="44"/>
      <c r="AR630" s="44"/>
      <c r="AS630" s="44"/>
      <c r="AT630" s="44"/>
      <c r="AU630" s="44"/>
    </row>
    <row r="631" spans="1:47" x14ac:dyDescent="0.45">
      <c r="A631" s="3"/>
      <c r="B631" s="13"/>
      <c r="H631" s="23"/>
      <c r="I631" s="23"/>
      <c r="J631" s="23"/>
      <c r="K631" s="23"/>
      <c r="L631" s="23"/>
      <c r="M631" s="23"/>
      <c r="N631" s="26"/>
      <c r="O631" s="26"/>
      <c r="P631" s="26"/>
      <c r="Q631" s="26"/>
      <c r="R631" s="26"/>
      <c r="S631" s="26"/>
      <c r="T631" s="27"/>
      <c r="U631" s="27"/>
      <c r="V631" s="27"/>
      <c r="W631" s="27"/>
      <c r="X631" s="27"/>
      <c r="Y631" s="27"/>
      <c r="Z631" s="28"/>
      <c r="AA631" s="28"/>
      <c r="AB631" s="28"/>
      <c r="AC631" s="28"/>
      <c r="AD631" s="28"/>
      <c r="AE631" s="28"/>
      <c r="AJ631" s="44"/>
      <c r="AK631" s="44"/>
      <c r="AL631" s="44"/>
      <c r="AM631" s="44"/>
      <c r="AN631" s="44"/>
      <c r="AO631" s="44"/>
      <c r="AP631" s="44"/>
      <c r="AQ631" s="44"/>
      <c r="AR631" s="44"/>
      <c r="AS631" s="44"/>
      <c r="AT631" s="44"/>
      <c r="AU631" s="44"/>
    </row>
    <row r="632" spans="1:47" x14ac:dyDescent="0.45">
      <c r="A632" s="3"/>
      <c r="B632" s="13"/>
      <c r="H632" s="23"/>
      <c r="I632" s="23"/>
      <c r="J632" s="23"/>
      <c r="K632" s="23"/>
      <c r="L632" s="23"/>
      <c r="M632" s="23"/>
      <c r="N632" s="26"/>
      <c r="O632" s="26"/>
      <c r="P632" s="26"/>
      <c r="Q632" s="26"/>
      <c r="R632" s="26"/>
      <c r="S632" s="26"/>
      <c r="T632" s="27"/>
      <c r="U632" s="27"/>
      <c r="V632" s="27"/>
      <c r="W632" s="27"/>
      <c r="X632" s="27"/>
      <c r="Y632" s="27"/>
      <c r="Z632" s="28"/>
      <c r="AA632" s="28"/>
      <c r="AB632" s="28"/>
      <c r="AC632" s="28"/>
      <c r="AD632" s="28"/>
      <c r="AE632" s="28"/>
      <c r="AJ632" s="44"/>
      <c r="AK632" s="44"/>
      <c r="AL632" s="44"/>
      <c r="AM632" s="44"/>
      <c r="AN632" s="44"/>
      <c r="AO632" s="44"/>
      <c r="AP632" s="44"/>
      <c r="AQ632" s="44"/>
      <c r="AR632" s="44"/>
      <c r="AS632" s="44"/>
      <c r="AT632" s="44"/>
      <c r="AU632" s="44"/>
    </row>
    <row r="633" spans="1:47" x14ac:dyDescent="0.45">
      <c r="A633" s="3"/>
      <c r="B633" s="13"/>
      <c r="H633" s="23"/>
      <c r="I633" s="23"/>
      <c r="J633" s="23"/>
      <c r="K633" s="23"/>
      <c r="L633" s="23"/>
      <c r="M633" s="23"/>
      <c r="N633" s="26"/>
      <c r="O633" s="26"/>
      <c r="P633" s="26"/>
      <c r="Q633" s="26"/>
      <c r="R633" s="26"/>
      <c r="S633" s="26"/>
      <c r="T633" s="27"/>
      <c r="U633" s="27"/>
      <c r="V633" s="27"/>
      <c r="W633" s="27"/>
      <c r="X633" s="27"/>
      <c r="Y633" s="27"/>
      <c r="Z633" s="28"/>
      <c r="AA633" s="28"/>
      <c r="AB633" s="28"/>
      <c r="AC633" s="28"/>
      <c r="AD633" s="28"/>
      <c r="AE633" s="28"/>
      <c r="AJ633" s="44"/>
      <c r="AK633" s="44"/>
      <c r="AL633" s="44"/>
      <c r="AM633" s="44"/>
      <c r="AN633" s="44"/>
      <c r="AO633" s="44"/>
      <c r="AP633" s="44"/>
      <c r="AQ633" s="44"/>
      <c r="AR633" s="44"/>
      <c r="AS633" s="44"/>
      <c r="AT633" s="44"/>
      <c r="AU633" s="44"/>
    </row>
    <row r="634" spans="1:47" x14ac:dyDescent="0.45">
      <c r="A634" s="3"/>
      <c r="B634" s="13"/>
      <c r="H634" s="23"/>
      <c r="I634" s="23"/>
      <c r="J634" s="23"/>
      <c r="K634" s="23"/>
      <c r="L634" s="23"/>
      <c r="M634" s="23"/>
      <c r="N634" s="26"/>
      <c r="O634" s="26"/>
      <c r="P634" s="26"/>
      <c r="Q634" s="26"/>
      <c r="R634" s="26"/>
      <c r="S634" s="26"/>
      <c r="T634" s="27"/>
      <c r="U634" s="27"/>
      <c r="V634" s="27"/>
      <c r="W634" s="27"/>
      <c r="X634" s="27"/>
      <c r="Y634" s="27"/>
      <c r="Z634" s="28"/>
      <c r="AA634" s="28"/>
      <c r="AB634" s="28"/>
      <c r="AC634" s="28"/>
      <c r="AD634" s="28"/>
      <c r="AE634" s="28"/>
      <c r="AJ634" s="44"/>
      <c r="AK634" s="44"/>
      <c r="AL634" s="44"/>
      <c r="AM634" s="44"/>
      <c r="AN634" s="44"/>
      <c r="AO634" s="44"/>
      <c r="AP634" s="44"/>
      <c r="AQ634" s="44"/>
      <c r="AR634" s="44"/>
      <c r="AS634" s="44"/>
      <c r="AT634" s="44"/>
      <c r="AU634" s="44"/>
    </row>
    <row r="635" spans="1:47" x14ac:dyDescent="0.45">
      <c r="A635" s="3"/>
      <c r="B635" s="13"/>
      <c r="H635" s="23"/>
      <c r="I635" s="23"/>
      <c r="J635" s="23"/>
      <c r="K635" s="23"/>
      <c r="L635" s="23"/>
      <c r="M635" s="23"/>
      <c r="N635" s="26"/>
      <c r="O635" s="26"/>
      <c r="P635" s="26"/>
      <c r="Q635" s="26"/>
      <c r="R635" s="26"/>
      <c r="S635" s="26"/>
      <c r="T635" s="27"/>
      <c r="U635" s="27"/>
      <c r="V635" s="27"/>
      <c r="W635" s="27"/>
      <c r="X635" s="27"/>
      <c r="Y635" s="27"/>
      <c r="Z635" s="28"/>
      <c r="AA635" s="28"/>
      <c r="AB635" s="28"/>
      <c r="AC635" s="28"/>
      <c r="AD635" s="28"/>
      <c r="AE635" s="28"/>
      <c r="AJ635" s="44"/>
      <c r="AK635" s="44"/>
      <c r="AL635" s="44"/>
      <c r="AM635" s="44"/>
      <c r="AN635" s="44"/>
      <c r="AO635" s="44"/>
      <c r="AP635" s="44"/>
      <c r="AQ635" s="44"/>
      <c r="AR635" s="44"/>
      <c r="AS635" s="44"/>
      <c r="AT635" s="44"/>
      <c r="AU635" s="44"/>
    </row>
    <row r="636" spans="1:47" x14ac:dyDescent="0.45">
      <c r="A636" s="3"/>
      <c r="B636" s="13"/>
      <c r="H636" s="23"/>
      <c r="I636" s="23"/>
      <c r="J636" s="23"/>
      <c r="K636" s="23"/>
      <c r="L636" s="23"/>
      <c r="M636" s="23"/>
      <c r="N636" s="26"/>
      <c r="O636" s="26"/>
      <c r="P636" s="26"/>
      <c r="Q636" s="26"/>
      <c r="R636" s="26"/>
      <c r="S636" s="26"/>
      <c r="T636" s="27"/>
      <c r="U636" s="27"/>
      <c r="V636" s="27"/>
      <c r="W636" s="27"/>
      <c r="X636" s="27"/>
      <c r="Y636" s="27"/>
      <c r="Z636" s="28"/>
      <c r="AA636" s="28"/>
      <c r="AB636" s="28"/>
      <c r="AC636" s="28"/>
      <c r="AD636" s="28"/>
      <c r="AE636" s="28"/>
      <c r="AJ636" s="44"/>
      <c r="AK636" s="44"/>
      <c r="AL636" s="44"/>
      <c r="AM636" s="44"/>
      <c r="AN636" s="44"/>
      <c r="AO636" s="44"/>
      <c r="AP636" s="44"/>
      <c r="AQ636" s="44"/>
      <c r="AR636" s="44"/>
      <c r="AS636" s="44"/>
      <c r="AT636" s="44"/>
      <c r="AU636" s="44"/>
    </row>
    <row r="637" spans="1:47" x14ac:dyDescent="0.45">
      <c r="A637" s="3"/>
      <c r="B637" s="13"/>
      <c r="H637" s="23"/>
      <c r="I637" s="23"/>
      <c r="J637" s="23"/>
      <c r="K637" s="23"/>
      <c r="L637" s="23"/>
      <c r="M637" s="23"/>
      <c r="N637" s="26"/>
      <c r="O637" s="26"/>
      <c r="P637" s="26"/>
      <c r="Q637" s="26"/>
      <c r="R637" s="26"/>
      <c r="S637" s="26"/>
      <c r="T637" s="27"/>
      <c r="U637" s="27"/>
      <c r="V637" s="27"/>
      <c r="W637" s="27"/>
      <c r="X637" s="27"/>
      <c r="Y637" s="27"/>
      <c r="Z637" s="28"/>
      <c r="AA637" s="28"/>
      <c r="AB637" s="28"/>
      <c r="AC637" s="28"/>
      <c r="AD637" s="28"/>
      <c r="AE637" s="28"/>
      <c r="AJ637" s="44"/>
      <c r="AK637" s="44"/>
      <c r="AL637" s="44"/>
      <c r="AM637" s="44"/>
      <c r="AN637" s="44"/>
      <c r="AO637" s="44"/>
      <c r="AP637" s="44"/>
      <c r="AQ637" s="44"/>
      <c r="AR637" s="44"/>
      <c r="AS637" s="44"/>
      <c r="AT637" s="44"/>
      <c r="AU637" s="44"/>
    </row>
    <row r="638" spans="1:47" x14ac:dyDescent="0.45">
      <c r="A638" s="3"/>
      <c r="B638" s="13"/>
      <c r="H638" s="23"/>
      <c r="I638" s="23"/>
      <c r="J638" s="23"/>
      <c r="K638" s="23"/>
      <c r="L638" s="23"/>
      <c r="M638" s="23"/>
      <c r="N638" s="26"/>
      <c r="O638" s="26"/>
      <c r="P638" s="26"/>
      <c r="Q638" s="26"/>
      <c r="R638" s="26"/>
      <c r="S638" s="26"/>
      <c r="T638" s="27"/>
      <c r="U638" s="27"/>
      <c r="V638" s="27"/>
      <c r="W638" s="27"/>
      <c r="X638" s="27"/>
      <c r="Y638" s="27"/>
      <c r="Z638" s="28"/>
      <c r="AA638" s="28"/>
      <c r="AB638" s="28"/>
      <c r="AC638" s="28"/>
      <c r="AD638" s="28"/>
      <c r="AE638" s="28"/>
      <c r="AJ638" s="44"/>
      <c r="AK638" s="44"/>
      <c r="AL638" s="44"/>
      <c r="AM638" s="44"/>
      <c r="AN638" s="44"/>
      <c r="AO638" s="44"/>
      <c r="AP638" s="44"/>
      <c r="AQ638" s="44"/>
      <c r="AR638" s="44"/>
      <c r="AS638" s="44"/>
      <c r="AT638" s="44"/>
      <c r="AU638" s="44"/>
    </row>
    <row r="639" spans="1:47" x14ac:dyDescent="0.45">
      <c r="A639" s="3"/>
      <c r="B639" s="13"/>
      <c r="H639" s="23"/>
      <c r="I639" s="23"/>
      <c r="J639" s="23"/>
      <c r="K639" s="23"/>
      <c r="L639" s="23"/>
      <c r="M639" s="23"/>
      <c r="N639" s="26"/>
      <c r="O639" s="26"/>
      <c r="P639" s="26"/>
      <c r="Q639" s="26"/>
      <c r="R639" s="26"/>
      <c r="S639" s="26"/>
      <c r="T639" s="27"/>
      <c r="U639" s="27"/>
      <c r="V639" s="27"/>
      <c r="W639" s="27"/>
      <c r="X639" s="27"/>
      <c r="Y639" s="27"/>
      <c r="Z639" s="28"/>
      <c r="AA639" s="28"/>
      <c r="AB639" s="28"/>
      <c r="AC639" s="28"/>
      <c r="AD639" s="28"/>
      <c r="AE639" s="28"/>
      <c r="AJ639" s="44"/>
      <c r="AK639" s="44"/>
      <c r="AL639" s="44"/>
      <c r="AM639" s="44"/>
      <c r="AN639" s="44"/>
      <c r="AO639" s="44"/>
      <c r="AP639" s="44"/>
      <c r="AQ639" s="44"/>
      <c r="AR639" s="44"/>
      <c r="AS639" s="44"/>
      <c r="AT639" s="44"/>
      <c r="AU639" s="44"/>
    </row>
    <row r="640" spans="1:47" x14ac:dyDescent="0.45">
      <c r="A640" s="3"/>
      <c r="B640" s="13"/>
      <c r="H640" s="23"/>
      <c r="I640" s="23"/>
      <c r="J640" s="23"/>
      <c r="K640" s="23"/>
      <c r="L640" s="23"/>
      <c r="M640" s="23"/>
      <c r="N640" s="26"/>
      <c r="O640" s="26"/>
      <c r="P640" s="26"/>
      <c r="Q640" s="26"/>
      <c r="R640" s="26"/>
      <c r="S640" s="26"/>
      <c r="T640" s="27"/>
      <c r="U640" s="27"/>
      <c r="V640" s="27"/>
      <c r="W640" s="27"/>
      <c r="X640" s="27"/>
      <c r="Y640" s="27"/>
      <c r="Z640" s="28"/>
      <c r="AA640" s="28"/>
      <c r="AB640" s="28"/>
      <c r="AC640" s="28"/>
      <c r="AD640" s="28"/>
      <c r="AE640" s="28"/>
      <c r="AJ640" s="44"/>
      <c r="AK640" s="44"/>
      <c r="AL640" s="44"/>
      <c r="AM640" s="44"/>
      <c r="AN640" s="44"/>
      <c r="AO640" s="44"/>
      <c r="AP640" s="44"/>
      <c r="AQ640" s="44"/>
      <c r="AR640" s="44"/>
      <c r="AS640" s="44"/>
      <c r="AT640" s="44"/>
      <c r="AU640" s="44"/>
    </row>
    <row r="641" spans="1:47" x14ac:dyDescent="0.45">
      <c r="A641" s="3"/>
      <c r="B641" s="13"/>
      <c r="H641" s="23"/>
      <c r="I641" s="23"/>
      <c r="J641" s="23"/>
      <c r="K641" s="23"/>
      <c r="L641" s="23"/>
      <c r="M641" s="23"/>
      <c r="N641" s="26"/>
      <c r="O641" s="26"/>
      <c r="P641" s="26"/>
      <c r="Q641" s="26"/>
      <c r="R641" s="26"/>
      <c r="S641" s="26"/>
      <c r="T641" s="27"/>
      <c r="U641" s="27"/>
      <c r="V641" s="27"/>
      <c r="W641" s="27"/>
      <c r="X641" s="27"/>
      <c r="Y641" s="27"/>
      <c r="Z641" s="28"/>
      <c r="AA641" s="28"/>
      <c r="AB641" s="28"/>
      <c r="AC641" s="28"/>
      <c r="AD641" s="28"/>
      <c r="AE641" s="28"/>
      <c r="AJ641" s="44"/>
      <c r="AK641" s="44"/>
      <c r="AL641" s="44"/>
      <c r="AM641" s="44"/>
      <c r="AN641" s="44"/>
      <c r="AO641" s="44"/>
      <c r="AP641" s="44"/>
      <c r="AQ641" s="44"/>
      <c r="AR641" s="44"/>
      <c r="AS641" s="44"/>
      <c r="AT641" s="44"/>
      <c r="AU641" s="44"/>
    </row>
    <row r="642" spans="1:47" x14ac:dyDescent="0.45">
      <c r="A642" s="3"/>
      <c r="B642" s="13"/>
      <c r="H642" s="23"/>
      <c r="I642" s="23"/>
      <c r="J642" s="23"/>
      <c r="K642" s="23"/>
      <c r="L642" s="23"/>
      <c r="M642" s="23"/>
      <c r="N642" s="26"/>
      <c r="O642" s="26"/>
      <c r="P642" s="26"/>
      <c r="Q642" s="26"/>
      <c r="R642" s="26"/>
      <c r="S642" s="26"/>
      <c r="T642" s="27"/>
      <c r="U642" s="27"/>
      <c r="V642" s="27"/>
      <c r="W642" s="27"/>
      <c r="X642" s="27"/>
      <c r="Y642" s="27"/>
      <c r="Z642" s="28"/>
      <c r="AA642" s="28"/>
      <c r="AB642" s="28"/>
      <c r="AC642" s="28"/>
      <c r="AD642" s="28"/>
      <c r="AE642" s="28"/>
      <c r="AJ642" s="44"/>
      <c r="AK642" s="44"/>
      <c r="AL642" s="44"/>
      <c r="AM642" s="44"/>
      <c r="AN642" s="44"/>
      <c r="AO642" s="44"/>
      <c r="AP642" s="44"/>
      <c r="AQ642" s="44"/>
      <c r="AR642" s="44"/>
      <c r="AS642" s="44"/>
      <c r="AT642" s="44"/>
      <c r="AU642" s="44"/>
    </row>
    <row r="643" spans="1:47" x14ac:dyDescent="0.45">
      <c r="A643" s="3"/>
      <c r="B643" s="13"/>
      <c r="H643" s="23"/>
      <c r="I643" s="23"/>
      <c r="J643" s="23"/>
      <c r="K643" s="23"/>
      <c r="L643" s="23"/>
      <c r="M643" s="23"/>
      <c r="N643" s="26"/>
      <c r="O643" s="26"/>
      <c r="P643" s="26"/>
      <c r="Q643" s="26"/>
      <c r="R643" s="26"/>
      <c r="S643" s="26"/>
      <c r="T643" s="27"/>
      <c r="U643" s="27"/>
      <c r="V643" s="27"/>
      <c r="W643" s="27"/>
      <c r="X643" s="27"/>
      <c r="Y643" s="27"/>
      <c r="Z643" s="28"/>
      <c r="AA643" s="28"/>
      <c r="AB643" s="28"/>
      <c r="AC643" s="28"/>
      <c r="AD643" s="28"/>
      <c r="AE643" s="28"/>
      <c r="AJ643" s="44"/>
      <c r="AK643" s="44"/>
      <c r="AL643" s="44"/>
      <c r="AM643" s="44"/>
      <c r="AN643" s="44"/>
      <c r="AO643" s="44"/>
      <c r="AP643" s="44"/>
      <c r="AQ643" s="44"/>
      <c r="AR643" s="44"/>
      <c r="AS643" s="44"/>
      <c r="AT643" s="44"/>
      <c r="AU643" s="44"/>
    </row>
    <row r="644" spans="1:47" x14ac:dyDescent="0.45">
      <c r="A644" s="3"/>
      <c r="B644" s="13"/>
      <c r="H644" s="23"/>
      <c r="I644" s="23"/>
      <c r="J644" s="23"/>
      <c r="K644" s="23"/>
      <c r="L644" s="23"/>
      <c r="M644" s="23"/>
      <c r="N644" s="26"/>
      <c r="O644" s="26"/>
      <c r="P644" s="26"/>
      <c r="Q644" s="26"/>
      <c r="R644" s="26"/>
      <c r="S644" s="26"/>
      <c r="T644" s="27"/>
      <c r="U644" s="27"/>
      <c r="V644" s="27"/>
      <c r="W644" s="27"/>
      <c r="X644" s="27"/>
      <c r="Y644" s="27"/>
      <c r="Z644" s="28"/>
      <c r="AA644" s="28"/>
      <c r="AB644" s="28"/>
      <c r="AC644" s="28"/>
      <c r="AD644" s="28"/>
      <c r="AE644" s="28"/>
      <c r="AJ644" s="44"/>
      <c r="AK644" s="44"/>
      <c r="AL644" s="44"/>
      <c r="AM644" s="44"/>
      <c r="AN644" s="44"/>
      <c r="AO644" s="44"/>
      <c r="AP644" s="44"/>
      <c r="AQ644" s="44"/>
      <c r="AR644" s="44"/>
      <c r="AS644" s="44"/>
      <c r="AT644" s="44"/>
      <c r="AU644" s="44"/>
    </row>
    <row r="645" spans="1:47" x14ac:dyDescent="0.45">
      <c r="A645" s="3"/>
      <c r="B645" s="13"/>
      <c r="H645" s="23"/>
      <c r="I645" s="23"/>
      <c r="J645" s="23"/>
      <c r="K645" s="23"/>
      <c r="L645" s="23"/>
      <c r="M645" s="23"/>
      <c r="N645" s="26"/>
      <c r="O645" s="26"/>
      <c r="P645" s="26"/>
      <c r="Q645" s="26"/>
      <c r="R645" s="26"/>
      <c r="S645" s="26"/>
      <c r="T645" s="27"/>
      <c r="U645" s="27"/>
      <c r="V645" s="27"/>
      <c r="W645" s="27"/>
      <c r="X645" s="27"/>
      <c r="Y645" s="27"/>
      <c r="Z645" s="28"/>
      <c r="AA645" s="28"/>
      <c r="AB645" s="28"/>
      <c r="AC645" s="28"/>
      <c r="AD645" s="28"/>
      <c r="AE645" s="28"/>
      <c r="AJ645" s="44"/>
      <c r="AK645" s="44"/>
      <c r="AL645" s="44"/>
      <c r="AM645" s="44"/>
      <c r="AN645" s="44"/>
      <c r="AO645" s="44"/>
      <c r="AP645" s="44"/>
      <c r="AQ645" s="44"/>
      <c r="AR645" s="44"/>
      <c r="AS645" s="44"/>
      <c r="AT645" s="44"/>
      <c r="AU645" s="44"/>
    </row>
    <row r="646" spans="1:47" x14ac:dyDescent="0.45">
      <c r="A646" s="3"/>
      <c r="B646" s="13"/>
      <c r="H646" s="23"/>
      <c r="I646" s="23"/>
      <c r="J646" s="23"/>
      <c r="K646" s="23"/>
      <c r="L646" s="23"/>
      <c r="M646" s="23"/>
      <c r="N646" s="26"/>
      <c r="O646" s="26"/>
      <c r="P646" s="26"/>
      <c r="Q646" s="26"/>
      <c r="R646" s="26"/>
      <c r="S646" s="26"/>
      <c r="T646" s="27"/>
      <c r="U646" s="27"/>
      <c r="V646" s="27"/>
      <c r="W646" s="27"/>
      <c r="X646" s="27"/>
      <c r="Y646" s="27"/>
      <c r="Z646" s="28"/>
      <c r="AA646" s="28"/>
      <c r="AB646" s="28"/>
      <c r="AC646" s="28"/>
      <c r="AD646" s="28"/>
      <c r="AE646" s="28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</row>
    <row r="647" spans="1:47" x14ac:dyDescent="0.45">
      <c r="A647" s="3"/>
      <c r="B647" s="13"/>
      <c r="H647" s="23"/>
      <c r="I647" s="23"/>
      <c r="J647" s="23"/>
      <c r="K647" s="23"/>
      <c r="L647" s="23"/>
      <c r="M647" s="23"/>
      <c r="N647" s="26"/>
      <c r="O647" s="26"/>
      <c r="P647" s="26"/>
      <c r="Q647" s="26"/>
      <c r="R647" s="26"/>
      <c r="S647" s="26"/>
      <c r="T647" s="27"/>
      <c r="U647" s="27"/>
      <c r="V647" s="27"/>
      <c r="W647" s="27"/>
      <c r="X647" s="27"/>
      <c r="Y647" s="27"/>
      <c r="Z647" s="28"/>
      <c r="AA647" s="28"/>
      <c r="AB647" s="28"/>
      <c r="AC647" s="28"/>
      <c r="AD647" s="28"/>
      <c r="AE647" s="28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</row>
    <row r="648" spans="1:47" x14ac:dyDescent="0.45">
      <c r="A648" s="3"/>
      <c r="B648" s="13"/>
      <c r="H648" s="23"/>
      <c r="I648" s="23"/>
      <c r="J648" s="23"/>
      <c r="K648" s="23"/>
      <c r="L648" s="23"/>
      <c r="M648" s="23"/>
      <c r="N648" s="26"/>
      <c r="O648" s="26"/>
      <c r="P648" s="26"/>
      <c r="Q648" s="26"/>
      <c r="R648" s="26"/>
      <c r="S648" s="26"/>
      <c r="T648" s="27"/>
      <c r="U648" s="27"/>
      <c r="V648" s="27"/>
      <c r="W648" s="27"/>
      <c r="X648" s="27"/>
      <c r="Y648" s="27"/>
      <c r="Z648" s="28"/>
      <c r="AA648" s="28"/>
      <c r="AB648" s="28"/>
      <c r="AC648" s="28"/>
      <c r="AD648" s="28"/>
      <c r="AE648" s="28"/>
      <c r="AJ648" s="44"/>
      <c r="AK648" s="44"/>
      <c r="AL648" s="44"/>
      <c r="AM648" s="44"/>
      <c r="AN648" s="44"/>
      <c r="AO648" s="44"/>
      <c r="AP648" s="44"/>
      <c r="AQ648" s="44"/>
      <c r="AR648" s="44"/>
      <c r="AS648" s="44"/>
      <c r="AT648" s="44"/>
      <c r="AU648" s="44"/>
    </row>
    <row r="649" spans="1:47" x14ac:dyDescent="0.45">
      <c r="A649" s="3"/>
      <c r="B649" s="13"/>
      <c r="H649" s="23"/>
      <c r="I649" s="23"/>
      <c r="J649" s="23"/>
      <c r="K649" s="23"/>
      <c r="L649" s="23"/>
      <c r="M649" s="23"/>
      <c r="N649" s="26"/>
      <c r="O649" s="26"/>
      <c r="P649" s="26"/>
      <c r="Q649" s="26"/>
      <c r="R649" s="26"/>
      <c r="S649" s="26"/>
      <c r="T649" s="27"/>
      <c r="U649" s="27"/>
      <c r="V649" s="27"/>
      <c r="W649" s="27"/>
      <c r="X649" s="27"/>
      <c r="Y649" s="27"/>
      <c r="Z649" s="28"/>
      <c r="AA649" s="28"/>
      <c r="AB649" s="28"/>
      <c r="AC649" s="28"/>
      <c r="AD649" s="28"/>
      <c r="AE649" s="28"/>
      <c r="AJ649" s="44"/>
      <c r="AK649" s="44"/>
      <c r="AL649" s="44"/>
      <c r="AM649" s="44"/>
      <c r="AN649" s="44"/>
      <c r="AO649" s="44"/>
      <c r="AP649" s="44"/>
      <c r="AQ649" s="44"/>
      <c r="AR649" s="44"/>
      <c r="AS649" s="44"/>
      <c r="AT649" s="44"/>
      <c r="AU649" s="44"/>
    </row>
    <row r="650" spans="1:47" x14ac:dyDescent="0.45">
      <c r="A650" s="3"/>
      <c r="B650" s="13"/>
      <c r="H650" s="23"/>
      <c r="I650" s="23"/>
      <c r="J650" s="23"/>
      <c r="K650" s="23"/>
      <c r="L650" s="23"/>
      <c r="M650" s="23"/>
      <c r="N650" s="26"/>
      <c r="O650" s="26"/>
      <c r="P650" s="26"/>
      <c r="Q650" s="26"/>
      <c r="R650" s="26"/>
      <c r="S650" s="26"/>
      <c r="T650" s="27"/>
      <c r="U650" s="27"/>
      <c r="V650" s="27"/>
      <c r="W650" s="27"/>
      <c r="X650" s="27"/>
      <c r="Y650" s="27"/>
      <c r="Z650" s="28"/>
      <c r="AA650" s="28"/>
      <c r="AB650" s="28"/>
      <c r="AC650" s="28"/>
      <c r="AD650" s="28"/>
      <c r="AE650" s="28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</row>
    <row r="651" spans="1:47" x14ac:dyDescent="0.45">
      <c r="A651" s="3"/>
      <c r="B651" s="13"/>
      <c r="H651" s="23"/>
      <c r="I651" s="23"/>
      <c r="J651" s="23"/>
      <c r="K651" s="23"/>
      <c r="L651" s="23"/>
      <c r="M651" s="23"/>
      <c r="N651" s="26"/>
      <c r="O651" s="26"/>
      <c r="P651" s="26"/>
      <c r="Q651" s="26"/>
      <c r="R651" s="26"/>
      <c r="S651" s="26"/>
      <c r="T651" s="27"/>
      <c r="U651" s="27"/>
      <c r="V651" s="27"/>
      <c r="W651" s="27"/>
      <c r="X651" s="27"/>
      <c r="Y651" s="27"/>
      <c r="Z651" s="28"/>
      <c r="AA651" s="28"/>
      <c r="AB651" s="28"/>
      <c r="AC651" s="28"/>
      <c r="AD651" s="28"/>
      <c r="AE651" s="28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</row>
    <row r="652" spans="1:47" x14ac:dyDescent="0.45">
      <c r="A652" s="3"/>
      <c r="B652" s="13"/>
      <c r="H652" s="23"/>
      <c r="I652" s="23"/>
      <c r="J652" s="23"/>
      <c r="K652" s="23"/>
      <c r="L652" s="23"/>
      <c r="M652" s="23"/>
      <c r="N652" s="26"/>
      <c r="O652" s="26"/>
      <c r="P652" s="26"/>
      <c r="Q652" s="26"/>
      <c r="R652" s="26"/>
      <c r="S652" s="26"/>
      <c r="T652" s="27"/>
      <c r="U652" s="27"/>
      <c r="V652" s="27"/>
      <c r="W652" s="27"/>
      <c r="X652" s="27"/>
      <c r="Y652" s="27"/>
      <c r="Z652" s="28"/>
      <c r="AA652" s="28"/>
      <c r="AB652" s="28"/>
      <c r="AC652" s="28"/>
      <c r="AD652" s="28"/>
      <c r="AE652" s="28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</row>
    <row r="653" spans="1:47" x14ac:dyDescent="0.45">
      <c r="A653" s="3"/>
      <c r="B653" s="13"/>
      <c r="H653" s="23"/>
      <c r="I653" s="23"/>
      <c r="J653" s="23"/>
      <c r="K653" s="23"/>
      <c r="L653" s="23"/>
      <c r="M653" s="23"/>
      <c r="N653" s="26"/>
      <c r="O653" s="26"/>
      <c r="P653" s="26"/>
      <c r="Q653" s="26"/>
      <c r="R653" s="26"/>
      <c r="S653" s="26"/>
      <c r="T653" s="27"/>
      <c r="U653" s="27"/>
      <c r="V653" s="27"/>
      <c r="W653" s="27"/>
      <c r="X653" s="27"/>
      <c r="Y653" s="27"/>
      <c r="Z653" s="28"/>
      <c r="AA653" s="28"/>
      <c r="AB653" s="28"/>
      <c r="AC653" s="28"/>
      <c r="AD653" s="28"/>
      <c r="AE653" s="28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</row>
    <row r="654" spans="1:47" x14ac:dyDescent="0.45">
      <c r="A654" s="3"/>
      <c r="B654" s="13"/>
      <c r="H654" s="23"/>
      <c r="I654" s="23"/>
      <c r="J654" s="23"/>
      <c r="K654" s="23"/>
      <c r="L654" s="23"/>
      <c r="M654" s="23"/>
      <c r="N654" s="26"/>
      <c r="O654" s="26"/>
      <c r="P654" s="26"/>
      <c r="Q654" s="26"/>
      <c r="R654" s="26"/>
      <c r="S654" s="26"/>
      <c r="T654" s="27"/>
      <c r="U654" s="27"/>
      <c r="V654" s="27"/>
      <c r="W654" s="27"/>
      <c r="X654" s="27"/>
      <c r="Y654" s="27"/>
      <c r="Z654" s="28"/>
      <c r="AA654" s="28"/>
      <c r="AB654" s="28"/>
      <c r="AC654" s="28"/>
      <c r="AD654" s="28"/>
      <c r="AE654" s="28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</row>
    <row r="655" spans="1:47" x14ac:dyDescent="0.45">
      <c r="A655" s="3"/>
      <c r="B655" s="13"/>
      <c r="H655" s="23"/>
      <c r="I655" s="23"/>
      <c r="J655" s="23"/>
      <c r="K655" s="23"/>
      <c r="L655" s="23"/>
      <c r="M655" s="23"/>
      <c r="N655" s="26"/>
      <c r="O655" s="26"/>
      <c r="P655" s="26"/>
      <c r="Q655" s="26"/>
      <c r="R655" s="26"/>
      <c r="S655" s="26"/>
      <c r="T655" s="27"/>
      <c r="U655" s="27"/>
      <c r="V655" s="27"/>
      <c r="W655" s="27"/>
      <c r="X655" s="27"/>
      <c r="Y655" s="27"/>
      <c r="Z655" s="28"/>
      <c r="AA655" s="28"/>
      <c r="AB655" s="28"/>
      <c r="AC655" s="28"/>
      <c r="AD655" s="28"/>
      <c r="AE655" s="28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</row>
    <row r="656" spans="1:47" x14ac:dyDescent="0.45">
      <c r="A656" s="3"/>
      <c r="B656" s="13"/>
      <c r="H656" s="23"/>
      <c r="I656" s="23"/>
      <c r="J656" s="23"/>
      <c r="K656" s="23"/>
      <c r="L656" s="23"/>
      <c r="M656" s="23"/>
      <c r="N656" s="26"/>
      <c r="O656" s="26"/>
      <c r="P656" s="26"/>
      <c r="Q656" s="26"/>
      <c r="R656" s="26"/>
      <c r="S656" s="26"/>
      <c r="T656" s="27"/>
      <c r="U656" s="27"/>
      <c r="V656" s="27"/>
      <c r="W656" s="27"/>
      <c r="X656" s="27"/>
      <c r="Y656" s="27"/>
      <c r="Z656" s="28"/>
      <c r="AA656" s="28"/>
      <c r="AB656" s="28"/>
      <c r="AC656" s="28"/>
      <c r="AD656" s="28"/>
      <c r="AE656" s="28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</row>
    <row r="657" spans="1:47" x14ac:dyDescent="0.45">
      <c r="A657" s="3"/>
      <c r="B657" s="13"/>
      <c r="H657" s="23"/>
      <c r="I657" s="23"/>
      <c r="J657" s="23"/>
      <c r="K657" s="23"/>
      <c r="L657" s="23"/>
      <c r="M657" s="23"/>
      <c r="N657" s="26"/>
      <c r="O657" s="26"/>
      <c r="P657" s="26"/>
      <c r="Q657" s="26"/>
      <c r="R657" s="26"/>
      <c r="S657" s="26"/>
      <c r="T657" s="27"/>
      <c r="U657" s="27"/>
      <c r="V657" s="27"/>
      <c r="W657" s="27"/>
      <c r="X657" s="27"/>
      <c r="Y657" s="27"/>
      <c r="Z657" s="28"/>
      <c r="AA657" s="28"/>
      <c r="AB657" s="28"/>
      <c r="AC657" s="28"/>
      <c r="AD657" s="28"/>
      <c r="AE657" s="28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</row>
    <row r="658" spans="1:47" x14ac:dyDescent="0.45">
      <c r="A658" s="3"/>
      <c r="B658" s="13"/>
      <c r="H658" s="23"/>
      <c r="I658" s="23"/>
      <c r="J658" s="23"/>
      <c r="K658" s="23"/>
      <c r="L658" s="23"/>
      <c r="M658" s="23"/>
      <c r="N658" s="26"/>
      <c r="O658" s="26"/>
      <c r="P658" s="26"/>
      <c r="Q658" s="26"/>
      <c r="R658" s="26"/>
      <c r="S658" s="26"/>
      <c r="T658" s="27"/>
      <c r="U658" s="27"/>
      <c r="V658" s="27"/>
      <c r="W658" s="27"/>
      <c r="X658" s="27"/>
      <c r="Y658" s="27"/>
      <c r="Z658" s="28"/>
      <c r="AA658" s="28"/>
      <c r="AB658" s="28"/>
      <c r="AC658" s="28"/>
      <c r="AD658" s="28"/>
      <c r="AE658" s="28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</row>
    <row r="659" spans="1:47" x14ac:dyDescent="0.45">
      <c r="A659" s="3"/>
      <c r="B659" s="13"/>
      <c r="H659" s="23"/>
      <c r="I659" s="23"/>
      <c r="J659" s="23"/>
      <c r="K659" s="23"/>
      <c r="L659" s="23"/>
      <c r="M659" s="23"/>
      <c r="N659" s="26"/>
      <c r="O659" s="26"/>
      <c r="P659" s="26"/>
      <c r="Q659" s="26"/>
      <c r="R659" s="26"/>
      <c r="S659" s="26"/>
      <c r="T659" s="27"/>
      <c r="U659" s="27"/>
      <c r="V659" s="27"/>
      <c r="W659" s="27"/>
      <c r="X659" s="27"/>
      <c r="Y659" s="27"/>
      <c r="Z659" s="28"/>
      <c r="AA659" s="28"/>
      <c r="AB659" s="28"/>
      <c r="AC659" s="28"/>
      <c r="AD659" s="28"/>
      <c r="AE659" s="28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</row>
    <row r="660" spans="1:47" x14ac:dyDescent="0.45">
      <c r="A660" s="3"/>
      <c r="B660" s="13"/>
      <c r="H660" s="23"/>
      <c r="I660" s="23"/>
      <c r="J660" s="23"/>
      <c r="K660" s="23"/>
      <c r="L660" s="23"/>
      <c r="M660" s="23"/>
      <c r="N660" s="26"/>
      <c r="O660" s="26"/>
      <c r="P660" s="26"/>
      <c r="Q660" s="26"/>
      <c r="R660" s="26"/>
      <c r="S660" s="26"/>
      <c r="T660" s="27"/>
      <c r="U660" s="27"/>
      <c r="V660" s="27"/>
      <c r="W660" s="27"/>
      <c r="X660" s="27"/>
      <c r="Y660" s="27"/>
      <c r="Z660" s="28"/>
      <c r="AA660" s="28"/>
      <c r="AB660" s="28"/>
      <c r="AC660" s="28"/>
      <c r="AD660" s="28"/>
      <c r="AE660" s="28"/>
      <c r="AJ660" s="44"/>
      <c r="AK660" s="44"/>
      <c r="AL660" s="44"/>
      <c r="AM660" s="44"/>
      <c r="AN660" s="44"/>
      <c r="AO660" s="44"/>
      <c r="AP660" s="44"/>
      <c r="AQ660" s="44"/>
      <c r="AR660" s="44"/>
      <c r="AS660" s="44"/>
      <c r="AT660" s="44"/>
      <c r="AU660" s="44"/>
    </row>
    <row r="661" spans="1:47" x14ac:dyDescent="0.45">
      <c r="A661" s="3"/>
      <c r="B661" s="13"/>
      <c r="H661" s="23"/>
      <c r="I661" s="23"/>
      <c r="J661" s="23"/>
      <c r="K661" s="23"/>
      <c r="L661" s="23"/>
      <c r="M661" s="23"/>
      <c r="N661" s="26"/>
      <c r="O661" s="26"/>
      <c r="P661" s="26"/>
      <c r="Q661" s="26"/>
      <c r="R661" s="26"/>
      <c r="S661" s="26"/>
      <c r="T661" s="27"/>
      <c r="U661" s="27"/>
      <c r="V661" s="27"/>
      <c r="W661" s="27"/>
      <c r="X661" s="27"/>
      <c r="Y661" s="27"/>
      <c r="Z661" s="28"/>
      <c r="AA661" s="28"/>
      <c r="AB661" s="28"/>
      <c r="AC661" s="28"/>
      <c r="AD661" s="28"/>
      <c r="AE661" s="28"/>
      <c r="AJ661" s="44"/>
      <c r="AK661" s="44"/>
      <c r="AL661" s="44"/>
      <c r="AM661" s="44"/>
      <c r="AN661" s="44"/>
      <c r="AO661" s="44"/>
      <c r="AP661" s="44"/>
      <c r="AQ661" s="44"/>
      <c r="AR661" s="44"/>
      <c r="AS661" s="44"/>
      <c r="AT661" s="44"/>
      <c r="AU661" s="44"/>
    </row>
    <row r="662" spans="1:47" x14ac:dyDescent="0.45">
      <c r="A662" s="3"/>
      <c r="B662" s="13"/>
      <c r="H662" s="23"/>
      <c r="I662" s="23"/>
      <c r="J662" s="23"/>
      <c r="K662" s="23"/>
      <c r="L662" s="23"/>
      <c r="M662" s="23"/>
      <c r="N662" s="26"/>
      <c r="O662" s="26"/>
      <c r="P662" s="26"/>
      <c r="Q662" s="26"/>
      <c r="R662" s="26"/>
      <c r="S662" s="26"/>
      <c r="T662" s="27"/>
      <c r="U662" s="27"/>
      <c r="V662" s="27"/>
      <c r="W662" s="27"/>
      <c r="X662" s="27"/>
      <c r="Y662" s="27"/>
      <c r="Z662" s="28"/>
      <c r="AA662" s="28"/>
      <c r="AB662" s="28"/>
      <c r="AC662" s="28"/>
      <c r="AD662" s="28"/>
      <c r="AE662" s="28"/>
      <c r="AJ662" s="44"/>
      <c r="AK662" s="44"/>
      <c r="AL662" s="44"/>
      <c r="AM662" s="44"/>
      <c r="AN662" s="44"/>
      <c r="AO662" s="44"/>
      <c r="AP662" s="44"/>
      <c r="AQ662" s="44"/>
      <c r="AR662" s="44"/>
      <c r="AS662" s="44"/>
      <c r="AT662" s="44"/>
      <c r="AU662" s="44"/>
    </row>
    <row r="663" spans="1:47" x14ac:dyDescent="0.45">
      <c r="A663" s="3"/>
      <c r="B663" s="13"/>
      <c r="H663" s="23"/>
      <c r="I663" s="23"/>
      <c r="J663" s="23"/>
      <c r="K663" s="23"/>
      <c r="L663" s="23"/>
      <c r="M663" s="23"/>
      <c r="N663" s="26"/>
      <c r="O663" s="26"/>
      <c r="P663" s="26"/>
      <c r="Q663" s="26"/>
      <c r="R663" s="26"/>
      <c r="S663" s="26"/>
      <c r="T663" s="27"/>
      <c r="U663" s="27"/>
      <c r="V663" s="27"/>
      <c r="W663" s="27"/>
      <c r="X663" s="27"/>
      <c r="Y663" s="27"/>
      <c r="Z663" s="28"/>
      <c r="AA663" s="28"/>
      <c r="AB663" s="28"/>
      <c r="AC663" s="28"/>
      <c r="AD663" s="28"/>
      <c r="AE663" s="28"/>
      <c r="AJ663" s="44"/>
      <c r="AK663" s="44"/>
      <c r="AL663" s="44"/>
      <c r="AM663" s="44"/>
      <c r="AN663" s="44"/>
      <c r="AO663" s="44"/>
      <c r="AP663" s="44"/>
      <c r="AQ663" s="44"/>
      <c r="AR663" s="44"/>
      <c r="AS663" s="44"/>
      <c r="AT663" s="44"/>
      <c r="AU663" s="44"/>
    </row>
    <row r="664" spans="1:47" x14ac:dyDescent="0.45">
      <c r="A664" s="3"/>
      <c r="B664" s="13"/>
      <c r="H664" s="23"/>
      <c r="I664" s="23"/>
      <c r="J664" s="23"/>
      <c r="K664" s="23"/>
      <c r="L664" s="23"/>
      <c r="M664" s="23"/>
      <c r="N664" s="26"/>
      <c r="O664" s="26"/>
      <c r="P664" s="26"/>
      <c r="Q664" s="26"/>
      <c r="R664" s="26"/>
      <c r="S664" s="26"/>
      <c r="T664" s="27"/>
      <c r="U664" s="27"/>
      <c r="V664" s="27"/>
      <c r="W664" s="27"/>
      <c r="X664" s="27"/>
      <c r="Y664" s="27"/>
      <c r="Z664" s="28"/>
      <c r="AA664" s="28"/>
      <c r="AB664" s="28"/>
      <c r="AC664" s="28"/>
      <c r="AD664" s="28"/>
      <c r="AE664" s="28"/>
      <c r="AJ664" s="44"/>
      <c r="AK664" s="44"/>
      <c r="AL664" s="44"/>
      <c r="AM664" s="44"/>
      <c r="AN664" s="44"/>
      <c r="AO664" s="44"/>
      <c r="AP664" s="44"/>
      <c r="AQ664" s="44"/>
      <c r="AR664" s="44"/>
      <c r="AS664" s="44"/>
      <c r="AT664" s="44"/>
      <c r="AU664" s="44"/>
    </row>
    <row r="665" spans="1:47" x14ac:dyDescent="0.45">
      <c r="A665" s="3"/>
      <c r="B665" s="13"/>
      <c r="H665" s="23"/>
      <c r="I665" s="23"/>
      <c r="J665" s="23"/>
      <c r="K665" s="23"/>
      <c r="L665" s="23"/>
      <c r="M665" s="23"/>
      <c r="N665" s="26"/>
      <c r="O665" s="26"/>
      <c r="P665" s="26"/>
      <c r="Q665" s="26"/>
      <c r="R665" s="26"/>
      <c r="S665" s="26"/>
      <c r="T665" s="27"/>
      <c r="U665" s="27"/>
      <c r="V665" s="27"/>
      <c r="W665" s="27"/>
      <c r="X665" s="27"/>
      <c r="Y665" s="27"/>
      <c r="Z665" s="28"/>
      <c r="AA665" s="28"/>
      <c r="AB665" s="28"/>
      <c r="AC665" s="28"/>
      <c r="AD665" s="28"/>
      <c r="AE665" s="28"/>
      <c r="AJ665" s="44"/>
      <c r="AK665" s="44"/>
      <c r="AL665" s="44"/>
      <c r="AM665" s="44"/>
      <c r="AN665" s="44"/>
      <c r="AO665" s="44"/>
      <c r="AP665" s="44"/>
      <c r="AQ665" s="44"/>
      <c r="AR665" s="44"/>
      <c r="AS665" s="44"/>
      <c r="AT665" s="44"/>
      <c r="AU665" s="44"/>
    </row>
    <row r="666" spans="1:47" x14ac:dyDescent="0.45">
      <c r="A666" s="3"/>
      <c r="B666" s="13"/>
      <c r="H666" s="23"/>
      <c r="I666" s="23"/>
      <c r="J666" s="23"/>
      <c r="K666" s="23"/>
      <c r="L666" s="23"/>
      <c r="M666" s="23"/>
      <c r="N666" s="26"/>
      <c r="O666" s="26"/>
      <c r="P666" s="26"/>
      <c r="Q666" s="26"/>
      <c r="R666" s="26"/>
      <c r="S666" s="26"/>
      <c r="T666" s="27"/>
      <c r="U666" s="27"/>
      <c r="V666" s="27"/>
      <c r="W666" s="27"/>
      <c r="X666" s="27"/>
      <c r="Y666" s="27"/>
      <c r="Z666" s="28"/>
      <c r="AA666" s="28"/>
      <c r="AB666" s="28"/>
      <c r="AC666" s="28"/>
      <c r="AD666" s="28"/>
      <c r="AE666" s="28"/>
      <c r="AJ666" s="44"/>
      <c r="AK666" s="44"/>
      <c r="AL666" s="44"/>
      <c r="AM666" s="44"/>
      <c r="AN666" s="44"/>
      <c r="AO666" s="44"/>
      <c r="AP666" s="44"/>
      <c r="AQ666" s="44"/>
      <c r="AR666" s="44"/>
      <c r="AS666" s="44"/>
      <c r="AT666" s="44"/>
      <c r="AU666" s="44"/>
    </row>
    <row r="667" spans="1:47" x14ac:dyDescent="0.45">
      <c r="A667" s="3"/>
      <c r="B667" s="13"/>
      <c r="H667" s="23"/>
      <c r="I667" s="23"/>
      <c r="J667" s="23"/>
      <c r="K667" s="23"/>
      <c r="L667" s="23"/>
      <c r="M667" s="23"/>
      <c r="N667" s="26"/>
      <c r="O667" s="26"/>
      <c r="P667" s="26"/>
      <c r="Q667" s="26"/>
      <c r="R667" s="26"/>
      <c r="S667" s="26"/>
      <c r="T667" s="27"/>
      <c r="U667" s="27"/>
      <c r="V667" s="27"/>
      <c r="W667" s="27"/>
      <c r="X667" s="27"/>
      <c r="Y667" s="27"/>
      <c r="Z667" s="28"/>
      <c r="AA667" s="28"/>
      <c r="AB667" s="28"/>
      <c r="AC667" s="28"/>
      <c r="AD667" s="28"/>
      <c r="AE667" s="28"/>
      <c r="AJ667" s="44"/>
      <c r="AK667" s="44"/>
      <c r="AL667" s="44"/>
      <c r="AM667" s="44"/>
      <c r="AN667" s="44"/>
      <c r="AO667" s="44"/>
      <c r="AP667" s="44"/>
      <c r="AQ667" s="44"/>
      <c r="AR667" s="44"/>
      <c r="AS667" s="44"/>
      <c r="AT667" s="44"/>
      <c r="AU667" s="44"/>
    </row>
    <row r="668" spans="1:47" x14ac:dyDescent="0.45">
      <c r="A668" s="3"/>
      <c r="B668" s="13"/>
      <c r="H668" s="23"/>
      <c r="I668" s="23"/>
      <c r="J668" s="23"/>
      <c r="K668" s="23"/>
      <c r="L668" s="23"/>
      <c r="M668" s="23"/>
      <c r="N668" s="26"/>
      <c r="O668" s="26"/>
      <c r="P668" s="26"/>
      <c r="Q668" s="26"/>
      <c r="R668" s="26"/>
      <c r="S668" s="26"/>
      <c r="T668" s="27"/>
      <c r="U668" s="27"/>
      <c r="V668" s="27"/>
      <c r="W668" s="27"/>
      <c r="X668" s="27"/>
      <c r="Y668" s="27"/>
      <c r="Z668" s="28"/>
      <c r="AA668" s="28"/>
      <c r="AB668" s="28"/>
      <c r="AC668" s="28"/>
      <c r="AD668" s="28"/>
      <c r="AE668" s="28"/>
      <c r="AJ668" s="44"/>
      <c r="AK668" s="44"/>
      <c r="AL668" s="44"/>
      <c r="AM668" s="44"/>
      <c r="AN668" s="44"/>
      <c r="AO668" s="44"/>
      <c r="AP668" s="44"/>
      <c r="AQ668" s="44"/>
      <c r="AR668" s="44"/>
      <c r="AS668" s="44"/>
      <c r="AT668" s="44"/>
      <c r="AU668" s="44"/>
    </row>
    <row r="669" spans="1:47" x14ac:dyDescent="0.45">
      <c r="A669" s="3"/>
      <c r="B669" s="13"/>
      <c r="H669" s="23"/>
      <c r="I669" s="23"/>
      <c r="J669" s="23"/>
      <c r="K669" s="23"/>
      <c r="L669" s="23"/>
      <c r="M669" s="23"/>
      <c r="N669" s="26"/>
      <c r="O669" s="26"/>
      <c r="P669" s="26"/>
      <c r="Q669" s="26"/>
      <c r="R669" s="26"/>
      <c r="S669" s="26"/>
      <c r="T669" s="27"/>
      <c r="U669" s="27"/>
      <c r="V669" s="27"/>
      <c r="W669" s="27"/>
      <c r="X669" s="27"/>
      <c r="Y669" s="27"/>
      <c r="Z669" s="28"/>
      <c r="AA669" s="28"/>
      <c r="AB669" s="28"/>
      <c r="AC669" s="28"/>
      <c r="AD669" s="28"/>
      <c r="AE669" s="28"/>
      <c r="AJ669" s="44"/>
      <c r="AK669" s="44"/>
      <c r="AL669" s="44"/>
      <c r="AM669" s="44"/>
      <c r="AN669" s="44"/>
      <c r="AO669" s="44"/>
      <c r="AP669" s="44"/>
      <c r="AQ669" s="44"/>
      <c r="AR669" s="44"/>
      <c r="AS669" s="44"/>
      <c r="AT669" s="44"/>
      <c r="AU669" s="44"/>
    </row>
    <row r="670" spans="1:47" x14ac:dyDescent="0.45">
      <c r="A670" s="3"/>
      <c r="B670" s="13"/>
      <c r="H670" s="23"/>
      <c r="I670" s="23"/>
      <c r="J670" s="23"/>
      <c r="K670" s="23"/>
      <c r="L670" s="23"/>
      <c r="M670" s="23"/>
      <c r="N670" s="26"/>
      <c r="O670" s="26"/>
      <c r="P670" s="26"/>
      <c r="Q670" s="26"/>
      <c r="R670" s="26"/>
      <c r="S670" s="26"/>
      <c r="T670" s="27"/>
      <c r="U670" s="27"/>
      <c r="V670" s="27"/>
      <c r="W670" s="27"/>
      <c r="X670" s="27"/>
      <c r="Y670" s="27"/>
      <c r="Z670" s="28"/>
      <c r="AA670" s="28"/>
      <c r="AB670" s="28"/>
      <c r="AC670" s="28"/>
      <c r="AD670" s="28"/>
      <c r="AE670" s="28"/>
      <c r="AJ670" s="44"/>
      <c r="AK670" s="44"/>
      <c r="AL670" s="44"/>
      <c r="AM670" s="44"/>
      <c r="AN670" s="44"/>
      <c r="AO670" s="44"/>
      <c r="AP670" s="44"/>
      <c r="AQ670" s="44"/>
      <c r="AR670" s="44"/>
      <c r="AS670" s="44"/>
      <c r="AT670" s="44"/>
      <c r="AU670" s="44"/>
    </row>
    <row r="671" spans="1:47" x14ac:dyDescent="0.45">
      <c r="A671" s="3"/>
      <c r="B671" s="13"/>
      <c r="H671" s="23"/>
      <c r="I671" s="23"/>
      <c r="J671" s="23"/>
      <c r="K671" s="23"/>
      <c r="L671" s="23"/>
      <c r="M671" s="23"/>
      <c r="N671" s="26"/>
      <c r="O671" s="26"/>
      <c r="P671" s="26"/>
      <c r="Q671" s="26"/>
      <c r="R671" s="26"/>
      <c r="S671" s="26"/>
      <c r="T671" s="27"/>
      <c r="U671" s="27"/>
      <c r="V671" s="27"/>
      <c r="W671" s="27"/>
      <c r="X671" s="27"/>
      <c r="Y671" s="27"/>
      <c r="Z671" s="28"/>
      <c r="AA671" s="28"/>
      <c r="AB671" s="28"/>
      <c r="AC671" s="28"/>
      <c r="AD671" s="28"/>
      <c r="AE671" s="28"/>
      <c r="AJ671" s="44"/>
      <c r="AK671" s="44"/>
      <c r="AL671" s="44"/>
      <c r="AM671" s="44"/>
      <c r="AN671" s="44"/>
      <c r="AO671" s="44"/>
      <c r="AP671" s="44"/>
      <c r="AQ671" s="44"/>
      <c r="AR671" s="44"/>
      <c r="AS671" s="44"/>
      <c r="AT671" s="44"/>
      <c r="AU671" s="44"/>
    </row>
    <row r="672" spans="1:47" x14ac:dyDescent="0.45">
      <c r="A672" s="3"/>
      <c r="B672" s="13"/>
      <c r="H672" s="23"/>
      <c r="I672" s="23"/>
      <c r="J672" s="23"/>
      <c r="K672" s="23"/>
      <c r="L672" s="23"/>
      <c r="M672" s="23"/>
      <c r="N672" s="26"/>
      <c r="O672" s="26"/>
      <c r="P672" s="26"/>
      <c r="Q672" s="26"/>
      <c r="R672" s="26"/>
      <c r="S672" s="26"/>
      <c r="T672" s="27"/>
      <c r="U672" s="27"/>
      <c r="V672" s="27"/>
      <c r="W672" s="27"/>
      <c r="X672" s="27"/>
      <c r="Y672" s="27"/>
      <c r="Z672" s="28"/>
      <c r="AA672" s="28"/>
      <c r="AB672" s="28"/>
      <c r="AC672" s="28"/>
      <c r="AD672" s="28"/>
      <c r="AE672" s="28"/>
      <c r="AJ672" s="44"/>
      <c r="AK672" s="44"/>
      <c r="AL672" s="44"/>
      <c r="AM672" s="44"/>
      <c r="AN672" s="44"/>
      <c r="AO672" s="44"/>
      <c r="AP672" s="44"/>
      <c r="AQ672" s="44"/>
      <c r="AR672" s="44"/>
      <c r="AS672" s="44"/>
      <c r="AT672" s="44"/>
      <c r="AU672" s="44"/>
    </row>
    <row r="673" spans="1:47" x14ac:dyDescent="0.45">
      <c r="A673" s="3"/>
      <c r="B673" s="13"/>
      <c r="H673" s="23"/>
      <c r="I673" s="23"/>
      <c r="J673" s="23"/>
      <c r="K673" s="23"/>
      <c r="L673" s="23"/>
      <c r="M673" s="23"/>
      <c r="N673" s="26"/>
      <c r="O673" s="26"/>
      <c r="P673" s="26"/>
      <c r="Q673" s="26"/>
      <c r="R673" s="26"/>
      <c r="S673" s="26"/>
      <c r="T673" s="27"/>
      <c r="U673" s="27"/>
      <c r="V673" s="27"/>
      <c r="W673" s="27"/>
      <c r="X673" s="27"/>
      <c r="Y673" s="27"/>
      <c r="Z673" s="28"/>
      <c r="AA673" s="28"/>
      <c r="AB673" s="28"/>
      <c r="AC673" s="28"/>
      <c r="AD673" s="28"/>
      <c r="AE673" s="28"/>
      <c r="AJ673" s="44"/>
      <c r="AK673" s="44"/>
      <c r="AL673" s="44"/>
      <c r="AM673" s="44"/>
      <c r="AN673" s="44"/>
      <c r="AO673" s="44"/>
      <c r="AP673" s="44"/>
      <c r="AQ673" s="44"/>
      <c r="AR673" s="44"/>
      <c r="AS673" s="44"/>
      <c r="AT673" s="44"/>
      <c r="AU673" s="44"/>
    </row>
    <row r="674" spans="1:47" x14ac:dyDescent="0.45">
      <c r="A674" s="3"/>
      <c r="B674" s="13"/>
      <c r="H674" s="23"/>
      <c r="I674" s="23"/>
      <c r="J674" s="23"/>
      <c r="K674" s="23"/>
      <c r="L674" s="23"/>
      <c r="M674" s="23"/>
      <c r="N674" s="26"/>
      <c r="O674" s="26"/>
      <c r="P674" s="26"/>
      <c r="Q674" s="26"/>
      <c r="R674" s="26"/>
      <c r="S674" s="26"/>
      <c r="T674" s="27"/>
      <c r="U674" s="27"/>
      <c r="V674" s="27"/>
      <c r="W674" s="27"/>
      <c r="X674" s="27"/>
      <c r="Y674" s="27"/>
      <c r="Z674" s="28"/>
      <c r="AA674" s="28"/>
      <c r="AB674" s="28"/>
      <c r="AC674" s="28"/>
      <c r="AD674" s="28"/>
      <c r="AE674" s="28"/>
      <c r="AJ674" s="44"/>
      <c r="AK674" s="44"/>
      <c r="AL674" s="44"/>
      <c r="AM674" s="44"/>
      <c r="AN674" s="44"/>
      <c r="AO674" s="44"/>
      <c r="AP674" s="44"/>
      <c r="AQ674" s="44"/>
      <c r="AR674" s="44"/>
      <c r="AS674" s="44"/>
      <c r="AT674" s="44"/>
      <c r="AU674" s="44"/>
    </row>
    <row r="675" spans="1:47" x14ac:dyDescent="0.45">
      <c r="A675" s="3"/>
      <c r="B675" s="13"/>
      <c r="H675" s="23"/>
      <c r="I675" s="23"/>
      <c r="J675" s="23"/>
      <c r="K675" s="23"/>
      <c r="L675" s="23"/>
      <c r="M675" s="23"/>
      <c r="N675" s="26"/>
      <c r="O675" s="26"/>
      <c r="P675" s="26"/>
      <c r="Q675" s="26"/>
      <c r="R675" s="26"/>
      <c r="S675" s="26"/>
      <c r="T675" s="27"/>
      <c r="U675" s="27"/>
      <c r="V675" s="27"/>
      <c r="W675" s="27"/>
      <c r="X675" s="27"/>
      <c r="Y675" s="27"/>
      <c r="Z675" s="28"/>
      <c r="AA675" s="28"/>
      <c r="AB675" s="28"/>
      <c r="AC675" s="28"/>
      <c r="AD675" s="28"/>
      <c r="AE675" s="28"/>
      <c r="AJ675" s="44"/>
      <c r="AK675" s="44"/>
      <c r="AL675" s="44"/>
      <c r="AM675" s="44"/>
      <c r="AN675" s="44"/>
      <c r="AO675" s="44"/>
      <c r="AP675" s="44"/>
      <c r="AQ675" s="44"/>
      <c r="AR675" s="44"/>
      <c r="AS675" s="44"/>
      <c r="AT675" s="44"/>
      <c r="AU675" s="44"/>
    </row>
    <row r="676" spans="1:47" x14ac:dyDescent="0.45">
      <c r="A676" s="3"/>
      <c r="B676" s="13"/>
      <c r="H676" s="23"/>
      <c r="I676" s="23"/>
      <c r="J676" s="23"/>
      <c r="K676" s="23"/>
      <c r="L676" s="23"/>
      <c r="M676" s="23"/>
      <c r="N676" s="26"/>
      <c r="O676" s="26"/>
      <c r="P676" s="26"/>
      <c r="Q676" s="26"/>
      <c r="R676" s="26"/>
      <c r="S676" s="26"/>
      <c r="T676" s="27"/>
      <c r="U676" s="27"/>
      <c r="V676" s="27"/>
      <c r="W676" s="27"/>
      <c r="X676" s="27"/>
      <c r="Y676" s="27"/>
      <c r="Z676" s="28"/>
      <c r="AA676" s="28"/>
      <c r="AB676" s="28"/>
      <c r="AC676" s="28"/>
      <c r="AD676" s="28"/>
      <c r="AE676" s="28"/>
      <c r="AJ676" s="44"/>
      <c r="AK676" s="44"/>
      <c r="AL676" s="44"/>
      <c r="AM676" s="44"/>
      <c r="AN676" s="44"/>
      <c r="AO676" s="44"/>
      <c r="AP676" s="44"/>
      <c r="AQ676" s="44"/>
      <c r="AR676" s="44"/>
      <c r="AS676" s="44"/>
      <c r="AT676" s="44"/>
      <c r="AU676" s="44"/>
    </row>
    <row r="677" spans="1:47" x14ac:dyDescent="0.45">
      <c r="A677" s="3"/>
      <c r="B677" s="13"/>
      <c r="H677" s="23"/>
      <c r="I677" s="23"/>
      <c r="J677" s="23"/>
      <c r="K677" s="23"/>
      <c r="L677" s="23"/>
      <c r="M677" s="23"/>
      <c r="N677" s="26"/>
      <c r="O677" s="26"/>
      <c r="P677" s="26"/>
      <c r="Q677" s="26"/>
      <c r="R677" s="26"/>
      <c r="S677" s="26"/>
      <c r="T677" s="27"/>
      <c r="U677" s="27"/>
      <c r="V677" s="27"/>
      <c r="W677" s="27"/>
      <c r="X677" s="27"/>
      <c r="Y677" s="27"/>
      <c r="Z677" s="28"/>
      <c r="AA677" s="28"/>
      <c r="AB677" s="28"/>
      <c r="AC677" s="28"/>
      <c r="AD677" s="28"/>
      <c r="AE677" s="28"/>
      <c r="AJ677" s="44"/>
      <c r="AK677" s="44"/>
      <c r="AL677" s="44"/>
      <c r="AM677" s="44"/>
      <c r="AN677" s="44"/>
      <c r="AO677" s="44"/>
      <c r="AP677" s="44"/>
      <c r="AQ677" s="44"/>
      <c r="AR677" s="44"/>
      <c r="AS677" s="44"/>
      <c r="AT677" s="44"/>
      <c r="AU677" s="44"/>
    </row>
    <row r="678" spans="1:47" x14ac:dyDescent="0.45">
      <c r="A678" s="3"/>
      <c r="B678" s="13"/>
      <c r="H678" s="23"/>
      <c r="I678" s="23"/>
      <c r="J678" s="23"/>
      <c r="K678" s="23"/>
      <c r="L678" s="23"/>
      <c r="M678" s="23"/>
      <c r="N678" s="26"/>
      <c r="O678" s="26"/>
      <c r="P678" s="26"/>
      <c r="Q678" s="26"/>
      <c r="R678" s="26"/>
      <c r="S678" s="26"/>
      <c r="T678" s="27"/>
      <c r="U678" s="27"/>
      <c r="V678" s="27"/>
      <c r="W678" s="27"/>
      <c r="X678" s="27"/>
      <c r="Y678" s="27"/>
      <c r="Z678" s="28"/>
      <c r="AA678" s="28"/>
      <c r="AB678" s="28"/>
      <c r="AC678" s="28"/>
      <c r="AD678" s="28"/>
      <c r="AE678" s="28"/>
      <c r="AJ678" s="44"/>
      <c r="AK678" s="44"/>
      <c r="AL678" s="44"/>
      <c r="AM678" s="44"/>
      <c r="AN678" s="44"/>
      <c r="AO678" s="44"/>
      <c r="AP678" s="44"/>
      <c r="AQ678" s="44"/>
      <c r="AR678" s="44"/>
      <c r="AS678" s="44"/>
      <c r="AT678" s="44"/>
      <c r="AU678" s="44"/>
    </row>
    <row r="679" spans="1:47" x14ac:dyDescent="0.45">
      <c r="A679" s="3"/>
      <c r="B679" s="13"/>
      <c r="H679" s="23"/>
      <c r="I679" s="23"/>
      <c r="J679" s="23"/>
      <c r="K679" s="23"/>
      <c r="L679" s="23"/>
      <c r="M679" s="23"/>
      <c r="N679" s="26"/>
      <c r="O679" s="26"/>
      <c r="P679" s="26"/>
      <c r="Q679" s="26"/>
      <c r="R679" s="26"/>
      <c r="S679" s="26"/>
      <c r="T679" s="27"/>
      <c r="U679" s="27"/>
      <c r="V679" s="27"/>
      <c r="W679" s="27"/>
      <c r="X679" s="27"/>
      <c r="Y679" s="27"/>
      <c r="Z679" s="28"/>
      <c r="AA679" s="28"/>
      <c r="AB679" s="28"/>
      <c r="AC679" s="28"/>
      <c r="AD679" s="28"/>
      <c r="AE679" s="28"/>
      <c r="AJ679" s="44"/>
      <c r="AK679" s="44"/>
      <c r="AL679" s="44"/>
      <c r="AM679" s="44"/>
      <c r="AN679" s="44"/>
      <c r="AO679" s="44"/>
      <c r="AP679" s="44"/>
      <c r="AQ679" s="44"/>
      <c r="AR679" s="44"/>
      <c r="AS679" s="44"/>
      <c r="AT679" s="44"/>
      <c r="AU679" s="44"/>
    </row>
    <row r="680" spans="1:47" x14ac:dyDescent="0.45">
      <c r="A680" s="3"/>
      <c r="B680" s="13"/>
      <c r="H680" s="23"/>
      <c r="I680" s="23"/>
      <c r="J680" s="23"/>
      <c r="K680" s="23"/>
      <c r="L680" s="23"/>
      <c r="M680" s="23"/>
      <c r="N680" s="26"/>
      <c r="O680" s="26"/>
      <c r="P680" s="26"/>
      <c r="Q680" s="26"/>
      <c r="R680" s="26"/>
      <c r="S680" s="26"/>
      <c r="T680" s="27"/>
      <c r="U680" s="27"/>
      <c r="V680" s="27"/>
      <c r="W680" s="27"/>
      <c r="X680" s="27"/>
      <c r="Y680" s="27"/>
      <c r="Z680" s="28"/>
      <c r="AA680" s="28"/>
      <c r="AB680" s="28"/>
      <c r="AC680" s="28"/>
      <c r="AD680" s="28"/>
      <c r="AE680" s="28"/>
      <c r="AJ680" s="44"/>
      <c r="AK680" s="44"/>
      <c r="AL680" s="44"/>
      <c r="AM680" s="44"/>
      <c r="AN680" s="44"/>
      <c r="AO680" s="44"/>
      <c r="AP680" s="44"/>
      <c r="AQ680" s="44"/>
      <c r="AR680" s="44"/>
      <c r="AS680" s="44"/>
      <c r="AT680" s="44"/>
      <c r="AU680" s="44"/>
    </row>
    <row r="681" spans="1:47" x14ac:dyDescent="0.45">
      <c r="A681" s="3"/>
      <c r="B681" s="13"/>
      <c r="H681" s="23"/>
      <c r="I681" s="23"/>
      <c r="J681" s="23"/>
      <c r="K681" s="23"/>
      <c r="L681" s="23"/>
      <c r="M681" s="23"/>
      <c r="N681" s="26"/>
      <c r="O681" s="26"/>
      <c r="P681" s="26"/>
      <c r="Q681" s="26"/>
      <c r="R681" s="26"/>
      <c r="S681" s="26"/>
      <c r="T681" s="27"/>
      <c r="U681" s="27"/>
      <c r="V681" s="27"/>
      <c r="W681" s="27"/>
      <c r="X681" s="27"/>
      <c r="Y681" s="27"/>
      <c r="Z681" s="28"/>
      <c r="AA681" s="28"/>
      <c r="AB681" s="28"/>
      <c r="AC681" s="28"/>
      <c r="AD681" s="28"/>
      <c r="AE681" s="28"/>
      <c r="AJ681" s="44"/>
      <c r="AK681" s="44"/>
      <c r="AL681" s="44"/>
      <c r="AM681" s="44"/>
      <c r="AN681" s="44"/>
      <c r="AO681" s="44"/>
      <c r="AP681" s="44"/>
      <c r="AQ681" s="44"/>
      <c r="AR681" s="44"/>
      <c r="AS681" s="44"/>
      <c r="AT681" s="44"/>
      <c r="AU681" s="44"/>
    </row>
    <row r="682" spans="1:47" x14ac:dyDescent="0.45">
      <c r="A682" s="3"/>
      <c r="B682" s="13"/>
      <c r="H682" s="23"/>
      <c r="I682" s="23"/>
      <c r="J682" s="23"/>
      <c r="K682" s="23"/>
      <c r="L682" s="23"/>
      <c r="M682" s="23"/>
      <c r="N682" s="26"/>
      <c r="O682" s="26"/>
      <c r="P682" s="26"/>
      <c r="Q682" s="26"/>
      <c r="R682" s="26"/>
      <c r="S682" s="26"/>
      <c r="T682" s="27"/>
      <c r="U682" s="27"/>
      <c r="V682" s="27"/>
      <c r="W682" s="27"/>
      <c r="X682" s="27"/>
      <c r="Y682" s="27"/>
      <c r="Z682" s="28"/>
      <c r="AA682" s="28"/>
      <c r="AB682" s="28"/>
      <c r="AC682" s="28"/>
      <c r="AD682" s="28"/>
      <c r="AE682" s="28"/>
      <c r="AJ682" s="44"/>
      <c r="AK682" s="44"/>
      <c r="AL682" s="44"/>
      <c r="AM682" s="44"/>
      <c r="AN682" s="44"/>
      <c r="AO682" s="44"/>
      <c r="AP682" s="44"/>
      <c r="AQ682" s="44"/>
      <c r="AR682" s="44"/>
      <c r="AS682" s="44"/>
      <c r="AT682" s="44"/>
      <c r="AU682" s="44"/>
    </row>
    <row r="683" spans="1:47" x14ac:dyDescent="0.45">
      <c r="A683" s="3"/>
      <c r="B683" s="13"/>
      <c r="H683" s="23"/>
      <c r="I683" s="23"/>
      <c r="J683" s="23"/>
      <c r="K683" s="23"/>
      <c r="L683" s="23"/>
      <c r="M683" s="23"/>
      <c r="N683" s="26"/>
      <c r="O683" s="26"/>
      <c r="P683" s="26"/>
      <c r="Q683" s="26"/>
      <c r="R683" s="26"/>
      <c r="S683" s="26"/>
      <c r="T683" s="27"/>
      <c r="U683" s="27"/>
      <c r="V683" s="27"/>
      <c r="W683" s="27"/>
      <c r="X683" s="27"/>
      <c r="Y683" s="27"/>
      <c r="Z683" s="28"/>
      <c r="AA683" s="28"/>
      <c r="AB683" s="28"/>
      <c r="AC683" s="28"/>
      <c r="AD683" s="28"/>
      <c r="AE683" s="28"/>
      <c r="AJ683" s="44"/>
      <c r="AK683" s="44"/>
      <c r="AL683" s="44"/>
      <c r="AM683" s="44"/>
      <c r="AN683" s="44"/>
      <c r="AO683" s="44"/>
      <c r="AP683" s="44"/>
      <c r="AQ683" s="44"/>
      <c r="AR683" s="44"/>
      <c r="AS683" s="44"/>
      <c r="AT683" s="44"/>
      <c r="AU683" s="44"/>
    </row>
    <row r="684" spans="1:47" x14ac:dyDescent="0.45">
      <c r="A684" s="3"/>
      <c r="B684" s="13"/>
      <c r="H684" s="23"/>
      <c r="I684" s="23"/>
      <c r="J684" s="23"/>
      <c r="K684" s="23"/>
      <c r="L684" s="23"/>
      <c r="M684" s="23"/>
      <c r="N684" s="26"/>
      <c r="O684" s="26"/>
      <c r="P684" s="26"/>
      <c r="Q684" s="26"/>
      <c r="R684" s="26"/>
      <c r="S684" s="26"/>
      <c r="T684" s="27"/>
      <c r="U684" s="27"/>
      <c r="V684" s="27"/>
      <c r="W684" s="27"/>
      <c r="X684" s="27"/>
      <c r="Y684" s="27"/>
      <c r="Z684" s="28"/>
      <c r="AA684" s="28"/>
      <c r="AB684" s="28"/>
      <c r="AC684" s="28"/>
      <c r="AD684" s="28"/>
      <c r="AE684" s="28"/>
      <c r="AJ684" s="44"/>
      <c r="AK684" s="44"/>
      <c r="AL684" s="44"/>
      <c r="AM684" s="44"/>
      <c r="AN684" s="44"/>
      <c r="AO684" s="44"/>
      <c r="AP684" s="44"/>
      <c r="AQ684" s="44"/>
      <c r="AR684" s="44"/>
      <c r="AS684" s="44"/>
      <c r="AT684" s="44"/>
      <c r="AU684" s="44"/>
    </row>
    <row r="685" spans="1:47" x14ac:dyDescent="0.45">
      <c r="A685" s="3"/>
      <c r="B685" s="13"/>
      <c r="H685" s="23"/>
      <c r="I685" s="23"/>
      <c r="J685" s="23"/>
      <c r="K685" s="23"/>
      <c r="L685" s="23"/>
      <c r="M685" s="23"/>
      <c r="N685" s="26"/>
      <c r="O685" s="26"/>
      <c r="P685" s="26"/>
      <c r="Q685" s="26"/>
      <c r="R685" s="26"/>
      <c r="S685" s="26"/>
      <c r="T685" s="27"/>
      <c r="U685" s="27"/>
      <c r="V685" s="27"/>
      <c r="W685" s="27"/>
      <c r="X685" s="27"/>
      <c r="Y685" s="27"/>
      <c r="Z685" s="28"/>
      <c r="AA685" s="28"/>
      <c r="AB685" s="28"/>
      <c r="AC685" s="28"/>
      <c r="AD685" s="28"/>
      <c r="AE685" s="28"/>
      <c r="AJ685" s="44"/>
      <c r="AK685" s="44"/>
      <c r="AL685" s="44"/>
      <c r="AM685" s="44"/>
      <c r="AN685" s="44"/>
      <c r="AO685" s="44"/>
      <c r="AP685" s="44"/>
      <c r="AQ685" s="44"/>
      <c r="AR685" s="44"/>
      <c r="AS685" s="44"/>
      <c r="AT685" s="44"/>
      <c r="AU685" s="44"/>
    </row>
    <row r="686" spans="1:47" x14ac:dyDescent="0.45">
      <c r="A686" s="3"/>
      <c r="B686" s="13"/>
      <c r="H686" s="23"/>
      <c r="I686" s="23"/>
      <c r="J686" s="23"/>
      <c r="K686" s="23"/>
      <c r="L686" s="23"/>
      <c r="M686" s="23"/>
      <c r="N686" s="26"/>
      <c r="O686" s="26"/>
      <c r="P686" s="26"/>
      <c r="Q686" s="26"/>
      <c r="R686" s="26"/>
      <c r="S686" s="26"/>
      <c r="T686" s="27"/>
      <c r="U686" s="27"/>
      <c r="V686" s="27"/>
      <c r="W686" s="27"/>
      <c r="X686" s="27"/>
      <c r="Y686" s="27"/>
      <c r="Z686" s="28"/>
      <c r="AA686" s="28"/>
      <c r="AB686" s="28"/>
      <c r="AC686" s="28"/>
      <c r="AD686" s="28"/>
      <c r="AE686" s="28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</row>
    <row r="687" spans="1:47" x14ac:dyDescent="0.45">
      <c r="A687" s="3"/>
      <c r="B687" s="13"/>
      <c r="H687" s="23"/>
      <c r="I687" s="23"/>
      <c r="J687" s="23"/>
      <c r="K687" s="23"/>
      <c r="L687" s="23"/>
      <c r="M687" s="23"/>
      <c r="N687" s="26"/>
      <c r="O687" s="26"/>
      <c r="P687" s="26"/>
      <c r="Q687" s="26"/>
      <c r="R687" s="26"/>
      <c r="S687" s="26"/>
      <c r="T687" s="27"/>
      <c r="U687" s="27"/>
      <c r="V687" s="27"/>
      <c r="W687" s="27"/>
      <c r="X687" s="27"/>
      <c r="Y687" s="27"/>
      <c r="Z687" s="28"/>
      <c r="AA687" s="28"/>
      <c r="AB687" s="28"/>
      <c r="AC687" s="28"/>
      <c r="AD687" s="28"/>
      <c r="AE687" s="28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</row>
    <row r="688" spans="1:47" x14ac:dyDescent="0.45">
      <c r="A688" s="3"/>
      <c r="B688" s="13"/>
      <c r="H688" s="23"/>
      <c r="I688" s="23"/>
      <c r="J688" s="23"/>
      <c r="K688" s="23"/>
      <c r="L688" s="23"/>
      <c r="M688" s="23"/>
      <c r="N688" s="26"/>
      <c r="O688" s="26"/>
      <c r="P688" s="26"/>
      <c r="Q688" s="26"/>
      <c r="R688" s="26"/>
      <c r="S688" s="26"/>
      <c r="T688" s="27"/>
      <c r="U688" s="27"/>
      <c r="V688" s="27"/>
      <c r="W688" s="27"/>
      <c r="X688" s="27"/>
      <c r="Y688" s="27"/>
      <c r="Z688" s="28"/>
      <c r="AA688" s="28"/>
      <c r="AB688" s="28"/>
      <c r="AC688" s="28"/>
      <c r="AD688" s="28"/>
      <c r="AE688" s="28"/>
      <c r="AJ688" s="44"/>
      <c r="AK688" s="44"/>
      <c r="AL688" s="44"/>
      <c r="AM688" s="44"/>
      <c r="AN688" s="44"/>
      <c r="AO688" s="44"/>
      <c r="AP688" s="44"/>
      <c r="AQ688" s="44"/>
      <c r="AR688" s="44"/>
      <c r="AS688" s="44"/>
      <c r="AT688" s="44"/>
      <c r="AU688" s="44"/>
    </row>
    <row r="689" spans="1:47" x14ac:dyDescent="0.45">
      <c r="A689" s="3"/>
      <c r="B689" s="13"/>
      <c r="H689" s="23"/>
      <c r="I689" s="23"/>
      <c r="J689" s="23"/>
      <c r="K689" s="23"/>
      <c r="L689" s="23"/>
      <c r="M689" s="23"/>
      <c r="N689" s="26"/>
      <c r="O689" s="26"/>
      <c r="P689" s="26"/>
      <c r="Q689" s="26"/>
      <c r="R689" s="26"/>
      <c r="S689" s="26"/>
      <c r="T689" s="27"/>
      <c r="U689" s="27"/>
      <c r="V689" s="27"/>
      <c r="W689" s="27"/>
      <c r="X689" s="27"/>
      <c r="Y689" s="27"/>
      <c r="Z689" s="28"/>
      <c r="AA689" s="28"/>
      <c r="AB689" s="28"/>
      <c r="AC689" s="28"/>
      <c r="AD689" s="28"/>
      <c r="AE689" s="28"/>
      <c r="AJ689" s="44"/>
      <c r="AK689" s="44"/>
      <c r="AL689" s="44"/>
      <c r="AM689" s="44"/>
      <c r="AN689" s="44"/>
      <c r="AO689" s="44"/>
      <c r="AP689" s="44"/>
      <c r="AQ689" s="44"/>
      <c r="AR689" s="44"/>
      <c r="AS689" s="44"/>
      <c r="AT689" s="44"/>
      <c r="AU689" s="44"/>
    </row>
    <row r="690" spans="1:47" x14ac:dyDescent="0.45">
      <c r="A690" s="3"/>
      <c r="B690" s="13"/>
      <c r="H690" s="23"/>
      <c r="I690" s="23"/>
      <c r="J690" s="23"/>
      <c r="K690" s="23"/>
      <c r="L690" s="23"/>
      <c r="M690" s="23"/>
      <c r="N690" s="26"/>
      <c r="O690" s="26"/>
      <c r="P690" s="26"/>
      <c r="Q690" s="26"/>
      <c r="R690" s="26"/>
      <c r="S690" s="26"/>
      <c r="T690" s="27"/>
      <c r="U690" s="27"/>
      <c r="V690" s="27"/>
      <c r="W690" s="27"/>
      <c r="X690" s="27"/>
      <c r="Y690" s="27"/>
      <c r="Z690" s="28"/>
      <c r="AA690" s="28"/>
      <c r="AB690" s="28"/>
      <c r="AC690" s="28"/>
      <c r="AD690" s="28"/>
      <c r="AE690" s="28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</row>
    <row r="691" spans="1:47" x14ac:dyDescent="0.45">
      <c r="A691" s="3"/>
      <c r="B691" s="13"/>
      <c r="H691" s="23"/>
      <c r="I691" s="23"/>
      <c r="J691" s="23"/>
      <c r="K691" s="23"/>
      <c r="L691" s="23"/>
      <c r="M691" s="23"/>
      <c r="N691" s="26"/>
      <c r="O691" s="26"/>
      <c r="P691" s="26"/>
      <c r="Q691" s="26"/>
      <c r="R691" s="26"/>
      <c r="S691" s="26"/>
      <c r="T691" s="27"/>
      <c r="U691" s="27"/>
      <c r="V691" s="27"/>
      <c r="W691" s="27"/>
      <c r="X691" s="27"/>
      <c r="Y691" s="27"/>
      <c r="Z691" s="28"/>
      <c r="AA691" s="28"/>
      <c r="AB691" s="28"/>
      <c r="AC691" s="28"/>
      <c r="AD691" s="28"/>
      <c r="AE691" s="28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</row>
    <row r="692" spans="1:47" x14ac:dyDescent="0.45">
      <c r="A692" s="3"/>
      <c r="B692" s="13"/>
      <c r="H692" s="23"/>
      <c r="I692" s="23"/>
      <c r="J692" s="23"/>
      <c r="K692" s="23"/>
      <c r="L692" s="23"/>
      <c r="M692" s="23"/>
      <c r="N692" s="26"/>
      <c r="O692" s="26"/>
      <c r="P692" s="26"/>
      <c r="Q692" s="26"/>
      <c r="R692" s="26"/>
      <c r="S692" s="26"/>
      <c r="T692" s="27"/>
      <c r="U692" s="27"/>
      <c r="V692" s="27"/>
      <c r="W692" s="27"/>
      <c r="X692" s="27"/>
      <c r="Y692" s="27"/>
      <c r="Z692" s="28"/>
      <c r="AA692" s="28"/>
      <c r="AB692" s="28"/>
      <c r="AC692" s="28"/>
      <c r="AD692" s="28"/>
      <c r="AE692" s="28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</row>
    <row r="693" spans="1:47" x14ac:dyDescent="0.45">
      <c r="A693" s="3"/>
      <c r="B693" s="13"/>
      <c r="H693" s="23"/>
      <c r="I693" s="23"/>
      <c r="J693" s="23"/>
      <c r="K693" s="23"/>
      <c r="L693" s="23"/>
      <c r="M693" s="23"/>
      <c r="N693" s="26"/>
      <c r="O693" s="26"/>
      <c r="P693" s="26"/>
      <c r="Q693" s="26"/>
      <c r="R693" s="26"/>
      <c r="S693" s="26"/>
      <c r="T693" s="27"/>
      <c r="U693" s="27"/>
      <c r="V693" s="27"/>
      <c r="W693" s="27"/>
      <c r="X693" s="27"/>
      <c r="Y693" s="27"/>
      <c r="Z693" s="28"/>
      <c r="AA693" s="28"/>
      <c r="AB693" s="28"/>
      <c r="AC693" s="28"/>
      <c r="AD693" s="28"/>
      <c r="AE693" s="28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</row>
    <row r="694" spans="1:47" x14ac:dyDescent="0.45">
      <c r="A694" s="3"/>
      <c r="B694" s="13"/>
      <c r="H694" s="23"/>
      <c r="I694" s="23"/>
      <c r="J694" s="23"/>
      <c r="K694" s="23"/>
      <c r="L694" s="23"/>
      <c r="M694" s="23"/>
      <c r="N694" s="26"/>
      <c r="O694" s="26"/>
      <c r="P694" s="26"/>
      <c r="Q694" s="26"/>
      <c r="R694" s="26"/>
      <c r="S694" s="26"/>
      <c r="T694" s="27"/>
      <c r="U694" s="27"/>
      <c r="V694" s="27"/>
      <c r="W694" s="27"/>
      <c r="X694" s="27"/>
      <c r="Y694" s="27"/>
      <c r="Z694" s="28"/>
      <c r="AA694" s="28"/>
      <c r="AB694" s="28"/>
      <c r="AC694" s="28"/>
      <c r="AD694" s="28"/>
      <c r="AE694" s="28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</row>
    <row r="695" spans="1:47" x14ac:dyDescent="0.45">
      <c r="A695" s="3"/>
      <c r="B695" s="13"/>
      <c r="H695" s="23"/>
      <c r="I695" s="23"/>
      <c r="J695" s="23"/>
      <c r="K695" s="23"/>
      <c r="L695" s="23"/>
      <c r="M695" s="23"/>
      <c r="N695" s="26"/>
      <c r="O695" s="26"/>
      <c r="P695" s="26"/>
      <c r="Q695" s="26"/>
      <c r="R695" s="26"/>
      <c r="S695" s="26"/>
      <c r="T695" s="27"/>
      <c r="U695" s="27"/>
      <c r="V695" s="27"/>
      <c r="W695" s="27"/>
      <c r="X695" s="27"/>
      <c r="Y695" s="27"/>
      <c r="Z695" s="28"/>
      <c r="AA695" s="28"/>
      <c r="AB695" s="28"/>
      <c r="AC695" s="28"/>
      <c r="AD695" s="28"/>
      <c r="AE695" s="28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</row>
    <row r="696" spans="1:47" x14ac:dyDescent="0.45">
      <c r="A696" s="3"/>
      <c r="B696" s="13"/>
      <c r="H696" s="23"/>
      <c r="I696" s="23"/>
      <c r="J696" s="23"/>
      <c r="K696" s="23"/>
      <c r="L696" s="23"/>
      <c r="M696" s="23"/>
      <c r="N696" s="26"/>
      <c r="O696" s="26"/>
      <c r="P696" s="26"/>
      <c r="Q696" s="26"/>
      <c r="R696" s="26"/>
      <c r="S696" s="26"/>
      <c r="T696" s="27"/>
      <c r="U696" s="27"/>
      <c r="V696" s="27"/>
      <c r="W696" s="27"/>
      <c r="X696" s="27"/>
      <c r="Y696" s="27"/>
      <c r="Z696" s="28"/>
      <c r="AA696" s="28"/>
      <c r="AB696" s="28"/>
      <c r="AC696" s="28"/>
      <c r="AD696" s="28"/>
      <c r="AE696" s="28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</row>
    <row r="697" spans="1:47" x14ac:dyDescent="0.45">
      <c r="A697" s="3"/>
      <c r="B697" s="13"/>
      <c r="H697" s="23"/>
      <c r="I697" s="23"/>
      <c r="J697" s="23"/>
      <c r="K697" s="23"/>
      <c r="L697" s="23"/>
      <c r="M697" s="23"/>
      <c r="N697" s="26"/>
      <c r="O697" s="26"/>
      <c r="P697" s="26"/>
      <c r="Q697" s="26"/>
      <c r="R697" s="26"/>
      <c r="S697" s="26"/>
      <c r="T697" s="27"/>
      <c r="U697" s="27"/>
      <c r="V697" s="27"/>
      <c r="W697" s="27"/>
      <c r="X697" s="27"/>
      <c r="Y697" s="27"/>
      <c r="Z697" s="28"/>
      <c r="AA697" s="28"/>
      <c r="AB697" s="28"/>
      <c r="AC697" s="28"/>
      <c r="AD697" s="28"/>
      <c r="AE697" s="28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</row>
    <row r="698" spans="1:47" x14ac:dyDescent="0.45">
      <c r="A698" s="3"/>
      <c r="B698" s="13"/>
      <c r="H698" s="23"/>
      <c r="I698" s="23"/>
      <c r="J698" s="23"/>
      <c r="K698" s="23"/>
      <c r="L698" s="23"/>
      <c r="M698" s="23"/>
      <c r="N698" s="26"/>
      <c r="O698" s="26"/>
      <c r="P698" s="26"/>
      <c r="Q698" s="26"/>
      <c r="R698" s="26"/>
      <c r="S698" s="26"/>
      <c r="T698" s="27"/>
      <c r="U698" s="27"/>
      <c r="V698" s="27"/>
      <c r="W698" s="27"/>
      <c r="X698" s="27"/>
      <c r="Y698" s="27"/>
      <c r="Z698" s="28"/>
      <c r="AA698" s="28"/>
      <c r="AB698" s="28"/>
      <c r="AC698" s="28"/>
      <c r="AD698" s="28"/>
      <c r="AE698" s="28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</row>
    <row r="699" spans="1:47" x14ac:dyDescent="0.45">
      <c r="A699" s="3"/>
      <c r="B699" s="13"/>
      <c r="H699" s="23"/>
      <c r="I699" s="23"/>
      <c r="J699" s="23"/>
      <c r="K699" s="23"/>
      <c r="L699" s="23"/>
      <c r="M699" s="23"/>
      <c r="N699" s="26"/>
      <c r="O699" s="26"/>
      <c r="P699" s="26"/>
      <c r="Q699" s="26"/>
      <c r="R699" s="26"/>
      <c r="S699" s="26"/>
      <c r="T699" s="27"/>
      <c r="U699" s="27"/>
      <c r="V699" s="27"/>
      <c r="W699" s="27"/>
      <c r="X699" s="27"/>
      <c r="Y699" s="27"/>
      <c r="Z699" s="28"/>
      <c r="AA699" s="28"/>
      <c r="AB699" s="28"/>
      <c r="AC699" s="28"/>
      <c r="AD699" s="28"/>
      <c r="AE699" s="28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</row>
    <row r="700" spans="1:47" x14ac:dyDescent="0.45">
      <c r="A700" s="3"/>
      <c r="B700" s="13"/>
      <c r="H700" s="23"/>
      <c r="I700" s="23"/>
      <c r="J700" s="23"/>
      <c r="K700" s="23"/>
      <c r="L700" s="23"/>
      <c r="M700" s="23"/>
      <c r="N700" s="26"/>
      <c r="O700" s="26"/>
      <c r="P700" s="26"/>
      <c r="Q700" s="26"/>
      <c r="R700" s="26"/>
      <c r="S700" s="26"/>
      <c r="T700" s="27"/>
      <c r="U700" s="27"/>
      <c r="V700" s="27"/>
      <c r="W700" s="27"/>
      <c r="X700" s="27"/>
      <c r="Y700" s="27"/>
      <c r="Z700" s="28"/>
      <c r="AA700" s="28"/>
      <c r="AB700" s="28"/>
      <c r="AC700" s="28"/>
      <c r="AD700" s="28"/>
      <c r="AE700" s="28"/>
      <c r="AJ700" s="44"/>
      <c r="AK700" s="44"/>
      <c r="AL700" s="44"/>
      <c r="AM700" s="44"/>
      <c r="AN700" s="44"/>
      <c r="AO700" s="44"/>
      <c r="AP700" s="44"/>
      <c r="AQ700" s="44"/>
      <c r="AR700" s="44"/>
      <c r="AS700" s="44"/>
      <c r="AT700" s="44"/>
      <c r="AU700" s="44"/>
    </row>
    <row r="701" spans="1:47" x14ac:dyDescent="0.45">
      <c r="A701" s="3"/>
      <c r="B701" s="13"/>
      <c r="H701" s="23"/>
      <c r="I701" s="23"/>
      <c r="J701" s="23"/>
      <c r="K701" s="23"/>
      <c r="L701" s="23"/>
      <c r="M701" s="23"/>
      <c r="N701" s="26"/>
      <c r="O701" s="26"/>
      <c r="P701" s="26"/>
      <c r="Q701" s="26"/>
      <c r="R701" s="26"/>
      <c r="S701" s="26"/>
      <c r="T701" s="27"/>
      <c r="U701" s="27"/>
      <c r="V701" s="27"/>
      <c r="W701" s="27"/>
      <c r="X701" s="27"/>
      <c r="Y701" s="27"/>
      <c r="Z701" s="28"/>
      <c r="AA701" s="28"/>
      <c r="AB701" s="28"/>
      <c r="AC701" s="28"/>
      <c r="AD701" s="28"/>
      <c r="AE701" s="28"/>
      <c r="AJ701" s="44"/>
      <c r="AK701" s="44"/>
      <c r="AL701" s="44"/>
      <c r="AM701" s="44"/>
      <c r="AN701" s="44"/>
      <c r="AO701" s="44"/>
      <c r="AP701" s="44"/>
      <c r="AQ701" s="44"/>
      <c r="AR701" s="44"/>
      <c r="AS701" s="44"/>
      <c r="AT701" s="44"/>
      <c r="AU701" s="44"/>
    </row>
    <row r="702" spans="1:47" x14ac:dyDescent="0.45">
      <c r="A702" s="3"/>
      <c r="B702" s="13"/>
      <c r="H702" s="23"/>
      <c r="I702" s="23"/>
      <c r="J702" s="23"/>
      <c r="K702" s="23"/>
      <c r="L702" s="23"/>
      <c r="M702" s="23"/>
      <c r="N702" s="26"/>
      <c r="O702" s="26"/>
      <c r="P702" s="26"/>
      <c r="Q702" s="26"/>
      <c r="R702" s="26"/>
      <c r="S702" s="26"/>
      <c r="T702" s="27"/>
      <c r="U702" s="27"/>
      <c r="V702" s="27"/>
      <c r="W702" s="27"/>
      <c r="X702" s="27"/>
      <c r="Y702" s="27"/>
      <c r="Z702" s="28"/>
      <c r="AA702" s="28"/>
      <c r="AB702" s="28"/>
      <c r="AC702" s="28"/>
      <c r="AD702" s="28"/>
      <c r="AE702" s="28"/>
      <c r="AJ702" s="44"/>
      <c r="AK702" s="44"/>
      <c r="AL702" s="44"/>
      <c r="AM702" s="44"/>
      <c r="AN702" s="44"/>
      <c r="AO702" s="44"/>
      <c r="AP702" s="44"/>
      <c r="AQ702" s="44"/>
      <c r="AR702" s="44"/>
      <c r="AS702" s="44"/>
      <c r="AT702" s="44"/>
      <c r="AU702" s="44"/>
    </row>
    <row r="703" spans="1:47" x14ac:dyDescent="0.45">
      <c r="A703" s="3"/>
      <c r="B703" s="13"/>
      <c r="H703" s="23"/>
      <c r="I703" s="23"/>
      <c r="J703" s="23"/>
      <c r="K703" s="23"/>
      <c r="L703" s="23"/>
      <c r="M703" s="23"/>
      <c r="N703" s="26"/>
      <c r="O703" s="26"/>
      <c r="P703" s="26"/>
      <c r="Q703" s="26"/>
      <c r="R703" s="26"/>
      <c r="S703" s="26"/>
      <c r="T703" s="27"/>
      <c r="U703" s="27"/>
      <c r="V703" s="27"/>
      <c r="W703" s="27"/>
      <c r="X703" s="27"/>
      <c r="Y703" s="27"/>
      <c r="Z703" s="28"/>
      <c r="AA703" s="28"/>
      <c r="AB703" s="28"/>
      <c r="AC703" s="28"/>
      <c r="AD703" s="28"/>
      <c r="AE703" s="28"/>
      <c r="AJ703" s="44"/>
      <c r="AK703" s="44"/>
      <c r="AL703" s="44"/>
      <c r="AM703" s="44"/>
      <c r="AN703" s="44"/>
      <c r="AO703" s="44"/>
      <c r="AP703" s="44"/>
      <c r="AQ703" s="44"/>
      <c r="AR703" s="44"/>
      <c r="AS703" s="44"/>
      <c r="AT703" s="44"/>
      <c r="AU703" s="44"/>
    </row>
    <row r="704" spans="1:47" x14ac:dyDescent="0.45">
      <c r="A704" s="3"/>
      <c r="B704" s="13"/>
      <c r="H704" s="23"/>
      <c r="I704" s="23"/>
      <c r="J704" s="23"/>
      <c r="K704" s="23"/>
      <c r="L704" s="23"/>
      <c r="M704" s="23"/>
      <c r="N704" s="26"/>
      <c r="O704" s="26"/>
      <c r="P704" s="26"/>
      <c r="Q704" s="26"/>
      <c r="R704" s="26"/>
      <c r="S704" s="26"/>
      <c r="T704" s="27"/>
      <c r="U704" s="27"/>
      <c r="V704" s="27"/>
      <c r="W704" s="27"/>
      <c r="X704" s="27"/>
      <c r="Y704" s="27"/>
      <c r="Z704" s="28"/>
      <c r="AA704" s="28"/>
      <c r="AB704" s="28"/>
      <c r="AC704" s="28"/>
      <c r="AD704" s="28"/>
      <c r="AE704" s="28"/>
      <c r="AJ704" s="44"/>
      <c r="AK704" s="44"/>
      <c r="AL704" s="44"/>
      <c r="AM704" s="44"/>
      <c r="AN704" s="44"/>
      <c r="AO704" s="44"/>
      <c r="AP704" s="44"/>
      <c r="AQ704" s="44"/>
      <c r="AR704" s="44"/>
      <c r="AS704" s="44"/>
      <c r="AT704" s="44"/>
      <c r="AU704" s="44"/>
    </row>
    <row r="705" spans="1:47" x14ac:dyDescent="0.45">
      <c r="A705" s="3"/>
      <c r="B705" s="13"/>
      <c r="H705" s="23"/>
      <c r="I705" s="23"/>
      <c r="J705" s="23"/>
      <c r="K705" s="23"/>
      <c r="L705" s="23"/>
      <c r="M705" s="23"/>
      <c r="N705" s="26"/>
      <c r="O705" s="26"/>
      <c r="P705" s="26"/>
      <c r="Q705" s="26"/>
      <c r="R705" s="26"/>
      <c r="S705" s="26"/>
      <c r="T705" s="27"/>
      <c r="U705" s="27"/>
      <c r="V705" s="27"/>
      <c r="W705" s="27"/>
      <c r="X705" s="27"/>
      <c r="Y705" s="27"/>
      <c r="Z705" s="28"/>
      <c r="AA705" s="28"/>
      <c r="AB705" s="28"/>
      <c r="AC705" s="28"/>
      <c r="AD705" s="28"/>
      <c r="AE705" s="28"/>
      <c r="AJ705" s="44"/>
      <c r="AK705" s="44"/>
      <c r="AL705" s="44"/>
      <c r="AM705" s="44"/>
      <c r="AN705" s="44"/>
      <c r="AO705" s="44"/>
      <c r="AP705" s="44"/>
      <c r="AQ705" s="44"/>
      <c r="AR705" s="44"/>
      <c r="AS705" s="44"/>
      <c r="AT705" s="44"/>
      <c r="AU705" s="44"/>
    </row>
    <row r="706" spans="1:47" x14ac:dyDescent="0.45">
      <c r="A706" s="3"/>
      <c r="B706" s="13"/>
      <c r="H706" s="23"/>
      <c r="I706" s="23"/>
      <c r="J706" s="23"/>
      <c r="K706" s="23"/>
      <c r="L706" s="23"/>
      <c r="M706" s="23"/>
      <c r="N706" s="26"/>
      <c r="O706" s="26"/>
      <c r="P706" s="26"/>
      <c r="Q706" s="26"/>
      <c r="R706" s="26"/>
      <c r="S706" s="26"/>
      <c r="T706" s="27"/>
      <c r="U706" s="27"/>
      <c r="V706" s="27"/>
      <c r="W706" s="27"/>
      <c r="X706" s="27"/>
      <c r="Y706" s="27"/>
      <c r="Z706" s="28"/>
      <c r="AA706" s="28"/>
      <c r="AB706" s="28"/>
      <c r="AC706" s="28"/>
      <c r="AD706" s="28"/>
      <c r="AE706" s="28"/>
      <c r="AJ706" s="44"/>
      <c r="AK706" s="44"/>
      <c r="AL706" s="44"/>
      <c r="AM706" s="44"/>
      <c r="AN706" s="44"/>
      <c r="AO706" s="44"/>
      <c r="AP706" s="44"/>
      <c r="AQ706" s="44"/>
      <c r="AR706" s="44"/>
      <c r="AS706" s="44"/>
      <c r="AT706" s="44"/>
      <c r="AU706" s="44"/>
    </row>
    <row r="707" spans="1:47" x14ac:dyDescent="0.45">
      <c r="A707" s="3"/>
      <c r="B707" s="13"/>
      <c r="H707" s="23"/>
      <c r="I707" s="23"/>
      <c r="J707" s="23"/>
      <c r="K707" s="23"/>
      <c r="L707" s="23"/>
      <c r="M707" s="23"/>
      <c r="N707" s="26"/>
      <c r="O707" s="26"/>
      <c r="P707" s="26"/>
      <c r="Q707" s="26"/>
      <c r="R707" s="26"/>
      <c r="S707" s="26"/>
      <c r="T707" s="27"/>
      <c r="U707" s="27"/>
      <c r="V707" s="27"/>
      <c r="W707" s="27"/>
      <c r="X707" s="27"/>
      <c r="Y707" s="27"/>
      <c r="Z707" s="28"/>
      <c r="AA707" s="28"/>
      <c r="AB707" s="28"/>
      <c r="AC707" s="28"/>
      <c r="AD707" s="28"/>
      <c r="AE707" s="28"/>
      <c r="AJ707" s="44"/>
      <c r="AK707" s="44"/>
      <c r="AL707" s="44"/>
      <c r="AM707" s="44"/>
      <c r="AN707" s="44"/>
      <c r="AO707" s="44"/>
      <c r="AP707" s="44"/>
      <c r="AQ707" s="44"/>
      <c r="AR707" s="44"/>
      <c r="AS707" s="44"/>
      <c r="AT707" s="44"/>
      <c r="AU707" s="44"/>
    </row>
    <row r="708" spans="1:47" x14ac:dyDescent="0.45">
      <c r="A708" s="3"/>
      <c r="B708" s="13"/>
      <c r="H708" s="23"/>
      <c r="I708" s="23"/>
      <c r="J708" s="23"/>
      <c r="K708" s="23"/>
      <c r="L708" s="23"/>
      <c r="M708" s="23"/>
      <c r="N708" s="26"/>
      <c r="O708" s="26"/>
      <c r="P708" s="26"/>
      <c r="Q708" s="26"/>
      <c r="R708" s="26"/>
      <c r="S708" s="26"/>
      <c r="T708" s="27"/>
      <c r="U708" s="27"/>
      <c r="V708" s="27"/>
      <c r="W708" s="27"/>
      <c r="X708" s="27"/>
      <c r="Y708" s="27"/>
      <c r="Z708" s="28"/>
      <c r="AA708" s="28"/>
      <c r="AB708" s="28"/>
      <c r="AC708" s="28"/>
      <c r="AD708" s="28"/>
      <c r="AE708" s="28"/>
      <c r="AJ708" s="44"/>
      <c r="AK708" s="44"/>
      <c r="AL708" s="44"/>
      <c r="AM708" s="44"/>
      <c r="AN708" s="44"/>
      <c r="AO708" s="44"/>
      <c r="AP708" s="44"/>
      <c r="AQ708" s="44"/>
      <c r="AR708" s="44"/>
      <c r="AS708" s="44"/>
      <c r="AT708" s="44"/>
      <c r="AU708" s="44"/>
    </row>
    <row r="709" spans="1:47" x14ac:dyDescent="0.45">
      <c r="A709" s="3"/>
      <c r="B709" s="13"/>
      <c r="H709" s="23"/>
      <c r="I709" s="23"/>
      <c r="J709" s="23"/>
      <c r="K709" s="23"/>
      <c r="L709" s="23"/>
      <c r="M709" s="23"/>
      <c r="N709" s="26"/>
      <c r="O709" s="26"/>
      <c r="P709" s="26"/>
      <c r="Q709" s="26"/>
      <c r="R709" s="26"/>
      <c r="S709" s="26"/>
      <c r="T709" s="27"/>
      <c r="U709" s="27"/>
      <c r="V709" s="27"/>
      <c r="W709" s="27"/>
      <c r="X709" s="27"/>
      <c r="Y709" s="27"/>
      <c r="Z709" s="28"/>
      <c r="AA709" s="28"/>
      <c r="AB709" s="28"/>
      <c r="AC709" s="28"/>
      <c r="AD709" s="28"/>
      <c r="AE709" s="28"/>
      <c r="AJ709" s="44"/>
      <c r="AK709" s="44"/>
      <c r="AL709" s="44"/>
      <c r="AM709" s="44"/>
      <c r="AN709" s="44"/>
      <c r="AO709" s="44"/>
      <c r="AP709" s="44"/>
      <c r="AQ709" s="44"/>
      <c r="AR709" s="44"/>
      <c r="AS709" s="44"/>
      <c r="AT709" s="44"/>
      <c r="AU709" s="44"/>
    </row>
    <row r="710" spans="1:47" x14ac:dyDescent="0.45">
      <c r="A710" s="3"/>
      <c r="B710" s="13"/>
      <c r="H710" s="23"/>
      <c r="I710" s="23"/>
      <c r="J710" s="23"/>
      <c r="K710" s="23"/>
      <c r="L710" s="23"/>
      <c r="M710" s="23"/>
      <c r="N710" s="26"/>
      <c r="O710" s="26"/>
      <c r="P710" s="26"/>
      <c r="Q710" s="26"/>
      <c r="R710" s="26"/>
      <c r="S710" s="26"/>
      <c r="T710" s="27"/>
      <c r="U710" s="27"/>
      <c r="V710" s="27"/>
      <c r="W710" s="27"/>
      <c r="X710" s="27"/>
      <c r="Y710" s="27"/>
      <c r="Z710" s="28"/>
      <c r="AA710" s="28"/>
      <c r="AB710" s="28"/>
      <c r="AC710" s="28"/>
      <c r="AD710" s="28"/>
      <c r="AE710" s="28"/>
      <c r="AJ710" s="44"/>
      <c r="AK710" s="44"/>
      <c r="AL710" s="44"/>
      <c r="AM710" s="44"/>
      <c r="AN710" s="44"/>
      <c r="AO710" s="44"/>
      <c r="AP710" s="44"/>
      <c r="AQ710" s="44"/>
      <c r="AR710" s="44"/>
      <c r="AS710" s="44"/>
      <c r="AT710" s="44"/>
      <c r="AU710" s="44"/>
    </row>
    <row r="711" spans="1:47" x14ac:dyDescent="0.45">
      <c r="A711" s="3"/>
      <c r="B711" s="13"/>
      <c r="H711" s="23"/>
      <c r="I711" s="23"/>
      <c r="J711" s="23"/>
      <c r="K711" s="23"/>
      <c r="L711" s="23"/>
      <c r="M711" s="23"/>
      <c r="N711" s="26"/>
      <c r="O711" s="26"/>
      <c r="P711" s="26"/>
      <c r="Q711" s="26"/>
      <c r="R711" s="26"/>
      <c r="S711" s="26"/>
      <c r="T711" s="27"/>
      <c r="U711" s="27"/>
      <c r="V711" s="27"/>
      <c r="W711" s="27"/>
      <c r="X711" s="27"/>
      <c r="Y711" s="27"/>
      <c r="Z711" s="28"/>
      <c r="AA711" s="28"/>
      <c r="AB711" s="28"/>
      <c r="AC711" s="28"/>
      <c r="AD711" s="28"/>
      <c r="AE711" s="28"/>
      <c r="AJ711" s="44"/>
      <c r="AK711" s="44"/>
      <c r="AL711" s="44"/>
      <c r="AM711" s="44"/>
      <c r="AN711" s="44"/>
      <c r="AO711" s="44"/>
      <c r="AP711" s="44"/>
      <c r="AQ711" s="44"/>
      <c r="AR711" s="44"/>
      <c r="AS711" s="44"/>
      <c r="AT711" s="44"/>
      <c r="AU711" s="44"/>
    </row>
    <row r="712" spans="1:47" x14ac:dyDescent="0.45">
      <c r="A712" s="3"/>
      <c r="B712" s="13"/>
      <c r="H712" s="23"/>
      <c r="I712" s="23"/>
      <c r="J712" s="23"/>
      <c r="K712" s="23"/>
      <c r="L712" s="23"/>
      <c r="M712" s="23"/>
      <c r="N712" s="26"/>
      <c r="O712" s="26"/>
      <c r="P712" s="26"/>
      <c r="Q712" s="26"/>
      <c r="R712" s="26"/>
      <c r="S712" s="26"/>
      <c r="T712" s="27"/>
      <c r="U712" s="27"/>
      <c r="V712" s="27"/>
      <c r="W712" s="27"/>
      <c r="X712" s="27"/>
      <c r="Y712" s="27"/>
      <c r="Z712" s="28"/>
      <c r="AA712" s="28"/>
      <c r="AB712" s="28"/>
      <c r="AC712" s="28"/>
      <c r="AD712" s="28"/>
      <c r="AE712" s="28"/>
      <c r="AJ712" s="44"/>
      <c r="AK712" s="44"/>
      <c r="AL712" s="44"/>
      <c r="AM712" s="44"/>
      <c r="AN712" s="44"/>
      <c r="AO712" s="44"/>
      <c r="AP712" s="44"/>
      <c r="AQ712" s="44"/>
      <c r="AR712" s="44"/>
      <c r="AS712" s="44"/>
      <c r="AT712" s="44"/>
      <c r="AU712" s="44"/>
    </row>
    <row r="713" spans="1:47" x14ac:dyDescent="0.45">
      <c r="A713" s="3"/>
      <c r="B713" s="13"/>
      <c r="H713" s="23"/>
      <c r="I713" s="23"/>
      <c r="J713" s="23"/>
      <c r="K713" s="23"/>
      <c r="L713" s="23"/>
      <c r="M713" s="23"/>
      <c r="N713" s="26"/>
      <c r="O713" s="26"/>
      <c r="P713" s="26"/>
      <c r="Q713" s="26"/>
      <c r="R713" s="26"/>
      <c r="S713" s="26"/>
      <c r="T713" s="27"/>
      <c r="U713" s="27"/>
      <c r="V713" s="27"/>
      <c r="W713" s="27"/>
      <c r="X713" s="27"/>
      <c r="Y713" s="27"/>
      <c r="Z713" s="28"/>
      <c r="AA713" s="28"/>
      <c r="AB713" s="28"/>
      <c r="AC713" s="28"/>
      <c r="AD713" s="28"/>
      <c r="AE713" s="28"/>
      <c r="AJ713" s="44"/>
      <c r="AK713" s="44"/>
      <c r="AL713" s="44"/>
      <c r="AM713" s="44"/>
      <c r="AN713" s="44"/>
      <c r="AO713" s="44"/>
      <c r="AP713" s="44"/>
      <c r="AQ713" s="44"/>
      <c r="AR713" s="44"/>
      <c r="AS713" s="44"/>
      <c r="AT713" s="44"/>
      <c r="AU713" s="44"/>
    </row>
    <row r="714" spans="1:47" x14ac:dyDescent="0.45">
      <c r="A714" s="3"/>
      <c r="B714" s="13"/>
      <c r="H714" s="23"/>
      <c r="I714" s="23"/>
      <c r="J714" s="23"/>
      <c r="K714" s="23"/>
      <c r="L714" s="23"/>
      <c r="M714" s="23"/>
      <c r="N714" s="26"/>
      <c r="O714" s="26"/>
      <c r="P714" s="26"/>
      <c r="Q714" s="26"/>
      <c r="R714" s="26"/>
      <c r="S714" s="26"/>
      <c r="T714" s="27"/>
      <c r="U714" s="27"/>
      <c r="V714" s="27"/>
      <c r="W714" s="27"/>
      <c r="X714" s="27"/>
      <c r="Y714" s="27"/>
      <c r="Z714" s="28"/>
      <c r="AA714" s="28"/>
      <c r="AB714" s="28"/>
      <c r="AC714" s="28"/>
      <c r="AD714" s="28"/>
      <c r="AE714" s="28"/>
      <c r="AJ714" s="44"/>
      <c r="AK714" s="44"/>
      <c r="AL714" s="44"/>
      <c r="AM714" s="44"/>
      <c r="AN714" s="44"/>
      <c r="AO714" s="44"/>
      <c r="AP714" s="44"/>
      <c r="AQ714" s="44"/>
      <c r="AR714" s="44"/>
      <c r="AS714" s="44"/>
      <c r="AT714" s="44"/>
      <c r="AU714" s="44"/>
    </row>
    <row r="715" spans="1:47" x14ac:dyDescent="0.45">
      <c r="A715" s="3"/>
      <c r="B715" s="13"/>
      <c r="H715" s="23"/>
      <c r="I715" s="23"/>
      <c r="J715" s="23"/>
      <c r="K715" s="23"/>
      <c r="L715" s="23"/>
      <c r="M715" s="23"/>
      <c r="N715" s="26"/>
      <c r="O715" s="26"/>
      <c r="P715" s="26"/>
      <c r="Q715" s="26"/>
      <c r="R715" s="26"/>
      <c r="S715" s="26"/>
      <c r="T715" s="27"/>
      <c r="U715" s="27"/>
      <c r="V715" s="27"/>
      <c r="W715" s="27"/>
      <c r="X715" s="27"/>
      <c r="Y715" s="27"/>
      <c r="Z715" s="28"/>
      <c r="AA715" s="28"/>
      <c r="AB715" s="28"/>
      <c r="AC715" s="28"/>
      <c r="AD715" s="28"/>
      <c r="AE715" s="28"/>
      <c r="AJ715" s="44"/>
      <c r="AK715" s="44"/>
      <c r="AL715" s="44"/>
      <c r="AM715" s="44"/>
      <c r="AN715" s="44"/>
      <c r="AO715" s="44"/>
      <c r="AP715" s="44"/>
      <c r="AQ715" s="44"/>
      <c r="AR715" s="44"/>
      <c r="AS715" s="44"/>
      <c r="AT715" s="44"/>
      <c r="AU715" s="44"/>
    </row>
    <row r="716" spans="1:47" x14ac:dyDescent="0.45">
      <c r="A716" s="3"/>
      <c r="B716" s="13"/>
      <c r="H716" s="23"/>
      <c r="I716" s="23"/>
      <c r="J716" s="23"/>
      <c r="K716" s="23"/>
      <c r="L716" s="23"/>
      <c r="M716" s="23"/>
      <c r="N716" s="26"/>
      <c r="O716" s="26"/>
      <c r="P716" s="26"/>
      <c r="Q716" s="26"/>
      <c r="R716" s="26"/>
      <c r="S716" s="26"/>
      <c r="T716" s="27"/>
      <c r="U716" s="27"/>
      <c r="V716" s="27"/>
      <c r="W716" s="27"/>
      <c r="X716" s="27"/>
      <c r="Y716" s="27"/>
      <c r="Z716" s="28"/>
      <c r="AA716" s="28"/>
      <c r="AB716" s="28"/>
      <c r="AC716" s="28"/>
      <c r="AD716" s="28"/>
      <c r="AE716" s="28"/>
      <c r="AJ716" s="44"/>
      <c r="AK716" s="44"/>
      <c r="AL716" s="44"/>
      <c r="AM716" s="44"/>
      <c r="AN716" s="44"/>
      <c r="AO716" s="44"/>
      <c r="AP716" s="44"/>
      <c r="AQ716" s="44"/>
      <c r="AR716" s="44"/>
      <c r="AS716" s="44"/>
      <c r="AT716" s="44"/>
      <c r="AU716" s="44"/>
    </row>
    <row r="717" spans="1:47" x14ac:dyDescent="0.45">
      <c r="A717" s="3"/>
      <c r="B717" s="13"/>
      <c r="H717" s="23"/>
      <c r="I717" s="23"/>
      <c r="J717" s="23"/>
      <c r="K717" s="23"/>
      <c r="L717" s="23"/>
      <c r="M717" s="23"/>
      <c r="N717" s="26"/>
      <c r="O717" s="26"/>
      <c r="P717" s="26"/>
      <c r="Q717" s="26"/>
      <c r="R717" s="26"/>
      <c r="S717" s="26"/>
      <c r="T717" s="27"/>
      <c r="U717" s="27"/>
      <c r="V717" s="27"/>
      <c r="W717" s="27"/>
      <c r="X717" s="27"/>
      <c r="Y717" s="27"/>
      <c r="Z717" s="28"/>
      <c r="AA717" s="28"/>
      <c r="AB717" s="28"/>
      <c r="AC717" s="28"/>
      <c r="AD717" s="28"/>
      <c r="AE717" s="28"/>
      <c r="AJ717" s="44"/>
      <c r="AK717" s="44"/>
      <c r="AL717" s="44"/>
      <c r="AM717" s="44"/>
      <c r="AN717" s="44"/>
      <c r="AO717" s="44"/>
      <c r="AP717" s="44"/>
      <c r="AQ717" s="44"/>
      <c r="AR717" s="44"/>
      <c r="AS717" s="44"/>
      <c r="AT717" s="44"/>
      <c r="AU717" s="44"/>
    </row>
    <row r="718" spans="1:47" x14ac:dyDescent="0.45">
      <c r="A718" s="3"/>
      <c r="B718" s="13"/>
      <c r="H718" s="23"/>
      <c r="I718" s="23"/>
      <c r="J718" s="23"/>
      <c r="K718" s="23"/>
      <c r="L718" s="23"/>
      <c r="M718" s="23"/>
      <c r="N718" s="26"/>
      <c r="O718" s="26"/>
      <c r="P718" s="26"/>
      <c r="Q718" s="26"/>
      <c r="R718" s="26"/>
      <c r="S718" s="26"/>
      <c r="T718" s="27"/>
      <c r="U718" s="27"/>
      <c r="V718" s="27"/>
      <c r="W718" s="27"/>
      <c r="X718" s="27"/>
      <c r="Y718" s="27"/>
      <c r="Z718" s="28"/>
      <c r="AA718" s="28"/>
      <c r="AB718" s="28"/>
      <c r="AC718" s="28"/>
      <c r="AD718" s="28"/>
      <c r="AE718" s="28"/>
      <c r="AJ718" s="44"/>
      <c r="AK718" s="44"/>
      <c r="AL718" s="44"/>
      <c r="AM718" s="44"/>
      <c r="AN718" s="44"/>
      <c r="AO718" s="44"/>
      <c r="AP718" s="44"/>
      <c r="AQ718" s="44"/>
      <c r="AR718" s="44"/>
      <c r="AS718" s="44"/>
      <c r="AT718" s="44"/>
      <c r="AU718" s="44"/>
    </row>
    <row r="719" spans="1:47" x14ac:dyDescent="0.45">
      <c r="A719" s="3"/>
      <c r="B719" s="13"/>
      <c r="H719" s="23"/>
      <c r="I719" s="23"/>
      <c r="J719" s="23"/>
      <c r="K719" s="23"/>
      <c r="L719" s="23"/>
      <c r="M719" s="23"/>
      <c r="N719" s="26"/>
      <c r="O719" s="26"/>
      <c r="P719" s="26"/>
      <c r="Q719" s="26"/>
      <c r="R719" s="26"/>
      <c r="S719" s="26"/>
      <c r="T719" s="27"/>
      <c r="U719" s="27"/>
      <c r="V719" s="27"/>
      <c r="W719" s="27"/>
      <c r="X719" s="27"/>
      <c r="Y719" s="27"/>
      <c r="Z719" s="28"/>
      <c r="AA719" s="28"/>
      <c r="AB719" s="28"/>
      <c r="AC719" s="28"/>
      <c r="AD719" s="28"/>
      <c r="AE719" s="28"/>
      <c r="AJ719" s="44"/>
      <c r="AK719" s="44"/>
      <c r="AL719" s="44"/>
      <c r="AM719" s="44"/>
      <c r="AN719" s="44"/>
      <c r="AO719" s="44"/>
      <c r="AP719" s="44"/>
      <c r="AQ719" s="44"/>
      <c r="AR719" s="44"/>
      <c r="AS719" s="44"/>
      <c r="AT719" s="44"/>
      <c r="AU719" s="44"/>
    </row>
    <row r="720" spans="1:47" x14ac:dyDescent="0.45">
      <c r="A720" s="3"/>
      <c r="B720" s="13"/>
      <c r="H720" s="23"/>
      <c r="I720" s="23"/>
      <c r="J720" s="23"/>
      <c r="K720" s="23"/>
      <c r="L720" s="23"/>
      <c r="M720" s="23"/>
      <c r="N720" s="26"/>
      <c r="O720" s="26"/>
      <c r="P720" s="26"/>
      <c r="Q720" s="26"/>
      <c r="R720" s="26"/>
      <c r="S720" s="26"/>
      <c r="T720" s="27"/>
      <c r="U720" s="27"/>
      <c r="V720" s="27"/>
      <c r="W720" s="27"/>
      <c r="X720" s="27"/>
      <c r="Y720" s="27"/>
      <c r="Z720" s="28"/>
      <c r="AA720" s="28"/>
      <c r="AB720" s="28"/>
      <c r="AC720" s="28"/>
      <c r="AD720" s="28"/>
      <c r="AE720" s="28"/>
      <c r="AJ720" s="44"/>
      <c r="AK720" s="44"/>
      <c r="AL720" s="44"/>
      <c r="AM720" s="44"/>
      <c r="AN720" s="44"/>
      <c r="AO720" s="44"/>
      <c r="AP720" s="44"/>
      <c r="AQ720" s="44"/>
      <c r="AR720" s="44"/>
      <c r="AS720" s="44"/>
      <c r="AT720" s="44"/>
      <c r="AU720" s="44"/>
    </row>
    <row r="721" spans="1:47" x14ac:dyDescent="0.45">
      <c r="A721" s="3"/>
      <c r="B721" s="13"/>
      <c r="H721" s="23"/>
      <c r="I721" s="23"/>
      <c r="J721" s="23"/>
      <c r="K721" s="23"/>
      <c r="L721" s="23"/>
      <c r="M721" s="23"/>
      <c r="N721" s="26"/>
      <c r="O721" s="26"/>
      <c r="P721" s="26"/>
      <c r="Q721" s="26"/>
      <c r="R721" s="26"/>
      <c r="S721" s="26"/>
      <c r="T721" s="27"/>
      <c r="U721" s="27"/>
      <c r="V721" s="27"/>
      <c r="W721" s="27"/>
      <c r="X721" s="27"/>
      <c r="Y721" s="27"/>
      <c r="Z721" s="28"/>
      <c r="AA721" s="28"/>
      <c r="AB721" s="28"/>
      <c r="AC721" s="28"/>
      <c r="AD721" s="28"/>
      <c r="AE721" s="28"/>
      <c r="AJ721" s="44"/>
      <c r="AK721" s="44"/>
      <c r="AL721" s="44"/>
      <c r="AM721" s="44"/>
      <c r="AN721" s="44"/>
      <c r="AO721" s="44"/>
      <c r="AP721" s="44"/>
      <c r="AQ721" s="44"/>
      <c r="AR721" s="44"/>
      <c r="AS721" s="44"/>
      <c r="AT721" s="44"/>
      <c r="AU721" s="44"/>
    </row>
    <row r="722" spans="1:47" x14ac:dyDescent="0.45">
      <c r="A722" s="3"/>
      <c r="B722" s="13"/>
      <c r="H722" s="23"/>
      <c r="I722" s="23"/>
      <c r="J722" s="23"/>
      <c r="K722" s="23"/>
      <c r="L722" s="23"/>
      <c r="M722" s="23"/>
      <c r="N722" s="26"/>
      <c r="O722" s="26"/>
      <c r="P722" s="26"/>
      <c r="Q722" s="26"/>
      <c r="R722" s="26"/>
      <c r="S722" s="26"/>
      <c r="T722" s="27"/>
      <c r="U722" s="27"/>
      <c r="V722" s="27"/>
      <c r="W722" s="27"/>
      <c r="X722" s="27"/>
      <c r="Y722" s="27"/>
      <c r="Z722" s="28"/>
      <c r="AA722" s="28"/>
      <c r="AB722" s="28"/>
      <c r="AC722" s="28"/>
      <c r="AD722" s="28"/>
      <c r="AE722" s="28"/>
      <c r="AJ722" s="44"/>
      <c r="AK722" s="44"/>
      <c r="AL722" s="44"/>
      <c r="AM722" s="44"/>
      <c r="AN722" s="44"/>
      <c r="AO722" s="44"/>
      <c r="AP722" s="44"/>
      <c r="AQ722" s="44"/>
      <c r="AR722" s="44"/>
      <c r="AS722" s="44"/>
      <c r="AT722" s="44"/>
      <c r="AU722" s="44"/>
    </row>
    <row r="723" spans="1:47" x14ac:dyDescent="0.45">
      <c r="A723" s="3"/>
      <c r="B723" s="13"/>
      <c r="H723" s="23"/>
      <c r="I723" s="23"/>
      <c r="J723" s="23"/>
      <c r="K723" s="23"/>
      <c r="L723" s="23"/>
      <c r="M723" s="23"/>
      <c r="N723" s="26"/>
      <c r="O723" s="26"/>
      <c r="P723" s="26"/>
      <c r="Q723" s="26"/>
      <c r="R723" s="26"/>
      <c r="S723" s="26"/>
      <c r="T723" s="27"/>
      <c r="U723" s="27"/>
      <c r="V723" s="27"/>
      <c r="W723" s="27"/>
      <c r="X723" s="27"/>
      <c r="Y723" s="27"/>
      <c r="Z723" s="28"/>
      <c r="AA723" s="28"/>
      <c r="AB723" s="28"/>
      <c r="AC723" s="28"/>
      <c r="AD723" s="28"/>
      <c r="AE723" s="28"/>
      <c r="AJ723" s="44"/>
      <c r="AK723" s="44"/>
      <c r="AL723" s="44"/>
      <c r="AM723" s="44"/>
      <c r="AN723" s="44"/>
      <c r="AO723" s="44"/>
      <c r="AP723" s="44"/>
      <c r="AQ723" s="44"/>
      <c r="AR723" s="44"/>
      <c r="AS723" s="44"/>
      <c r="AT723" s="44"/>
      <c r="AU723" s="44"/>
    </row>
    <row r="724" spans="1:47" x14ac:dyDescent="0.45">
      <c r="A724" s="3"/>
      <c r="B724" s="13"/>
      <c r="H724" s="23"/>
      <c r="I724" s="23"/>
      <c r="J724" s="23"/>
      <c r="K724" s="23"/>
      <c r="L724" s="23"/>
      <c r="M724" s="23"/>
      <c r="N724" s="26"/>
      <c r="O724" s="26"/>
      <c r="P724" s="26"/>
      <c r="Q724" s="26"/>
      <c r="R724" s="26"/>
      <c r="S724" s="26"/>
      <c r="T724" s="27"/>
      <c r="U724" s="27"/>
      <c r="V724" s="27"/>
      <c r="W724" s="27"/>
      <c r="X724" s="27"/>
      <c r="Y724" s="27"/>
      <c r="Z724" s="28"/>
      <c r="AA724" s="28"/>
      <c r="AB724" s="28"/>
      <c r="AC724" s="28"/>
      <c r="AD724" s="28"/>
      <c r="AE724" s="28"/>
      <c r="AJ724" s="44"/>
      <c r="AK724" s="44"/>
      <c r="AL724" s="44"/>
      <c r="AM724" s="44"/>
      <c r="AN724" s="44"/>
      <c r="AO724" s="44"/>
      <c r="AP724" s="44"/>
      <c r="AQ724" s="44"/>
      <c r="AR724" s="44"/>
      <c r="AS724" s="44"/>
      <c r="AT724" s="44"/>
      <c r="AU724" s="44"/>
    </row>
    <row r="725" spans="1:47" x14ac:dyDescent="0.45">
      <c r="A725" s="3"/>
      <c r="B725" s="13"/>
      <c r="H725" s="23"/>
      <c r="I725" s="23"/>
      <c r="J725" s="23"/>
      <c r="K725" s="23"/>
      <c r="L725" s="23"/>
      <c r="M725" s="23"/>
      <c r="N725" s="26"/>
      <c r="O725" s="26"/>
      <c r="P725" s="26"/>
      <c r="Q725" s="26"/>
      <c r="R725" s="26"/>
      <c r="S725" s="26"/>
      <c r="T725" s="27"/>
      <c r="U725" s="27"/>
      <c r="V725" s="27"/>
      <c r="W725" s="27"/>
      <c r="X725" s="27"/>
      <c r="Y725" s="27"/>
      <c r="Z725" s="28"/>
      <c r="AA725" s="28"/>
      <c r="AB725" s="28"/>
      <c r="AC725" s="28"/>
      <c r="AD725" s="28"/>
      <c r="AE725" s="28"/>
      <c r="AJ725" s="44"/>
      <c r="AK725" s="44"/>
      <c r="AL725" s="44"/>
      <c r="AM725" s="44"/>
      <c r="AN725" s="44"/>
      <c r="AO725" s="44"/>
      <c r="AP725" s="44"/>
      <c r="AQ725" s="44"/>
      <c r="AR725" s="44"/>
      <c r="AS725" s="44"/>
      <c r="AT725" s="44"/>
      <c r="AU725" s="44"/>
    </row>
    <row r="726" spans="1:47" x14ac:dyDescent="0.45">
      <c r="A726" s="3"/>
      <c r="B726" s="13"/>
      <c r="H726" s="23"/>
      <c r="I726" s="23"/>
      <c r="J726" s="23"/>
      <c r="K726" s="23"/>
      <c r="L726" s="23"/>
      <c r="M726" s="23"/>
      <c r="N726" s="26"/>
      <c r="O726" s="26"/>
      <c r="P726" s="26"/>
      <c r="Q726" s="26"/>
      <c r="R726" s="26"/>
      <c r="S726" s="26"/>
      <c r="T726" s="27"/>
      <c r="U726" s="27"/>
      <c r="V726" s="27"/>
      <c r="W726" s="27"/>
      <c r="X726" s="27"/>
      <c r="Y726" s="27"/>
      <c r="Z726" s="28"/>
      <c r="AA726" s="28"/>
      <c r="AB726" s="28"/>
      <c r="AC726" s="28"/>
      <c r="AD726" s="28"/>
      <c r="AE726" s="28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</row>
    <row r="727" spans="1:47" x14ac:dyDescent="0.45">
      <c r="A727" s="3"/>
      <c r="B727" s="13"/>
      <c r="H727" s="23"/>
      <c r="I727" s="23"/>
      <c r="J727" s="23"/>
      <c r="K727" s="23"/>
      <c r="L727" s="23"/>
      <c r="M727" s="23"/>
      <c r="N727" s="26"/>
      <c r="O727" s="26"/>
      <c r="P727" s="26"/>
      <c r="Q727" s="26"/>
      <c r="R727" s="26"/>
      <c r="S727" s="26"/>
      <c r="T727" s="27"/>
      <c r="U727" s="27"/>
      <c r="V727" s="27"/>
      <c r="W727" s="27"/>
      <c r="X727" s="27"/>
      <c r="Y727" s="27"/>
      <c r="Z727" s="28"/>
      <c r="AA727" s="28"/>
      <c r="AB727" s="28"/>
      <c r="AC727" s="28"/>
      <c r="AD727" s="28"/>
      <c r="AE727" s="28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</row>
    <row r="728" spans="1:47" x14ac:dyDescent="0.45">
      <c r="A728" s="3"/>
      <c r="B728" s="13"/>
      <c r="H728" s="23"/>
      <c r="I728" s="23"/>
      <c r="J728" s="23"/>
      <c r="K728" s="23"/>
      <c r="L728" s="23"/>
      <c r="M728" s="23"/>
      <c r="N728" s="26"/>
      <c r="O728" s="26"/>
      <c r="P728" s="26"/>
      <c r="Q728" s="26"/>
      <c r="R728" s="26"/>
      <c r="S728" s="26"/>
      <c r="T728" s="27"/>
      <c r="U728" s="27"/>
      <c r="V728" s="27"/>
      <c r="W728" s="27"/>
      <c r="X728" s="27"/>
      <c r="Y728" s="27"/>
      <c r="Z728" s="28"/>
      <c r="AA728" s="28"/>
      <c r="AB728" s="28"/>
      <c r="AC728" s="28"/>
      <c r="AD728" s="28"/>
      <c r="AE728" s="28"/>
      <c r="AJ728" s="44"/>
      <c r="AK728" s="44"/>
      <c r="AL728" s="44"/>
      <c r="AM728" s="44"/>
      <c r="AN728" s="44"/>
      <c r="AO728" s="44"/>
      <c r="AP728" s="44"/>
      <c r="AQ728" s="44"/>
      <c r="AR728" s="44"/>
      <c r="AS728" s="44"/>
      <c r="AT728" s="44"/>
      <c r="AU728" s="44"/>
    </row>
    <row r="729" spans="1:47" x14ac:dyDescent="0.45">
      <c r="A729" s="3"/>
      <c r="B729" s="13"/>
      <c r="H729" s="23"/>
      <c r="I729" s="23"/>
      <c r="J729" s="23"/>
      <c r="K729" s="23"/>
      <c r="L729" s="23"/>
      <c r="M729" s="23"/>
      <c r="N729" s="26"/>
      <c r="O729" s="26"/>
      <c r="P729" s="26"/>
      <c r="Q729" s="26"/>
      <c r="R729" s="26"/>
      <c r="S729" s="26"/>
      <c r="T729" s="27"/>
      <c r="U729" s="27"/>
      <c r="V729" s="27"/>
      <c r="W729" s="27"/>
      <c r="X729" s="27"/>
      <c r="Y729" s="27"/>
      <c r="Z729" s="28"/>
      <c r="AA729" s="28"/>
      <c r="AB729" s="28"/>
      <c r="AC729" s="28"/>
      <c r="AD729" s="28"/>
      <c r="AE729" s="28"/>
      <c r="AJ729" s="44"/>
      <c r="AK729" s="44"/>
      <c r="AL729" s="44"/>
      <c r="AM729" s="44"/>
      <c r="AN729" s="44"/>
      <c r="AO729" s="44"/>
      <c r="AP729" s="44"/>
      <c r="AQ729" s="44"/>
      <c r="AR729" s="44"/>
      <c r="AS729" s="44"/>
      <c r="AT729" s="44"/>
      <c r="AU729" s="44"/>
    </row>
    <row r="730" spans="1:47" x14ac:dyDescent="0.45">
      <c r="A730" s="3"/>
      <c r="B730" s="13"/>
      <c r="H730" s="23"/>
      <c r="I730" s="23"/>
      <c r="J730" s="23"/>
      <c r="K730" s="23"/>
      <c r="L730" s="23"/>
      <c r="M730" s="23"/>
      <c r="N730" s="26"/>
      <c r="O730" s="26"/>
      <c r="P730" s="26"/>
      <c r="Q730" s="26"/>
      <c r="R730" s="26"/>
      <c r="S730" s="26"/>
      <c r="T730" s="27"/>
      <c r="U730" s="27"/>
      <c r="V730" s="27"/>
      <c r="W730" s="27"/>
      <c r="X730" s="27"/>
      <c r="Y730" s="27"/>
      <c r="Z730" s="28"/>
      <c r="AA730" s="28"/>
      <c r="AB730" s="28"/>
      <c r="AC730" s="28"/>
      <c r="AD730" s="28"/>
      <c r="AE730" s="28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</row>
    <row r="731" spans="1:47" x14ac:dyDescent="0.45">
      <c r="A731" s="3"/>
      <c r="B731" s="13"/>
      <c r="H731" s="23"/>
      <c r="I731" s="23"/>
      <c r="J731" s="23"/>
      <c r="K731" s="23"/>
      <c r="L731" s="23"/>
      <c r="M731" s="23"/>
      <c r="N731" s="26"/>
      <c r="O731" s="26"/>
      <c r="P731" s="26"/>
      <c r="Q731" s="26"/>
      <c r="R731" s="26"/>
      <c r="S731" s="26"/>
      <c r="T731" s="27"/>
      <c r="U731" s="27"/>
      <c r="V731" s="27"/>
      <c r="W731" s="27"/>
      <c r="X731" s="27"/>
      <c r="Y731" s="27"/>
      <c r="Z731" s="28"/>
      <c r="AA731" s="28"/>
      <c r="AB731" s="28"/>
      <c r="AC731" s="28"/>
      <c r="AD731" s="28"/>
      <c r="AE731" s="28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</row>
    <row r="732" spans="1:47" x14ac:dyDescent="0.45">
      <c r="A732" s="3"/>
      <c r="B732" s="13"/>
      <c r="H732" s="23"/>
      <c r="I732" s="23"/>
      <c r="J732" s="23"/>
      <c r="K732" s="23"/>
      <c r="L732" s="23"/>
      <c r="M732" s="23"/>
      <c r="N732" s="26"/>
      <c r="O732" s="26"/>
      <c r="P732" s="26"/>
      <c r="Q732" s="26"/>
      <c r="R732" s="26"/>
      <c r="S732" s="26"/>
      <c r="T732" s="27"/>
      <c r="U732" s="27"/>
      <c r="V732" s="27"/>
      <c r="W732" s="27"/>
      <c r="X732" s="27"/>
      <c r="Y732" s="27"/>
      <c r="Z732" s="28"/>
      <c r="AA732" s="28"/>
      <c r="AB732" s="28"/>
      <c r="AC732" s="28"/>
      <c r="AD732" s="28"/>
      <c r="AE732" s="28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</row>
    <row r="733" spans="1:47" x14ac:dyDescent="0.45">
      <c r="A733" s="3"/>
      <c r="B733" s="13"/>
      <c r="H733" s="23"/>
      <c r="I733" s="23"/>
      <c r="J733" s="23"/>
      <c r="K733" s="23"/>
      <c r="L733" s="23"/>
      <c r="M733" s="23"/>
      <c r="N733" s="26"/>
      <c r="O733" s="26"/>
      <c r="P733" s="26"/>
      <c r="Q733" s="26"/>
      <c r="R733" s="26"/>
      <c r="S733" s="26"/>
      <c r="T733" s="27"/>
      <c r="U733" s="27"/>
      <c r="V733" s="27"/>
      <c r="W733" s="27"/>
      <c r="X733" s="27"/>
      <c r="Y733" s="27"/>
      <c r="Z733" s="28"/>
      <c r="AA733" s="28"/>
      <c r="AB733" s="28"/>
      <c r="AC733" s="28"/>
      <c r="AD733" s="28"/>
      <c r="AE733" s="28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</row>
    <row r="734" spans="1:47" x14ac:dyDescent="0.45">
      <c r="A734" s="3"/>
      <c r="B734" s="13"/>
      <c r="H734" s="23"/>
      <c r="I734" s="23"/>
      <c r="J734" s="23"/>
      <c r="K734" s="23"/>
      <c r="L734" s="23"/>
      <c r="M734" s="23"/>
      <c r="N734" s="26"/>
      <c r="O734" s="26"/>
      <c r="P734" s="26"/>
      <c r="Q734" s="26"/>
      <c r="R734" s="26"/>
      <c r="S734" s="26"/>
      <c r="T734" s="27"/>
      <c r="U734" s="27"/>
      <c r="V734" s="27"/>
      <c r="W734" s="27"/>
      <c r="X734" s="27"/>
      <c r="Y734" s="27"/>
      <c r="Z734" s="28"/>
      <c r="AA734" s="28"/>
      <c r="AB734" s="28"/>
      <c r="AC734" s="28"/>
      <c r="AD734" s="28"/>
      <c r="AE734" s="28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</row>
    <row r="735" spans="1:47" x14ac:dyDescent="0.45">
      <c r="A735" s="3"/>
      <c r="B735" s="13"/>
      <c r="H735" s="23"/>
      <c r="I735" s="23"/>
      <c r="J735" s="23"/>
      <c r="K735" s="23"/>
      <c r="L735" s="23"/>
      <c r="M735" s="23"/>
      <c r="N735" s="26"/>
      <c r="O735" s="26"/>
      <c r="P735" s="26"/>
      <c r="Q735" s="26"/>
      <c r="R735" s="26"/>
      <c r="S735" s="26"/>
      <c r="T735" s="27"/>
      <c r="U735" s="27"/>
      <c r="V735" s="27"/>
      <c r="W735" s="27"/>
      <c r="X735" s="27"/>
      <c r="Y735" s="27"/>
      <c r="Z735" s="28"/>
      <c r="AA735" s="28"/>
      <c r="AB735" s="28"/>
      <c r="AC735" s="28"/>
      <c r="AD735" s="28"/>
      <c r="AE735" s="28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</row>
    <row r="736" spans="1:47" x14ac:dyDescent="0.45">
      <c r="A736" s="3"/>
      <c r="B736" s="13"/>
      <c r="H736" s="23"/>
      <c r="I736" s="23"/>
      <c r="J736" s="23"/>
      <c r="K736" s="23"/>
      <c r="L736" s="23"/>
      <c r="M736" s="23"/>
      <c r="N736" s="26"/>
      <c r="O736" s="26"/>
      <c r="P736" s="26"/>
      <c r="Q736" s="26"/>
      <c r="R736" s="26"/>
      <c r="S736" s="26"/>
      <c r="T736" s="27"/>
      <c r="U736" s="27"/>
      <c r="V736" s="27"/>
      <c r="W736" s="27"/>
      <c r="X736" s="27"/>
      <c r="Y736" s="27"/>
      <c r="Z736" s="28"/>
      <c r="AA736" s="28"/>
      <c r="AB736" s="28"/>
      <c r="AC736" s="28"/>
      <c r="AD736" s="28"/>
      <c r="AE736" s="28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</row>
    <row r="737" spans="1:47" x14ac:dyDescent="0.45">
      <c r="A737" s="3"/>
      <c r="B737" s="13"/>
      <c r="H737" s="23"/>
      <c r="I737" s="23"/>
      <c r="J737" s="23"/>
      <c r="K737" s="23"/>
      <c r="L737" s="23"/>
      <c r="M737" s="23"/>
      <c r="N737" s="26"/>
      <c r="O737" s="26"/>
      <c r="P737" s="26"/>
      <c r="Q737" s="26"/>
      <c r="R737" s="26"/>
      <c r="S737" s="26"/>
      <c r="T737" s="27"/>
      <c r="U737" s="27"/>
      <c r="V737" s="27"/>
      <c r="W737" s="27"/>
      <c r="X737" s="27"/>
      <c r="Y737" s="27"/>
      <c r="Z737" s="28"/>
      <c r="AA737" s="28"/>
      <c r="AB737" s="28"/>
      <c r="AC737" s="28"/>
      <c r="AD737" s="28"/>
      <c r="AE737" s="28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</row>
    <row r="738" spans="1:47" x14ac:dyDescent="0.45">
      <c r="A738" s="3"/>
      <c r="B738" s="13"/>
      <c r="H738" s="23"/>
      <c r="I738" s="23"/>
      <c r="J738" s="23"/>
      <c r="K738" s="23"/>
      <c r="L738" s="23"/>
      <c r="M738" s="23"/>
      <c r="N738" s="26"/>
      <c r="O738" s="26"/>
      <c r="P738" s="26"/>
      <c r="Q738" s="26"/>
      <c r="R738" s="26"/>
      <c r="S738" s="26"/>
      <c r="T738" s="27"/>
      <c r="U738" s="27"/>
      <c r="V738" s="27"/>
      <c r="W738" s="27"/>
      <c r="X738" s="27"/>
      <c r="Y738" s="27"/>
      <c r="Z738" s="28"/>
      <c r="AA738" s="28"/>
      <c r="AB738" s="28"/>
      <c r="AC738" s="28"/>
      <c r="AD738" s="28"/>
      <c r="AE738" s="28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</row>
    <row r="739" spans="1:47" x14ac:dyDescent="0.45">
      <c r="A739" s="3"/>
      <c r="B739" s="13"/>
      <c r="H739" s="23"/>
      <c r="I739" s="23"/>
      <c r="J739" s="23"/>
      <c r="K739" s="23"/>
      <c r="L739" s="23"/>
      <c r="M739" s="23"/>
      <c r="N739" s="26"/>
      <c r="O739" s="26"/>
      <c r="P739" s="26"/>
      <c r="Q739" s="26"/>
      <c r="R739" s="26"/>
      <c r="S739" s="26"/>
      <c r="T739" s="27"/>
      <c r="U739" s="27"/>
      <c r="V739" s="27"/>
      <c r="W739" s="27"/>
      <c r="X739" s="27"/>
      <c r="Y739" s="27"/>
      <c r="Z739" s="28"/>
      <c r="AA739" s="28"/>
      <c r="AB739" s="28"/>
      <c r="AC739" s="28"/>
      <c r="AD739" s="28"/>
      <c r="AE739" s="28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</row>
    <row r="740" spans="1:47" x14ac:dyDescent="0.45">
      <c r="A740" s="3"/>
      <c r="B740" s="13"/>
      <c r="H740" s="23"/>
      <c r="I740" s="23"/>
      <c r="J740" s="23"/>
      <c r="K740" s="23"/>
      <c r="L740" s="23"/>
      <c r="M740" s="23"/>
      <c r="N740" s="26"/>
      <c r="O740" s="26"/>
      <c r="P740" s="26"/>
      <c r="Q740" s="26"/>
      <c r="R740" s="26"/>
      <c r="S740" s="26"/>
      <c r="T740" s="27"/>
      <c r="U740" s="27"/>
      <c r="V740" s="27"/>
      <c r="W740" s="27"/>
      <c r="X740" s="27"/>
      <c r="Y740" s="27"/>
      <c r="Z740" s="28"/>
      <c r="AA740" s="28"/>
      <c r="AB740" s="28"/>
      <c r="AC740" s="28"/>
      <c r="AD740" s="28"/>
      <c r="AE740" s="28"/>
      <c r="AJ740" s="44"/>
      <c r="AK740" s="44"/>
      <c r="AL740" s="44"/>
      <c r="AM740" s="44"/>
      <c r="AN740" s="44"/>
      <c r="AO740" s="44"/>
      <c r="AP740" s="44"/>
      <c r="AQ740" s="44"/>
      <c r="AR740" s="44"/>
      <c r="AS740" s="44"/>
      <c r="AT740" s="44"/>
      <c r="AU740" s="44"/>
    </row>
    <row r="741" spans="1:47" x14ac:dyDescent="0.45">
      <c r="A741" s="3"/>
      <c r="B741" s="13"/>
      <c r="H741" s="23"/>
      <c r="I741" s="23"/>
      <c r="J741" s="23"/>
      <c r="K741" s="23"/>
      <c r="L741" s="23"/>
      <c r="M741" s="23"/>
      <c r="N741" s="26"/>
      <c r="O741" s="26"/>
      <c r="P741" s="26"/>
      <c r="Q741" s="26"/>
      <c r="R741" s="26"/>
      <c r="S741" s="26"/>
      <c r="T741" s="27"/>
      <c r="U741" s="27"/>
      <c r="V741" s="27"/>
      <c r="W741" s="27"/>
      <c r="X741" s="27"/>
      <c r="Y741" s="27"/>
      <c r="Z741" s="28"/>
      <c r="AA741" s="28"/>
      <c r="AB741" s="28"/>
      <c r="AC741" s="28"/>
      <c r="AD741" s="28"/>
      <c r="AE741" s="28"/>
      <c r="AJ741" s="44"/>
      <c r="AK741" s="44"/>
      <c r="AL741" s="44"/>
      <c r="AM741" s="44"/>
      <c r="AN741" s="44"/>
      <c r="AO741" s="44"/>
      <c r="AP741" s="44"/>
      <c r="AQ741" s="44"/>
      <c r="AR741" s="44"/>
      <c r="AS741" s="44"/>
      <c r="AT741" s="44"/>
      <c r="AU741" s="44"/>
    </row>
    <row r="742" spans="1:47" x14ac:dyDescent="0.45">
      <c r="A742" s="3"/>
      <c r="B742" s="13"/>
      <c r="H742" s="23"/>
      <c r="I742" s="23"/>
      <c r="J742" s="23"/>
      <c r="K742" s="23"/>
      <c r="L742" s="23"/>
      <c r="M742" s="23"/>
      <c r="N742" s="26"/>
      <c r="O742" s="26"/>
      <c r="P742" s="26"/>
      <c r="Q742" s="26"/>
      <c r="R742" s="26"/>
      <c r="S742" s="26"/>
      <c r="T742" s="27"/>
      <c r="U742" s="27"/>
      <c r="V742" s="27"/>
      <c r="W742" s="27"/>
      <c r="X742" s="27"/>
      <c r="Y742" s="27"/>
      <c r="Z742" s="28"/>
      <c r="AA742" s="28"/>
      <c r="AB742" s="28"/>
      <c r="AC742" s="28"/>
      <c r="AD742" s="28"/>
      <c r="AE742" s="28"/>
      <c r="AJ742" s="44"/>
      <c r="AK742" s="44"/>
      <c r="AL742" s="44"/>
      <c r="AM742" s="44"/>
      <c r="AN742" s="44"/>
      <c r="AO742" s="44"/>
      <c r="AP742" s="44"/>
      <c r="AQ742" s="44"/>
      <c r="AR742" s="44"/>
      <c r="AS742" s="44"/>
      <c r="AT742" s="44"/>
      <c r="AU742" s="44"/>
    </row>
    <row r="743" spans="1:47" x14ac:dyDescent="0.45">
      <c r="A743" s="3"/>
      <c r="B743" s="13"/>
      <c r="H743" s="23"/>
      <c r="I743" s="23"/>
      <c r="J743" s="23"/>
      <c r="K743" s="23"/>
      <c r="L743" s="23"/>
      <c r="M743" s="23"/>
      <c r="N743" s="26"/>
      <c r="O743" s="26"/>
      <c r="P743" s="26"/>
      <c r="Q743" s="26"/>
      <c r="R743" s="26"/>
      <c r="S743" s="26"/>
      <c r="T743" s="27"/>
      <c r="U743" s="27"/>
      <c r="V743" s="27"/>
      <c r="W743" s="27"/>
      <c r="X743" s="27"/>
      <c r="Y743" s="27"/>
      <c r="Z743" s="28"/>
      <c r="AA743" s="28"/>
      <c r="AB743" s="28"/>
      <c r="AC743" s="28"/>
      <c r="AD743" s="28"/>
      <c r="AE743" s="28"/>
      <c r="AJ743" s="44"/>
      <c r="AK743" s="44"/>
      <c r="AL743" s="44"/>
      <c r="AM743" s="44"/>
      <c r="AN743" s="44"/>
      <c r="AO743" s="44"/>
      <c r="AP743" s="44"/>
      <c r="AQ743" s="44"/>
      <c r="AR743" s="44"/>
      <c r="AS743" s="44"/>
      <c r="AT743" s="44"/>
      <c r="AU743" s="44"/>
    </row>
    <row r="744" spans="1:47" x14ac:dyDescent="0.45">
      <c r="A744" s="3"/>
      <c r="B744" s="13"/>
      <c r="H744" s="23"/>
      <c r="I744" s="23"/>
      <c r="J744" s="23"/>
      <c r="K744" s="23"/>
      <c r="L744" s="23"/>
      <c r="M744" s="23"/>
      <c r="N744" s="26"/>
      <c r="O744" s="26"/>
      <c r="P744" s="26"/>
      <c r="Q744" s="26"/>
      <c r="R744" s="26"/>
      <c r="S744" s="26"/>
      <c r="T744" s="27"/>
      <c r="U744" s="27"/>
      <c r="V744" s="27"/>
      <c r="W744" s="27"/>
      <c r="X744" s="27"/>
      <c r="Y744" s="27"/>
      <c r="Z744" s="28"/>
      <c r="AA744" s="28"/>
      <c r="AB744" s="28"/>
      <c r="AC744" s="28"/>
      <c r="AD744" s="28"/>
      <c r="AE744" s="28"/>
      <c r="AJ744" s="44"/>
      <c r="AK744" s="44"/>
      <c r="AL744" s="44"/>
      <c r="AM744" s="44"/>
      <c r="AN744" s="44"/>
      <c r="AO744" s="44"/>
      <c r="AP744" s="44"/>
      <c r="AQ744" s="44"/>
      <c r="AR744" s="44"/>
      <c r="AS744" s="44"/>
      <c r="AT744" s="44"/>
      <c r="AU744" s="44"/>
    </row>
    <row r="745" spans="1:47" x14ac:dyDescent="0.45">
      <c r="A745" s="3"/>
      <c r="B745" s="13"/>
      <c r="H745" s="23"/>
      <c r="I745" s="23"/>
      <c r="J745" s="23"/>
      <c r="K745" s="23"/>
      <c r="L745" s="23"/>
      <c r="M745" s="23"/>
      <c r="N745" s="26"/>
      <c r="O745" s="26"/>
      <c r="P745" s="26"/>
      <c r="Q745" s="26"/>
      <c r="R745" s="26"/>
      <c r="S745" s="26"/>
      <c r="T745" s="27"/>
      <c r="U745" s="27"/>
      <c r="V745" s="27"/>
      <c r="W745" s="27"/>
      <c r="X745" s="27"/>
      <c r="Y745" s="27"/>
      <c r="Z745" s="28"/>
      <c r="AA745" s="28"/>
      <c r="AB745" s="28"/>
      <c r="AC745" s="28"/>
      <c r="AD745" s="28"/>
      <c r="AE745" s="28"/>
      <c r="AJ745" s="44"/>
      <c r="AK745" s="44"/>
      <c r="AL745" s="44"/>
      <c r="AM745" s="44"/>
      <c r="AN745" s="44"/>
      <c r="AO745" s="44"/>
      <c r="AP745" s="44"/>
      <c r="AQ745" s="44"/>
      <c r="AR745" s="44"/>
      <c r="AS745" s="44"/>
      <c r="AT745" s="44"/>
      <c r="AU745" s="44"/>
    </row>
    <row r="746" spans="1:47" x14ac:dyDescent="0.45">
      <c r="A746" s="3"/>
      <c r="B746" s="13"/>
      <c r="H746" s="23"/>
      <c r="I746" s="23"/>
      <c r="J746" s="23"/>
      <c r="K746" s="23"/>
      <c r="L746" s="23"/>
      <c r="M746" s="23"/>
      <c r="N746" s="26"/>
      <c r="O746" s="26"/>
      <c r="P746" s="26"/>
      <c r="Q746" s="26"/>
      <c r="R746" s="26"/>
      <c r="S746" s="26"/>
      <c r="T746" s="27"/>
      <c r="U746" s="27"/>
      <c r="V746" s="27"/>
      <c r="W746" s="27"/>
      <c r="X746" s="27"/>
      <c r="Y746" s="27"/>
      <c r="Z746" s="28"/>
      <c r="AA746" s="28"/>
      <c r="AB746" s="28"/>
      <c r="AC746" s="28"/>
      <c r="AD746" s="28"/>
      <c r="AE746" s="28"/>
      <c r="AJ746" s="44"/>
      <c r="AK746" s="44"/>
      <c r="AL746" s="44"/>
      <c r="AM746" s="44"/>
      <c r="AN746" s="44"/>
      <c r="AO746" s="44"/>
      <c r="AP746" s="44"/>
      <c r="AQ746" s="44"/>
      <c r="AR746" s="44"/>
      <c r="AS746" s="44"/>
      <c r="AT746" s="44"/>
      <c r="AU746" s="44"/>
    </row>
    <row r="747" spans="1:47" x14ac:dyDescent="0.45">
      <c r="A747" s="3"/>
      <c r="B747" s="13"/>
      <c r="H747" s="23"/>
      <c r="I747" s="23"/>
      <c r="J747" s="23"/>
      <c r="K747" s="23"/>
      <c r="L747" s="23"/>
      <c r="M747" s="23"/>
      <c r="N747" s="26"/>
      <c r="O747" s="26"/>
      <c r="P747" s="26"/>
      <c r="Q747" s="26"/>
      <c r="R747" s="26"/>
      <c r="S747" s="26"/>
      <c r="T747" s="27"/>
      <c r="U747" s="27"/>
      <c r="V747" s="27"/>
      <c r="W747" s="27"/>
      <c r="X747" s="27"/>
      <c r="Y747" s="27"/>
      <c r="Z747" s="28"/>
      <c r="AA747" s="28"/>
      <c r="AB747" s="28"/>
      <c r="AC747" s="28"/>
      <c r="AD747" s="28"/>
      <c r="AE747" s="28"/>
      <c r="AJ747" s="44"/>
      <c r="AK747" s="44"/>
      <c r="AL747" s="44"/>
      <c r="AM747" s="44"/>
      <c r="AN747" s="44"/>
      <c r="AO747" s="44"/>
      <c r="AP747" s="44"/>
      <c r="AQ747" s="44"/>
      <c r="AR747" s="44"/>
      <c r="AS747" s="44"/>
      <c r="AT747" s="44"/>
      <c r="AU747" s="44"/>
    </row>
    <row r="748" spans="1:47" x14ac:dyDescent="0.45">
      <c r="A748" s="3"/>
      <c r="B748" s="13"/>
      <c r="H748" s="23"/>
      <c r="I748" s="23"/>
      <c r="J748" s="23"/>
      <c r="K748" s="23"/>
      <c r="L748" s="23"/>
      <c r="M748" s="23"/>
      <c r="N748" s="26"/>
      <c r="O748" s="26"/>
      <c r="P748" s="26"/>
      <c r="Q748" s="26"/>
      <c r="R748" s="26"/>
      <c r="S748" s="26"/>
      <c r="T748" s="27"/>
      <c r="U748" s="27"/>
      <c r="V748" s="27"/>
      <c r="W748" s="27"/>
      <c r="X748" s="27"/>
      <c r="Y748" s="27"/>
      <c r="Z748" s="28"/>
      <c r="AA748" s="28"/>
      <c r="AB748" s="28"/>
      <c r="AC748" s="28"/>
      <c r="AD748" s="28"/>
      <c r="AE748" s="28"/>
      <c r="AJ748" s="44"/>
      <c r="AK748" s="44"/>
      <c r="AL748" s="44"/>
      <c r="AM748" s="44"/>
      <c r="AN748" s="44"/>
      <c r="AO748" s="44"/>
      <c r="AP748" s="44"/>
      <c r="AQ748" s="44"/>
      <c r="AR748" s="44"/>
      <c r="AS748" s="44"/>
      <c r="AT748" s="44"/>
      <c r="AU748" s="44"/>
    </row>
    <row r="749" spans="1:47" x14ac:dyDescent="0.45">
      <c r="A749" s="3"/>
      <c r="B749" s="13"/>
      <c r="H749" s="23"/>
      <c r="I749" s="23"/>
      <c r="J749" s="23"/>
      <c r="K749" s="23"/>
      <c r="L749" s="23"/>
      <c r="M749" s="23"/>
      <c r="N749" s="26"/>
      <c r="O749" s="26"/>
      <c r="P749" s="26"/>
      <c r="Q749" s="26"/>
      <c r="R749" s="26"/>
      <c r="S749" s="26"/>
      <c r="T749" s="27"/>
      <c r="U749" s="27"/>
      <c r="V749" s="27"/>
      <c r="W749" s="27"/>
      <c r="X749" s="27"/>
      <c r="Y749" s="27"/>
      <c r="Z749" s="28"/>
      <c r="AA749" s="28"/>
      <c r="AB749" s="28"/>
      <c r="AC749" s="28"/>
      <c r="AD749" s="28"/>
      <c r="AE749" s="28"/>
      <c r="AJ749" s="44"/>
      <c r="AK749" s="44"/>
      <c r="AL749" s="44"/>
      <c r="AM749" s="44"/>
      <c r="AN749" s="44"/>
      <c r="AO749" s="44"/>
      <c r="AP749" s="44"/>
      <c r="AQ749" s="44"/>
      <c r="AR749" s="44"/>
      <c r="AS749" s="44"/>
      <c r="AT749" s="44"/>
      <c r="AU749" s="44"/>
    </row>
    <row r="750" spans="1:47" x14ac:dyDescent="0.45">
      <c r="A750" s="3"/>
      <c r="B750" s="13"/>
      <c r="H750" s="23"/>
      <c r="I750" s="23"/>
      <c r="J750" s="23"/>
      <c r="K750" s="23"/>
      <c r="L750" s="23"/>
      <c r="M750" s="23"/>
      <c r="N750" s="26"/>
      <c r="O750" s="26"/>
      <c r="P750" s="26"/>
      <c r="Q750" s="26"/>
      <c r="R750" s="26"/>
      <c r="S750" s="26"/>
      <c r="T750" s="27"/>
      <c r="U750" s="27"/>
      <c r="V750" s="27"/>
      <c r="W750" s="27"/>
      <c r="X750" s="27"/>
      <c r="Y750" s="27"/>
      <c r="Z750" s="28"/>
      <c r="AA750" s="28"/>
      <c r="AB750" s="28"/>
      <c r="AC750" s="28"/>
      <c r="AD750" s="28"/>
      <c r="AE750" s="28"/>
      <c r="AJ750" s="44"/>
      <c r="AK750" s="44"/>
      <c r="AL750" s="44"/>
      <c r="AM750" s="44"/>
      <c r="AN750" s="44"/>
      <c r="AO750" s="44"/>
      <c r="AP750" s="44"/>
      <c r="AQ750" s="44"/>
      <c r="AR750" s="44"/>
      <c r="AS750" s="44"/>
      <c r="AT750" s="44"/>
      <c r="AU750" s="44"/>
    </row>
    <row r="751" spans="1:47" x14ac:dyDescent="0.45">
      <c r="A751" s="3"/>
      <c r="B751" s="13"/>
      <c r="H751" s="23"/>
      <c r="I751" s="23"/>
      <c r="J751" s="23"/>
      <c r="K751" s="23"/>
      <c r="L751" s="23"/>
      <c r="M751" s="23"/>
      <c r="N751" s="26"/>
      <c r="O751" s="26"/>
      <c r="P751" s="26"/>
      <c r="Q751" s="26"/>
      <c r="R751" s="26"/>
      <c r="S751" s="26"/>
      <c r="T751" s="27"/>
      <c r="U751" s="27"/>
      <c r="V751" s="27"/>
      <c r="W751" s="27"/>
      <c r="X751" s="27"/>
      <c r="Y751" s="27"/>
      <c r="Z751" s="28"/>
      <c r="AA751" s="28"/>
      <c r="AB751" s="28"/>
      <c r="AC751" s="28"/>
      <c r="AD751" s="28"/>
      <c r="AE751" s="28"/>
      <c r="AJ751" s="44"/>
      <c r="AK751" s="44"/>
      <c r="AL751" s="44"/>
      <c r="AM751" s="44"/>
      <c r="AN751" s="44"/>
      <c r="AO751" s="44"/>
      <c r="AP751" s="44"/>
      <c r="AQ751" s="44"/>
      <c r="AR751" s="44"/>
      <c r="AS751" s="44"/>
      <c r="AT751" s="44"/>
      <c r="AU751" s="44"/>
    </row>
    <row r="752" spans="1:47" x14ac:dyDescent="0.45">
      <c r="A752" s="3"/>
      <c r="B752" s="13"/>
      <c r="H752" s="23"/>
      <c r="I752" s="23"/>
      <c r="J752" s="23"/>
      <c r="K752" s="23"/>
      <c r="L752" s="23"/>
      <c r="M752" s="23"/>
      <c r="N752" s="26"/>
      <c r="O752" s="26"/>
      <c r="P752" s="26"/>
      <c r="Q752" s="26"/>
      <c r="R752" s="26"/>
      <c r="S752" s="26"/>
      <c r="T752" s="27"/>
      <c r="U752" s="27"/>
      <c r="V752" s="27"/>
      <c r="W752" s="27"/>
      <c r="X752" s="27"/>
      <c r="Y752" s="27"/>
      <c r="Z752" s="28"/>
      <c r="AA752" s="28"/>
      <c r="AB752" s="28"/>
      <c r="AC752" s="28"/>
      <c r="AD752" s="28"/>
      <c r="AE752" s="28"/>
      <c r="AJ752" s="44"/>
      <c r="AK752" s="44"/>
      <c r="AL752" s="44"/>
      <c r="AM752" s="44"/>
      <c r="AN752" s="44"/>
      <c r="AO752" s="44"/>
      <c r="AP752" s="44"/>
      <c r="AQ752" s="44"/>
      <c r="AR752" s="44"/>
      <c r="AS752" s="44"/>
      <c r="AT752" s="44"/>
      <c r="AU752" s="44"/>
    </row>
    <row r="753" spans="1:47" x14ac:dyDescent="0.45">
      <c r="A753" s="3"/>
      <c r="B753" s="13"/>
      <c r="H753" s="23"/>
      <c r="I753" s="23"/>
      <c r="J753" s="23"/>
      <c r="K753" s="23"/>
      <c r="L753" s="23"/>
      <c r="M753" s="23"/>
      <c r="N753" s="26"/>
      <c r="O753" s="26"/>
      <c r="P753" s="26"/>
      <c r="Q753" s="26"/>
      <c r="R753" s="26"/>
      <c r="S753" s="26"/>
      <c r="T753" s="27"/>
      <c r="U753" s="27"/>
      <c r="V753" s="27"/>
      <c r="W753" s="27"/>
      <c r="X753" s="27"/>
      <c r="Y753" s="27"/>
      <c r="Z753" s="28"/>
      <c r="AA753" s="28"/>
      <c r="AB753" s="28"/>
      <c r="AC753" s="28"/>
      <c r="AD753" s="28"/>
      <c r="AE753" s="28"/>
      <c r="AJ753" s="44"/>
      <c r="AK753" s="44"/>
      <c r="AL753" s="44"/>
      <c r="AM753" s="44"/>
      <c r="AN753" s="44"/>
      <c r="AO753" s="44"/>
      <c r="AP753" s="44"/>
      <c r="AQ753" s="44"/>
      <c r="AR753" s="44"/>
      <c r="AS753" s="44"/>
      <c r="AT753" s="44"/>
      <c r="AU753" s="44"/>
    </row>
    <row r="754" spans="1:47" x14ac:dyDescent="0.45">
      <c r="A754" s="3"/>
      <c r="B754" s="13"/>
      <c r="H754" s="23"/>
      <c r="I754" s="23"/>
      <c r="J754" s="23"/>
      <c r="K754" s="23"/>
      <c r="L754" s="23"/>
      <c r="M754" s="23"/>
      <c r="N754" s="26"/>
      <c r="O754" s="26"/>
      <c r="P754" s="26"/>
      <c r="Q754" s="26"/>
      <c r="R754" s="26"/>
      <c r="S754" s="26"/>
      <c r="T754" s="27"/>
      <c r="U754" s="27"/>
      <c r="V754" s="27"/>
      <c r="W754" s="27"/>
      <c r="X754" s="27"/>
      <c r="Y754" s="27"/>
      <c r="Z754" s="28"/>
      <c r="AA754" s="28"/>
      <c r="AB754" s="28"/>
      <c r="AC754" s="28"/>
      <c r="AD754" s="28"/>
      <c r="AE754" s="28"/>
      <c r="AJ754" s="44"/>
      <c r="AK754" s="44"/>
      <c r="AL754" s="44"/>
      <c r="AM754" s="44"/>
      <c r="AN754" s="44"/>
      <c r="AO754" s="44"/>
      <c r="AP754" s="44"/>
      <c r="AQ754" s="44"/>
      <c r="AR754" s="44"/>
      <c r="AS754" s="44"/>
      <c r="AT754" s="44"/>
      <c r="AU754" s="44"/>
    </row>
    <row r="755" spans="1:47" x14ac:dyDescent="0.45">
      <c r="A755" s="3"/>
      <c r="B755" s="13"/>
      <c r="H755" s="23"/>
      <c r="I755" s="23"/>
      <c r="J755" s="23"/>
      <c r="K755" s="23"/>
      <c r="L755" s="23"/>
      <c r="M755" s="23"/>
      <c r="N755" s="26"/>
      <c r="O755" s="26"/>
      <c r="P755" s="26"/>
      <c r="Q755" s="26"/>
      <c r="R755" s="26"/>
      <c r="S755" s="26"/>
      <c r="T755" s="27"/>
      <c r="U755" s="27"/>
      <c r="V755" s="27"/>
      <c r="W755" s="27"/>
      <c r="X755" s="27"/>
      <c r="Y755" s="27"/>
      <c r="Z755" s="28"/>
      <c r="AA755" s="28"/>
      <c r="AB755" s="28"/>
      <c r="AC755" s="28"/>
      <c r="AD755" s="28"/>
      <c r="AE755" s="28"/>
      <c r="AJ755" s="44"/>
      <c r="AK755" s="44"/>
      <c r="AL755" s="44"/>
      <c r="AM755" s="44"/>
      <c r="AN755" s="44"/>
      <c r="AO755" s="44"/>
      <c r="AP755" s="44"/>
      <c r="AQ755" s="44"/>
      <c r="AR755" s="44"/>
      <c r="AS755" s="44"/>
      <c r="AT755" s="44"/>
      <c r="AU755" s="44"/>
    </row>
    <row r="756" spans="1:47" x14ac:dyDescent="0.45">
      <c r="A756" s="3"/>
      <c r="B756" s="13"/>
      <c r="H756" s="23"/>
      <c r="I756" s="23"/>
      <c r="J756" s="23"/>
      <c r="K756" s="23"/>
      <c r="L756" s="23"/>
      <c r="M756" s="23"/>
      <c r="N756" s="26"/>
      <c r="O756" s="26"/>
      <c r="P756" s="26"/>
      <c r="Q756" s="26"/>
      <c r="R756" s="26"/>
      <c r="S756" s="26"/>
      <c r="T756" s="27"/>
      <c r="U756" s="27"/>
      <c r="V756" s="27"/>
      <c r="W756" s="27"/>
      <c r="X756" s="27"/>
      <c r="Y756" s="27"/>
      <c r="Z756" s="28"/>
      <c r="AA756" s="28"/>
      <c r="AB756" s="28"/>
      <c r="AC756" s="28"/>
      <c r="AD756" s="28"/>
      <c r="AE756" s="28"/>
      <c r="AJ756" s="44"/>
      <c r="AK756" s="44"/>
      <c r="AL756" s="44"/>
      <c r="AM756" s="44"/>
      <c r="AN756" s="44"/>
      <c r="AO756" s="44"/>
      <c r="AP756" s="44"/>
      <c r="AQ756" s="44"/>
      <c r="AR756" s="44"/>
      <c r="AS756" s="44"/>
      <c r="AT756" s="44"/>
      <c r="AU756" s="44"/>
    </row>
    <row r="757" spans="1:47" x14ac:dyDescent="0.45">
      <c r="A757" s="3"/>
      <c r="B757" s="13"/>
      <c r="H757" s="23"/>
      <c r="I757" s="23"/>
      <c r="J757" s="23"/>
      <c r="K757" s="23"/>
      <c r="L757" s="23"/>
      <c r="M757" s="23"/>
      <c r="N757" s="26"/>
      <c r="O757" s="26"/>
      <c r="P757" s="26"/>
      <c r="Q757" s="26"/>
      <c r="R757" s="26"/>
      <c r="S757" s="26"/>
      <c r="T757" s="27"/>
      <c r="U757" s="27"/>
      <c r="V757" s="27"/>
      <c r="W757" s="27"/>
      <c r="X757" s="27"/>
      <c r="Y757" s="27"/>
      <c r="Z757" s="28"/>
      <c r="AA757" s="28"/>
      <c r="AB757" s="28"/>
      <c r="AC757" s="28"/>
      <c r="AD757" s="28"/>
      <c r="AE757" s="28"/>
      <c r="AJ757" s="44"/>
      <c r="AK757" s="44"/>
      <c r="AL757" s="44"/>
      <c r="AM757" s="44"/>
      <c r="AN757" s="44"/>
      <c r="AO757" s="44"/>
      <c r="AP757" s="44"/>
      <c r="AQ757" s="44"/>
      <c r="AR757" s="44"/>
      <c r="AS757" s="44"/>
      <c r="AT757" s="44"/>
      <c r="AU757" s="44"/>
    </row>
    <row r="758" spans="1:47" x14ac:dyDescent="0.45">
      <c r="A758" s="3"/>
      <c r="B758" s="13"/>
      <c r="H758" s="23"/>
      <c r="I758" s="23"/>
      <c r="J758" s="23"/>
      <c r="K758" s="23"/>
      <c r="L758" s="23"/>
      <c r="M758" s="23"/>
      <c r="N758" s="26"/>
      <c r="O758" s="26"/>
      <c r="P758" s="26"/>
      <c r="Q758" s="26"/>
      <c r="R758" s="26"/>
      <c r="S758" s="26"/>
      <c r="T758" s="27"/>
      <c r="U758" s="27"/>
      <c r="V758" s="27"/>
      <c r="W758" s="27"/>
      <c r="X758" s="27"/>
      <c r="Y758" s="27"/>
      <c r="Z758" s="28"/>
      <c r="AA758" s="28"/>
      <c r="AB758" s="28"/>
      <c r="AC758" s="28"/>
      <c r="AD758" s="28"/>
      <c r="AE758" s="28"/>
      <c r="AJ758" s="44"/>
      <c r="AK758" s="44"/>
      <c r="AL758" s="44"/>
      <c r="AM758" s="44"/>
      <c r="AN758" s="44"/>
      <c r="AO758" s="44"/>
      <c r="AP758" s="44"/>
      <c r="AQ758" s="44"/>
      <c r="AR758" s="44"/>
      <c r="AS758" s="44"/>
      <c r="AT758" s="44"/>
      <c r="AU758" s="44"/>
    </row>
    <row r="759" spans="1:47" x14ac:dyDescent="0.45">
      <c r="A759" s="3"/>
      <c r="B759" s="13"/>
      <c r="H759" s="23"/>
      <c r="I759" s="23"/>
      <c r="J759" s="23"/>
      <c r="K759" s="23"/>
      <c r="L759" s="23"/>
      <c r="M759" s="23"/>
      <c r="N759" s="26"/>
      <c r="O759" s="26"/>
      <c r="P759" s="26"/>
      <c r="Q759" s="26"/>
      <c r="R759" s="26"/>
      <c r="S759" s="26"/>
      <c r="T759" s="27"/>
      <c r="U759" s="27"/>
      <c r="V759" s="27"/>
      <c r="W759" s="27"/>
      <c r="X759" s="27"/>
      <c r="Y759" s="27"/>
      <c r="Z759" s="28"/>
      <c r="AA759" s="28"/>
      <c r="AB759" s="28"/>
      <c r="AC759" s="28"/>
      <c r="AD759" s="28"/>
      <c r="AE759" s="28"/>
      <c r="AJ759" s="44"/>
      <c r="AK759" s="44"/>
      <c r="AL759" s="44"/>
      <c r="AM759" s="44"/>
      <c r="AN759" s="44"/>
      <c r="AO759" s="44"/>
      <c r="AP759" s="44"/>
      <c r="AQ759" s="44"/>
      <c r="AR759" s="44"/>
      <c r="AS759" s="44"/>
      <c r="AT759" s="44"/>
      <c r="AU759" s="44"/>
    </row>
    <row r="760" spans="1:47" x14ac:dyDescent="0.45">
      <c r="A760" s="3"/>
      <c r="B760" s="13"/>
      <c r="H760" s="23"/>
      <c r="I760" s="23"/>
      <c r="J760" s="23"/>
      <c r="K760" s="23"/>
      <c r="L760" s="23"/>
      <c r="M760" s="23"/>
      <c r="N760" s="26"/>
      <c r="O760" s="26"/>
      <c r="P760" s="26"/>
      <c r="Q760" s="26"/>
      <c r="R760" s="26"/>
      <c r="S760" s="26"/>
      <c r="T760" s="27"/>
      <c r="U760" s="27"/>
      <c r="V760" s="27"/>
      <c r="W760" s="27"/>
      <c r="X760" s="27"/>
      <c r="Y760" s="27"/>
      <c r="Z760" s="28"/>
      <c r="AA760" s="28"/>
      <c r="AB760" s="28"/>
      <c r="AC760" s="28"/>
      <c r="AD760" s="28"/>
      <c r="AE760" s="28"/>
      <c r="AJ760" s="44"/>
      <c r="AK760" s="44"/>
      <c r="AL760" s="44"/>
      <c r="AM760" s="44"/>
      <c r="AN760" s="44"/>
      <c r="AO760" s="44"/>
      <c r="AP760" s="44"/>
      <c r="AQ760" s="44"/>
      <c r="AR760" s="44"/>
      <c r="AS760" s="44"/>
      <c r="AT760" s="44"/>
      <c r="AU760" s="44"/>
    </row>
    <row r="761" spans="1:47" x14ac:dyDescent="0.45">
      <c r="A761" s="3"/>
      <c r="B761" s="13"/>
      <c r="H761" s="23"/>
      <c r="I761" s="23"/>
      <c r="J761" s="23"/>
      <c r="K761" s="23"/>
      <c r="L761" s="23"/>
      <c r="M761" s="23"/>
      <c r="N761" s="26"/>
      <c r="O761" s="26"/>
      <c r="P761" s="26"/>
      <c r="Q761" s="26"/>
      <c r="R761" s="26"/>
      <c r="S761" s="26"/>
      <c r="T761" s="27"/>
      <c r="U761" s="27"/>
      <c r="V761" s="27"/>
      <c r="W761" s="27"/>
      <c r="X761" s="27"/>
      <c r="Y761" s="27"/>
      <c r="Z761" s="28"/>
      <c r="AA761" s="28"/>
      <c r="AB761" s="28"/>
      <c r="AC761" s="28"/>
      <c r="AD761" s="28"/>
      <c r="AE761" s="28"/>
      <c r="AJ761" s="44"/>
      <c r="AK761" s="44"/>
      <c r="AL761" s="44"/>
      <c r="AM761" s="44"/>
      <c r="AN761" s="44"/>
      <c r="AO761" s="44"/>
      <c r="AP761" s="44"/>
      <c r="AQ761" s="44"/>
      <c r="AR761" s="44"/>
      <c r="AS761" s="44"/>
      <c r="AT761" s="44"/>
      <c r="AU761" s="44"/>
    </row>
    <row r="762" spans="1:47" x14ac:dyDescent="0.45">
      <c r="A762" s="3"/>
      <c r="B762" s="13"/>
      <c r="H762" s="23"/>
      <c r="I762" s="23"/>
      <c r="J762" s="23"/>
      <c r="K762" s="23"/>
      <c r="L762" s="23"/>
      <c r="M762" s="23"/>
      <c r="N762" s="26"/>
      <c r="O762" s="26"/>
      <c r="P762" s="26"/>
      <c r="Q762" s="26"/>
      <c r="R762" s="26"/>
      <c r="S762" s="26"/>
      <c r="T762" s="27"/>
      <c r="U762" s="27"/>
      <c r="V762" s="27"/>
      <c r="W762" s="27"/>
      <c r="X762" s="27"/>
      <c r="Y762" s="27"/>
      <c r="Z762" s="28"/>
      <c r="AA762" s="28"/>
      <c r="AB762" s="28"/>
      <c r="AC762" s="28"/>
      <c r="AD762" s="28"/>
      <c r="AE762" s="28"/>
      <c r="AJ762" s="44"/>
      <c r="AK762" s="44"/>
      <c r="AL762" s="44"/>
      <c r="AM762" s="44"/>
      <c r="AN762" s="44"/>
      <c r="AO762" s="44"/>
      <c r="AP762" s="44"/>
      <c r="AQ762" s="44"/>
      <c r="AR762" s="44"/>
      <c r="AS762" s="44"/>
      <c r="AT762" s="44"/>
      <c r="AU762" s="44"/>
    </row>
    <row r="763" spans="1:47" x14ac:dyDescent="0.45">
      <c r="A763" s="3"/>
      <c r="B763" s="13"/>
      <c r="H763" s="23"/>
      <c r="I763" s="23"/>
      <c r="J763" s="23"/>
      <c r="K763" s="23"/>
      <c r="L763" s="23"/>
      <c r="M763" s="23"/>
      <c r="N763" s="26"/>
      <c r="O763" s="26"/>
      <c r="P763" s="26"/>
      <c r="Q763" s="26"/>
      <c r="R763" s="26"/>
      <c r="S763" s="26"/>
      <c r="T763" s="27"/>
      <c r="U763" s="27"/>
      <c r="V763" s="27"/>
      <c r="W763" s="27"/>
      <c r="X763" s="27"/>
      <c r="Y763" s="27"/>
      <c r="Z763" s="28"/>
      <c r="AA763" s="28"/>
      <c r="AB763" s="28"/>
      <c r="AC763" s="28"/>
      <c r="AD763" s="28"/>
      <c r="AE763" s="28"/>
      <c r="AJ763" s="44"/>
      <c r="AK763" s="44"/>
      <c r="AL763" s="44"/>
      <c r="AM763" s="44"/>
      <c r="AN763" s="44"/>
      <c r="AO763" s="44"/>
      <c r="AP763" s="44"/>
      <c r="AQ763" s="44"/>
      <c r="AR763" s="44"/>
      <c r="AS763" s="44"/>
      <c r="AT763" s="44"/>
      <c r="AU763" s="44"/>
    </row>
    <row r="764" spans="1:47" x14ac:dyDescent="0.45">
      <c r="A764" s="3"/>
      <c r="B764" s="13"/>
      <c r="H764" s="23"/>
      <c r="I764" s="23"/>
      <c r="J764" s="23"/>
      <c r="K764" s="23"/>
      <c r="L764" s="23"/>
      <c r="M764" s="23"/>
      <c r="N764" s="26"/>
      <c r="O764" s="26"/>
      <c r="P764" s="26"/>
      <c r="Q764" s="26"/>
      <c r="R764" s="26"/>
      <c r="S764" s="26"/>
      <c r="T764" s="27"/>
      <c r="U764" s="27"/>
      <c r="V764" s="27"/>
      <c r="W764" s="27"/>
      <c r="X764" s="27"/>
      <c r="Y764" s="27"/>
      <c r="Z764" s="28"/>
      <c r="AA764" s="28"/>
      <c r="AB764" s="28"/>
      <c r="AC764" s="28"/>
      <c r="AD764" s="28"/>
      <c r="AE764" s="28"/>
      <c r="AJ764" s="44"/>
      <c r="AK764" s="44"/>
      <c r="AL764" s="44"/>
      <c r="AM764" s="44"/>
      <c r="AN764" s="44"/>
      <c r="AO764" s="44"/>
      <c r="AP764" s="44"/>
      <c r="AQ764" s="44"/>
      <c r="AR764" s="44"/>
      <c r="AS764" s="44"/>
      <c r="AT764" s="44"/>
      <c r="AU764" s="44"/>
    </row>
    <row r="765" spans="1:47" x14ac:dyDescent="0.45">
      <c r="A765" s="3"/>
      <c r="B765" s="13"/>
      <c r="H765" s="23"/>
      <c r="I765" s="23"/>
      <c r="J765" s="23"/>
      <c r="K765" s="23"/>
      <c r="L765" s="23"/>
      <c r="M765" s="23"/>
      <c r="N765" s="26"/>
      <c r="O765" s="26"/>
      <c r="P765" s="26"/>
      <c r="Q765" s="26"/>
      <c r="R765" s="26"/>
      <c r="S765" s="26"/>
      <c r="T765" s="27"/>
      <c r="U765" s="27"/>
      <c r="V765" s="27"/>
      <c r="W765" s="27"/>
      <c r="X765" s="27"/>
      <c r="Y765" s="27"/>
      <c r="Z765" s="28"/>
      <c r="AA765" s="28"/>
      <c r="AB765" s="28"/>
      <c r="AC765" s="28"/>
      <c r="AD765" s="28"/>
      <c r="AE765" s="28"/>
      <c r="AJ765" s="44"/>
      <c r="AK765" s="44"/>
      <c r="AL765" s="44"/>
      <c r="AM765" s="44"/>
      <c r="AN765" s="44"/>
      <c r="AO765" s="44"/>
      <c r="AP765" s="44"/>
      <c r="AQ765" s="44"/>
      <c r="AR765" s="44"/>
      <c r="AS765" s="44"/>
      <c r="AT765" s="44"/>
      <c r="AU765" s="44"/>
    </row>
    <row r="766" spans="1:47" x14ac:dyDescent="0.45">
      <c r="A766" s="3"/>
      <c r="B766" s="13"/>
      <c r="H766" s="23"/>
      <c r="I766" s="23"/>
      <c r="J766" s="23"/>
      <c r="K766" s="23"/>
      <c r="L766" s="23"/>
      <c r="M766" s="23"/>
      <c r="N766" s="26"/>
      <c r="O766" s="26"/>
      <c r="P766" s="26"/>
      <c r="Q766" s="26"/>
      <c r="R766" s="26"/>
      <c r="S766" s="26"/>
      <c r="T766" s="27"/>
      <c r="U766" s="27"/>
      <c r="V766" s="27"/>
      <c r="W766" s="27"/>
      <c r="X766" s="27"/>
      <c r="Y766" s="27"/>
      <c r="Z766" s="28"/>
      <c r="AA766" s="28"/>
      <c r="AB766" s="28"/>
      <c r="AC766" s="28"/>
      <c r="AD766" s="28"/>
      <c r="AE766" s="28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</row>
    <row r="767" spans="1:47" x14ac:dyDescent="0.45">
      <c r="A767" s="3"/>
      <c r="B767" s="13"/>
      <c r="H767" s="23"/>
      <c r="I767" s="23"/>
      <c r="J767" s="23"/>
      <c r="K767" s="23"/>
      <c r="L767" s="23"/>
      <c r="M767" s="23"/>
      <c r="N767" s="26"/>
      <c r="O767" s="26"/>
      <c r="P767" s="26"/>
      <c r="Q767" s="26"/>
      <c r="R767" s="26"/>
      <c r="S767" s="26"/>
      <c r="T767" s="27"/>
      <c r="U767" s="27"/>
      <c r="V767" s="27"/>
      <c r="W767" s="27"/>
      <c r="X767" s="27"/>
      <c r="Y767" s="27"/>
      <c r="Z767" s="28"/>
      <c r="AA767" s="28"/>
      <c r="AB767" s="28"/>
      <c r="AC767" s="28"/>
      <c r="AD767" s="28"/>
      <c r="AE767" s="28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</row>
    <row r="768" spans="1:47" x14ac:dyDescent="0.45">
      <c r="A768" s="3"/>
      <c r="B768" s="13"/>
      <c r="H768" s="23"/>
      <c r="I768" s="23"/>
      <c r="J768" s="23"/>
      <c r="K768" s="23"/>
      <c r="L768" s="23"/>
      <c r="M768" s="23"/>
      <c r="N768" s="26"/>
      <c r="O768" s="26"/>
      <c r="P768" s="26"/>
      <c r="Q768" s="26"/>
      <c r="R768" s="26"/>
      <c r="S768" s="26"/>
      <c r="T768" s="27"/>
      <c r="U768" s="27"/>
      <c r="V768" s="27"/>
      <c r="W768" s="27"/>
      <c r="X768" s="27"/>
      <c r="Y768" s="27"/>
      <c r="Z768" s="28"/>
      <c r="AA768" s="28"/>
      <c r="AB768" s="28"/>
      <c r="AC768" s="28"/>
      <c r="AD768" s="28"/>
      <c r="AE768" s="28"/>
      <c r="AJ768" s="44"/>
      <c r="AK768" s="44"/>
      <c r="AL768" s="44"/>
      <c r="AM768" s="44"/>
      <c r="AN768" s="44"/>
      <c r="AO768" s="44"/>
      <c r="AP768" s="44"/>
      <c r="AQ768" s="44"/>
      <c r="AR768" s="44"/>
      <c r="AS768" s="44"/>
      <c r="AT768" s="44"/>
      <c r="AU768" s="44"/>
    </row>
    <row r="769" spans="1:47" x14ac:dyDescent="0.45">
      <c r="A769" s="3"/>
      <c r="B769" s="13"/>
      <c r="H769" s="23"/>
      <c r="I769" s="23"/>
      <c r="J769" s="23"/>
      <c r="K769" s="23"/>
      <c r="L769" s="23"/>
      <c r="M769" s="23"/>
      <c r="N769" s="26"/>
      <c r="O769" s="26"/>
      <c r="P769" s="26"/>
      <c r="Q769" s="26"/>
      <c r="R769" s="26"/>
      <c r="S769" s="26"/>
      <c r="T769" s="27"/>
      <c r="U769" s="27"/>
      <c r="V769" s="27"/>
      <c r="W769" s="27"/>
      <c r="X769" s="27"/>
      <c r="Y769" s="27"/>
      <c r="Z769" s="28"/>
      <c r="AA769" s="28"/>
      <c r="AB769" s="28"/>
      <c r="AC769" s="28"/>
      <c r="AD769" s="28"/>
      <c r="AE769" s="28"/>
      <c r="AJ769" s="44"/>
      <c r="AK769" s="44"/>
      <c r="AL769" s="44"/>
      <c r="AM769" s="44"/>
      <c r="AN769" s="44"/>
      <c r="AO769" s="44"/>
      <c r="AP769" s="44"/>
      <c r="AQ769" s="44"/>
      <c r="AR769" s="44"/>
      <c r="AS769" s="44"/>
      <c r="AT769" s="44"/>
      <c r="AU769" s="44"/>
    </row>
    <row r="770" spans="1:47" x14ac:dyDescent="0.45">
      <c r="A770" s="3"/>
      <c r="B770" s="13"/>
      <c r="H770" s="23"/>
      <c r="I770" s="23"/>
      <c r="J770" s="23"/>
      <c r="K770" s="23"/>
      <c r="L770" s="23"/>
      <c r="M770" s="23"/>
      <c r="N770" s="26"/>
      <c r="O770" s="26"/>
      <c r="P770" s="26"/>
      <c r="Q770" s="26"/>
      <c r="R770" s="26"/>
      <c r="S770" s="26"/>
      <c r="T770" s="27"/>
      <c r="U770" s="27"/>
      <c r="V770" s="27"/>
      <c r="W770" s="27"/>
      <c r="X770" s="27"/>
      <c r="Y770" s="27"/>
      <c r="Z770" s="28"/>
      <c r="AA770" s="28"/>
      <c r="AB770" s="28"/>
      <c r="AC770" s="28"/>
      <c r="AD770" s="28"/>
      <c r="AE770" s="28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</row>
    <row r="771" spans="1:47" x14ac:dyDescent="0.45">
      <c r="A771" s="3"/>
      <c r="B771" s="13"/>
      <c r="H771" s="23"/>
      <c r="I771" s="23"/>
      <c r="J771" s="23"/>
      <c r="K771" s="23"/>
      <c r="L771" s="23"/>
      <c r="M771" s="23"/>
      <c r="N771" s="26"/>
      <c r="O771" s="26"/>
      <c r="P771" s="26"/>
      <c r="Q771" s="26"/>
      <c r="R771" s="26"/>
      <c r="S771" s="26"/>
      <c r="T771" s="27"/>
      <c r="U771" s="27"/>
      <c r="V771" s="27"/>
      <c r="W771" s="27"/>
      <c r="X771" s="27"/>
      <c r="Y771" s="27"/>
      <c r="Z771" s="28"/>
      <c r="AA771" s="28"/>
      <c r="AB771" s="28"/>
      <c r="AC771" s="28"/>
      <c r="AD771" s="28"/>
      <c r="AE771" s="28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</row>
    <row r="772" spans="1:47" x14ac:dyDescent="0.45">
      <c r="A772" s="3"/>
      <c r="B772" s="13"/>
      <c r="H772" s="23"/>
      <c r="I772" s="23"/>
      <c r="J772" s="23"/>
      <c r="K772" s="23"/>
      <c r="L772" s="23"/>
      <c r="M772" s="23"/>
      <c r="N772" s="26"/>
      <c r="O772" s="26"/>
      <c r="P772" s="26"/>
      <c r="Q772" s="26"/>
      <c r="R772" s="26"/>
      <c r="S772" s="26"/>
      <c r="T772" s="27"/>
      <c r="U772" s="27"/>
      <c r="V772" s="27"/>
      <c r="W772" s="27"/>
      <c r="X772" s="27"/>
      <c r="Y772" s="27"/>
      <c r="Z772" s="28"/>
      <c r="AA772" s="28"/>
      <c r="AB772" s="28"/>
      <c r="AC772" s="28"/>
      <c r="AD772" s="28"/>
      <c r="AE772" s="28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</row>
    <row r="773" spans="1:47" x14ac:dyDescent="0.45">
      <c r="A773" s="3"/>
      <c r="B773" s="13"/>
      <c r="H773" s="23"/>
      <c r="I773" s="23"/>
      <c r="J773" s="23"/>
      <c r="K773" s="23"/>
      <c r="L773" s="23"/>
      <c r="M773" s="23"/>
      <c r="N773" s="26"/>
      <c r="O773" s="26"/>
      <c r="P773" s="26"/>
      <c r="Q773" s="26"/>
      <c r="R773" s="26"/>
      <c r="S773" s="26"/>
      <c r="T773" s="27"/>
      <c r="U773" s="27"/>
      <c r="V773" s="27"/>
      <c r="W773" s="27"/>
      <c r="X773" s="27"/>
      <c r="Y773" s="27"/>
      <c r="Z773" s="28"/>
      <c r="AA773" s="28"/>
      <c r="AB773" s="28"/>
      <c r="AC773" s="28"/>
      <c r="AD773" s="28"/>
      <c r="AE773" s="28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</row>
    <row r="774" spans="1:47" x14ac:dyDescent="0.45">
      <c r="A774" s="3"/>
      <c r="B774" s="13"/>
      <c r="H774" s="23"/>
      <c r="I774" s="23"/>
      <c r="J774" s="23"/>
      <c r="K774" s="23"/>
      <c r="L774" s="23"/>
      <c r="M774" s="23"/>
      <c r="N774" s="26"/>
      <c r="O774" s="26"/>
      <c r="P774" s="26"/>
      <c r="Q774" s="26"/>
      <c r="R774" s="26"/>
      <c r="S774" s="26"/>
      <c r="T774" s="27"/>
      <c r="U774" s="27"/>
      <c r="V774" s="27"/>
      <c r="W774" s="27"/>
      <c r="X774" s="27"/>
      <c r="Y774" s="27"/>
      <c r="Z774" s="28"/>
      <c r="AA774" s="28"/>
      <c r="AB774" s="28"/>
      <c r="AC774" s="28"/>
      <c r="AD774" s="28"/>
      <c r="AE774" s="28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</row>
    <row r="775" spans="1:47" x14ac:dyDescent="0.45">
      <c r="A775" s="3"/>
      <c r="B775" s="13"/>
      <c r="H775" s="23"/>
      <c r="I775" s="23"/>
      <c r="J775" s="23"/>
      <c r="K775" s="23"/>
      <c r="L775" s="23"/>
      <c r="M775" s="23"/>
      <c r="N775" s="26"/>
      <c r="O775" s="26"/>
      <c r="P775" s="26"/>
      <c r="Q775" s="26"/>
      <c r="R775" s="26"/>
      <c r="S775" s="26"/>
      <c r="T775" s="27"/>
      <c r="U775" s="27"/>
      <c r="V775" s="27"/>
      <c r="W775" s="27"/>
      <c r="X775" s="27"/>
      <c r="Y775" s="27"/>
      <c r="Z775" s="28"/>
      <c r="AA775" s="28"/>
      <c r="AB775" s="28"/>
      <c r="AC775" s="28"/>
      <c r="AD775" s="28"/>
      <c r="AE775" s="28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</row>
    <row r="776" spans="1:47" x14ac:dyDescent="0.45">
      <c r="A776" s="3"/>
      <c r="B776" s="13"/>
      <c r="H776" s="23"/>
      <c r="I776" s="23"/>
      <c r="J776" s="23"/>
      <c r="K776" s="23"/>
      <c r="L776" s="23"/>
      <c r="M776" s="23"/>
      <c r="N776" s="26"/>
      <c r="O776" s="26"/>
      <c r="P776" s="26"/>
      <c r="Q776" s="26"/>
      <c r="R776" s="26"/>
      <c r="S776" s="26"/>
      <c r="T776" s="27"/>
      <c r="U776" s="27"/>
      <c r="V776" s="27"/>
      <c r="W776" s="27"/>
      <c r="X776" s="27"/>
      <c r="Y776" s="27"/>
      <c r="Z776" s="28"/>
      <c r="AA776" s="28"/>
      <c r="AB776" s="28"/>
      <c r="AC776" s="28"/>
      <c r="AD776" s="28"/>
      <c r="AE776" s="28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</row>
    <row r="777" spans="1:47" x14ac:dyDescent="0.45">
      <c r="A777" s="3"/>
      <c r="B777" s="13"/>
      <c r="H777" s="23"/>
      <c r="I777" s="23"/>
      <c r="J777" s="23"/>
      <c r="K777" s="23"/>
      <c r="L777" s="23"/>
      <c r="M777" s="23"/>
      <c r="N777" s="26"/>
      <c r="O777" s="26"/>
      <c r="P777" s="26"/>
      <c r="Q777" s="26"/>
      <c r="R777" s="26"/>
      <c r="S777" s="26"/>
      <c r="T777" s="27"/>
      <c r="U777" s="27"/>
      <c r="V777" s="27"/>
      <c r="W777" s="27"/>
      <c r="X777" s="27"/>
      <c r="Y777" s="27"/>
      <c r="Z777" s="28"/>
      <c r="AA777" s="28"/>
      <c r="AB777" s="28"/>
      <c r="AC777" s="28"/>
      <c r="AD777" s="28"/>
      <c r="AE777" s="28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</row>
    <row r="778" spans="1:47" x14ac:dyDescent="0.45">
      <c r="A778" s="3"/>
      <c r="B778" s="13"/>
      <c r="H778" s="23"/>
      <c r="I778" s="23"/>
      <c r="J778" s="23"/>
      <c r="K778" s="23"/>
      <c r="L778" s="23"/>
      <c r="M778" s="23"/>
      <c r="N778" s="26"/>
      <c r="O778" s="26"/>
      <c r="P778" s="26"/>
      <c r="Q778" s="26"/>
      <c r="R778" s="26"/>
      <c r="S778" s="26"/>
      <c r="T778" s="27"/>
      <c r="U778" s="27"/>
      <c r="V778" s="27"/>
      <c r="W778" s="27"/>
      <c r="X778" s="27"/>
      <c r="Y778" s="27"/>
      <c r="Z778" s="28"/>
      <c r="AA778" s="28"/>
      <c r="AB778" s="28"/>
      <c r="AC778" s="28"/>
      <c r="AD778" s="28"/>
      <c r="AE778" s="28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</row>
    <row r="779" spans="1:47" x14ac:dyDescent="0.45">
      <c r="A779" s="3"/>
      <c r="B779" s="13"/>
      <c r="H779" s="23"/>
      <c r="I779" s="23"/>
      <c r="J779" s="23"/>
      <c r="K779" s="23"/>
      <c r="L779" s="23"/>
      <c r="M779" s="23"/>
      <c r="N779" s="26"/>
      <c r="O779" s="26"/>
      <c r="P779" s="26"/>
      <c r="Q779" s="26"/>
      <c r="R779" s="26"/>
      <c r="S779" s="26"/>
      <c r="T779" s="27"/>
      <c r="U779" s="27"/>
      <c r="V779" s="27"/>
      <c r="W779" s="27"/>
      <c r="X779" s="27"/>
      <c r="Y779" s="27"/>
      <c r="Z779" s="28"/>
      <c r="AA779" s="28"/>
      <c r="AB779" s="28"/>
      <c r="AC779" s="28"/>
      <c r="AD779" s="28"/>
      <c r="AE779" s="28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</row>
    <row r="780" spans="1:47" x14ac:dyDescent="0.45">
      <c r="A780" s="3"/>
      <c r="B780" s="13"/>
      <c r="H780" s="23"/>
      <c r="I780" s="23"/>
      <c r="J780" s="23"/>
      <c r="K780" s="23"/>
      <c r="L780" s="23"/>
      <c r="M780" s="23"/>
      <c r="N780" s="26"/>
      <c r="O780" s="26"/>
      <c r="P780" s="26"/>
      <c r="Q780" s="26"/>
      <c r="R780" s="26"/>
      <c r="S780" s="26"/>
      <c r="T780" s="27"/>
      <c r="U780" s="27"/>
      <c r="V780" s="27"/>
      <c r="W780" s="27"/>
      <c r="X780" s="27"/>
      <c r="Y780" s="27"/>
      <c r="Z780" s="28"/>
      <c r="AA780" s="28"/>
      <c r="AB780" s="28"/>
      <c r="AC780" s="28"/>
      <c r="AD780" s="28"/>
      <c r="AE780" s="28"/>
      <c r="AJ780" s="44"/>
      <c r="AK780" s="44"/>
      <c r="AL780" s="44"/>
      <c r="AM780" s="44"/>
      <c r="AN780" s="44"/>
      <c r="AO780" s="44"/>
      <c r="AP780" s="44"/>
      <c r="AQ780" s="44"/>
      <c r="AR780" s="44"/>
      <c r="AS780" s="44"/>
      <c r="AT780" s="44"/>
      <c r="AU780" s="44"/>
    </row>
    <row r="781" spans="1:47" x14ac:dyDescent="0.45">
      <c r="A781" s="3"/>
      <c r="B781" s="13"/>
      <c r="H781" s="23"/>
      <c r="I781" s="23"/>
      <c r="J781" s="23"/>
      <c r="K781" s="23"/>
      <c r="L781" s="23"/>
      <c r="M781" s="23"/>
      <c r="N781" s="26"/>
      <c r="O781" s="26"/>
      <c r="P781" s="26"/>
      <c r="Q781" s="26"/>
      <c r="R781" s="26"/>
      <c r="S781" s="26"/>
      <c r="T781" s="27"/>
      <c r="U781" s="27"/>
      <c r="V781" s="27"/>
      <c r="W781" s="27"/>
      <c r="X781" s="27"/>
      <c r="Y781" s="27"/>
      <c r="Z781" s="28"/>
      <c r="AA781" s="28"/>
      <c r="AB781" s="28"/>
      <c r="AC781" s="28"/>
      <c r="AD781" s="28"/>
      <c r="AE781" s="28"/>
      <c r="AJ781" s="44"/>
      <c r="AK781" s="44"/>
      <c r="AL781" s="44"/>
      <c r="AM781" s="44"/>
      <c r="AN781" s="44"/>
      <c r="AO781" s="44"/>
      <c r="AP781" s="44"/>
      <c r="AQ781" s="44"/>
      <c r="AR781" s="44"/>
      <c r="AS781" s="44"/>
      <c r="AT781" s="44"/>
      <c r="AU781" s="44"/>
    </row>
    <row r="782" spans="1:47" x14ac:dyDescent="0.45">
      <c r="A782" s="3"/>
      <c r="B782" s="13"/>
      <c r="H782" s="23"/>
      <c r="I782" s="23"/>
      <c r="J782" s="23"/>
      <c r="K782" s="23"/>
      <c r="L782" s="23"/>
      <c r="M782" s="23"/>
      <c r="N782" s="26"/>
      <c r="O782" s="26"/>
      <c r="P782" s="26"/>
      <c r="Q782" s="26"/>
      <c r="R782" s="26"/>
      <c r="S782" s="26"/>
      <c r="T782" s="27"/>
      <c r="U782" s="27"/>
      <c r="V782" s="27"/>
      <c r="W782" s="27"/>
      <c r="X782" s="27"/>
      <c r="Y782" s="27"/>
      <c r="Z782" s="28"/>
      <c r="AA782" s="28"/>
      <c r="AB782" s="28"/>
      <c r="AC782" s="28"/>
      <c r="AD782" s="28"/>
      <c r="AE782" s="28"/>
      <c r="AJ782" s="44"/>
      <c r="AK782" s="44"/>
      <c r="AL782" s="44"/>
      <c r="AM782" s="44"/>
      <c r="AN782" s="44"/>
      <c r="AO782" s="44"/>
      <c r="AP782" s="44"/>
      <c r="AQ782" s="44"/>
      <c r="AR782" s="44"/>
      <c r="AS782" s="44"/>
      <c r="AT782" s="44"/>
      <c r="AU782" s="44"/>
    </row>
    <row r="783" spans="1:47" x14ac:dyDescent="0.45">
      <c r="A783" s="3"/>
      <c r="B783" s="13"/>
      <c r="H783" s="23"/>
      <c r="I783" s="23"/>
      <c r="J783" s="23"/>
      <c r="K783" s="23"/>
      <c r="L783" s="23"/>
      <c r="M783" s="23"/>
      <c r="N783" s="26"/>
      <c r="O783" s="26"/>
      <c r="P783" s="26"/>
      <c r="Q783" s="26"/>
      <c r="R783" s="26"/>
      <c r="S783" s="26"/>
      <c r="T783" s="27"/>
      <c r="U783" s="27"/>
      <c r="V783" s="27"/>
      <c r="W783" s="27"/>
      <c r="X783" s="27"/>
      <c r="Y783" s="27"/>
      <c r="Z783" s="28"/>
      <c r="AA783" s="28"/>
      <c r="AB783" s="28"/>
      <c r="AC783" s="28"/>
      <c r="AD783" s="28"/>
      <c r="AE783" s="28"/>
      <c r="AJ783" s="44"/>
      <c r="AK783" s="44"/>
      <c r="AL783" s="44"/>
      <c r="AM783" s="44"/>
      <c r="AN783" s="44"/>
      <c r="AO783" s="44"/>
      <c r="AP783" s="44"/>
      <c r="AQ783" s="44"/>
      <c r="AR783" s="44"/>
      <c r="AS783" s="44"/>
      <c r="AT783" s="44"/>
      <c r="AU783" s="44"/>
    </row>
    <row r="784" spans="1:47" x14ac:dyDescent="0.45">
      <c r="A784" s="3"/>
      <c r="B784" s="13"/>
      <c r="H784" s="23"/>
      <c r="I784" s="23"/>
      <c r="J784" s="23"/>
      <c r="K784" s="23"/>
      <c r="L784" s="23"/>
      <c r="M784" s="23"/>
      <c r="N784" s="26"/>
      <c r="O784" s="26"/>
      <c r="P784" s="26"/>
      <c r="Q784" s="26"/>
      <c r="R784" s="26"/>
      <c r="S784" s="26"/>
      <c r="T784" s="27"/>
      <c r="U784" s="27"/>
      <c r="V784" s="27"/>
      <c r="W784" s="27"/>
      <c r="X784" s="27"/>
      <c r="Y784" s="27"/>
      <c r="Z784" s="28"/>
      <c r="AA784" s="28"/>
      <c r="AB784" s="28"/>
      <c r="AC784" s="28"/>
      <c r="AD784" s="28"/>
      <c r="AE784" s="28"/>
      <c r="AJ784" s="44"/>
      <c r="AK784" s="44"/>
      <c r="AL784" s="44"/>
      <c r="AM784" s="44"/>
      <c r="AN784" s="44"/>
      <c r="AO784" s="44"/>
      <c r="AP784" s="44"/>
      <c r="AQ784" s="44"/>
      <c r="AR784" s="44"/>
      <c r="AS784" s="44"/>
      <c r="AT784" s="44"/>
      <c r="AU784" s="44"/>
    </row>
    <row r="785" spans="1:47" x14ac:dyDescent="0.45">
      <c r="A785" s="3"/>
      <c r="B785" s="13"/>
      <c r="H785" s="23"/>
      <c r="I785" s="23"/>
      <c r="J785" s="23"/>
      <c r="K785" s="23"/>
      <c r="L785" s="23"/>
      <c r="M785" s="23"/>
      <c r="N785" s="26"/>
      <c r="O785" s="26"/>
      <c r="P785" s="26"/>
      <c r="Q785" s="26"/>
      <c r="R785" s="26"/>
      <c r="S785" s="26"/>
      <c r="T785" s="27"/>
      <c r="U785" s="27"/>
      <c r="V785" s="27"/>
      <c r="W785" s="27"/>
      <c r="X785" s="27"/>
      <c r="Y785" s="27"/>
      <c r="Z785" s="28"/>
      <c r="AA785" s="28"/>
      <c r="AB785" s="28"/>
      <c r="AC785" s="28"/>
      <c r="AD785" s="28"/>
      <c r="AE785" s="28"/>
      <c r="AJ785" s="44"/>
      <c r="AK785" s="44"/>
      <c r="AL785" s="44"/>
      <c r="AM785" s="44"/>
      <c r="AN785" s="44"/>
      <c r="AO785" s="44"/>
      <c r="AP785" s="44"/>
      <c r="AQ785" s="44"/>
      <c r="AR785" s="44"/>
      <c r="AS785" s="44"/>
      <c r="AT785" s="44"/>
      <c r="AU785" s="44"/>
    </row>
    <row r="786" spans="1:47" x14ac:dyDescent="0.45">
      <c r="A786" s="3"/>
      <c r="B786" s="13"/>
      <c r="H786" s="23"/>
      <c r="I786" s="23"/>
      <c r="J786" s="23"/>
      <c r="K786" s="23"/>
      <c r="L786" s="23"/>
      <c r="M786" s="23"/>
      <c r="N786" s="26"/>
      <c r="O786" s="26"/>
      <c r="P786" s="26"/>
      <c r="Q786" s="26"/>
      <c r="R786" s="26"/>
      <c r="S786" s="26"/>
      <c r="T786" s="27"/>
      <c r="U786" s="27"/>
      <c r="V786" s="27"/>
      <c r="W786" s="27"/>
      <c r="X786" s="27"/>
      <c r="Y786" s="27"/>
      <c r="Z786" s="28"/>
      <c r="AA786" s="28"/>
      <c r="AB786" s="28"/>
      <c r="AC786" s="28"/>
      <c r="AD786" s="28"/>
      <c r="AE786" s="28"/>
      <c r="AJ786" s="44"/>
      <c r="AK786" s="44"/>
      <c r="AL786" s="44"/>
      <c r="AM786" s="44"/>
      <c r="AN786" s="44"/>
      <c r="AO786" s="44"/>
      <c r="AP786" s="44"/>
      <c r="AQ786" s="44"/>
      <c r="AR786" s="44"/>
      <c r="AS786" s="44"/>
      <c r="AT786" s="44"/>
      <c r="AU786" s="44"/>
    </row>
    <row r="787" spans="1:47" x14ac:dyDescent="0.45">
      <c r="A787" s="3"/>
      <c r="B787" s="13"/>
      <c r="H787" s="23"/>
      <c r="I787" s="23"/>
      <c r="J787" s="23"/>
      <c r="K787" s="23"/>
      <c r="L787" s="23"/>
      <c r="M787" s="23"/>
      <c r="N787" s="26"/>
      <c r="O787" s="26"/>
      <c r="P787" s="26"/>
      <c r="Q787" s="26"/>
      <c r="R787" s="26"/>
      <c r="S787" s="26"/>
      <c r="T787" s="27"/>
      <c r="U787" s="27"/>
      <c r="V787" s="27"/>
      <c r="W787" s="27"/>
      <c r="X787" s="27"/>
      <c r="Y787" s="27"/>
      <c r="Z787" s="28"/>
      <c r="AA787" s="28"/>
      <c r="AB787" s="28"/>
      <c r="AC787" s="28"/>
      <c r="AD787" s="28"/>
      <c r="AE787" s="28"/>
      <c r="AJ787" s="44"/>
      <c r="AK787" s="44"/>
      <c r="AL787" s="44"/>
      <c r="AM787" s="44"/>
      <c r="AN787" s="44"/>
      <c r="AO787" s="44"/>
      <c r="AP787" s="44"/>
      <c r="AQ787" s="44"/>
      <c r="AR787" s="44"/>
      <c r="AS787" s="44"/>
      <c r="AT787" s="44"/>
      <c r="AU787" s="44"/>
    </row>
    <row r="788" spans="1:47" x14ac:dyDescent="0.45">
      <c r="A788" s="3"/>
      <c r="B788" s="13"/>
      <c r="H788" s="23"/>
      <c r="I788" s="23"/>
      <c r="J788" s="23"/>
      <c r="K788" s="23"/>
      <c r="L788" s="23"/>
      <c r="M788" s="23"/>
      <c r="N788" s="26"/>
      <c r="O788" s="26"/>
      <c r="P788" s="26"/>
      <c r="Q788" s="26"/>
      <c r="R788" s="26"/>
      <c r="S788" s="26"/>
      <c r="T788" s="27"/>
      <c r="U788" s="27"/>
      <c r="V788" s="27"/>
      <c r="W788" s="27"/>
      <c r="X788" s="27"/>
      <c r="Y788" s="27"/>
      <c r="Z788" s="28"/>
      <c r="AA788" s="28"/>
      <c r="AB788" s="28"/>
      <c r="AC788" s="28"/>
      <c r="AD788" s="28"/>
      <c r="AE788" s="28"/>
      <c r="AJ788" s="44"/>
      <c r="AK788" s="44"/>
      <c r="AL788" s="44"/>
      <c r="AM788" s="44"/>
      <c r="AN788" s="44"/>
      <c r="AO788" s="44"/>
      <c r="AP788" s="44"/>
      <c r="AQ788" s="44"/>
      <c r="AR788" s="44"/>
      <c r="AS788" s="44"/>
      <c r="AT788" s="44"/>
      <c r="AU788" s="44"/>
    </row>
    <row r="789" spans="1:47" x14ac:dyDescent="0.45">
      <c r="A789" s="3"/>
      <c r="B789" s="13"/>
      <c r="H789" s="23"/>
      <c r="I789" s="23"/>
      <c r="J789" s="23"/>
      <c r="K789" s="23"/>
      <c r="L789" s="23"/>
      <c r="M789" s="23"/>
      <c r="N789" s="26"/>
      <c r="O789" s="26"/>
      <c r="P789" s="26"/>
      <c r="Q789" s="26"/>
      <c r="R789" s="26"/>
      <c r="S789" s="26"/>
      <c r="T789" s="27"/>
      <c r="U789" s="27"/>
      <c r="V789" s="27"/>
      <c r="W789" s="27"/>
      <c r="X789" s="27"/>
      <c r="Y789" s="27"/>
      <c r="Z789" s="28"/>
      <c r="AA789" s="28"/>
      <c r="AB789" s="28"/>
      <c r="AC789" s="28"/>
      <c r="AD789" s="28"/>
      <c r="AE789" s="28"/>
      <c r="AJ789" s="44"/>
      <c r="AK789" s="44"/>
      <c r="AL789" s="44"/>
      <c r="AM789" s="44"/>
      <c r="AN789" s="44"/>
      <c r="AO789" s="44"/>
      <c r="AP789" s="44"/>
      <c r="AQ789" s="44"/>
      <c r="AR789" s="44"/>
      <c r="AS789" s="44"/>
      <c r="AT789" s="44"/>
      <c r="AU789" s="44"/>
    </row>
    <row r="790" spans="1:47" x14ac:dyDescent="0.45">
      <c r="A790" s="3"/>
      <c r="B790" s="13"/>
      <c r="H790" s="23"/>
      <c r="I790" s="23"/>
      <c r="J790" s="23"/>
      <c r="K790" s="23"/>
      <c r="L790" s="23"/>
      <c r="M790" s="23"/>
      <c r="N790" s="26"/>
      <c r="O790" s="26"/>
      <c r="P790" s="26"/>
      <c r="Q790" s="26"/>
      <c r="R790" s="26"/>
      <c r="S790" s="26"/>
      <c r="T790" s="27"/>
      <c r="U790" s="27"/>
      <c r="V790" s="27"/>
      <c r="W790" s="27"/>
      <c r="X790" s="27"/>
      <c r="Y790" s="27"/>
      <c r="Z790" s="28"/>
      <c r="AA790" s="28"/>
      <c r="AB790" s="28"/>
      <c r="AC790" s="28"/>
      <c r="AD790" s="28"/>
      <c r="AE790" s="28"/>
      <c r="AJ790" s="44"/>
      <c r="AK790" s="44"/>
      <c r="AL790" s="44"/>
      <c r="AM790" s="44"/>
      <c r="AN790" s="44"/>
      <c r="AO790" s="44"/>
      <c r="AP790" s="44"/>
      <c r="AQ790" s="44"/>
      <c r="AR790" s="44"/>
      <c r="AS790" s="44"/>
      <c r="AT790" s="44"/>
      <c r="AU790" s="44"/>
    </row>
    <row r="791" spans="1:47" x14ac:dyDescent="0.45">
      <c r="A791" s="3"/>
      <c r="B791" s="13"/>
      <c r="H791" s="23"/>
      <c r="I791" s="23"/>
      <c r="J791" s="23"/>
      <c r="K791" s="23"/>
      <c r="L791" s="23"/>
      <c r="M791" s="23"/>
      <c r="N791" s="26"/>
      <c r="O791" s="26"/>
      <c r="P791" s="26"/>
      <c r="Q791" s="26"/>
      <c r="R791" s="26"/>
      <c r="S791" s="26"/>
      <c r="T791" s="27"/>
      <c r="U791" s="27"/>
      <c r="V791" s="27"/>
      <c r="W791" s="27"/>
      <c r="X791" s="27"/>
      <c r="Y791" s="27"/>
      <c r="Z791" s="28"/>
      <c r="AA791" s="28"/>
      <c r="AB791" s="28"/>
      <c r="AC791" s="28"/>
      <c r="AD791" s="28"/>
      <c r="AE791" s="28"/>
      <c r="AJ791" s="44"/>
      <c r="AK791" s="44"/>
      <c r="AL791" s="44"/>
      <c r="AM791" s="44"/>
      <c r="AN791" s="44"/>
      <c r="AO791" s="44"/>
      <c r="AP791" s="44"/>
      <c r="AQ791" s="44"/>
      <c r="AR791" s="44"/>
      <c r="AS791" s="44"/>
      <c r="AT791" s="44"/>
      <c r="AU791" s="44"/>
    </row>
    <row r="792" spans="1:47" x14ac:dyDescent="0.45">
      <c r="A792" s="3"/>
      <c r="B792" s="13"/>
    </row>
    <row r="793" spans="1:47" x14ac:dyDescent="0.45">
      <c r="A793" s="3"/>
      <c r="B793" s="13"/>
    </row>
    <row r="794" spans="1:47" x14ac:dyDescent="0.45">
      <c r="A794" s="3"/>
      <c r="B794" s="13"/>
    </row>
    <row r="795" spans="1:47" x14ac:dyDescent="0.45">
      <c r="A795" s="3"/>
      <c r="B795" s="13"/>
    </row>
    <row r="796" spans="1:47" x14ac:dyDescent="0.45">
      <c r="A796" s="3"/>
      <c r="B796" s="13"/>
    </row>
    <row r="797" spans="1:47" x14ac:dyDescent="0.45">
      <c r="A797" s="3"/>
      <c r="B797" s="13"/>
    </row>
    <row r="798" spans="1:47" x14ac:dyDescent="0.45">
      <c r="A798" s="3"/>
      <c r="B798" s="13"/>
    </row>
    <row r="799" spans="1:47" x14ac:dyDescent="0.45">
      <c r="A799" s="3"/>
      <c r="B799" s="13"/>
    </row>
    <row r="800" spans="1:47" x14ac:dyDescent="0.45">
      <c r="A800" s="3"/>
      <c r="B800" s="13"/>
    </row>
    <row r="801" spans="1:2" x14ac:dyDescent="0.45">
      <c r="A801" s="3"/>
      <c r="B801" s="13"/>
    </row>
    <row r="802" spans="1:2" x14ac:dyDescent="0.45">
      <c r="A802" s="3"/>
      <c r="B802" s="13"/>
    </row>
    <row r="803" spans="1:2" x14ac:dyDescent="0.45">
      <c r="A803" s="3"/>
      <c r="B803" s="13"/>
    </row>
    <row r="804" spans="1:2" x14ac:dyDescent="0.45">
      <c r="A804" s="3"/>
      <c r="B804" s="13"/>
    </row>
    <row r="805" spans="1:2" x14ac:dyDescent="0.45">
      <c r="A805" s="3"/>
      <c r="B805" s="13"/>
    </row>
    <row r="806" spans="1:2" x14ac:dyDescent="0.45">
      <c r="A806" s="3"/>
      <c r="B806" s="13"/>
    </row>
    <row r="807" spans="1:2" x14ac:dyDescent="0.45">
      <c r="A807" s="3"/>
      <c r="B807" s="13"/>
    </row>
    <row r="808" spans="1:2" x14ac:dyDescent="0.45">
      <c r="A808" s="3"/>
      <c r="B808" s="13"/>
    </row>
    <row r="809" spans="1:2" x14ac:dyDescent="0.45">
      <c r="A809" s="3"/>
      <c r="B809" s="13"/>
    </row>
    <row r="810" spans="1:2" x14ac:dyDescent="0.45">
      <c r="A810" s="3"/>
      <c r="B810" s="13"/>
    </row>
    <row r="811" spans="1:2" x14ac:dyDescent="0.45">
      <c r="A811" s="3"/>
      <c r="B811" s="13"/>
    </row>
    <row r="812" spans="1:2" x14ac:dyDescent="0.45">
      <c r="A812" s="3"/>
      <c r="B812" s="13"/>
    </row>
    <row r="813" spans="1:2" x14ac:dyDescent="0.45">
      <c r="A813" s="3"/>
      <c r="B813" s="13"/>
    </row>
    <row r="814" spans="1:2" x14ac:dyDescent="0.45">
      <c r="A814" s="3"/>
      <c r="B814" s="13"/>
    </row>
    <row r="815" spans="1:2" x14ac:dyDescent="0.45">
      <c r="A815" s="3"/>
      <c r="B815" s="13"/>
    </row>
    <row r="816" spans="1:2" x14ac:dyDescent="0.45">
      <c r="A816" s="3"/>
      <c r="B816" s="13"/>
    </row>
    <row r="817" spans="1:2" x14ac:dyDescent="0.45">
      <c r="A817" s="3"/>
      <c r="B817" s="13"/>
    </row>
    <row r="818" spans="1:2" x14ac:dyDescent="0.45">
      <c r="A818" s="3"/>
      <c r="B818" s="13"/>
    </row>
    <row r="819" spans="1:2" x14ac:dyDescent="0.45">
      <c r="A819" s="3"/>
      <c r="B819" s="13"/>
    </row>
    <row r="820" spans="1:2" x14ac:dyDescent="0.45">
      <c r="A820" s="3"/>
      <c r="B820" s="13"/>
    </row>
    <row r="821" spans="1:2" x14ac:dyDescent="0.45">
      <c r="A821" s="3"/>
      <c r="B821" s="13"/>
    </row>
    <row r="822" spans="1:2" x14ac:dyDescent="0.45">
      <c r="A822" s="3"/>
      <c r="B822" s="13"/>
    </row>
    <row r="823" spans="1:2" x14ac:dyDescent="0.45">
      <c r="A823" s="3"/>
      <c r="B823" s="13"/>
    </row>
    <row r="824" spans="1:2" x14ac:dyDescent="0.45">
      <c r="A824" s="3"/>
      <c r="B824" s="13"/>
    </row>
    <row r="825" spans="1:2" x14ac:dyDescent="0.45">
      <c r="A825" s="3"/>
      <c r="B825" s="13"/>
    </row>
    <row r="826" spans="1:2" x14ac:dyDescent="0.45">
      <c r="A826" s="3"/>
      <c r="B826" s="13"/>
    </row>
    <row r="827" spans="1:2" x14ac:dyDescent="0.45">
      <c r="A827" s="3"/>
      <c r="B827" s="13"/>
    </row>
    <row r="828" spans="1:2" x14ac:dyDescent="0.45">
      <c r="A828" s="3"/>
      <c r="B828" s="13"/>
    </row>
    <row r="829" spans="1:2" x14ac:dyDescent="0.45">
      <c r="A829" s="3"/>
      <c r="B829" s="13"/>
    </row>
    <row r="830" spans="1:2" x14ac:dyDescent="0.45">
      <c r="A830" s="3"/>
      <c r="B830" s="13"/>
    </row>
    <row r="831" spans="1:2" x14ac:dyDescent="0.45">
      <c r="A831" s="3"/>
      <c r="B831" s="13"/>
    </row>
    <row r="832" spans="1:2" x14ac:dyDescent="0.45">
      <c r="A832" s="3"/>
      <c r="B832" s="13"/>
    </row>
    <row r="833" spans="1:2" x14ac:dyDescent="0.45">
      <c r="A833" s="3"/>
      <c r="B833" s="13"/>
    </row>
    <row r="834" spans="1:2" x14ac:dyDescent="0.45">
      <c r="A834" s="3"/>
      <c r="B834" s="13"/>
    </row>
    <row r="835" spans="1:2" x14ac:dyDescent="0.45">
      <c r="A835" s="3"/>
      <c r="B835" s="13"/>
    </row>
    <row r="836" spans="1:2" x14ac:dyDescent="0.45">
      <c r="A836" s="3"/>
      <c r="B836" s="13"/>
    </row>
    <row r="837" spans="1:2" x14ac:dyDescent="0.45">
      <c r="A837" s="3"/>
      <c r="B837" s="13"/>
    </row>
    <row r="838" spans="1:2" x14ac:dyDescent="0.45">
      <c r="A838" s="3"/>
      <c r="B838" s="13"/>
    </row>
    <row r="839" spans="1:2" x14ac:dyDescent="0.45">
      <c r="A839" s="3"/>
      <c r="B839" s="13"/>
    </row>
    <row r="840" spans="1:2" x14ac:dyDescent="0.45">
      <c r="A840" s="3"/>
      <c r="B840" s="13"/>
    </row>
    <row r="841" spans="1:2" x14ac:dyDescent="0.45">
      <c r="A841" s="3"/>
      <c r="B841" s="13"/>
    </row>
    <row r="842" spans="1:2" x14ac:dyDescent="0.45">
      <c r="A842" s="3"/>
      <c r="B842" s="13"/>
    </row>
    <row r="843" spans="1:2" x14ac:dyDescent="0.45">
      <c r="A843" s="3"/>
      <c r="B843" s="13"/>
    </row>
    <row r="844" spans="1:2" x14ac:dyDescent="0.45">
      <c r="A844" s="3"/>
      <c r="B844" s="13"/>
    </row>
    <row r="845" spans="1:2" x14ac:dyDescent="0.45">
      <c r="A845" s="3"/>
      <c r="B845" s="13"/>
    </row>
    <row r="846" spans="1:2" x14ac:dyDescent="0.45">
      <c r="A846" s="3"/>
      <c r="B846" s="13"/>
    </row>
    <row r="847" spans="1:2" x14ac:dyDescent="0.45">
      <c r="A847" s="3"/>
      <c r="B847" s="13"/>
    </row>
    <row r="848" spans="1:2" x14ac:dyDescent="0.45">
      <c r="A848" s="3"/>
      <c r="B848" s="13"/>
    </row>
    <row r="849" spans="1:2" x14ac:dyDescent="0.45">
      <c r="A849" s="3"/>
      <c r="B849" s="13"/>
    </row>
    <row r="850" spans="1:2" x14ac:dyDescent="0.45">
      <c r="A850" s="3"/>
      <c r="B850" s="13"/>
    </row>
    <row r="851" spans="1:2" x14ac:dyDescent="0.45">
      <c r="A851" s="3"/>
      <c r="B851" s="13"/>
    </row>
    <row r="852" spans="1:2" x14ac:dyDescent="0.45">
      <c r="A852" s="3"/>
      <c r="B852" s="13"/>
    </row>
    <row r="853" spans="1:2" x14ac:dyDescent="0.45">
      <c r="A853" s="3"/>
      <c r="B853" s="13"/>
    </row>
    <row r="854" spans="1:2" x14ac:dyDescent="0.45">
      <c r="A854" s="3"/>
      <c r="B854" s="13"/>
    </row>
    <row r="855" spans="1:2" x14ac:dyDescent="0.45">
      <c r="A855" s="3"/>
      <c r="B855" s="13"/>
    </row>
    <row r="856" spans="1:2" x14ac:dyDescent="0.45">
      <c r="A856" s="3"/>
      <c r="B856" s="13"/>
    </row>
    <row r="857" spans="1:2" x14ac:dyDescent="0.45">
      <c r="A857" s="3"/>
      <c r="B857" s="13"/>
    </row>
    <row r="858" spans="1:2" x14ac:dyDescent="0.45">
      <c r="A858" s="3"/>
      <c r="B858" s="13"/>
    </row>
    <row r="859" spans="1:2" x14ac:dyDescent="0.45">
      <c r="A859" s="3"/>
      <c r="B859" s="13"/>
    </row>
    <row r="860" spans="1:2" x14ac:dyDescent="0.45">
      <c r="A860" s="3"/>
      <c r="B860" s="13"/>
    </row>
    <row r="861" spans="1:2" x14ac:dyDescent="0.45">
      <c r="A861" s="3"/>
      <c r="B861" s="13"/>
    </row>
    <row r="862" spans="1:2" x14ac:dyDescent="0.45">
      <c r="A862" s="3"/>
      <c r="B862" s="13"/>
    </row>
    <row r="863" spans="1:2" x14ac:dyDescent="0.45">
      <c r="A863" s="3"/>
      <c r="B863" s="13"/>
    </row>
    <row r="864" spans="1:2" x14ac:dyDescent="0.45">
      <c r="A864" s="3"/>
      <c r="B864" s="13"/>
    </row>
    <row r="865" spans="1:2" x14ac:dyDescent="0.45">
      <c r="A865" s="3"/>
      <c r="B865" s="13"/>
    </row>
    <row r="866" spans="1:2" x14ac:dyDescent="0.45">
      <c r="A866" s="3"/>
      <c r="B866" s="13"/>
    </row>
    <row r="867" spans="1:2" x14ac:dyDescent="0.45">
      <c r="A867" s="3"/>
      <c r="B867" s="13"/>
    </row>
    <row r="868" spans="1:2" x14ac:dyDescent="0.45">
      <c r="A868" s="3"/>
      <c r="B868" s="13"/>
    </row>
    <row r="869" spans="1:2" x14ac:dyDescent="0.45">
      <c r="A869" s="3"/>
      <c r="B869" s="13"/>
    </row>
    <row r="870" spans="1:2" x14ac:dyDescent="0.45">
      <c r="A870" s="3"/>
      <c r="B870" s="13"/>
    </row>
    <row r="871" spans="1:2" x14ac:dyDescent="0.45">
      <c r="A871" s="3"/>
      <c r="B871" s="13"/>
    </row>
    <row r="872" spans="1:2" x14ac:dyDescent="0.45">
      <c r="A872" s="3"/>
      <c r="B872" s="13"/>
    </row>
    <row r="873" spans="1:2" x14ac:dyDescent="0.45">
      <c r="A873" s="3"/>
      <c r="B873" s="13"/>
    </row>
    <row r="874" spans="1:2" x14ac:dyDescent="0.45">
      <c r="A874" s="3"/>
      <c r="B874" s="13"/>
    </row>
    <row r="875" spans="1:2" x14ac:dyDescent="0.45">
      <c r="A875" s="3"/>
      <c r="B875" s="13"/>
    </row>
    <row r="876" spans="1:2" x14ac:dyDescent="0.45">
      <c r="A876" s="3"/>
      <c r="B876" s="13"/>
    </row>
    <row r="877" spans="1:2" x14ac:dyDescent="0.45">
      <c r="A877" s="3"/>
      <c r="B877" s="13"/>
    </row>
    <row r="878" spans="1:2" x14ac:dyDescent="0.45">
      <c r="A878" s="3"/>
      <c r="B878" s="13"/>
    </row>
    <row r="879" spans="1:2" x14ac:dyDescent="0.45">
      <c r="A879" s="3"/>
      <c r="B879" s="13"/>
    </row>
    <row r="880" spans="1:2" x14ac:dyDescent="0.45">
      <c r="A880" s="3"/>
      <c r="B880" s="13"/>
    </row>
    <row r="881" spans="1:2" x14ac:dyDescent="0.45">
      <c r="A881" s="3"/>
      <c r="B881" s="13"/>
    </row>
    <row r="882" spans="1:2" x14ac:dyDescent="0.45">
      <c r="A882" s="3"/>
      <c r="B882" s="13"/>
    </row>
    <row r="883" spans="1:2" x14ac:dyDescent="0.45">
      <c r="A883" s="3"/>
      <c r="B883" s="13"/>
    </row>
    <row r="884" spans="1:2" x14ac:dyDescent="0.45">
      <c r="A884" s="3"/>
      <c r="B884" s="13"/>
    </row>
    <row r="885" spans="1:2" x14ac:dyDescent="0.45">
      <c r="A885" s="3"/>
      <c r="B885" s="13"/>
    </row>
    <row r="886" spans="1:2" x14ac:dyDescent="0.45">
      <c r="A886" s="3"/>
      <c r="B886" s="13"/>
    </row>
    <row r="887" spans="1:2" x14ac:dyDescent="0.45">
      <c r="A887" s="3"/>
      <c r="B887" s="13"/>
    </row>
    <row r="888" spans="1:2" x14ac:dyDescent="0.45">
      <c r="A888" s="3"/>
      <c r="B888" s="13"/>
    </row>
    <row r="889" spans="1:2" x14ac:dyDescent="0.45">
      <c r="A889" s="3"/>
      <c r="B889" s="13"/>
    </row>
    <row r="890" spans="1:2" x14ac:dyDescent="0.45">
      <c r="A890" s="3"/>
      <c r="B890" s="13"/>
    </row>
    <row r="891" spans="1:2" x14ac:dyDescent="0.45">
      <c r="A891" s="3"/>
      <c r="B891" s="13"/>
    </row>
    <row r="892" spans="1:2" x14ac:dyDescent="0.45">
      <c r="A892" s="3"/>
      <c r="B892" s="13"/>
    </row>
    <row r="893" spans="1:2" x14ac:dyDescent="0.45">
      <c r="A893" s="3"/>
      <c r="B893" s="13"/>
    </row>
    <row r="894" spans="1:2" x14ac:dyDescent="0.45">
      <c r="A894" s="3"/>
      <c r="B894" s="13"/>
    </row>
    <row r="895" spans="1:2" x14ac:dyDescent="0.45">
      <c r="A895" s="3"/>
      <c r="B895" s="13"/>
    </row>
    <row r="896" spans="1:2" x14ac:dyDescent="0.45">
      <c r="A896" s="3"/>
      <c r="B896" s="13"/>
    </row>
    <row r="897" spans="1:2" x14ac:dyDescent="0.45">
      <c r="A897" s="3"/>
      <c r="B897" s="13"/>
    </row>
    <row r="898" spans="1:2" x14ac:dyDescent="0.45">
      <c r="A898" s="3"/>
      <c r="B898" s="13"/>
    </row>
    <row r="899" spans="1:2" x14ac:dyDescent="0.45">
      <c r="A899" s="3"/>
      <c r="B899" s="13"/>
    </row>
    <row r="900" spans="1:2" x14ac:dyDescent="0.45">
      <c r="A900" s="3"/>
      <c r="B900" s="13"/>
    </row>
    <row r="901" spans="1:2" x14ac:dyDescent="0.45">
      <c r="A901" s="3"/>
      <c r="B901" s="13"/>
    </row>
    <row r="902" spans="1:2" x14ac:dyDescent="0.45">
      <c r="A902" s="3"/>
      <c r="B902" s="13"/>
    </row>
    <row r="903" spans="1:2" x14ac:dyDescent="0.45">
      <c r="A903" s="3"/>
      <c r="B903" s="13"/>
    </row>
    <row r="904" spans="1:2" x14ac:dyDescent="0.45">
      <c r="A904" s="3"/>
      <c r="B904" s="13"/>
    </row>
    <row r="905" spans="1:2" x14ac:dyDescent="0.45">
      <c r="A905" s="3"/>
      <c r="B905" s="13"/>
    </row>
    <row r="906" spans="1:2" x14ac:dyDescent="0.45">
      <c r="A906" s="3"/>
      <c r="B906" s="13"/>
    </row>
    <row r="907" spans="1:2" x14ac:dyDescent="0.45">
      <c r="A907" s="3"/>
      <c r="B907" s="13"/>
    </row>
    <row r="908" spans="1:2" x14ac:dyDescent="0.45">
      <c r="A908" s="3"/>
      <c r="B908" s="13"/>
    </row>
    <row r="909" spans="1:2" x14ac:dyDescent="0.45">
      <c r="A909" s="3"/>
      <c r="B909" s="13"/>
    </row>
    <row r="910" spans="1:2" x14ac:dyDescent="0.45">
      <c r="A910" s="3"/>
      <c r="B910" s="13"/>
    </row>
    <row r="911" spans="1:2" x14ac:dyDescent="0.45">
      <c r="A911" s="3"/>
      <c r="B911" s="13"/>
    </row>
    <row r="912" spans="1:2" x14ac:dyDescent="0.45">
      <c r="A912" s="3"/>
      <c r="B912" s="13"/>
    </row>
    <row r="913" spans="1:2" x14ac:dyDescent="0.45">
      <c r="A913" s="3"/>
      <c r="B913" s="13"/>
    </row>
    <row r="914" spans="1:2" x14ac:dyDescent="0.45">
      <c r="A914" s="3"/>
      <c r="B914" s="13"/>
    </row>
    <row r="915" spans="1:2" x14ac:dyDescent="0.45">
      <c r="A915" s="3"/>
      <c r="B915" s="13"/>
    </row>
    <row r="916" spans="1:2" x14ac:dyDescent="0.45">
      <c r="A916" s="3"/>
      <c r="B916" s="13"/>
    </row>
    <row r="917" spans="1:2" x14ac:dyDescent="0.45">
      <c r="A917" s="3"/>
      <c r="B917" s="13"/>
    </row>
    <row r="918" spans="1:2" x14ac:dyDescent="0.45">
      <c r="A918" s="3"/>
      <c r="B918" s="13"/>
    </row>
    <row r="919" spans="1:2" x14ac:dyDescent="0.45">
      <c r="A919" s="3"/>
      <c r="B919" s="13"/>
    </row>
    <row r="920" spans="1:2" x14ac:dyDescent="0.45">
      <c r="A920" s="3"/>
      <c r="B920" s="13"/>
    </row>
    <row r="921" spans="1:2" x14ac:dyDescent="0.45">
      <c r="A921" s="3"/>
      <c r="B921" s="13"/>
    </row>
    <row r="922" spans="1:2" x14ac:dyDescent="0.45">
      <c r="A922" s="3"/>
      <c r="B922" s="13"/>
    </row>
    <row r="923" spans="1:2" x14ac:dyDescent="0.45">
      <c r="A923" s="3"/>
      <c r="B923" s="13"/>
    </row>
    <row r="924" spans="1:2" x14ac:dyDescent="0.45">
      <c r="A924" s="3"/>
      <c r="B924" s="13"/>
    </row>
    <row r="925" spans="1:2" x14ac:dyDescent="0.45">
      <c r="A925" s="3"/>
      <c r="B925" s="13"/>
    </row>
    <row r="926" spans="1:2" x14ac:dyDescent="0.45">
      <c r="A926" s="3"/>
      <c r="B926" s="13"/>
    </row>
    <row r="927" spans="1:2" x14ac:dyDescent="0.45">
      <c r="A927" s="3"/>
      <c r="B927" s="13"/>
    </row>
    <row r="928" spans="1:2" x14ac:dyDescent="0.45">
      <c r="A928" s="3"/>
      <c r="B928" s="13"/>
    </row>
    <row r="929" spans="1:2" x14ac:dyDescent="0.45">
      <c r="A929" s="3"/>
      <c r="B929" s="13"/>
    </row>
    <row r="930" spans="1:2" x14ac:dyDescent="0.45">
      <c r="A930" s="3"/>
      <c r="B930" s="13"/>
    </row>
    <row r="931" spans="1:2" x14ac:dyDescent="0.45">
      <c r="A931" s="3"/>
      <c r="B931" s="13"/>
    </row>
    <row r="932" spans="1:2" x14ac:dyDescent="0.45">
      <c r="A932" s="3"/>
      <c r="B932" s="13"/>
    </row>
    <row r="933" spans="1:2" x14ac:dyDescent="0.45">
      <c r="A933" s="3"/>
      <c r="B933" s="13"/>
    </row>
    <row r="934" spans="1:2" x14ac:dyDescent="0.45">
      <c r="A934" s="3"/>
      <c r="B934" s="13"/>
    </row>
    <row r="935" spans="1:2" x14ac:dyDescent="0.45">
      <c r="A935" s="3"/>
      <c r="B935" s="13"/>
    </row>
    <row r="936" spans="1:2" x14ac:dyDescent="0.45">
      <c r="A936" s="3"/>
      <c r="B936" s="13"/>
    </row>
    <row r="937" spans="1:2" x14ac:dyDescent="0.45">
      <c r="A937" s="3"/>
      <c r="B937" s="13"/>
    </row>
    <row r="938" spans="1:2" x14ac:dyDescent="0.45">
      <c r="A938" s="3"/>
      <c r="B938" s="13"/>
    </row>
    <row r="939" spans="1:2" x14ac:dyDescent="0.45">
      <c r="A939" s="3"/>
      <c r="B939" s="13"/>
    </row>
    <row r="940" spans="1:2" x14ac:dyDescent="0.45">
      <c r="A940" s="3"/>
      <c r="B940" s="13"/>
    </row>
    <row r="941" spans="1:2" x14ac:dyDescent="0.45">
      <c r="A941" s="3"/>
      <c r="B941" s="13"/>
    </row>
    <row r="942" spans="1:2" x14ac:dyDescent="0.45">
      <c r="A942" s="3"/>
      <c r="B942" s="13"/>
    </row>
    <row r="943" spans="1:2" x14ac:dyDescent="0.45">
      <c r="A943" s="3"/>
      <c r="B943" s="13"/>
    </row>
    <row r="944" spans="1:2" x14ac:dyDescent="0.45">
      <c r="A944" s="3"/>
      <c r="B944" s="13"/>
    </row>
    <row r="945" spans="1:2" x14ac:dyDescent="0.45">
      <c r="A945" s="3"/>
      <c r="B945" s="13"/>
    </row>
    <row r="946" spans="1:2" x14ac:dyDescent="0.45">
      <c r="A946" s="3"/>
      <c r="B946" s="13"/>
    </row>
    <row r="947" spans="1:2" x14ac:dyDescent="0.45">
      <c r="A947" s="3"/>
      <c r="B947" s="13"/>
    </row>
    <row r="948" spans="1:2" x14ac:dyDescent="0.45">
      <c r="A948" s="3"/>
      <c r="B948" s="13"/>
    </row>
    <row r="949" spans="1:2" x14ac:dyDescent="0.45">
      <c r="A949" s="3"/>
      <c r="B949" s="13"/>
    </row>
    <row r="950" spans="1:2" x14ac:dyDescent="0.45">
      <c r="A950" s="3"/>
      <c r="B950" s="13"/>
    </row>
    <row r="951" spans="1:2" x14ac:dyDescent="0.45">
      <c r="A951" s="3"/>
      <c r="B951" s="13"/>
    </row>
    <row r="952" spans="1:2" x14ac:dyDescent="0.45">
      <c r="A952" s="3"/>
      <c r="B952" s="13"/>
    </row>
    <row r="953" spans="1:2" x14ac:dyDescent="0.45">
      <c r="A953" s="3"/>
      <c r="B953" s="13"/>
    </row>
    <row r="954" spans="1:2" x14ac:dyDescent="0.45">
      <c r="A954" s="3"/>
      <c r="B954" s="13"/>
    </row>
    <row r="955" spans="1:2" x14ac:dyDescent="0.45">
      <c r="A955" s="3"/>
      <c r="B955" s="13"/>
    </row>
    <row r="956" spans="1:2" x14ac:dyDescent="0.45">
      <c r="A956" s="3"/>
      <c r="B956" s="13"/>
    </row>
    <row r="957" spans="1:2" x14ac:dyDescent="0.45">
      <c r="A957" s="3"/>
      <c r="B957" s="13"/>
    </row>
    <row r="958" spans="1:2" x14ac:dyDescent="0.45">
      <c r="A958" s="3"/>
      <c r="B958" s="13"/>
    </row>
    <row r="959" spans="1:2" x14ac:dyDescent="0.45">
      <c r="A959" s="3"/>
      <c r="B959" s="13"/>
    </row>
    <row r="960" spans="1:2" x14ac:dyDescent="0.45">
      <c r="A960" s="3"/>
      <c r="B960" s="13"/>
    </row>
    <row r="961" spans="1:2" x14ac:dyDescent="0.45">
      <c r="A961" s="3"/>
      <c r="B961" s="13"/>
    </row>
    <row r="962" spans="1:2" x14ac:dyDescent="0.45">
      <c r="A962" s="3"/>
      <c r="B962" s="13"/>
    </row>
    <row r="963" spans="1:2" x14ac:dyDescent="0.45">
      <c r="A963" s="3"/>
      <c r="B963" s="13"/>
    </row>
    <row r="964" spans="1:2" x14ac:dyDescent="0.45">
      <c r="A964" s="3"/>
      <c r="B964" s="13"/>
    </row>
    <row r="965" spans="1:2" x14ac:dyDescent="0.45">
      <c r="A965" s="3"/>
      <c r="B965" s="13"/>
    </row>
    <row r="966" spans="1:2" x14ac:dyDescent="0.45">
      <c r="A966" s="3"/>
      <c r="B966" s="13"/>
    </row>
    <row r="967" spans="1:2" x14ac:dyDescent="0.45">
      <c r="A967" s="3"/>
      <c r="B967" s="13"/>
    </row>
    <row r="968" spans="1:2" x14ac:dyDescent="0.45">
      <c r="A968" s="3"/>
      <c r="B968" s="13"/>
    </row>
    <row r="969" spans="1:2" x14ac:dyDescent="0.45">
      <c r="A969" s="3"/>
      <c r="B969" s="13"/>
    </row>
    <row r="970" spans="1:2" x14ac:dyDescent="0.45">
      <c r="A970" s="3"/>
      <c r="B970" s="13"/>
    </row>
    <row r="971" spans="1:2" x14ac:dyDescent="0.45">
      <c r="A971" s="3"/>
      <c r="B971" s="13"/>
    </row>
    <row r="972" spans="1:2" x14ac:dyDescent="0.45">
      <c r="A972" s="3"/>
      <c r="B972" s="13"/>
    </row>
    <row r="973" spans="1:2" x14ac:dyDescent="0.45">
      <c r="A973" s="3"/>
      <c r="B973" s="13"/>
    </row>
    <row r="974" spans="1:2" x14ac:dyDescent="0.45">
      <c r="A974" s="3"/>
      <c r="B974" s="13"/>
    </row>
    <row r="975" spans="1:2" x14ac:dyDescent="0.45">
      <c r="A975" s="3"/>
      <c r="B975" s="13"/>
    </row>
    <row r="976" spans="1:2" x14ac:dyDescent="0.45">
      <c r="A976" s="3"/>
      <c r="B976" s="13"/>
    </row>
    <row r="977" spans="1:2" x14ac:dyDescent="0.45">
      <c r="A977" s="3"/>
      <c r="B977" s="13"/>
    </row>
    <row r="978" spans="1:2" x14ac:dyDescent="0.45">
      <c r="A978" s="3"/>
      <c r="B978" s="13"/>
    </row>
    <row r="979" spans="1:2" x14ac:dyDescent="0.45">
      <c r="A979" s="3"/>
      <c r="B979" s="13"/>
    </row>
    <row r="980" spans="1:2" x14ac:dyDescent="0.45">
      <c r="A980" s="3"/>
      <c r="B980" s="13"/>
    </row>
    <row r="981" spans="1:2" x14ac:dyDescent="0.45">
      <c r="A981" s="3"/>
      <c r="B981" s="13"/>
    </row>
    <row r="982" spans="1:2" x14ac:dyDescent="0.45">
      <c r="A982" s="3"/>
      <c r="B982" s="13"/>
    </row>
    <row r="983" spans="1:2" x14ac:dyDescent="0.45">
      <c r="A983" s="3"/>
      <c r="B983" s="13"/>
    </row>
    <row r="984" spans="1:2" x14ac:dyDescent="0.45">
      <c r="A984" s="3"/>
      <c r="B984" s="13"/>
    </row>
    <row r="985" spans="1:2" x14ac:dyDescent="0.45">
      <c r="A985" s="3"/>
      <c r="B985" s="13"/>
    </row>
    <row r="986" spans="1:2" x14ac:dyDescent="0.45">
      <c r="A986" s="3"/>
      <c r="B986" s="13"/>
    </row>
    <row r="987" spans="1:2" x14ac:dyDescent="0.45">
      <c r="A987" s="3"/>
      <c r="B987" s="13"/>
    </row>
    <row r="988" spans="1:2" x14ac:dyDescent="0.45">
      <c r="A988" s="3"/>
      <c r="B988" s="13"/>
    </row>
    <row r="989" spans="1:2" x14ac:dyDescent="0.45">
      <c r="A989" s="3"/>
      <c r="B989" s="13"/>
    </row>
    <row r="990" spans="1:2" x14ac:dyDescent="0.45">
      <c r="A990" s="3"/>
      <c r="B990" s="13"/>
    </row>
    <row r="991" spans="1:2" x14ac:dyDescent="0.45">
      <c r="A991" s="3"/>
      <c r="B991" s="13"/>
    </row>
    <row r="992" spans="1:2" x14ac:dyDescent="0.45">
      <c r="A992" s="3"/>
      <c r="B992" s="13"/>
    </row>
    <row r="993" spans="1:2" x14ac:dyDescent="0.45">
      <c r="A993" s="3"/>
      <c r="B993" s="13"/>
    </row>
    <row r="994" spans="1:2" x14ac:dyDescent="0.45">
      <c r="A994" s="3"/>
      <c r="B994" s="13"/>
    </row>
    <row r="995" spans="1:2" x14ac:dyDescent="0.45">
      <c r="A995" s="3"/>
      <c r="B995" s="13"/>
    </row>
    <row r="996" spans="1:2" x14ac:dyDescent="0.45">
      <c r="A996" s="3"/>
      <c r="B996" s="13"/>
    </row>
    <row r="997" spans="1:2" x14ac:dyDescent="0.45">
      <c r="A997" s="3"/>
      <c r="B997" s="13"/>
    </row>
    <row r="998" spans="1:2" x14ac:dyDescent="0.45">
      <c r="A998" s="3"/>
      <c r="B998" s="13"/>
    </row>
    <row r="999" spans="1:2" x14ac:dyDescent="0.45">
      <c r="A999" s="3"/>
      <c r="B999" s="13"/>
    </row>
    <row r="1000" spans="1:2" x14ac:dyDescent="0.45">
      <c r="A1000" s="3"/>
      <c r="B1000" s="13"/>
    </row>
    <row r="1001" spans="1:2" x14ac:dyDescent="0.45">
      <c r="A1001" s="3"/>
      <c r="B1001" s="13"/>
    </row>
    <row r="1002" spans="1:2" x14ac:dyDescent="0.45">
      <c r="A1002" s="3"/>
      <c r="B1002" s="13"/>
    </row>
    <row r="1003" spans="1:2" x14ac:dyDescent="0.45">
      <c r="A1003" s="3"/>
      <c r="B1003" s="13"/>
    </row>
    <row r="1004" spans="1:2" x14ac:dyDescent="0.45">
      <c r="A1004" s="3"/>
      <c r="B1004" s="13"/>
    </row>
    <row r="1005" spans="1:2" x14ac:dyDescent="0.45">
      <c r="A1005" s="3"/>
      <c r="B1005" s="13"/>
    </row>
    <row r="1006" spans="1:2" x14ac:dyDescent="0.45">
      <c r="A1006" s="3"/>
      <c r="B1006" s="13"/>
    </row>
    <row r="1007" spans="1:2" x14ac:dyDescent="0.45">
      <c r="A1007" s="3"/>
      <c r="B1007" s="13"/>
    </row>
    <row r="1008" spans="1:2" x14ac:dyDescent="0.45">
      <c r="A1008" s="3"/>
      <c r="B1008" s="13"/>
    </row>
    <row r="1009" spans="1:2" x14ac:dyDescent="0.45">
      <c r="A1009" s="3"/>
      <c r="B1009" s="13"/>
    </row>
    <row r="1010" spans="1:2" x14ac:dyDescent="0.45">
      <c r="A1010" s="3"/>
      <c r="B1010" s="13"/>
    </row>
    <row r="1011" spans="1:2" x14ac:dyDescent="0.45">
      <c r="A1011" s="3"/>
      <c r="B1011" s="13"/>
    </row>
    <row r="1012" spans="1:2" x14ac:dyDescent="0.45">
      <c r="A1012" s="3"/>
      <c r="B1012" s="13"/>
    </row>
    <row r="1013" spans="1:2" x14ac:dyDescent="0.45">
      <c r="A1013" s="3"/>
      <c r="B1013" s="13"/>
    </row>
    <row r="1014" spans="1:2" x14ac:dyDescent="0.45">
      <c r="A1014" s="3"/>
      <c r="B1014" s="13"/>
    </row>
    <row r="1015" spans="1:2" x14ac:dyDescent="0.45">
      <c r="A1015" s="3"/>
      <c r="B1015" s="13"/>
    </row>
    <row r="1016" spans="1:2" x14ac:dyDescent="0.45">
      <c r="A1016" s="3"/>
      <c r="B1016" s="13"/>
    </row>
    <row r="1017" spans="1:2" x14ac:dyDescent="0.45">
      <c r="A1017" s="3"/>
      <c r="B1017" s="13"/>
    </row>
    <row r="1018" spans="1:2" x14ac:dyDescent="0.45">
      <c r="A1018" s="3"/>
      <c r="B1018" s="13"/>
    </row>
    <row r="1019" spans="1:2" x14ac:dyDescent="0.45">
      <c r="A1019" s="3"/>
      <c r="B1019" s="13"/>
    </row>
    <row r="1020" spans="1:2" x14ac:dyDescent="0.45">
      <c r="A1020" s="3"/>
      <c r="B1020" s="13"/>
    </row>
    <row r="1021" spans="1:2" x14ac:dyDescent="0.45">
      <c r="A1021" s="3"/>
      <c r="B1021" s="13"/>
    </row>
    <row r="1022" spans="1:2" x14ac:dyDescent="0.45">
      <c r="A1022" s="3"/>
      <c r="B1022" s="13"/>
    </row>
    <row r="1023" spans="1:2" x14ac:dyDescent="0.45">
      <c r="A1023" s="3"/>
      <c r="B1023" s="13"/>
    </row>
    <row r="1024" spans="1:2" x14ac:dyDescent="0.45">
      <c r="A1024" s="3"/>
      <c r="B1024" s="13"/>
    </row>
    <row r="1025" spans="1:2" x14ac:dyDescent="0.45">
      <c r="A1025" s="3"/>
      <c r="B1025" s="13"/>
    </row>
    <row r="1026" spans="1:2" x14ac:dyDescent="0.45">
      <c r="A1026" s="3"/>
      <c r="B1026" s="13"/>
    </row>
    <row r="1027" spans="1:2" x14ac:dyDescent="0.45">
      <c r="A1027" s="3"/>
      <c r="B1027" s="13"/>
    </row>
    <row r="1028" spans="1:2" x14ac:dyDescent="0.45">
      <c r="A1028" s="3"/>
      <c r="B1028" s="13"/>
    </row>
    <row r="1029" spans="1:2" x14ac:dyDescent="0.45">
      <c r="A1029" s="3"/>
      <c r="B1029" s="13"/>
    </row>
    <row r="1030" spans="1:2" x14ac:dyDescent="0.45">
      <c r="A1030" s="3"/>
      <c r="B1030" s="13"/>
    </row>
    <row r="1031" spans="1:2" x14ac:dyDescent="0.45">
      <c r="A1031" s="3"/>
      <c r="B1031" s="13"/>
    </row>
    <row r="1032" spans="1:2" x14ac:dyDescent="0.45">
      <c r="A1032" s="3"/>
      <c r="B1032" s="13"/>
    </row>
    <row r="1033" spans="1:2" x14ac:dyDescent="0.45">
      <c r="A1033" s="3"/>
      <c r="B1033" s="13"/>
    </row>
    <row r="1034" spans="1:2" x14ac:dyDescent="0.45">
      <c r="A1034" s="3"/>
      <c r="B1034" s="13"/>
    </row>
    <row r="1035" spans="1:2" x14ac:dyDescent="0.45">
      <c r="A1035" s="3"/>
      <c r="B1035" s="13"/>
    </row>
    <row r="1036" spans="1:2" x14ac:dyDescent="0.45">
      <c r="A1036" s="3"/>
      <c r="B1036" s="13"/>
    </row>
    <row r="1037" spans="1:2" x14ac:dyDescent="0.45">
      <c r="A1037" s="3"/>
      <c r="B1037" s="13"/>
    </row>
    <row r="1038" spans="1:2" x14ac:dyDescent="0.45">
      <c r="A1038" s="3"/>
      <c r="B1038" s="13"/>
    </row>
    <row r="1039" spans="1:2" x14ac:dyDescent="0.45">
      <c r="A1039" s="3"/>
      <c r="B1039" s="13"/>
    </row>
    <row r="1040" spans="1:2" x14ac:dyDescent="0.45">
      <c r="A1040" s="3"/>
      <c r="B1040" s="13"/>
    </row>
    <row r="1041" spans="1:2" x14ac:dyDescent="0.45">
      <c r="A1041" s="3"/>
      <c r="B1041" s="13"/>
    </row>
    <row r="1042" spans="1:2" x14ac:dyDescent="0.45">
      <c r="A1042" s="3"/>
      <c r="B1042" s="13"/>
    </row>
    <row r="1043" spans="1:2" x14ac:dyDescent="0.45">
      <c r="A1043" s="3"/>
      <c r="B1043" s="13"/>
    </row>
    <row r="1044" spans="1:2" x14ac:dyDescent="0.45">
      <c r="A1044" s="3"/>
      <c r="B1044" s="13"/>
    </row>
    <row r="1045" spans="1:2" x14ac:dyDescent="0.45">
      <c r="A1045" s="3"/>
      <c r="B1045" s="13"/>
    </row>
    <row r="1046" spans="1:2" x14ac:dyDescent="0.45">
      <c r="A1046" s="3"/>
      <c r="B1046" s="13"/>
    </row>
    <row r="1047" spans="1:2" x14ac:dyDescent="0.45">
      <c r="A1047" s="3"/>
      <c r="B1047" s="13"/>
    </row>
    <row r="1048" spans="1:2" x14ac:dyDescent="0.45">
      <c r="A1048" s="3"/>
      <c r="B1048" s="13"/>
    </row>
    <row r="1049" spans="1:2" x14ac:dyDescent="0.45">
      <c r="A1049" s="3"/>
      <c r="B1049" s="13"/>
    </row>
    <row r="1050" spans="1:2" x14ac:dyDescent="0.45">
      <c r="A1050" s="3"/>
      <c r="B1050" s="13"/>
    </row>
    <row r="1051" spans="1:2" x14ac:dyDescent="0.45">
      <c r="A1051" s="3"/>
      <c r="B1051" s="13"/>
    </row>
    <row r="1052" spans="1:2" x14ac:dyDescent="0.45">
      <c r="A1052" s="3"/>
      <c r="B1052" s="13"/>
    </row>
    <row r="1053" spans="1:2" x14ac:dyDescent="0.45">
      <c r="A1053" s="3"/>
      <c r="B1053" s="13"/>
    </row>
    <row r="1054" spans="1:2" x14ac:dyDescent="0.45">
      <c r="A1054" s="3"/>
      <c r="B1054" s="13"/>
    </row>
    <row r="1055" spans="1:2" x14ac:dyDescent="0.45">
      <c r="A1055" s="3"/>
      <c r="B1055" s="13"/>
    </row>
    <row r="1056" spans="1:2" x14ac:dyDescent="0.45">
      <c r="A1056" s="3"/>
      <c r="B1056" s="13"/>
    </row>
    <row r="1057" spans="1:2" x14ac:dyDescent="0.45">
      <c r="A1057" s="3"/>
      <c r="B1057" s="13"/>
    </row>
    <row r="1058" spans="1:2" x14ac:dyDescent="0.45">
      <c r="A1058" s="3"/>
      <c r="B1058" s="13"/>
    </row>
    <row r="1059" spans="1:2" x14ac:dyDescent="0.45">
      <c r="A1059" s="3"/>
      <c r="B1059" s="13"/>
    </row>
    <row r="1060" spans="1:2" x14ac:dyDescent="0.45">
      <c r="A1060" s="3"/>
      <c r="B1060" s="13"/>
    </row>
    <row r="1061" spans="1:2" x14ac:dyDescent="0.45">
      <c r="A1061" s="3"/>
      <c r="B1061" s="13"/>
    </row>
    <row r="1062" spans="1:2" x14ac:dyDescent="0.45">
      <c r="A1062" s="3"/>
      <c r="B1062" s="13"/>
    </row>
    <row r="1063" spans="1:2" x14ac:dyDescent="0.45">
      <c r="A1063" s="3"/>
      <c r="B1063" s="13"/>
    </row>
    <row r="1064" spans="1:2" x14ac:dyDescent="0.45">
      <c r="A1064" s="3"/>
      <c r="B1064" s="13"/>
    </row>
    <row r="1065" spans="1:2" x14ac:dyDescent="0.45">
      <c r="A1065" s="3"/>
      <c r="B1065" s="13"/>
    </row>
    <row r="1066" spans="1:2" x14ac:dyDescent="0.45">
      <c r="A1066" s="3"/>
      <c r="B1066" s="13"/>
    </row>
    <row r="1067" spans="1:2" x14ac:dyDescent="0.45">
      <c r="A1067" s="3"/>
      <c r="B1067" s="13"/>
    </row>
    <row r="1068" spans="1:2" x14ac:dyDescent="0.45">
      <c r="A1068" s="3"/>
      <c r="B1068" s="13"/>
    </row>
    <row r="1069" spans="1:2" x14ac:dyDescent="0.45">
      <c r="A1069" s="3"/>
      <c r="B1069" s="13"/>
    </row>
    <row r="1070" spans="1:2" x14ac:dyDescent="0.45">
      <c r="A1070" s="3"/>
      <c r="B1070" s="13"/>
    </row>
    <row r="1071" spans="1:2" x14ac:dyDescent="0.45">
      <c r="A1071" s="3"/>
      <c r="B1071" s="13"/>
    </row>
    <row r="1072" spans="1:2" x14ac:dyDescent="0.45">
      <c r="A1072" s="3"/>
      <c r="B1072" s="13"/>
    </row>
    <row r="1073" spans="1:2" x14ac:dyDescent="0.45">
      <c r="A1073" s="3"/>
      <c r="B1073" s="13"/>
    </row>
    <row r="1074" spans="1:2" x14ac:dyDescent="0.45">
      <c r="A1074" s="3"/>
      <c r="B1074" s="13"/>
    </row>
    <row r="1075" spans="1:2" x14ac:dyDescent="0.45">
      <c r="A1075" s="3"/>
      <c r="B1075" s="13"/>
    </row>
    <row r="1076" spans="1:2" x14ac:dyDescent="0.45">
      <c r="A1076" s="3"/>
      <c r="B1076" s="13"/>
    </row>
    <row r="1077" spans="1:2" x14ac:dyDescent="0.45">
      <c r="A1077" s="3"/>
      <c r="B1077" s="13"/>
    </row>
    <row r="1078" spans="1:2" x14ac:dyDescent="0.45">
      <c r="A1078" s="3"/>
      <c r="B1078" s="13"/>
    </row>
    <row r="1079" spans="1:2" x14ac:dyDescent="0.45">
      <c r="A1079" s="3"/>
      <c r="B1079" s="13"/>
    </row>
    <row r="1080" spans="1:2" x14ac:dyDescent="0.45">
      <c r="A1080" s="3"/>
      <c r="B1080" s="13"/>
    </row>
    <row r="1081" spans="1:2" x14ac:dyDescent="0.45">
      <c r="A1081" s="3"/>
      <c r="B1081" s="13"/>
    </row>
    <row r="1082" spans="1:2" x14ac:dyDescent="0.45">
      <c r="A1082" s="3"/>
      <c r="B1082" s="13"/>
    </row>
    <row r="1083" spans="1:2" x14ac:dyDescent="0.45">
      <c r="A1083" s="3"/>
      <c r="B1083" s="13"/>
    </row>
    <row r="1084" spans="1:2" x14ac:dyDescent="0.45">
      <c r="A1084" s="3"/>
      <c r="B1084" s="13"/>
    </row>
    <row r="1085" spans="1:2" x14ac:dyDescent="0.45">
      <c r="A1085" s="3"/>
      <c r="B1085" s="13"/>
    </row>
    <row r="1086" spans="1:2" x14ac:dyDescent="0.45">
      <c r="A1086" s="3"/>
      <c r="B1086" s="13"/>
    </row>
    <row r="1087" spans="1:2" x14ac:dyDescent="0.45">
      <c r="A1087" s="3"/>
      <c r="B1087" s="13"/>
    </row>
    <row r="1088" spans="1:2" x14ac:dyDescent="0.45">
      <c r="A1088" s="3"/>
      <c r="B1088" s="13"/>
    </row>
    <row r="1089" spans="1:2" x14ac:dyDescent="0.45">
      <c r="A1089" s="3"/>
      <c r="B1089" s="13"/>
    </row>
    <row r="1090" spans="1:2" x14ac:dyDescent="0.45">
      <c r="A1090" s="3"/>
      <c r="B1090" s="13"/>
    </row>
    <row r="1091" spans="1:2" x14ac:dyDescent="0.45">
      <c r="A1091" s="3"/>
      <c r="B1091" s="13"/>
    </row>
    <row r="1092" spans="1:2" x14ac:dyDescent="0.45">
      <c r="A1092" s="3"/>
      <c r="B1092" s="13"/>
    </row>
    <row r="1093" spans="1:2" x14ac:dyDescent="0.45">
      <c r="A1093" s="3"/>
      <c r="B1093" s="13"/>
    </row>
    <row r="1094" spans="1:2" x14ac:dyDescent="0.45">
      <c r="A1094" s="3"/>
      <c r="B1094" s="13"/>
    </row>
    <row r="1095" spans="1:2" x14ac:dyDescent="0.45">
      <c r="A1095" s="3"/>
      <c r="B1095" s="13"/>
    </row>
    <row r="1096" spans="1:2" x14ac:dyDescent="0.45">
      <c r="A1096" s="3"/>
      <c r="B1096" s="13"/>
    </row>
    <row r="1097" spans="1:2" x14ac:dyDescent="0.45">
      <c r="A1097" s="3"/>
      <c r="B1097" s="13"/>
    </row>
    <row r="1098" spans="1:2" x14ac:dyDescent="0.45">
      <c r="A1098" s="3"/>
      <c r="B1098" s="13"/>
    </row>
    <row r="1099" spans="1:2" x14ac:dyDescent="0.45">
      <c r="A1099" s="3"/>
      <c r="B1099" s="13"/>
    </row>
    <row r="1100" spans="1:2" x14ac:dyDescent="0.45">
      <c r="A1100" s="3"/>
      <c r="B1100" s="13"/>
    </row>
    <row r="1101" spans="1:2" x14ac:dyDescent="0.45">
      <c r="A1101" s="3"/>
      <c r="B1101" s="13"/>
    </row>
    <row r="1102" spans="1:2" x14ac:dyDescent="0.45">
      <c r="A1102" s="3"/>
      <c r="B1102" s="13"/>
    </row>
    <row r="1103" spans="1:2" x14ac:dyDescent="0.45">
      <c r="A1103" s="3"/>
      <c r="B1103" s="13"/>
    </row>
    <row r="1104" spans="1:2" x14ac:dyDescent="0.45">
      <c r="A1104" s="3"/>
      <c r="B1104" s="13"/>
    </row>
    <row r="1105" spans="1:2" x14ac:dyDescent="0.45">
      <c r="A1105" s="3"/>
      <c r="B1105" s="13"/>
    </row>
    <row r="1106" spans="1:2" x14ac:dyDescent="0.45">
      <c r="A1106" s="3"/>
      <c r="B1106" s="13"/>
    </row>
    <row r="1107" spans="1:2" x14ac:dyDescent="0.45">
      <c r="A1107" s="3"/>
      <c r="B1107" s="13"/>
    </row>
    <row r="1108" spans="1:2" x14ac:dyDescent="0.45">
      <c r="A1108" s="3"/>
      <c r="B1108" s="13"/>
    </row>
    <row r="1109" spans="1:2" x14ac:dyDescent="0.45">
      <c r="A1109" s="3"/>
      <c r="B1109" s="13"/>
    </row>
    <row r="1110" spans="1:2" x14ac:dyDescent="0.45">
      <c r="A1110" s="3"/>
      <c r="B1110" s="13"/>
    </row>
    <row r="1111" spans="1:2" x14ac:dyDescent="0.45">
      <c r="A1111" s="3"/>
      <c r="B1111" s="13"/>
    </row>
    <row r="1112" spans="1:2" x14ac:dyDescent="0.45">
      <c r="A1112" s="3"/>
      <c r="B1112" s="13"/>
    </row>
    <row r="1113" spans="1:2" x14ac:dyDescent="0.45">
      <c r="A1113" s="3"/>
      <c r="B1113" s="13"/>
    </row>
    <row r="1114" spans="1:2" x14ac:dyDescent="0.45">
      <c r="A1114" s="3"/>
      <c r="B1114" s="13"/>
    </row>
    <row r="1115" spans="1:2" x14ac:dyDescent="0.45">
      <c r="A1115" s="3"/>
      <c r="B1115" s="13"/>
    </row>
    <row r="1116" spans="1:2" x14ac:dyDescent="0.45">
      <c r="A1116" s="3"/>
      <c r="B1116" s="13"/>
    </row>
    <row r="1117" spans="1:2" x14ac:dyDescent="0.45">
      <c r="A1117" s="3"/>
      <c r="B1117" s="13"/>
    </row>
    <row r="1118" spans="1:2" x14ac:dyDescent="0.45">
      <c r="A1118" s="3"/>
      <c r="B1118" s="13"/>
    </row>
    <row r="1119" spans="1:2" x14ac:dyDescent="0.45">
      <c r="A1119" s="3"/>
      <c r="B1119" s="13"/>
    </row>
    <row r="1120" spans="1:2" x14ac:dyDescent="0.45">
      <c r="A1120" s="3"/>
      <c r="B1120" s="13"/>
    </row>
    <row r="1121" spans="1:2" x14ac:dyDescent="0.45">
      <c r="A1121" s="3"/>
      <c r="B1121" s="13"/>
    </row>
    <row r="1122" spans="1:2" x14ac:dyDescent="0.45">
      <c r="A1122" s="3"/>
      <c r="B1122" s="13"/>
    </row>
    <row r="1123" spans="1:2" x14ac:dyDescent="0.45">
      <c r="A1123" s="3"/>
      <c r="B1123" s="13"/>
    </row>
    <row r="1124" spans="1:2" x14ac:dyDescent="0.45">
      <c r="A1124" s="3"/>
      <c r="B1124" s="13"/>
    </row>
    <row r="1125" spans="1:2" x14ac:dyDescent="0.45">
      <c r="A1125" s="3"/>
      <c r="B1125" s="13"/>
    </row>
    <row r="1126" spans="1:2" x14ac:dyDescent="0.45">
      <c r="A1126" s="3"/>
      <c r="B1126" s="13"/>
    </row>
    <row r="1127" spans="1:2" x14ac:dyDescent="0.45">
      <c r="A1127" s="3"/>
      <c r="B1127" s="13"/>
    </row>
    <row r="1128" spans="1:2" x14ac:dyDescent="0.45">
      <c r="A1128" s="3"/>
      <c r="B1128" s="13"/>
    </row>
    <row r="1129" spans="1:2" x14ac:dyDescent="0.45">
      <c r="A1129" s="3"/>
      <c r="B1129" s="13"/>
    </row>
    <row r="1130" spans="1:2" x14ac:dyDescent="0.45">
      <c r="A1130" s="3"/>
      <c r="B1130" s="13"/>
    </row>
    <row r="1131" spans="1:2" x14ac:dyDescent="0.45">
      <c r="A1131" s="3"/>
      <c r="B1131" s="13"/>
    </row>
    <row r="1132" spans="1:2" x14ac:dyDescent="0.45">
      <c r="A1132" s="3"/>
      <c r="B1132" s="13"/>
    </row>
    <row r="1133" spans="1:2" x14ac:dyDescent="0.45">
      <c r="A1133" s="3"/>
      <c r="B1133" s="13"/>
    </row>
    <row r="1134" spans="1:2" x14ac:dyDescent="0.45">
      <c r="A1134" s="3"/>
      <c r="B1134" s="13"/>
    </row>
    <row r="1135" spans="1:2" x14ac:dyDescent="0.45">
      <c r="A1135" s="3"/>
      <c r="B1135" s="13"/>
    </row>
    <row r="1136" spans="1:2" x14ac:dyDescent="0.45">
      <c r="A1136" s="3"/>
      <c r="B1136" s="13"/>
    </row>
    <row r="1137" spans="1:2" x14ac:dyDescent="0.45">
      <c r="A1137" s="3"/>
      <c r="B1137" s="13"/>
    </row>
    <row r="1138" spans="1:2" x14ac:dyDescent="0.45">
      <c r="A1138" s="3"/>
      <c r="B1138" s="13"/>
    </row>
    <row r="1139" spans="1:2" x14ac:dyDescent="0.45">
      <c r="A1139" s="3"/>
      <c r="B1139" s="13"/>
    </row>
    <row r="1140" spans="1:2" x14ac:dyDescent="0.45">
      <c r="A1140" s="3"/>
      <c r="B1140" s="13"/>
    </row>
    <row r="1141" spans="1:2" x14ac:dyDescent="0.45">
      <c r="A1141" s="3"/>
      <c r="B1141" s="13"/>
    </row>
    <row r="1142" spans="1:2" x14ac:dyDescent="0.45">
      <c r="A1142" s="3"/>
      <c r="B1142" s="13"/>
    </row>
    <row r="1143" spans="1:2" x14ac:dyDescent="0.45">
      <c r="A1143" s="3"/>
      <c r="B1143" s="13"/>
    </row>
    <row r="1144" spans="1:2" x14ac:dyDescent="0.45">
      <c r="A1144" s="3"/>
      <c r="B1144" s="13"/>
    </row>
    <row r="1145" spans="1:2" x14ac:dyDescent="0.45">
      <c r="A1145" s="3"/>
      <c r="B1145" s="13"/>
    </row>
    <row r="1146" spans="1:2" x14ac:dyDescent="0.45">
      <c r="A1146" s="3"/>
      <c r="B1146" s="13"/>
    </row>
    <row r="1147" spans="1:2" x14ac:dyDescent="0.45">
      <c r="A1147" s="3"/>
      <c r="B1147" s="13"/>
    </row>
    <row r="1148" spans="1:2" x14ac:dyDescent="0.45">
      <c r="A1148" s="3"/>
      <c r="B1148" s="13"/>
    </row>
    <row r="1149" spans="1:2" x14ac:dyDescent="0.45">
      <c r="A1149" s="3"/>
      <c r="B1149" s="13"/>
    </row>
    <row r="1150" spans="1:2" x14ac:dyDescent="0.45">
      <c r="A1150" s="3"/>
      <c r="B1150" s="13"/>
    </row>
    <row r="1151" spans="1:2" x14ac:dyDescent="0.45">
      <c r="A1151" s="3"/>
      <c r="B1151" s="13"/>
    </row>
    <row r="1152" spans="1:2" x14ac:dyDescent="0.45">
      <c r="A1152" s="3"/>
      <c r="B1152" s="13"/>
    </row>
    <row r="1153" spans="1:2" x14ac:dyDescent="0.45">
      <c r="A1153" s="3"/>
      <c r="B1153" s="13"/>
    </row>
    <row r="1154" spans="1:2" x14ac:dyDescent="0.45">
      <c r="A1154" s="3"/>
      <c r="B1154" s="13"/>
    </row>
    <row r="1155" spans="1:2" x14ac:dyDescent="0.45">
      <c r="A1155" s="3"/>
      <c r="B1155" s="13"/>
    </row>
    <row r="1156" spans="1:2" x14ac:dyDescent="0.45">
      <c r="A1156" s="3"/>
      <c r="B1156" s="13"/>
    </row>
    <row r="1157" spans="1:2" x14ac:dyDescent="0.45">
      <c r="A1157" s="3"/>
      <c r="B1157" s="13"/>
    </row>
    <row r="1158" spans="1:2" x14ac:dyDescent="0.45">
      <c r="A1158" s="3"/>
      <c r="B1158" s="13"/>
    </row>
    <row r="1159" spans="1:2" x14ac:dyDescent="0.45">
      <c r="A1159" s="3"/>
      <c r="B1159" s="13"/>
    </row>
    <row r="1160" spans="1:2" x14ac:dyDescent="0.45">
      <c r="A1160" s="3"/>
      <c r="B1160" s="13"/>
    </row>
    <row r="1161" spans="1:2" x14ac:dyDescent="0.45">
      <c r="A1161" s="3"/>
      <c r="B1161" s="13"/>
    </row>
    <row r="1162" spans="1:2" x14ac:dyDescent="0.45">
      <c r="A1162" s="3"/>
      <c r="B1162" s="13"/>
    </row>
    <row r="1163" spans="1:2" x14ac:dyDescent="0.45">
      <c r="A1163" s="3"/>
      <c r="B1163" s="13"/>
    </row>
    <row r="1164" spans="1:2" x14ac:dyDescent="0.45">
      <c r="A1164" s="3"/>
      <c r="B1164" s="13"/>
    </row>
    <row r="1165" spans="1:2" x14ac:dyDescent="0.45">
      <c r="A1165" s="3"/>
      <c r="B1165" s="13"/>
    </row>
    <row r="1166" spans="1:2" x14ac:dyDescent="0.45">
      <c r="A1166" s="3"/>
      <c r="B1166" s="13"/>
    </row>
    <row r="1167" spans="1:2" x14ac:dyDescent="0.45">
      <c r="A1167" s="3"/>
      <c r="B1167" s="13"/>
    </row>
    <row r="1168" spans="1:2" x14ac:dyDescent="0.45">
      <c r="A1168" s="3"/>
      <c r="B1168" s="13"/>
    </row>
    <row r="1169" spans="1:2" x14ac:dyDescent="0.45">
      <c r="A1169" s="3"/>
      <c r="B1169" s="13"/>
    </row>
    <row r="1170" spans="1:2" x14ac:dyDescent="0.45">
      <c r="A1170" s="3"/>
      <c r="B1170" s="13"/>
    </row>
    <row r="1171" spans="1:2" x14ac:dyDescent="0.45">
      <c r="A1171" s="3"/>
      <c r="B1171" s="13"/>
    </row>
    <row r="1172" spans="1:2" x14ac:dyDescent="0.45">
      <c r="A1172" s="3"/>
      <c r="B1172" s="13"/>
    </row>
    <row r="1173" spans="1:2" x14ac:dyDescent="0.45">
      <c r="A1173" s="3"/>
      <c r="B1173" s="13"/>
    </row>
    <row r="1174" spans="1:2" x14ac:dyDescent="0.45">
      <c r="A1174" s="3"/>
      <c r="B1174" s="13"/>
    </row>
    <row r="1175" spans="1:2" x14ac:dyDescent="0.45">
      <c r="A1175" s="3"/>
      <c r="B1175" s="13"/>
    </row>
    <row r="1176" spans="1:2" x14ac:dyDescent="0.45">
      <c r="A1176" s="3"/>
      <c r="B1176" s="13"/>
    </row>
    <row r="1177" spans="1:2" x14ac:dyDescent="0.45">
      <c r="A1177" s="3"/>
      <c r="B1177" s="13"/>
    </row>
    <row r="1178" spans="1:2" x14ac:dyDescent="0.45">
      <c r="A1178" s="3"/>
      <c r="B1178" s="13"/>
    </row>
    <row r="1179" spans="1:2" x14ac:dyDescent="0.45">
      <c r="A1179" s="3"/>
      <c r="B1179" s="13"/>
    </row>
    <row r="1180" spans="1:2" x14ac:dyDescent="0.45">
      <c r="A1180" s="3"/>
      <c r="B1180" s="13"/>
    </row>
    <row r="1181" spans="1:2" x14ac:dyDescent="0.45">
      <c r="A1181" s="3"/>
      <c r="B1181" s="13"/>
    </row>
    <row r="1182" spans="1:2" x14ac:dyDescent="0.45">
      <c r="A1182" s="3"/>
      <c r="B1182" s="13"/>
    </row>
    <row r="1183" spans="1:2" x14ac:dyDescent="0.45">
      <c r="A1183" s="3"/>
      <c r="B1183" s="13"/>
    </row>
    <row r="1184" spans="1:2" x14ac:dyDescent="0.45">
      <c r="A1184" s="3"/>
      <c r="B1184" s="13"/>
    </row>
    <row r="1185" spans="1:2" x14ac:dyDescent="0.45">
      <c r="A1185" s="3"/>
      <c r="B1185" s="13"/>
    </row>
    <row r="1186" spans="1:2" x14ac:dyDescent="0.45">
      <c r="A1186" s="3"/>
      <c r="B1186" s="13"/>
    </row>
    <row r="1187" spans="1:2" x14ac:dyDescent="0.45">
      <c r="A1187" s="3"/>
      <c r="B1187" s="13"/>
    </row>
    <row r="1188" spans="1:2" x14ac:dyDescent="0.45">
      <c r="A1188" s="3"/>
      <c r="B1188" s="13"/>
    </row>
    <row r="1189" spans="1:2" x14ac:dyDescent="0.45">
      <c r="A1189" s="3"/>
      <c r="B1189" s="13"/>
    </row>
    <row r="1190" spans="1:2" x14ac:dyDescent="0.45">
      <c r="A1190" s="3"/>
      <c r="B1190" s="13"/>
    </row>
    <row r="1191" spans="1:2" x14ac:dyDescent="0.45">
      <c r="A1191" s="3"/>
      <c r="B1191" s="13"/>
    </row>
    <row r="1192" spans="1:2" x14ac:dyDescent="0.45">
      <c r="A1192" s="3"/>
      <c r="B1192" s="13"/>
    </row>
    <row r="1193" spans="1:2" x14ac:dyDescent="0.45">
      <c r="A1193" s="3"/>
      <c r="B1193" s="13"/>
    </row>
    <row r="1194" spans="1:2" x14ac:dyDescent="0.45">
      <c r="A1194" s="3"/>
      <c r="B1194" s="13"/>
    </row>
    <row r="1195" spans="1:2" x14ac:dyDescent="0.45">
      <c r="A1195" s="3"/>
      <c r="B1195" s="13"/>
    </row>
    <row r="1196" spans="1:2" x14ac:dyDescent="0.45">
      <c r="A1196" s="3"/>
      <c r="B1196" s="13"/>
    </row>
    <row r="1197" spans="1:2" x14ac:dyDescent="0.45">
      <c r="A1197" s="3"/>
      <c r="B1197" s="13"/>
    </row>
    <row r="1198" spans="1:2" x14ac:dyDescent="0.45">
      <c r="A1198" s="3"/>
      <c r="B1198" s="13"/>
    </row>
    <row r="1199" spans="1:2" x14ac:dyDescent="0.45">
      <c r="A1199" s="3"/>
      <c r="B1199" s="13"/>
    </row>
    <row r="1200" spans="1:2" x14ac:dyDescent="0.45">
      <c r="A1200" s="3"/>
      <c r="B1200" s="13"/>
    </row>
    <row r="1201" spans="1:2" x14ac:dyDescent="0.45">
      <c r="A1201" s="3"/>
      <c r="B1201" s="13"/>
    </row>
    <row r="1202" spans="1:2" x14ac:dyDescent="0.45">
      <c r="A1202" s="3"/>
      <c r="B1202" s="13"/>
    </row>
    <row r="1203" spans="1:2" x14ac:dyDescent="0.45">
      <c r="A1203" s="3"/>
      <c r="B1203" s="13"/>
    </row>
    <row r="1204" spans="1:2" x14ac:dyDescent="0.45">
      <c r="A1204" s="3"/>
      <c r="B1204" s="13"/>
    </row>
    <row r="1205" spans="1:2" x14ac:dyDescent="0.45">
      <c r="A1205" s="3"/>
      <c r="B1205" s="13"/>
    </row>
    <row r="1206" spans="1:2" x14ac:dyDescent="0.45">
      <c r="A1206" s="3"/>
      <c r="B1206" s="13"/>
    </row>
    <row r="1207" spans="1:2" x14ac:dyDescent="0.45">
      <c r="A1207" s="3"/>
      <c r="B1207" s="13"/>
    </row>
    <row r="1208" spans="1:2" x14ac:dyDescent="0.45">
      <c r="A1208" s="3"/>
      <c r="B1208" s="13"/>
    </row>
    <row r="1209" spans="1:2" x14ac:dyDescent="0.45">
      <c r="A1209" s="3"/>
      <c r="B1209" s="13"/>
    </row>
    <row r="1210" spans="1:2" x14ac:dyDescent="0.45">
      <c r="A1210" s="3"/>
      <c r="B1210" s="13"/>
    </row>
    <row r="1211" spans="1:2" x14ac:dyDescent="0.45">
      <c r="A1211" s="3"/>
      <c r="B1211" s="13"/>
    </row>
    <row r="1212" spans="1:2" x14ac:dyDescent="0.45">
      <c r="A1212" s="3"/>
      <c r="B1212" s="13"/>
    </row>
    <row r="1213" spans="1:2" x14ac:dyDescent="0.45">
      <c r="A1213" s="3"/>
      <c r="B1213" s="13"/>
    </row>
    <row r="1214" spans="1:2" x14ac:dyDescent="0.45">
      <c r="A1214" s="3"/>
      <c r="B1214" s="13"/>
    </row>
    <row r="1215" spans="1:2" x14ac:dyDescent="0.45">
      <c r="A1215" s="3"/>
      <c r="B1215" s="13"/>
    </row>
    <row r="1216" spans="1:2" x14ac:dyDescent="0.45">
      <c r="A1216" s="3"/>
      <c r="B1216" s="13"/>
    </row>
    <row r="1217" spans="1:2" x14ac:dyDescent="0.45">
      <c r="A1217" s="3"/>
      <c r="B1217" s="13"/>
    </row>
    <row r="1218" spans="1:2" x14ac:dyDescent="0.45">
      <c r="A1218" s="3"/>
      <c r="B1218" s="13"/>
    </row>
    <row r="1219" spans="1:2" x14ac:dyDescent="0.45">
      <c r="A1219" s="3"/>
      <c r="B1219" s="13"/>
    </row>
    <row r="1220" spans="1:2" x14ac:dyDescent="0.45">
      <c r="A1220" s="3"/>
      <c r="B1220" s="13"/>
    </row>
    <row r="1221" spans="1:2" x14ac:dyDescent="0.45">
      <c r="A1221" s="3"/>
      <c r="B1221" s="13"/>
    </row>
    <row r="1222" spans="1:2" x14ac:dyDescent="0.45">
      <c r="A1222" s="3"/>
      <c r="B1222" s="13"/>
    </row>
    <row r="1223" spans="1:2" x14ac:dyDescent="0.45">
      <c r="A1223" s="3"/>
      <c r="B1223" s="13"/>
    </row>
    <row r="1224" spans="1:2" x14ac:dyDescent="0.45">
      <c r="A1224" s="3"/>
      <c r="B1224" s="13"/>
    </row>
    <row r="1225" spans="1:2" x14ac:dyDescent="0.45">
      <c r="A1225" s="3"/>
      <c r="B1225" s="13"/>
    </row>
    <row r="1226" spans="1:2" x14ac:dyDescent="0.45">
      <c r="A1226" s="3"/>
      <c r="B1226" s="13"/>
    </row>
    <row r="1227" spans="1:2" x14ac:dyDescent="0.45">
      <c r="A1227" s="3"/>
      <c r="B1227" s="13"/>
    </row>
    <row r="1228" spans="1:2" x14ac:dyDescent="0.45">
      <c r="A1228" s="3"/>
      <c r="B1228" s="13"/>
    </row>
    <row r="1229" spans="1:2" x14ac:dyDescent="0.45">
      <c r="A1229" s="3"/>
      <c r="B1229" s="13"/>
    </row>
    <row r="1230" spans="1:2" x14ac:dyDescent="0.45">
      <c r="A1230" s="3"/>
      <c r="B1230" s="13"/>
    </row>
    <row r="1231" spans="1:2" x14ac:dyDescent="0.45">
      <c r="A1231" s="3"/>
      <c r="B1231" s="13"/>
    </row>
    <row r="1232" spans="1:2" x14ac:dyDescent="0.45">
      <c r="A1232" s="3"/>
      <c r="B1232" s="13"/>
    </row>
    <row r="1233" spans="1:2" x14ac:dyDescent="0.45">
      <c r="A1233" s="3"/>
      <c r="B1233" s="13"/>
    </row>
    <row r="1234" spans="1:2" x14ac:dyDescent="0.45">
      <c r="A1234" s="3"/>
      <c r="B1234" s="13"/>
    </row>
    <row r="1235" spans="1:2" x14ac:dyDescent="0.45">
      <c r="A1235" s="3"/>
      <c r="B1235" s="13"/>
    </row>
    <row r="1236" spans="1:2" x14ac:dyDescent="0.45">
      <c r="A1236" s="3"/>
      <c r="B1236" s="13"/>
    </row>
    <row r="1237" spans="1:2" x14ac:dyDescent="0.45">
      <c r="A1237" s="3"/>
      <c r="B1237" s="13"/>
    </row>
    <row r="1238" spans="1:2" x14ac:dyDescent="0.45">
      <c r="A1238" s="3"/>
      <c r="B1238" s="13"/>
    </row>
    <row r="1239" spans="1:2" x14ac:dyDescent="0.45">
      <c r="A1239" s="3"/>
      <c r="B1239" s="13"/>
    </row>
    <row r="1240" spans="1:2" x14ac:dyDescent="0.45">
      <c r="A1240" s="3"/>
      <c r="B1240" s="13"/>
    </row>
    <row r="1241" spans="1:2" x14ac:dyDescent="0.45">
      <c r="A1241" s="3"/>
      <c r="B1241" s="13"/>
    </row>
    <row r="1242" spans="1:2" x14ac:dyDescent="0.45">
      <c r="A1242" s="3"/>
      <c r="B1242" s="13"/>
    </row>
    <row r="1243" spans="1:2" x14ac:dyDescent="0.45">
      <c r="A1243" s="3"/>
      <c r="B1243" s="13"/>
    </row>
    <row r="1244" spans="1:2" x14ac:dyDescent="0.45">
      <c r="A1244" s="3"/>
      <c r="B1244" s="13"/>
    </row>
    <row r="1245" spans="1:2" x14ac:dyDescent="0.45">
      <c r="A1245" s="3"/>
      <c r="B1245" s="13"/>
    </row>
    <row r="1246" spans="1:2" x14ac:dyDescent="0.45">
      <c r="A1246" s="3"/>
      <c r="B1246" s="13"/>
    </row>
    <row r="1247" spans="1:2" x14ac:dyDescent="0.45">
      <c r="A1247" s="3"/>
      <c r="B1247" s="13"/>
    </row>
    <row r="1248" spans="1:2" x14ac:dyDescent="0.45">
      <c r="A1248" s="3"/>
      <c r="B1248" s="13"/>
    </row>
    <row r="1249" spans="1:2" x14ac:dyDescent="0.45">
      <c r="A1249" s="3"/>
      <c r="B1249" s="13"/>
    </row>
    <row r="1250" spans="1:2" x14ac:dyDescent="0.45">
      <c r="A1250" s="3"/>
      <c r="B1250" s="13"/>
    </row>
    <row r="1251" spans="1:2" x14ac:dyDescent="0.45">
      <c r="A1251" s="3"/>
      <c r="B1251" s="13"/>
    </row>
    <row r="1252" spans="1:2" x14ac:dyDescent="0.45">
      <c r="A1252" s="3"/>
      <c r="B1252" s="13"/>
    </row>
    <row r="1253" spans="1:2" x14ac:dyDescent="0.45">
      <c r="A1253" s="3"/>
      <c r="B1253" s="13"/>
    </row>
    <row r="1254" spans="1:2" x14ac:dyDescent="0.45">
      <c r="A1254" s="3"/>
      <c r="B1254" s="13"/>
    </row>
    <row r="1255" spans="1:2" x14ac:dyDescent="0.45">
      <c r="A1255" s="3"/>
      <c r="B1255" s="13"/>
    </row>
    <row r="1256" spans="1:2" x14ac:dyDescent="0.45">
      <c r="A1256" s="3"/>
      <c r="B1256" s="13"/>
    </row>
    <row r="1257" spans="1:2" x14ac:dyDescent="0.45">
      <c r="A1257" s="3"/>
      <c r="B1257" s="13"/>
    </row>
    <row r="1258" spans="1:2" x14ac:dyDescent="0.45">
      <c r="A1258" s="3"/>
      <c r="B1258" s="13"/>
    </row>
    <row r="1259" spans="1:2" x14ac:dyDescent="0.45">
      <c r="A1259" s="3"/>
      <c r="B1259" s="13"/>
    </row>
    <row r="1260" spans="1:2" x14ac:dyDescent="0.45">
      <c r="A1260" s="3"/>
      <c r="B1260" s="13"/>
    </row>
    <row r="1261" spans="1:2" x14ac:dyDescent="0.45">
      <c r="A1261" s="3"/>
      <c r="B1261" s="13"/>
    </row>
    <row r="1262" spans="1:2" x14ac:dyDescent="0.45">
      <c r="A1262" s="3"/>
      <c r="B1262" s="13"/>
    </row>
    <row r="1263" spans="1:2" x14ac:dyDescent="0.45">
      <c r="A1263" s="3"/>
      <c r="B1263" s="13"/>
    </row>
    <row r="1264" spans="1:2" x14ac:dyDescent="0.45">
      <c r="A1264" s="3"/>
      <c r="B1264" s="13"/>
    </row>
    <row r="1265" spans="1:1" x14ac:dyDescent="0.45">
      <c r="A1265" s="3"/>
    </row>
    <row r="1266" spans="1:1" x14ac:dyDescent="0.45">
      <c r="A1266" s="3"/>
    </row>
    <row r="1267" spans="1:1" x14ac:dyDescent="0.45">
      <c r="A1267" s="3"/>
    </row>
    <row r="1268" spans="1:1" x14ac:dyDescent="0.45">
      <c r="A1268" s="3"/>
    </row>
    <row r="1269" spans="1:1" x14ac:dyDescent="0.45">
      <c r="A1269" s="3"/>
    </row>
    <row r="1270" spans="1:1" x14ac:dyDescent="0.45">
      <c r="A1270" s="3"/>
    </row>
    <row r="1271" spans="1:1" x14ac:dyDescent="0.45">
      <c r="A1271" s="3"/>
    </row>
    <row r="1272" spans="1:1" x14ac:dyDescent="0.45">
      <c r="A1272" s="3"/>
    </row>
    <row r="1273" spans="1:1" x14ac:dyDescent="0.45">
      <c r="A1273" s="3"/>
    </row>
    <row r="1274" spans="1:1" x14ac:dyDescent="0.45">
      <c r="A1274" s="3"/>
    </row>
    <row r="1275" spans="1:1" x14ac:dyDescent="0.45">
      <c r="A1275" s="3"/>
    </row>
    <row r="1276" spans="1:1" x14ac:dyDescent="0.45">
      <c r="A1276" s="3"/>
    </row>
    <row r="1277" spans="1:1" x14ac:dyDescent="0.45">
      <c r="A1277" s="3"/>
    </row>
    <row r="1278" spans="1:1" x14ac:dyDescent="0.45">
      <c r="A1278" s="3"/>
    </row>
    <row r="1279" spans="1:1" x14ac:dyDescent="0.45">
      <c r="A1279" s="3"/>
    </row>
    <row r="1280" spans="1:1" x14ac:dyDescent="0.45">
      <c r="A1280" s="3"/>
    </row>
    <row r="1281" spans="1:1" x14ac:dyDescent="0.45">
      <c r="A1281" s="3"/>
    </row>
    <row r="1282" spans="1:1" x14ac:dyDescent="0.45">
      <c r="A1282" s="3"/>
    </row>
    <row r="1283" spans="1:1" x14ac:dyDescent="0.45">
      <c r="A1283" s="3"/>
    </row>
    <row r="1284" spans="1:1" x14ac:dyDescent="0.45">
      <c r="A1284" s="3"/>
    </row>
    <row r="1285" spans="1:1" x14ac:dyDescent="0.45">
      <c r="A1285" s="3"/>
    </row>
    <row r="1286" spans="1:1" x14ac:dyDescent="0.45">
      <c r="A1286" s="3"/>
    </row>
    <row r="1287" spans="1:1" x14ac:dyDescent="0.45">
      <c r="A1287" s="3"/>
    </row>
    <row r="1288" spans="1:1" x14ac:dyDescent="0.45">
      <c r="A1288" s="3"/>
    </row>
    <row r="1289" spans="1:1" x14ac:dyDescent="0.45">
      <c r="A1289" s="3"/>
    </row>
    <row r="1290" spans="1:1" x14ac:dyDescent="0.45">
      <c r="A1290" s="3"/>
    </row>
    <row r="1291" spans="1:1" x14ac:dyDescent="0.45">
      <c r="A1291" s="3"/>
    </row>
    <row r="1292" spans="1:1" x14ac:dyDescent="0.45">
      <c r="A1292" s="3"/>
    </row>
    <row r="1293" spans="1:1" x14ac:dyDescent="0.45">
      <c r="A1293" s="3"/>
    </row>
    <row r="1294" spans="1:1" x14ac:dyDescent="0.45">
      <c r="A1294" s="3"/>
    </row>
    <row r="1295" spans="1:1" x14ac:dyDescent="0.45">
      <c r="A1295" s="3"/>
    </row>
    <row r="1296" spans="1:1" x14ac:dyDescent="0.45">
      <c r="A1296" s="3"/>
    </row>
    <row r="1297" spans="1:1" x14ac:dyDescent="0.45">
      <c r="A1297" s="3"/>
    </row>
    <row r="1298" spans="1:1" x14ac:dyDescent="0.45">
      <c r="A1298" s="3"/>
    </row>
    <row r="1299" spans="1:1" x14ac:dyDescent="0.45">
      <c r="A1299" s="3"/>
    </row>
    <row r="1300" spans="1:1" x14ac:dyDescent="0.45">
      <c r="A1300" s="3"/>
    </row>
    <row r="1301" spans="1:1" x14ac:dyDescent="0.45">
      <c r="A1301" s="3"/>
    </row>
    <row r="1302" spans="1:1" x14ac:dyDescent="0.45">
      <c r="A1302" s="3"/>
    </row>
    <row r="1303" spans="1:1" x14ac:dyDescent="0.45">
      <c r="A1303" s="3"/>
    </row>
    <row r="1304" spans="1:1" x14ac:dyDescent="0.45">
      <c r="A1304" s="3"/>
    </row>
    <row r="1305" spans="1:1" x14ac:dyDescent="0.45">
      <c r="A1305" s="3"/>
    </row>
    <row r="1306" spans="1:1" x14ac:dyDescent="0.45">
      <c r="A1306" s="3"/>
    </row>
    <row r="1307" spans="1:1" x14ac:dyDescent="0.45">
      <c r="A1307" s="3"/>
    </row>
    <row r="1308" spans="1:1" x14ac:dyDescent="0.45">
      <c r="A1308" s="3"/>
    </row>
    <row r="1309" spans="1:1" x14ac:dyDescent="0.45">
      <c r="A1309" s="3"/>
    </row>
    <row r="1310" spans="1:1" x14ac:dyDescent="0.45">
      <c r="A1310" s="3"/>
    </row>
    <row r="1311" spans="1:1" x14ac:dyDescent="0.45">
      <c r="A1311" s="3"/>
    </row>
    <row r="1312" spans="1:1" x14ac:dyDescent="0.45">
      <c r="A1312" s="3"/>
    </row>
    <row r="1313" spans="1:1" x14ac:dyDescent="0.45">
      <c r="A1313" s="3"/>
    </row>
    <row r="1314" spans="1:1" x14ac:dyDescent="0.45">
      <c r="A1314" s="3"/>
    </row>
    <row r="1315" spans="1:1" x14ac:dyDescent="0.45">
      <c r="A1315" s="3"/>
    </row>
    <row r="1316" spans="1:1" x14ac:dyDescent="0.45">
      <c r="A1316" s="3"/>
    </row>
    <row r="1317" spans="1:1" x14ac:dyDescent="0.45">
      <c r="A1317" s="3"/>
    </row>
    <row r="1318" spans="1:1" x14ac:dyDescent="0.45">
      <c r="A1318" s="3"/>
    </row>
    <row r="1319" spans="1:1" x14ac:dyDescent="0.45">
      <c r="A1319" s="3"/>
    </row>
    <row r="1320" spans="1:1" x14ac:dyDescent="0.45">
      <c r="A1320" s="3"/>
    </row>
    <row r="1321" spans="1:1" x14ac:dyDescent="0.45">
      <c r="A1321" s="3"/>
    </row>
    <row r="1322" spans="1:1" x14ac:dyDescent="0.45">
      <c r="A1322" s="3"/>
    </row>
    <row r="1323" spans="1:1" x14ac:dyDescent="0.45">
      <c r="A1323" s="3"/>
    </row>
    <row r="1324" spans="1:1" x14ac:dyDescent="0.45">
      <c r="A1324" s="3"/>
    </row>
    <row r="1325" spans="1:1" x14ac:dyDescent="0.45">
      <c r="A1325" s="3"/>
    </row>
    <row r="1326" spans="1:1" x14ac:dyDescent="0.45">
      <c r="A1326" s="3"/>
    </row>
    <row r="1327" spans="1:1" x14ac:dyDescent="0.45">
      <c r="A1327" s="3"/>
    </row>
    <row r="1328" spans="1:1" x14ac:dyDescent="0.45">
      <c r="A1328" s="3"/>
    </row>
    <row r="1329" spans="1:1" x14ac:dyDescent="0.45">
      <c r="A1329" s="3"/>
    </row>
    <row r="1330" spans="1:1" x14ac:dyDescent="0.45">
      <c r="A1330" s="3"/>
    </row>
    <row r="1331" spans="1:1" x14ac:dyDescent="0.45">
      <c r="A1331" s="3"/>
    </row>
    <row r="1332" spans="1:1" x14ac:dyDescent="0.45">
      <c r="A1332" s="3"/>
    </row>
    <row r="1333" spans="1:1" x14ac:dyDescent="0.45">
      <c r="A1333" s="3"/>
    </row>
    <row r="1334" spans="1:1" x14ac:dyDescent="0.45">
      <c r="A1334" s="3"/>
    </row>
    <row r="1335" spans="1:1" x14ac:dyDescent="0.45">
      <c r="A1335" s="3"/>
    </row>
    <row r="1336" spans="1:1" x14ac:dyDescent="0.45">
      <c r="A1336" s="3"/>
    </row>
    <row r="1337" spans="1:1" x14ac:dyDescent="0.45">
      <c r="A1337" s="3"/>
    </row>
    <row r="1338" spans="1:1" x14ac:dyDescent="0.45">
      <c r="A1338" s="3"/>
    </row>
    <row r="1339" spans="1:1" x14ac:dyDescent="0.45">
      <c r="A1339" s="3"/>
    </row>
    <row r="1340" spans="1:1" x14ac:dyDescent="0.45">
      <c r="A1340" s="3"/>
    </row>
    <row r="1341" spans="1:1" x14ac:dyDescent="0.45">
      <c r="A1341" s="3"/>
    </row>
    <row r="1342" spans="1:1" x14ac:dyDescent="0.45">
      <c r="A1342" s="3"/>
    </row>
    <row r="1343" spans="1:1" x14ac:dyDescent="0.45">
      <c r="A1343" s="3"/>
    </row>
    <row r="1344" spans="1:1" x14ac:dyDescent="0.45">
      <c r="A1344" s="3"/>
    </row>
    <row r="1345" spans="1:1" x14ac:dyDescent="0.45">
      <c r="A1345" s="3"/>
    </row>
    <row r="1346" spans="1:1" x14ac:dyDescent="0.45">
      <c r="A1346" s="3"/>
    </row>
    <row r="1347" spans="1:1" x14ac:dyDescent="0.45">
      <c r="A1347" s="3"/>
    </row>
    <row r="1348" spans="1:1" x14ac:dyDescent="0.45">
      <c r="A1348" s="3"/>
    </row>
    <row r="1349" spans="1:1" x14ac:dyDescent="0.45">
      <c r="A1349" s="3"/>
    </row>
    <row r="1350" spans="1:1" x14ac:dyDescent="0.45">
      <c r="A1350" s="3"/>
    </row>
    <row r="1351" spans="1:1" x14ac:dyDescent="0.45">
      <c r="A1351" s="3"/>
    </row>
    <row r="1352" spans="1:1" x14ac:dyDescent="0.45">
      <c r="A1352" s="3"/>
    </row>
    <row r="1353" spans="1:1" x14ac:dyDescent="0.45">
      <c r="A1353" s="3"/>
    </row>
    <row r="1354" spans="1:1" x14ac:dyDescent="0.45">
      <c r="A1354" s="3"/>
    </row>
    <row r="1355" spans="1:1" x14ac:dyDescent="0.45">
      <c r="A1355" s="3"/>
    </row>
    <row r="1356" spans="1:1" x14ac:dyDescent="0.45">
      <c r="A1356" s="3"/>
    </row>
    <row r="1357" spans="1:1" x14ac:dyDescent="0.45">
      <c r="A1357" s="3"/>
    </row>
    <row r="1358" spans="1:1" x14ac:dyDescent="0.45">
      <c r="A1358" s="3"/>
    </row>
    <row r="1359" spans="1:1" x14ac:dyDescent="0.45">
      <c r="A1359" s="3"/>
    </row>
    <row r="1360" spans="1:1" x14ac:dyDescent="0.45">
      <c r="A1360" s="3"/>
    </row>
    <row r="1361" spans="1:1" x14ac:dyDescent="0.45">
      <c r="A1361" s="3"/>
    </row>
    <row r="1362" spans="1:1" x14ac:dyDescent="0.45">
      <c r="A1362" s="3"/>
    </row>
    <row r="1363" spans="1:1" x14ac:dyDescent="0.45">
      <c r="A1363" s="3"/>
    </row>
    <row r="1364" spans="1:1" x14ac:dyDescent="0.45">
      <c r="A1364" s="3"/>
    </row>
    <row r="1365" spans="1:1" x14ac:dyDescent="0.45">
      <c r="A1365" s="3"/>
    </row>
    <row r="1366" spans="1:1" x14ac:dyDescent="0.45">
      <c r="A1366" s="3"/>
    </row>
    <row r="1367" spans="1:1" x14ac:dyDescent="0.45">
      <c r="A1367" s="3"/>
    </row>
    <row r="1368" spans="1:1" x14ac:dyDescent="0.45">
      <c r="A1368" s="3"/>
    </row>
    <row r="1369" spans="1:1" x14ac:dyDescent="0.45">
      <c r="A1369" s="3"/>
    </row>
    <row r="1370" spans="1:1" x14ac:dyDescent="0.45">
      <c r="A1370" s="3"/>
    </row>
    <row r="1371" spans="1:1" x14ac:dyDescent="0.45">
      <c r="A1371" s="3"/>
    </row>
    <row r="1372" spans="1:1" x14ac:dyDescent="0.45">
      <c r="A1372" s="3"/>
    </row>
    <row r="1373" spans="1:1" x14ac:dyDescent="0.45">
      <c r="A1373" s="3"/>
    </row>
    <row r="1374" spans="1:1" x14ac:dyDescent="0.45">
      <c r="A1374" s="3"/>
    </row>
    <row r="1375" spans="1:1" x14ac:dyDescent="0.45">
      <c r="A1375" s="3"/>
    </row>
    <row r="1376" spans="1:1" x14ac:dyDescent="0.45">
      <c r="A1376" s="3"/>
    </row>
    <row r="1377" spans="1:1" x14ac:dyDescent="0.45">
      <c r="A1377" s="3"/>
    </row>
    <row r="1378" spans="1:1" x14ac:dyDescent="0.45">
      <c r="A1378" s="3"/>
    </row>
    <row r="1379" spans="1:1" x14ac:dyDescent="0.45">
      <c r="A1379" s="3"/>
    </row>
    <row r="1380" spans="1:1" x14ac:dyDescent="0.45">
      <c r="A1380" s="3"/>
    </row>
    <row r="1381" spans="1:1" x14ac:dyDescent="0.45">
      <c r="A1381" s="3"/>
    </row>
    <row r="1382" spans="1:1" x14ac:dyDescent="0.45">
      <c r="A1382" s="3"/>
    </row>
    <row r="1383" spans="1:1" x14ac:dyDescent="0.45">
      <c r="A1383" s="3"/>
    </row>
    <row r="1384" spans="1:1" x14ac:dyDescent="0.45">
      <c r="A1384" s="3"/>
    </row>
    <row r="1385" spans="1:1" x14ac:dyDescent="0.45">
      <c r="A1385" s="3"/>
    </row>
    <row r="1386" spans="1:1" x14ac:dyDescent="0.45">
      <c r="A1386" s="3"/>
    </row>
    <row r="1387" spans="1:1" x14ac:dyDescent="0.45">
      <c r="A1387" s="3"/>
    </row>
    <row r="1388" spans="1:1" x14ac:dyDescent="0.45">
      <c r="A1388" s="3"/>
    </row>
    <row r="1389" spans="1:1" x14ac:dyDescent="0.45">
      <c r="A1389" s="3"/>
    </row>
    <row r="1390" spans="1:1" x14ac:dyDescent="0.45">
      <c r="A1390" s="3"/>
    </row>
    <row r="1391" spans="1:1" x14ac:dyDescent="0.45">
      <c r="A1391" s="3"/>
    </row>
    <row r="1392" spans="1:1" x14ac:dyDescent="0.45">
      <c r="A1392" s="3"/>
    </row>
    <row r="1393" spans="1:1" x14ac:dyDescent="0.45">
      <c r="A1393" s="3"/>
    </row>
    <row r="1394" spans="1:1" x14ac:dyDescent="0.45">
      <c r="A1394" s="3"/>
    </row>
    <row r="1395" spans="1:1" x14ac:dyDescent="0.45">
      <c r="A1395" s="3"/>
    </row>
    <row r="1396" spans="1:1" x14ac:dyDescent="0.45">
      <c r="A1396" s="3"/>
    </row>
    <row r="1397" spans="1:1" x14ac:dyDescent="0.45">
      <c r="A1397" s="3"/>
    </row>
    <row r="1398" spans="1:1" x14ac:dyDescent="0.45">
      <c r="A1398" s="3"/>
    </row>
    <row r="1399" spans="1:1" x14ac:dyDescent="0.45">
      <c r="A1399" s="3"/>
    </row>
    <row r="1400" spans="1:1" x14ac:dyDescent="0.45">
      <c r="A1400" s="3"/>
    </row>
    <row r="1401" spans="1:1" x14ac:dyDescent="0.45">
      <c r="A1401" s="3"/>
    </row>
    <row r="1402" spans="1:1" x14ac:dyDescent="0.45">
      <c r="A1402" s="3"/>
    </row>
    <row r="1403" spans="1:1" x14ac:dyDescent="0.45">
      <c r="A1403" s="3"/>
    </row>
    <row r="1404" spans="1:1" x14ac:dyDescent="0.45">
      <c r="A1404" s="3"/>
    </row>
    <row r="1405" spans="1:1" x14ac:dyDescent="0.45">
      <c r="A1405" s="3"/>
    </row>
    <row r="1406" spans="1:1" x14ac:dyDescent="0.45">
      <c r="A1406" s="3"/>
    </row>
    <row r="1407" spans="1:1" x14ac:dyDescent="0.45">
      <c r="A1407" s="3"/>
    </row>
    <row r="1408" spans="1:1" x14ac:dyDescent="0.45">
      <c r="A1408" s="3"/>
    </row>
    <row r="1409" spans="1:1" x14ac:dyDescent="0.45">
      <c r="A1409" s="3"/>
    </row>
    <row r="1410" spans="1:1" x14ac:dyDescent="0.45">
      <c r="A1410" s="3"/>
    </row>
    <row r="1411" spans="1:1" x14ac:dyDescent="0.45">
      <c r="A1411" s="3"/>
    </row>
    <row r="1412" spans="1:1" x14ac:dyDescent="0.45">
      <c r="A1412" s="3"/>
    </row>
    <row r="1413" spans="1:1" x14ac:dyDescent="0.45">
      <c r="A1413" s="3"/>
    </row>
    <row r="1414" spans="1:1" x14ac:dyDescent="0.45">
      <c r="A1414" s="3"/>
    </row>
    <row r="1415" spans="1:1" x14ac:dyDescent="0.45">
      <c r="A1415" s="3"/>
    </row>
    <row r="1416" spans="1:1" x14ac:dyDescent="0.45">
      <c r="A1416" s="3"/>
    </row>
    <row r="1417" spans="1:1" x14ac:dyDescent="0.45">
      <c r="A1417" s="3"/>
    </row>
    <row r="1418" spans="1:1" x14ac:dyDescent="0.45">
      <c r="A1418" s="3"/>
    </row>
    <row r="1419" spans="1:1" x14ac:dyDescent="0.45">
      <c r="A1419" s="3"/>
    </row>
    <row r="1420" spans="1:1" x14ac:dyDescent="0.45">
      <c r="A1420" s="3"/>
    </row>
    <row r="1421" spans="1:1" x14ac:dyDescent="0.45">
      <c r="A1421" s="3"/>
    </row>
    <row r="1422" spans="1:1" x14ac:dyDescent="0.45">
      <c r="A1422" s="3"/>
    </row>
    <row r="1423" spans="1:1" x14ac:dyDescent="0.45">
      <c r="A1423" s="3"/>
    </row>
    <row r="1424" spans="1:1" x14ac:dyDescent="0.45">
      <c r="A1424" s="3"/>
    </row>
    <row r="1425" spans="1:1" x14ac:dyDescent="0.45">
      <c r="A1425" s="3"/>
    </row>
    <row r="1426" spans="1:1" x14ac:dyDescent="0.45">
      <c r="A1426" s="3"/>
    </row>
    <row r="1427" spans="1:1" x14ac:dyDescent="0.45">
      <c r="A1427" s="3"/>
    </row>
    <row r="1428" spans="1:1" x14ac:dyDescent="0.45">
      <c r="A1428" s="3"/>
    </row>
    <row r="1429" spans="1:1" x14ac:dyDescent="0.45">
      <c r="A1429" s="3"/>
    </row>
    <row r="1430" spans="1:1" x14ac:dyDescent="0.45">
      <c r="A1430" s="3"/>
    </row>
    <row r="1431" spans="1:1" x14ac:dyDescent="0.45">
      <c r="A1431" s="3"/>
    </row>
    <row r="1432" spans="1:1" x14ac:dyDescent="0.45">
      <c r="A1432" s="3"/>
    </row>
    <row r="1433" spans="1:1" x14ac:dyDescent="0.45">
      <c r="A1433" s="3"/>
    </row>
    <row r="1434" spans="1:1" x14ac:dyDescent="0.45">
      <c r="A1434" s="3"/>
    </row>
    <row r="1435" spans="1:1" x14ac:dyDescent="0.45">
      <c r="A1435" s="3"/>
    </row>
    <row r="1436" spans="1:1" x14ac:dyDescent="0.45">
      <c r="A1436" s="3"/>
    </row>
    <row r="1437" spans="1:1" x14ac:dyDescent="0.45">
      <c r="A1437" s="3"/>
    </row>
    <row r="1438" spans="1:1" x14ac:dyDescent="0.45">
      <c r="A1438" s="3"/>
    </row>
    <row r="1439" spans="1:1" x14ac:dyDescent="0.45">
      <c r="A1439" s="3"/>
    </row>
    <row r="1440" spans="1:1" x14ac:dyDescent="0.45">
      <c r="A1440" s="3"/>
    </row>
    <row r="1441" spans="1:1" x14ac:dyDescent="0.45">
      <c r="A1441" s="3"/>
    </row>
    <row r="1442" spans="1:1" x14ac:dyDescent="0.45">
      <c r="A1442" s="3"/>
    </row>
    <row r="1443" spans="1:1" x14ac:dyDescent="0.45">
      <c r="A1443" s="3"/>
    </row>
    <row r="1444" spans="1:1" x14ac:dyDescent="0.45">
      <c r="A1444" s="3"/>
    </row>
    <row r="1445" spans="1:1" x14ac:dyDescent="0.45">
      <c r="A1445" s="3"/>
    </row>
    <row r="1446" spans="1:1" x14ac:dyDescent="0.45">
      <c r="A1446" s="3"/>
    </row>
    <row r="1447" spans="1:1" x14ac:dyDescent="0.45">
      <c r="A1447" s="3"/>
    </row>
    <row r="1448" spans="1:1" x14ac:dyDescent="0.45">
      <c r="A1448" s="3"/>
    </row>
    <row r="1449" spans="1:1" x14ac:dyDescent="0.45">
      <c r="A1449" s="3"/>
    </row>
    <row r="1450" spans="1:1" x14ac:dyDescent="0.45">
      <c r="A1450" s="3"/>
    </row>
    <row r="1451" spans="1:1" x14ac:dyDescent="0.45">
      <c r="A1451" s="3"/>
    </row>
    <row r="1452" spans="1:1" x14ac:dyDescent="0.45">
      <c r="A1452" s="3"/>
    </row>
    <row r="1453" spans="1:1" x14ac:dyDescent="0.45">
      <c r="A1453" s="3"/>
    </row>
    <row r="1454" spans="1:1" x14ac:dyDescent="0.45">
      <c r="A1454" s="3"/>
    </row>
    <row r="1455" spans="1:1" x14ac:dyDescent="0.45">
      <c r="A1455" s="3"/>
    </row>
    <row r="1456" spans="1:1" x14ac:dyDescent="0.45">
      <c r="A1456" s="3"/>
    </row>
    <row r="1457" spans="1:1" x14ac:dyDescent="0.45">
      <c r="A1457" s="3"/>
    </row>
    <row r="1458" spans="1:1" x14ac:dyDescent="0.45">
      <c r="A1458" s="3"/>
    </row>
    <row r="1459" spans="1:1" x14ac:dyDescent="0.45">
      <c r="A1459" s="3"/>
    </row>
    <row r="1460" spans="1:1" x14ac:dyDescent="0.45">
      <c r="A1460" s="3"/>
    </row>
    <row r="1461" spans="1:1" x14ac:dyDescent="0.45">
      <c r="A1461" s="3"/>
    </row>
    <row r="1462" spans="1:1" x14ac:dyDescent="0.45">
      <c r="A1462" s="3"/>
    </row>
    <row r="1463" spans="1:1" x14ac:dyDescent="0.45">
      <c r="A1463" s="3"/>
    </row>
    <row r="1464" spans="1:1" x14ac:dyDescent="0.45">
      <c r="A1464" s="3"/>
    </row>
    <row r="1465" spans="1:1" x14ac:dyDescent="0.45">
      <c r="A1465" s="3"/>
    </row>
    <row r="1466" spans="1:1" x14ac:dyDescent="0.45">
      <c r="A1466" s="3"/>
    </row>
    <row r="1467" spans="1:1" x14ac:dyDescent="0.45">
      <c r="A1467" s="3"/>
    </row>
    <row r="1468" spans="1:1" x14ac:dyDescent="0.45">
      <c r="A1468" s="3"/>
    </row>
    <row r="1469" spans="1:1" x14ac:dyDescent="0.45">
      <c r="A1469" s="3"/>
    </row>
    <row r="1470" spans="1:1" x14ac:dyDescent="0.45">
      <c r="A1470" s="3"/>
    </row>
    <row r="1471" spans="1:1" x14ac:dyDescent="0.45">
      <c r="A1471" s="3"/>
    </row>
    <row r="1472" spans="1:1" x14ac:dyDescent="0.45">
      <c r="A1472" s="3"/>
    </row>
    <row r="1473" spans="1:1" x14ac:dyDescent="0.45">
      <c r="A1473" s="3"/>
    </row>
    <row r="1474" spans="1:1" x14ac:dyDescent="0.45">
      <c r="A1474" s="3"/>
    </row>
    <row r="1475" spans="1:1" x14ac:dyDescent="0.45">
      <c r="A1475" s="3"/>
    </row>
    <row r="1476" spans="1:1" x14ac:dyDescent="0.45">
      <c r="A1476" s="3"/>
    </row>
    <row r="1477" spans="1:1" x14ac:dyDescent="0.45">
      <c r="A1477" s="3"/>
    </row>
    <row r="1478" spans="1:1" x14ac:dyDescent="0.45">
      <c r="A1478" s="3"/>
    </row>
    <row r="1479" spans="1:1" x14ac:dyDescent="0.45">
      <c r="A1479" s="3"/>
    </row>
    <row r="1480" spans="1:1" x14ac:dyDescent="0.45">
      <c r="A1480" s="3"/>
    </row>
    <row r="1481" spans="1:1" x14ac:dyDescent="0.45">
      <c r="A1481" s="3"/>
    </row>
    <row r="1482" spans="1:1" x14ac:dyDescent="0.45">
      <c r="A1482" s="3"/>
    </row>
    <row r="1483" spans="1:1" x14ac:dyDescent="0.45">
      <c r="A1483" s="3"/>
    </row>
    <row r="1484" spans="1:1" x14ac:dyDescent="0.45">
      <c r="A1484" s="3"/>
    </row>
    <row r="1485" spans="1:1" x14ac:dyDescent="0.45">
      <c r="A1485" s="3"/>
    </row>
    <row r="1486" spans="1:1" x14ac:dyDescent="0.45">
      <c r="A1486" s="3"/>
    </row>
    <row r="1487" spans="1:1" x14ac:dyDescent="0.45">
      <c r="A1487" s="3"/>
    </row>
    <row r="1488" spans="1:1" x14ac:dyDescent="0.45">
      <c r="A1488" s="3"/>
    </row>
    <row r="1489" spans="1:1" x14ac:dyDescent="0.45">
      <c r="A1489" s="3"/>
    </row>
    <row r="1490" spans="1:1" x14ac:dyDescent="0.45">
      <c r="A1490" s="3"/>
    </row>
    <row r="1491" spans="1:1" x14ac:dyDescent="0.45">
      <c r="A1491" s="3"/>
    </row>
    <row r="1492" spans="1:1" x14ac:dyDescent="0.45">
      <c r="A1492" s="3"/>
    </row>
    <row r="1493" spans="1:1" x14ac:dyDescent="0.45">
      <c r="A1493" s="3"/>
    </row>
    <row r="1494" spans="1:1" x14ac:dyDescent="0.45">
      <c r="A1494" s="3"/>
    </row>
    <row r="1495" spans="1:1" x14ac:dyDescent="0.45">
      <c r="A1495" s="3"/>
    </row>
    <row r="1496" spans="1:1" x14ac:dyDescent="0.45">
      <c r="A1496" s="3"/>
    </row>
    <row r="1497" spans="1:1" x14ac:dyDescent="0.45">
      <c r="A1497" s="3"/>
    </row>
    <row r="1498" spans="1:1" x14ac:dyDescent="0.45">
      <c r="A1498" s="3"/>
    </row>
    <row r="1499" spans="1:1" x14ac:dyDescent="0.45">
      <c r="A1499" s="3"/>
    </row>
    <row r="1500" spans="1:1" x14ac:dyDescent="0.45">
      <c r="A1500" s="3"/>
    </row>
    <row r="1501" spans="1:1" x14ac:dyDescent="0.45">
      <c r="A1501" s="3"/>
    </row>
    <row r="1502" spans="1:1" x14ac:dyDescent="0.45">
      <c r="A1502" s="3"/>
    </row>
    <row r="1503" spans="1:1" x14ac:dyDescent="0.45">
      <c r="A1503" s="3"/>
    </row>
    <row r="1504" spans="1:1" x14ac:dyDescent="0.45">
      <c r="A1504" s="3"/>
    </row>
    <row r="1505" spans="1:1" x14ac:dyDescent="0.45">
      <c r="A1505" s="3"/>
    </row>
    <row r="1506" spans="1:1" x14ac:dyDescent="0.45">
      <c r="A1506" s="3"/>
    </row>
    <row r="1507" spans="1:1" x14ac:dyDescent="0.45">
      <c r="A1507" s="3"/>
    </row>
    <row r="1508" spans="1:1" x14ac:dyDescent="0.45">
      <c r="A1508" s="3"/>
    </row>
    <row r="1509" spans="1:1" x14ac:dyDescent="0.45">
      <c r="A1509" s="3"/>
    </row>
    <row r="1510" spans="1:1" x14ac:dyDescent="0.45">
      <c r="A1510" s="3"/>
    </row>
    <row r="1511" spans="1:1" x14ac:dyDescent="0.45">
      <c r="A1511" s="3"/>
    </row>
    <row r="1512" spans="1:1" x14ac:dyDescent="0.45">
      <c r="A1512" s="3"/>
    </row>
    <row r="1513" spans="1:1" x14ac:dyDescent="0.45">
      <c r="A1513" s="3"/>
    </row>
    <row r="1514" spans="1:1" x14ac:dyDescent="0.45">
      <c r="A1514" s="3"/>
    </row>
    <row r="1515" spans="1:1" x14ac:dyDescent="0.45">
      <c r="A1515" s="3"/>
    </row>
    <row r="1516" spans="1:1" x14ac:dyDescent="0.45">
      <c r="A1516" s="3"/>
    </row>
    <row r="1517" spans="1:1" x14ac:dyDescent="0.45">
      <c r="A1517" s="3"/>
    </row>
    <row r="1518" spans="1:1" x14ac:dyDescent="0.45">
      <c r="A1518" s="3"/>
    </row>
    <row r="1519" spans="1:1" x14ac:dyDescent="0.45">
      <c r="A1519" s="3"/>
    </row>
    <row r="1520" spans="1:1" x14ac:dyDescent="0.45">
      <c r="A1520" s="3"/>
    </row>
    <row r="1521" spans="1:1" x14ac:dyDescent="0.45">
      <c r="A1521" s="3"/>
    </row>
    <row r="1522" spans="1:1" x14ac:dyDescent="0.45">
      <c r="A1522" s="3"/>
    </row>
    <row r="1523" spans="1:1" x14ac:dyDescent="0.45">
      <c r="A1523" s="3"/>
    </row>
    <row r="1524" spans="1:1" x14ac:dyDescent="0.45">
      <c r="A1524" s="3"/>
    </row>
    <row r="1525" spans="1:1" x14ac:dyDescent="0.45">
      <c r="A1525" s="3"/>
    </row>
    <row r="1526" spans="1:1" x14ac:dyDescent="0.45">
      <c r="A1526" s="3"/>
    </row>
    <row r="1527" spans="1:1" x14ac:dyDescent="0.45">
      <c r="A1527" s="3"/>
    </row>
    <row r="1528" spans="1:1" x14ac:dyDescent="0.45">
      <c r="A1528" s="3"/>
    </row>
    <row r="1529" spans="1:1" x14ac:dyDescent="0.45">
      <c r="A1529" s="3"/>
    </row>
    <row r="1530" spans="1:1" x14ac:dyDescent="0.45">
      <c r="A1530" s="3"/>
    </row>
    <row r="1531" spans="1:1" x14ac:dyDescent="0.45">
      <c r="A1531" s="3"/>
    </row>
    <row r="1532" spans="1:1" x14ac:dyDescent="0.45">
      <c r="A1532" s="3"/>
    </row>
    <row r="1533" spans="1:1" x14ac:dyDescent="0.45">
      <c r="A1533" s="3"/>
    </row>
    <row r="1534" spans="1:1" x14ac:dyDescent="0.45">
      <c r="A1534" s="3"/>
    </row>
    <row r="1535" spans="1:1" x14ac:dyDescent="0.45">
      <c r="A1535" s="3"/>
    </row>
    <row r="1536" spans="1:1" x14ac:dyDescent="0.45">
      <c r="A1536" s="3"/>
    </row>
    <row r="1537" spans="1:1" x14ac:dyDescent="0.45">
      <c r="A1537" s="3"/>
    </row>
    <row r="1538" spans="1:1" x14ac:dyDescent="0.45">
      <c r="A1538" s="3"/>
    </row>
    <row r="1539" spans="1:1" x14ac:dyDescent="0.45">
      <c r="A1539" s="3"/>
    </row>
    <row r="1540" spans="1:1" x14ac:dyDescent="0.45">
      <c r="A1540" s="3"/>
    </row>
    <row r="1541" spans="1:1" x14ac:dyDescent="0.45">
      <c r="A1541" s="3"/>
    </row>
    <row r="1542" spans="1:1" x14ac:dyDescent="0.45">
      <c r="A1542" s="3"/>
    </row>
    <row r="1543" spans="1:1" x14ac:dyDescent="0.45">
      <c r="A1543" s="3"/>
    </row>
    <row r="1544" spans="1:1" x14ac:dyDescent="0.45">
      <c r="A1544" s="3"/>
    </row>
    <row r="1545" spans="1:1" x14ac:dyDescent="0.45">
      <c r="A1545" s="3"/>
    </row>
    <row r="1546" spans="1:1" x14ac:dyDescent="0.45">
      <c r="A1546" s="3"/>
    </row>
    <row r="1547" spans="1:1" x14ac:dyDescent="0.45">
      <c r="A1547" s="3"/>
    </row>
    <row r="1548" spans="1:1" x14ac:dyDescent="0.45">
      <c r="A1548" s="3"/>
    </row>
    <row r="1549" spans="1:1" x14ac:dyDescent="0.45">
      <c r="A1549" s="3"/>
    </row>
    <row r="1550" spans="1:1" x14ac:dyDescent="0.45">
      <c r="A1550" s="3"/>
    </row>
    <row r="1551" spans="1:1" x14ac:dyDescent="0.45">
      <c r="A1551" s="3"/>
    </row>
    <row r="1552" spans="1:1" x14ac:dyDescent="0.45">
      <c r="A1552" s="3"/>
    </row>
    <row r="1553" spans="1:1" x14ac:dyDescent="0.45">
      <c r="A1553" s="3"/>
    </row>
    <row r="1554" spans="1:1" x14ac:dyDescent="0.45">
      <c r="A1554" s="3"/>
    </row>
    <row r="1555" spans="1:1" x14ac:dyDescent="0.45">
      <c r="A1555" s="3"/>
    </row>
    <row r="1556" spans="1:1" x14ac:dyDescent="0.45">
      <c r="A1556" s="3"/>
    </row>
    <row r="1557" spans="1:1" x14ac:dyDescent="0.45">
      <c r="A1557" s="3"/>
    </row>
    <row r="1558" spans="1:1" x14ac:dyDescent="0.45">
      <c r="A1558" s="3"/>
    </row>
    <row r="1559" spans="1:1" x14ac:dyDescent="0.45">
      <c r="A1559" s="3"/>
    </row>
    <row r="1560" spans="1:1" x14ac:dyDescent="0.45">
      <c r="A1560" s="3"/>
    </row>
    <row r="1561" spans="1:1" x14ac:dyDescent="0.45">
      <c r="A1561" s="3"/>
    </row>
    <row r="1562" spans="1:1" x14ac:dyDescent="0.45">
      <c r="A1562" s="3"/>
    </row>
    <row r="1563" spans="1:1" x14ac:dyDescent="0.45">
      <c r="A1563" s="3"/>
    </row>
    <row r="1564" spans="1:1" x14ac:dyDescent="0.45">
      <c r="A1564" s="3"/>
    </row>
    <row r="1565" spans="1:1" x14ac:dyDescent="0.45">
      <c r="A1565" s="3"/>
    </row>
    <row r="1566" spans="1:1" x14ac:dyDescent="0.45">
      <c r="A1566" s="3"/>
    </row>
    <row r="1567" spans="1:1" x14ac:dyDescent="0.45">
      <c r="A1567" s="3"/>
    </row>
    <row r="1568" spans="1:1" x14ac:dyDescent="0.45">
      <c r="A1568" s="3"/>
    </row>
    <row r="1569" spans="1:1" x14ac:dyDescent="0.45">
      <c r="A1569" s="3"/>
    </row>
    <row r="1570" spans="1:1" x14ac:dyDescent="0.45">
      <c r="A1570" s="3"/>
    </row>
    <row r="1571" spans="1:1" x14ac:dyDescent="0.45">
      <c r="A1571" s="3"/>
    </row>
    <row r="1572" spans="1:1" x14ac:dyDescent="0.45">
      <c r="A1572" s="3"/>
    </row>
    <row r="1573" spans="1:1" x14ac:dyDescent="0.45">
      <c r="A1573" s="3"/>
    </row>
    <row r="1574" spans="1:1" x14ac:dyDescent="0.45">
      <c r="A1574" s="3"/>
    </row>
    <row r="1575" spans="1:1" x14ac:dyDescent="0.45">
      <c r="A1575" s="3"/>
    </row>
    <row r="1576" spans="1:1" x14ac:dyDescent="0.45">
      <c r="A1576" s="3"/>
    </row>
    <row r="1577" spans="1:1" x14ac:dyDescent="0.45">
      <c r="A1577" s="3"/>
    </row>
    <row r="1578" spans="1:1" x14ac:dyDescent="0.45">
      <c r="A1578" s="3"/>
    </row>
    <row r="1579" spans="1:1" x14ac:dyDescent="0.45">
      <c r="A1579" s="3"/>
    </row>
    <row r="1580" spans="1:1" x14ac:dyDescent="0.45">
      <c r="A1580" s="3"/>
    </row>
    <row r="1581" spans="1:1" x14ac:dyDescent="0.45">
      <c r="A1581" s="3"/>
    </row>
    <row r="1582" spans="1:1" x14ac:dyDescent="0.45">
      <c r="A1582" s="3"/>
    </row>
    <row r="1583" spans="1:1" x14ac:dyDescent="0.45">
      <c r="A1583" s="3"/>
    </row>
    <row r="1584" spans="1:1" x14ac:dyDescent="0.45">
      <c r="A1584" s="3"/>
    </row>
    <row r="1585" spans="1:1" x14ac:dyDescent="0.45">
      <c r="A1585" s="3"/>
    </row>
    <row r="1586" spans="1:1" x14ac:dyDescent="0.45">
      <c r="A1586" s="3"/>
    </row>
    <row r="1587" spans="1:1" x14ac:dyDescent="0.45">
      <c r="A1587" s="3"/>
    </row>
    <row r="1588" spans="1:1" x14ac:dyDescent="0.45">
      <c r="A1588" s="3"/>
    </row>
    <row r="1589" spans="1:1" x14ac:dyDescent="0.45">
      <c r="A1589" s="3"/>
    </row>
    <row r="1590" spans="1:1" x14ac:dyDescent="0.45">
      <c r="A1590" s="3"/>
    </row>
    <row r="1591" spans="1:1" x14ac:dyDescent="0.45">
      <c r="A1591" s="3"/>
    </row>
    <row r="1592" spans="1:1" x14ac:dyDescent="0.45">
      <c r="A1592" s="3"/>
    </row>
    <row r="1593" spans="1:1" x14ac:dyDescent="0.45">
      <c r="A1593" s="3"/>
    </row>
    <row r="1594" spans="1:1" x14ac:dyDescent="0.45">
      <c r="A1594" s="3"/>
    </row>
    <row r="1595" spans="1:1" x14ac:dyDescent="0.45">
      <c r="A1595" s="3"/>
    </row>
    <row r="1596" spans="1:1" x14ac:dyDescent="0.45">
      <c r="A1596" s="3"/>
    </row>
    <row r="1597" spans="1:1" x14ac:dyDescent="0.45">
      <c r="A1597" s="3"/>
    </row>
    <row r="1598" spans="1:1" x14ac:dyDescent="0.45">
      <c r="A1598" s="3"/>
    </row>
    <row r="1599" spans="1:1" x14ac:dyDescent="0.45">
      <c r="A1599" s="3"/>
    </row>
    <row r="1600" spans="1:1" x14ac:dyDescent="0.45">
      <c r="A1600" s="3"/>
    </row>
    <row r="1601" spans="1:1" x14ac:dyDescent="0.45">
      <c r="A1601" s="3"/>
    </row>
    <row r="1602" spans="1:1" x14ac:dyDescent="0.45">
      <c r="A1602" s="3"/>
    </row>
    <row r="1603" spans="1:1" x14ac:dyDescent="0.45">
      <c r="A1603" s="3"/>
    </row>
    <row r="1604" spans="1:1" x14ac:dyDescent="0.45">
      <c r="A1604" s="3"/>
    </row>
    <row r="1605" spans="1:1" x14ac:dyDescent="0.45">
      <c r="A1605" s="3"/>
    </row>
    <row r="1606" spans="1:1" x14ac:dyDescent="0.45">
      <c r="A1606" s="3"/>
    </row>
    <row r="1607" spans="1:1" x14ac:dyDescent="0.45">
      <c r="A1607" s="3"/>
    </row>
    <row r="1608" spans="1:1" x14ac:dyDescent="0.45">
      <c r="A1608" s="3"/>
    </row>
    <row r="1609" spans="1:1" x14ac:dyDescent="0.45">
      <c r="A1609" s="3"/>
    </row>
    <row r="1610" spans="1:1" x14ac:dyDescent="0.45">
      <c r="A1610" s="3"/>
    </row>
    <row r="1611" spans="1:1" x14ac:dyDescent="0.45">
      <c r="A1611" s="3"/>
    </row>
    <row r="1612" spans="1:1" x14ac:dyDescent="0.45">
      <c r="A1612" s="3"/>
    </row>
    <row r="1613" spans="1:1" x14ac:dyDescent="0.45">
      <c r="A1613" s="3"/>
    </row>
    <row r="1614" spans="1:1" x14ac:dyDescent="0.45">
      <c r="A1614" s="3"/>
    </row>
    <row r="1615" spans="1:1" x14ac:dyDescent="0.45">
      <c r="A1615" s="3"/>
    </row>
    <row r="1616" spans="1:1" x14ac:dyDescent="0.45">
      <c r="A1616" s="3"/>
    </row>
    <row r="1617" spans="1:1" x14ac:dyDescent="0.45">
      <c r="A1617" s="3"/>
    </row>
    <row r="1618" spans="1:1" x14ac:dyDescent="0.45">
      <c r="A1618" s="3"/>
    </row>
    <row r="1619" spans="1:1" x14ac:dyDescent="0.45">
      <c r="A1619" s="3"/>
    </row>
    <row r="1620" spans="1:1" x14ac:dyDescent="0.45">
      <c r="A1620" s="3"/>
    </row>
    <row r="1621" spans="1:1" x14ac:dyDescent="0.45">
      <c r="A1621" s="3"/>
    </row>
    <row r="1622" spans="1:1" x14ac:dyDescent="0.45">
      <c r="A1622" s="3"/>
    </row>
    <row r="1623" spans="1:1" x14ac:dyDescent="0.45">
      <c r="A1623" s="3"/>
    </row>
    <row r="1624" spans="1:1" x14ac:dyDescent="0.45">
      <c r="A1624" s="3"/>
    </row>
    <row r="1625" spans="1:1" x14ac:dyDescent="0.45">
      <c r="A1625" s="3"/>
    </row>
    <row r="1626" spans="1:1" x14ac:dyDescent="0.45">
      <c r="A1626" s="3"/>
    </row>
    <row r="1627" spans="1:1" x14ac:dyDescent="0.45">
      <c r="A1627" s="3"/>
    </row>
    <row r="1628" spans="1:1" x14ac:dyDescent="0.45">
      <c r="A1628" s="3"/>
    </row>
    <row r="1629" spans="1:1" x14ac:dyDescent="0.45">
      <c r="A1629" s="3"/>
    </row>
    <row r="1630" spans="1:1" x14ac:dyDescent="0.45">
      <c r="A1630" s="3"/>
    </row>
    <row r="1631" spans="1:1" x14ac:dyDescent="0.45">
      <c r="A1631" s="3"/>
    </row>
    <row r="1632" spans="1:1" x14ac:dyDescent="0.45">
      <c r="A1632" s="3"/>
    </row>
    <row r="1633" spans="1:1" x14ac:dyDescent="0.45">
      <c r="A1633" s="3"/>
    </row>
    <row r="1634" spans="1:1" x14ac:dyDescent="0.45">
      <c r="A1634" s="3"/>
    </row>
    <row r="1635" spans="1:1" x14ac:dyDescent="0.45">
      <c r="A1635" s="3"/>
    </row>
    <row r="1636" spans="1:1" x14ac:dyDescent="0.45">
      <c r="A1636" s="3"/>
    </row>
    <row r="1637" spans="1:1" x14ac:dyDescent="0.45">
      <c r="A1637" s="3"/>
    </row>
    <row r="1638" spans="1:1" x14ac:dyDescent="0.45">
      <c r="A1638" s="3"/>
    </row>
    <row r="1639" spans="1:1" x14ac:dyDescent="0.45">
      <c r="A1639" s="3"/>
    </row>
    <row r="1640" spans="1:1" x14ac:dyDescent="0.45">
      <c r="A1640" s="3"/>
    </row>
    <row r="1641" spans="1:1" x14ac:dyDescent="0.45">
      <c r="A1641" s="3"/>
    </row>
    <row r="1642" spans="1:1" x14ac:dyDescent="0.45">
      <c r="A1642" s="3"/>
    </row>
    <row r="1643" spans="1:1" x14ac:dyDescent="0.45">
      <c r="A1643" s="3"/>
    </row>
    <row r="1644" spans="1:1" x14ac:dyDescent="0.45">
      <c r="A1644" s="3"/>
    </row>
    <row r="1645" spans="1:1" x14ac:dyDescent="0.45">
      <c r="A1645" s="3"/>
    </row>
    <row r="1646" spans="1:1" x14ac:dyDescent="0.45">
      <c r="A1646" s="3"/>
    </row>
    <row r="1647" spans="1:1" x14ac:dyDescent="0.45">
      <c r="A1647" s="3"/>
    </row>
    <row r="1648" spans="1:1" x14ac:dyDescent="0.45">
      <c r="A1648" s="3"/>
    </row>
    <row r="1649" spans="1:1" x14ac:dyDescent="0.45">
      <c r="A1649" s="3"/>
    </row>
    <row r="1650" spans="1:1" x14ac:dyDescent="0.45">
      <c r="A1650" s="3"/>
    </row>
    <row r="1651" spans="1:1" x14ac:dyDescent="0.45">
      <c r="A1651" s="3"/>
    </row>
    <row r="1652" spans="1:1" x14ac:dyDescent="0.45">
      <c r="A1652" s="3"/>
    </row>
    <row r="1653" spans="1:1" x14ac:dyDescent="0.45">
      <c r="A1653" s="3"/>
    </row>
    <row r="1654" spans="1:1" x14ac:dyDescent="0.45">
      <c r="A1654" s="3"/>
    </row>
    <row r="1655" spans="1:1" x14ac:dyDescent="0.45">
      <c r="A1655" s="3"/>
    </row>
    <row r="1656" spans="1:1" x14ac:dyDescent="0.45">
      <c r="A1656" s="3"/>
    </row>
    <row r="1657" spans="1:1" x14ac:dyDescent="0.45">
      <c r="A1657" s="3"/>
    </row>
    <row r="1658" spans="1:1" x14ac:dyDescent="0.45">
      <c r="A1658" s="3"/>
    </row>
    <row r="1659" spans="1:1" x14ac:dyDescent="0.45">
      <c r="A1659" s="3"/>
    </row>
    <row r="1660" spans="1:1" x14ac:dyDescent="0.45">
      <c r="A1660" s="3"/>
    </row>
    <row r="1661" spans="1:1" x14ac:dyDescent="0.45">
      <c r="A1661" s="3"/>
    </row>
    <row r="1662" spans="1:1" x14ac:dyDescent="0.45">
      <c r="A1662" s="3"/>
    </row>
    <row r="1663" spans="1:1" x14ac:dyDescent="0.45">
      <c r="A1663" s="3"/>
    </row>
    <row r="1664" spans="1:1" x14ac:dyDescent="0.45">
      <c r="A1664" s="3"/>
    </row>
    <row r="1665" spans="1:1" x14ac:dyDescent="0.45">
      <c r="A1665" s="3"/>
    </row>
    <row r="1666" spans="1:1" x14ac:dyDescent="0.45">
      <c r="A1666" s="3"/>
    </row>
    <row r="1667" spans="1:1" x14ac:dyDescent="0.45">
      <c r="A1667" s="3"/>
    </row>
    <row r="1668" spans="1:1" x14ac:dyDescent="0.45">
      <c r="A1668" s="3"/>
    </row>
    <row r="1669" spans="1:1" x14ac:dyDescent="0.45">
      <c r="A1669" s="3"/>
    </row>
    <row r="1670" spans="1:1" x14ac:dyDescent="0.45">
      <c r="A1670" s="3"/>
    </row>
    <row r="1671" spans="1:1" x14ac:dyDescent="0.45">
      <c r="A1671" s="3"/>
    </row>
    <row r="1672" spans="1:1" x14ac:dyDescent="0.45">
      <c r="A1672" s="3"/>
    </row>
    <row r="1673" spans="1:1" x14ac:dyDescent="0.45">
      <c r="A1673" s="3"/>
    </row>
    <row r="1674" spans="1:1" x14ac:dyDescent="0.45">
      <c r="A1674" s="3"/>
    </row>
    <row r="1675" spans="1:1" x14ac:dyDescent="0.45">
      <c r="A1675" s="3"/>
    </row>
    <row r="1676" spans="1:1" x14ac:dyDescent="0.45">
      <c r="A1676" s="3"/>
    </row>
    <row r="1677" spans="1:1" x14ac:dyDescent="0.45">
      <c r="A1677" s="3"/>
    </row>
    <row r="1678" spans="1:1" x14ac:dyDescent="0.45">
      <c r="A1678" s="3"/>
    </row>
    <row r="1679" spans="1:1" x14ac:dyDescent="0.45">
      <c r="A1679" s="3"/>
    </row>
    <row r="1680" spans="1:1" x14ac:dyDescent="0.45">
      <c r="A1680" s="3"/>
    </row>
    <row r="1681" spans="1:1" x14ac:dyDescent="0.45">
      <c r="A1681" s="3"/>
    </row>
    <row r="1682" spans="1:1" x14ac:dyDescent="0.45">
      <c r="A1682" s="3"/>
    </row>
    <row r="1683" spans="1:1" x14ac:dyDescent="0.45">
      <c r="A1683" s="3"/>
    </row>
    <row r="1684" spans="1:1" x14ac:dyDescent="0.45">
      <c r="A1684" s="3"/>
    </row>
    <row r="1685" spans="1:1" x14ac:dyDescent="0.45">
      <c r="A1685" s="3"/>
    </row>
    <row r="1686" spans="1:1" x14ac:dyDescent="0.45">
      <c r="A1686" s="3"/>
    </row>
    <row r="1687" spans="1:1" x14ac:dyDescent="0.45">
      <c r="A1687" s="3"/>
    </row>
    <row r="1688" spans="1:1" x14ac:dyDescent="0.45">
      <c r="A1688" s="3"/>
    </row>
    <row r="1689" spans="1:1" x14ac:dyDescent="0.45">
      <c r="A1689" s="3"/>
    </row>
    <row r="1690" spans="1:1" x14ac:dyDescent="0.45">
      <c r="A1690" s="3"/>
    </row>
    <row r="1691" spans="1:1" x14ac:dyDescent="0.45">
      <c r="A1691" s="3"/>
    </row>
    <row r="1692" spans="1:1" x14ac:dyDescent="0.45">
      <c r="A1692" s="3"/>
    </row>
    <row r="1693" spans="1:1" x14ac:dyDescent="0.45">
      <c r="A1693" s="3"/>
    </row>
    <row r="1694" spans="1:1" x14ac:dyDescent="0.45">
      <c r="A1694" s="3"/>
    </row>
    <row r="1695" spans="1:1" x14ac:dyDescent="0.45">
      <c r="A1695" s="3"/>
    </row>
    <row r="1696" spans="1:1" x14ac:dyDescent="0.45">
      <c r="A1696" s="3"/>
    </row>
    <row r="1697" spans="1:1" x14ac:dyDescent="0.45">
      <c r="A1697" s="3"/>
    </row>
    <row r="1698" spans="1:1" x14ac:dyDescent="0.45">
      <c r="A1698" s="3"/>
    </row>
    <row r="1699" spans="1:1" x14ac:dyDescent="0.45">
      <c r="A1699" s="3"/>
    </row>
    <row r="1700" spans="1:1" x14ac:dyDescent="0.45">
      <c r="A1700" s="3"/>
    </row>
    <row r="1701" spans="1:1" x14ac:dyDescent="0.45">
      <c r="A1701" s="3"/>
    </row>
    <row r="1702" spans="1:1" x14ac:dyDescent="0.45">
      <c r="A1702" s="3"/>
    </row>
    <row r="1703" spans="1:1" x14ac:dyDescent="0.45">
      <c r="A1703" s="3"/>
    </row>
    <row r="1704" spans="1:1" x14ac:dyDescent="0.45">
      <c r="A1704" s="3"/>
    </row>
    <row r="1705" spans="1:1" x14ac:dyDescent="0.45">
      <c r="A1705" s="3"/>
    </row>
    <row r="1706" spans="1:1" x14ac:dyDescent="0.45">
      <c r="A1706" s="3"/>
    </row>
    <row r="1707" spans="1:1" x14ac:dyDescent="0.45">
      <c r="A1707" s="3"/>
    </row>
    <row r="1708" spans="1:1" x14ac:dyDescent="0.45">
      <c r="A1708" s="3"/>
    </row>
    <row r="1709" spans="1:1" x14ac:dyDescent="0.45">
      <c r="A1709" s="3"/>
    </row>
    <row r="1710" spans="1:1" x14ac:dyDescent="0.45">
      <c r="A1710" s="3"/>
    </row>
    <row r="1711" spans="1:1" x14ac:dyDescent="0.45">
      <c r="A1711" s="3"/>
    </row>
    <row r="1712" spans="1:1" x14ac:dyDescent="0.45">
      <c r="A1712" s="3"/>
    </row>
    <row r="1713" spans="1:1" x14ac:dyDescent="0.45">
      <c r="A1713" s="3"/>
    </row>
    <row r="1714" spans="1:1" x14ac:dyDescent="0.45">
      <c r="A1714" s="3"/>
    </row>
    <row r="1715" spans="1:1" x14ac:dyDescent="0.45">
      <c r="A1715" s="3"/>
    </row>
    <row r="1716" spans="1:1" x14ac:dyDescent="0.45">
      <c r="A1716" s="3"/>
    </row>
    <row r="1717" spans="1:1" x14ac:dyDescent="0.45">
      <c r="A1717" s="3"/>
    </row>
    <row r="1718" spans="1:1" x14ac:dyDescent="0.45">
      <c r="A1718" s="3"/>
    </row>
    <row r="1719" spans="1:1" x14ac:dyDescent="0.45">
      <c r="A1719" s="3"/>
    </row>
    <row r="1720" spans="1:1" x14ac:dyDescent="0.45">
      <c r="A1720" s="3"/>
    </row>
    <row r="1721" spans="1:1" x14ac:dyDescent="0.45">
      <c r="A1721" s="3"/>
    </row>
    <row r="1722" spans="1:1" x14ac:dyDescent="0.45">
      <c r="A1722" s="3"/>
    </row>
    <row r="1723" spans="1:1" x14ac:dyDescent="0.45">
      <c r="A1723" s="3"/>
    </row>
    <row r="1724" spans="1:1" x14ac:dyDescent="0.45">
      <c r="A1724" s="3"/>
    </row>
    <row r="1725" spans="1:1" x14ac:dyDescent="0.45">
      <c r="A1725" s="3"/>
    </row>
    <row r="1726" spans="1:1" x14ac:dyDescent="0.45">
      <c r="A1726" s="3"/>
    </row>
    <row r="1727" spans="1:1" x14ac:dyDescent="0.45">
      <c r="A1727" s="3"/>
    </row>
    <row r="1728" spans="1:1" x14ac:dyDescent="0.45">
      <c r="A1728" s="3"/>
    </row>
    <row r="1729" spans="1:1" x14ac:dyDescent="0.45">
      <c r="A1729" s="3"/>
    </row>
    <row r="1730" spans="1:1" x14ac:dyDescent="0.45">
      <c r="A1730" s="3"/>
    </row>
    <row r="1731" spans="1:1" x14ac:dyDescent="0.45">
      <c r="A1731" s="3"/>
    </row>
    <row r="1732" spans="1:1" x14ac:dyDescent="0.45">
      <c r="A1732" s="3"/>
    </row>
    <row r="1733" spans="1:1" x14ac:dyDescent="0.45">
      <c r="A1733" s="3"/>
    </row>
    <row r="1734" spans="1:1" x14ac:dyDescent="0.45">
      <c r="A1734" s="3"/>
    </row>
    <row r="1735" spans="1:1" x14ac:dyDescent="0.45">
      <c r="A1735" s="3"/>
    </row>
    <row r="1736" spans="1:1" x14ac:dyDescent="0.45">
      <c r="A1736" s="3"/>
    </row>
    <row r="1737" spans="1:1" x14ac:dyDescent="0.45">
      <c r="A1737" s="3"/>
    </row>
    <row r="1738" spans="1:1" x14ac:dyDescent="0.45">
      <c r="A1738" s="3"/>
    </row>
    <row r="1739" spans="1:1" x14ac:dyDescent="0.45">
      <c r="A1739" s="3"/>
    </row>
    <row r="1740" spans="1:1" x14ac:dyDescent="0.45">
      <c r="A1740" s="3"/>
    </row>
    <row r="1741" spans="1:1" x14ac:dyDescent="0.45">
      <c r="A1741" s="3"/>
    </row>
    <row r="1742" spans="1:1" x14ac:dyDescent="0.45">
      <c r="A1742" s="3"/>
    </row>
    <row r="1743" spans="1:1" x14ac:dyDescent="0.45">
      <c r="A1743" s="3"/>
    </row>
    <row r="1744" spans="1:1" x14ac:dyDescent="0.45">
      <c r="A1744" s="3"/>
    </row>
    <row r="1745" spans="1:1" x14ac:dyDescent="0.45">
      <c r="A1745" s="3"/>
    </row>
    <row r="1746" spans="1:1" x14ac:dyDescent="0.45">
      <c r="A1746" s="3"/>
    </row>
    <row r="1747" spans="1:1" x14ac:dyDescent="0.45">
      <c r="A1747" s="3"/>
    </row>
    <row r="1748" spans="1:1" x14ac:dyDescent="0.45">
      <c r="A1748" s="3"/>
    </row>
    <row r="1749" spans="1:1" x14ac:dyDescent="0.45">
      <c r="A1749" s="3"/>
    </row>
    <row r="1750" spans="1:1" x14ac:dyDescent="0.45">
      <c r="A1750" s="3"/>
    </row>
    <row r="1751" spans="1:1" x14ac:dyDescent="0.45">
      <c r="A1751" s="3"/>
    </row>
    <row r="1752" spans="1:1" x14ac:dyDescent="0.45">
      <c r="A1752" s="3"/>
    </row>
    <row r="1753" spans="1:1" x14ac:dyDescent="0.45">
      <c r="A1753" s="3"/>
    </row>
    <row r="1754" spans="1:1" x14ac:dyDescent="0.45">
      <c r="A1754" s="3"/>
    </row>
    <row r="1755" spans="1:1" x14ac:dyDescent="0.45">
      <c r="A1755" s="3"/>
    </row>
    <row r="1756" spans="1:1" x14ac:dyDescent="0.45">
      <c r="A1756" s="3"/>
    </row>
    <row r="1757" spans="1:1" x14ac:dyDescent="0.45">
      <c r="A1757" s="3"/>
    </row>
    <row r="1758" spans="1:1" x14ac:dyDescent="0.45">
      <c r="A1758" s="3"/>
    </row>
    <row r="1759" spans="1:1" x14ac:dyDescent="0.45">
      <c r="A1759" s="3"/>
    </row>
    <row r="1760" spans="1:1" x14ac:dyDescent="0.45">
      <c r="A1760" s="3"/>
    </row>
    <row r="1761" spans="1:1" x14ac:dyDescent="0.45">
      <c r="A1761" s="3"/>
    </row>
    <row r="1762" spans="1:1" x14ac:dyDescent="0.45">
      <c r="A1762" s="3"/>
    </row>
    <row r="1763" spans="1:1" x14ac:dyDescent="0.45">
      <c r="A1763" s="3"/>
    </row>
    <row r="1764" spans="1:1" x14ac:dyDescent="0.45">
      <c r="A1764" s="3"/>
    </row>
    <row r="1765" spans="1:1" x14ac:dyDescent="0.45">
      <c r="A1765" s="3"/>
    </row>
    <row r="1766" spans="1:1" x14ac:dyDescent="0.45">
      <c r="A1766" s="3"/>
    </row>
    <row r="1767" spans="1:1" x14ac:dyDescent="0.45">
      <c r="A1767" s="3"/>
    </row>
    <row r="1768" spans="1:1" x14ac:dyDescent="0.45">
      <c r="A1768" s="3"/>
    </row>
    <row r="1769" spans="1:1" x14ac:dyDescent="0.45">
      <c r="A1769" s="3"/>
    </row>
    <row r="1770" spans="1:1" x14ac:dyDescent="0.45">
      <c r="A1770" s="3"/>
    </row>
    <row r="1771" spans="1:1" x14ac:dyDescent="0.45">
      <c r="A1771" s="3"/>
    </row>
    <row r="1772" spans="1:1" x14ac:dyDescent="0.45">
      <c r="A1772" s="3"/>
    </row>
    <row r="1773" spans="1:1" x14ac:dyDescent="0.45">
      <c r="A1773" s="3"/>
    </row>
    <row r="1774" spans="1:1" x14ac:dyDescent="0.45">
      <c r="A1774" s="3"/>
    </row>
    <row r="1775" spans="1:1" x14ac:dyDescent="0.45">
      <c r="A1775" s="3"/>
    </row>
    <row r="1776" spans="1:1" x14ac:dyDescent="0.45">
      <c r="A1776" s="3"/>
    </row>
    <row r="1777" spans="1:1" x14ac:dyDescent="0.45">
      <c r="A1777" s="3"/>
    </row>
    <row r="1778" spans="1:1" x14ac:dyDescent="0.45">
      <c r="A1778" s="3"/>
    </row>
    <row r="1779" spans="1:1" x14ac:dyDescent="0.45">
      <c r="A1779" s="3"/>
    </row>
    <row r="1780" spans="1:1" x14ac:dyDescent="0.45">
      <c r="A1780" s="3"/>
    </row>
    <row r="1781" spans="1:1" x14ac:dyDescent="0.45">
      <c r="A1781" s="3"/>
    </row>
    <row r="1782" spans="1:1" x14ac:dyDescent="0.45">
      <c r="A1782" s="3"/>
    </row>
    <row r="1783" spans="1:1" x14ac:dyDescent="0.45">
      <c r="A1783" s="3"/>
    </row>
    <row r="1784" spans="1:1" x14ac:dyDescent="0.45">
      <c r="A1784" s="3"/>
    </row>
    <row r="1785" spans="1:1" x14ac:dyDescent="0.45">
      <c r="A1785" s="3"/>
    </row>
    <row r="1786" spans="1:1" x14ac:dyDescent="0.45">
      <c r="A1786" s="3"/>
    </row>
    <row r="1787" spans="1:1" x14ac:dyDescent="0.45">
      <c r="A1787" s="3"/>
    </row>
    <row r="1788" spans="1:1" x14ac:dyDescent="0.45">
      <c r="A1788" s="3"/>
    </row>
    <row r="1789" spans="1:1" x14ac:dyDescent="0.45">
      <c r="A1789" s="3"/>
    </row>
    <row r="1790" spans="1:1" x14ac:dyDescent="0.45">
      <c r="A1790" s="3"/>
    </row>
    <row r="1791" spans="1:1" x14ac:dyDescent="0.45">
      <c r="A1791" s="3"/>
    </row>
    <row r="1792" spans="1:1" x14ac:dyDescent="0.45">
      <c r="A1792" s="3"/>
    </row>
    <row r="1793" spans="1:1" x14ac:dyDescent="0.45">
      <c r="A1793" s="3"/>
    </row>
    <row r="1794" spans="1:1" x14ac:dyDescent="0.45">
      <c r="A1794" s="3"/>
    </row>
    <row r="1795" spans="1:1" x14ac:dyDescent="0.45">
      <c r="A1795" s="3"/>
    </row>
    <row r="1796" spans="1:1" x14ac:dyDescent="0.45">
      <c r="A1796" s="3"/>
    </row>
    <row r="1797" spans="1:1" x14ac:dyDescent="0.45">
      <c r="A1797" s="3"/>
    </row>
    <row r="1798" spans="1:1" x14ac:dyDescent="0.45">
      <c r="A1798" s="3"/>
    </row>
    <row r="1799" spans="1:1" x14ac:dyDescent="0.45">
      <c r="A1799" s="3"/>
    </row>
    <row r="1800" spans="1:1" x14ac:dyDescent="0.45">
      <c r="A1800" s="3"/>
    </row>
    <row r="1801" spans="1:1" x14ac:dyDescent="0.45">
      <c r="A1801" s="3"/>
    </row>
    <row r="1802" spans="1:1" x14ac:dyDescent="0.45">
      <c r="A1802" s="3"/>
    </row>
    <row r="1803" spans="1:1" x14ac:dyDescent="0.45">
      <c r="A1803" s="3"/>
    </row>
    <row r="1804" spans="1:1" x14ac:dyDescent="0.45">
      <c r="A1804" s="3"/>
    </row>
    <row r="1805" spans="1:1" x14ac:dyDescent="0.45">
      <c r="A1805" s="3"/>
    </row>
    <row r="1806" spans="1:1" x14ac:dyDescent="0.45">
      <c r="A1806" s="3"/>
    </row>
    <row r="1807" spans="1:1" x14ac:dyDescent="0.45">
      <c r="A1807" s="3"/>
    </row>
    <row r="1808" spans="1:1" x14ac:dyDescent="0.45">
      <c r="A1808" s="3"/>
    </row>
    <row r="1809" spans="1:1" x14ac:dyDescent="0.45">
      <c r="A1809" s="3"/>
    </row>
    <row r="1810" spans="1:1" x14ac:dyDescent="0.45">
      <c r="A1810" s="3"/>
    </row>
    <row r="1811" spans="1:1" x14ac:dyDescent="0.45">
      <c r="A1811" s="3"/>
    </row>
    <row r="1812" spans="1:1" x14ac:dyDescent="0.45">
      <c r="A1812" s="3"/>
    </row>
    <row r="1813" spans="1:1" x14ac:dyDescent="0.45">
      <c r="A1813" s="3"/>
    </row>
    <row r="1814" spans="1:1" x14ac:dyDescent="0.45">
      <c r="A1814" s="3"/>
    </row>
    <row r="1815" spans="1:1" x14ac:dyDescent="0.45">
      <c r="A1815" s="3"/>
    </row>
    <row r="1816" spans="1:1" x14ac:dyDescent="0.45">
      <c r="A1816" s="3"/>
    </row>
    <row r="1817" spans="1:1" x14ac:dyDescent="0.45">
      <c r="A1817" s="3"/>
    </row>
    <row r="1818" spans="1:1" x14ac:dyDescent="0.45">
      <c r="A1818" s="3"/>
    </row>
    <row r="1819" spans="1:1" x14ac:dyDescent="0.45">
      <c r="A1819" s="3"/>
    </row>
    <row r="1820" spans="1:1" x14ac:dyDescent="0.45">
      <c r="A1820" s="3"/>
    </row>
    <row r="1821" spans="1:1" x14ac:dyDescent="0.45">
      <c r="A1821" s="3"/>
    </row>
    <row r="1822" spans="1:1" x14ac:dyDescent="0.45">
      <c r="A1822" s="3"/>
    </row>
    <row r="1823" spans="1:1" x14ac:dyDescent="0.45">
      <c r="A1823" s="3"/>
    </row>
    <row r="1824" spans="1:1" x14ac:dyDescent="0.45">
      <c r="A1824" s="3"/>
    </row>
    <row r="1825" spans="1:1" x14ac:dyDescent="0.45">
      <c r="A1825" s="3"/>
    </row>
    <row r="1826" spans="1:1" x14ac:dyDescent="0.45">
      <c r="A1826" s="3"/>
    </row>
    <row r="1827" spans="1:1" x14ac:dyDescent="0.45">
      <c r="A1827" s="3"/>
    </row>
    <row r="1828" spans="1:1" x14ac:dyDescent="0.45">
      <c r="A1828" s="3"/>
    </row>
    <row r="1829" spans="1:1" x14ac:dyDescent="0.45">
      <c r="A1829" s="3"/>
    </row>
    <row r="1830" spans="1:1" x14ac:dyDescent="0.45">
      <c r="A1830" s="3"/>
    </row>
    <row r="1831" spans="1:1" x14ac:dyDescent="0.45">
      <c r="A1831" s="3"/>
    </row>
    <row r="1832" spans="1:1" x14ac:dyDescent="0.45">
      <c r="A1832" s="3"/>
    </row>
    <row r="1833" spans="1:1" x14ac:dyDescent="0.45">
      <c r="A1833" s="3"/>
    </row>
    <row r="1834" spans="1:1" x14ac:dyDescent="0.45">
      <c r="A1834" s="3"/>
    </row>
    <row r="1835" spans="1:1" x14ac:dyDescent="0.45">
      <c r="A1835" s="3"/>
    </row>
    <row r="1836" spans="1:1" x14ac:dyDescent="0.45">
      <c r="A1836" s="3"/>
    </row>
    <row r="1837" spans="1:1" x14ac:dyDescent="0.45">
      <c r="A1837" s="3"/>
    </row>
    <row r="1838" spans="1:1" x14ac:dyDescent="0.45">
      <c r="A1838" s="3"/>
    </row>
    <row r="1839" spans="1:1" x14ac:dyDescent="0.45">
      <c r="A1839" s="3"/>
    </row>
    <row r="1840" spans="1:1" x14ac:dyDescent="0.45">
      <c r="A1840" s="3"/>
    </row>
    <row r="1841" spans="1:1" x14ac:dyDescent="0.45">
      <c r="A1841" s="3"/>
    </row>
    <row r="1842" spans="1:1" x14ac:dyDescent="0.45">
      <c r="A1842" s="3"/>
    </row>
    <row r="1843" spans="1:1" x14ac:dyDescent="0.45">
      <c r="A1843" s="3"/>
    </row>
    <row r="1844" spans="1:1" x14ac:dyDescent="0.45">
      <c r="A1844" s="3"/>
    </row>
    <row r="1845" spans="1:1" x14ac:dyDescent="0.45">
      <c r="A1845" s="3"/>
    </row>
    <row r="1846" spans="1:1" x14ac:dyDescent="0.45">
      <c r="A1846" s="3"/>
    </row>
    <row r="1847" spans="1:1" x14ac:dyDescent="0.45">
      <c r="A1847" s="3"/>
    </row>
    <row r="1848" spans="1:1" x14ac:dyDescent="0.45">
      <c r="A1848" s="3"/>
    </row>
    <row r="1849" spans="1:1" x14ac:dyDescent="0.45">
      <c r="A1849" s="3"/>
    </row>
    <row r="1850" spans="1:1" x14ac:dyDescent="0.45">
      <c r="A1850" s="3"/>
    </row>
    <row r="1851" spans="1:1" x14ac:dyDescent="0.45">
      <c r="A1851" s="3"/>
    </row>
    <row r="1852" spans="1:1" x14ac:dyDescent="0.45">
      <c r="A1852" s="3"/>
    </row>
    <row r="1853" spans="1:1" x14ac:dyDescent="0.45">
      <c r="A1853" s="3"/>
    </row>
    <row r="1854" spans="1:1" x14ac:dyDescent="0.45">
      <c r="A1854" s="3"/>
    </row>
    <row r="1855" spans="1:1" x14ac:dyDescent="0.45">
      <c r="A1855" s="3"/>
    </row>
    <row r="1856" spans="1:1" x14ac:dyDescent="0.45">
      <c r="A1856" s="3"/>
    </row>
    <row r="1857" spans="1:1" x14ac:dyDescent="0.45">
      <c r="A1857" s="3"/>
    </row>
    <row r="1858" spans="1:1" x14ac:dyDescent="0.45">
      <c r="A1858" s="3"/>
    </row>
    <row r="1859" spans="1:1" x14ac:dyDescent="0.45">
      <c r="A1859" s="3"/>
    </row>
    <row r="1860" spans="1:1" x14ac:dyDescent="0.45">
      <c r="A1860" s="3"/>
    </row>
    <row r="1861" spans="1:1" x14ac:dyDescent="0.45">
      <c r="A1861" s="3"/>
    </row>
    <row r="1862" spans="1:1" x14ac:dyDescent="0.45">
      <c r="A1862" s="3"/>
    </row>
    <row r="1863" spans="1:1" x14ac:dyDescent="0.45">
      <c r="A1863" s="3"/>
    </row>
    <row r="1864" spans="1:1" x14ac:dyDescent="0.45">
      <c r="A1864" s="3"/>
    </row>
    <row r="1865" spans="1:1" x14ac:dyDescent="0.45">
      <c r="A1865" s="3"/>
    </row>
    <row r="1866" spans="1:1" x14ac:dyDescent="0.45">
      <c r="A1866" s="3"/>
    </row>
    <row r="1867" spans="1:1" x14ac:dyDescent="0.45">
      <c r="A1867" s="3"/>
    </row>
    <row r="1868" spans="1:1" x14ac:dyDescent="0.45">
      <c r="A1868" s="3"/>
    </row>
    <row r="1869" spans="1:1" x14ac:dyDescent="0.45">
      <c r="A1869" s="3"/>
    </row>
    <row r="1870" spans="1:1" x14ac:dyDescent="0.45">
      <c r="A1870" s="3"/>
    </row>
    <row r="1871" spans="1:1" x14ac:dyDescent="0.45">
      <c r="A1871" s="3"/>
    </row>
    <row r="1872" spans="1:1" x14ac:dyDescent="0.45">
      <c r="A1872" s="3"/>
    </row>
    <row r="1873" spans="1:1" x14ac:dyDescent="0.45">
      <c r="A1873" s="3"/>
    </row>
    <row r="1874" spans="1:1" x14ac:dyDescent="0.45">
      <c r="A1874" s="3"/>
    </row>
    <row r="1875" spans="1:1" x14ac:dyDescent="0.45">
      <c r="A1875" s="3"/>
    </row>
    <row r="1876" spans="1:1" x14ac:dyDescent="0.45">
      <c r="A1876" s="3"/>
    </row>
    <row r="1877" spans="1:1" x14ac:dyDescent="0.45">
      <c r="A1877" s="3"/>
    </row>
    <row r="1878" spans="1:1" x14ac:dyDescent="0.45">
      <c r="A1878" s="3"/>
    </row>
    <row r="1879" spans="1:1" x14ac:dyDescent="0.45">
      <c r="A1879" s="3"/>
    </row>
    <row r="1880" spans="1:1" x14ac:dyDescent="0.45">
      <c r="A1880" s="3"/>
    </row>
    <row r="1881" spans="1:1" x14ac:dyDescent="0.45">
      <c r="A1881" s="3"/>
    </row>
    <row r="1882" spans="1:1" x14ac:dyDescent="0.45">
      <c r="A1882" s="3"/>
    </row>
    <row r="1883" spans="1:1" x14ac:dyDescent="0.45">
      <c r="A1883" s="3"/>
    </row>
    <row r="1884" spans="1:1" x14ac:dyDescent="0.45">
      <c r="A1884" s="3"/>
    </row>
    <row r="1885" spans="1:1" x14ac:dyDescent="0.45">
      <c r="A1885" s="3"/>
    </row>
    <row r="1886" spans="1:1" x14ac:dyDescent="0.45">
      <c r="A1886" s="3"/>
    </row>
    <row r="1887" spans="1:1" x14ac:dyDescent="0.45">
      <c r="A1887" s="3"/>
    </row>
    <row r="1888" spans="1:1" x14ac:dyDescent="0.45">
      <c r="A1888" s="3"/>
    </row>
    <row r="1889" spans="1:1" x14ac:dyDescent="0.45">
      <c r="A1889" s="3"/>
    </row>
    <row r="1890" spans="1:1" x14ac:dyDescent="0.45">
      <c r="A1890" s="3"/>
    </row>
    <row r="1891" spans="1:1" x14ac:dyDescent="0.45">
      <c r="A1891" s="3"/>
    </row>
    <row r="1892" spans="1:1" x14ac:dyDescent="0.45">
      <c r="A1892" s="3"/>
    </row>
    <row r="1893" spans="1:1" x14ac:dyDescent="0.45">
      <c r="A1893" s="3"/>
    </row>
    <row r="1894" spans="1:1" x14ac:dyDescent="0.45">
      <c r="A1894" s="3"/>
    </row>
    <row r="1895" spans="1:1" x14ac:dyDescent="0.45">
      <c r="A1895" s="3"/>
    </row>
    <row r="1896" spans="1:1" x14ac:dyDescent="0.45">
      <c r="A1896" s="3"/>
    </row>
    <row r="1897" spans="1:1" x14ac:dyDescent="0.45">
      <c r="A1897" s="3"/>
    </row>
    <row r="1898" spans="1:1" x14ac:dyDescent="0.45">
      <c r="A1898" s="3"/>
    </row>
    <row r="1899" spans="1:1" x14ac:dyDescent="0.45">
      <c r="A1899" s="3"/>
    </row>
    <row r="1900" spans="1:1" x14ac:dyDescent="0.45">
      <c r="A1900" s="3"/>
    </row>
    <row r="1901" spans="1:1" x14ac:dyDescent="0.45">
      <c r="A1901" s="3"/>
    </row>
    <row r="1902" spans="1:1" x14ac:dyDescent="0.45">
      <c r="A1902" s="3"/>
    </row>
    <row r="1903" spans="1:1" x14ac:dyDescent="0.45">
      <c r="A1903" s="3"/>
    </row>
    <row r="1904" spans="1:1" x14ac:dyDescent="0.45">
      <c r="A1904" s="3"/>
    </row>
    <row r="1905" spans="1:1" x14ac:dyDescent="0.45">
      <c r="A1905" s="3"/>
    </row>
    <row r="1906" spans="1:1" x14ac:dyDescent="0.45">
      <c r="A1906" s="3"/>
    </row>
    <row r="1907" spans="1:1" x14ac:dyDescent="0.45">
      <c r="A1907" s="3"/>
    </row>
    <row r="1908" spans="1:1" x14ac:dyDescent="0.45">
      <c r="A1908" s="3"/>
    </row>
    <row r="1909" spans="1:1" x14ac:dyDescent="0.45">
      <c r="A1909" s="3"/>
    </row>
    <row r="1910" spans="1:1" x14ac:dyDescent="0.45">
      <c r="A1910" s="3"/>
    </row>
    <row r="1911" spans="1:1" x14ac:dyDescent="0.45">
      <c r="A1911" s="3"/>
    </row>
    <row r="1912" spans="1:1" x14ac:dyDescent="0.45">
      <c r="A1912" s="3"/>
    </row>
    <row r="1913" spans="1:1" x14ac:dyDescent="0.45">
      <c r="A1913" s="3"/>
    </row>
    <row r="1914" spans="1:1" x14ac:dyDescent="0.45">
      <c r="A1914" s="3"/>
    </row>
    <row r="1915" spans="1:1" x14ac:dyDescent="0.45">
      <c r="A1915" s="3"/>
    </row>
    <row r="1916" spans="1:1" x14ac:dyDescent="0.45">
      <c r="A1916" s="3"/>
    </row>
    <row r="1917" spans="1:1" x14ac:dyDescent="0.45">
      <c r="A1917" s="3"/>
    </row>
    <row r="1918" spans="1:1" x14ac:dyDescent="0.45">
      <c r="A1918" s="3"/>
    </row>
    <row r="1919" spans="1:1" x14ac:dyDescent="0.45">
      <c r="A1919" s="3"/>
    </row>
    <row r="1920" spans="1:1" x14ac:dyDescent="0.45">
      <c r="A1920" s="3"/>
    </row>
    <row r="1921" spans="1:1" x14ac:dyDescent="0.45">
      <c r="A1921" s="3"/>
    </row>
    <row r="1922" spans="1:1" x14ac:dyDescent="0.45">
      <c r="A1922" s="3"/>
    </row>
    <row r="1923" spans="1:1" x14ac:dyDescent="0.45">
      <c r="A1923" s="3"/>
    </row>
    <row r="1924" spans="1:1" x14ac:dyDescent="0.45">
      <c r="A1924" s="3"/>
    </row>
    <row r="1925" spans="1:1" x14ac:dyDescent="0.45">
      <c r="A1925" s="3"/>
    </row>
    <row r="1926" spans="1:1" x14ac:dyDescent="0.45">
      <c r="A1926" s="3"/>
    </row>
    <row r="1927" spans="1:1" x14ac:dyDescent="0.45">
      <c r="A1927" s="3"/>
    </row>
    <row r="1928" spans="1:1" x14ac:dyDescent="0.45">
      <c r="A1928" s="3"/>
    </row>
    <row r="1929" spans="1:1" x14ac:dyDescent="0.45">
      <c r="A1929" s="3"/>
    </row>
    <row r="1930" spans="1:1" x14ac:dyDescent="0.45">
      <c r="A1930" s="3"/>
    </row>
    <row r="1931" spans="1:1" x14ac:dyDescent="0.45">
      <c r="A1931" s="3"/>
    </row>
    <row r="1932" spans="1:1" x14ac:dyDescent="0.45">
      <c r="A1932" s="3"/>
    </row>
    <row r="1933" spans="1:1" x14ac:dyDescent="0.45">
      <c r="A1933" s="3"/>
    </row>
    <row r="1934" spans="1:1" x14ac:dyDescent="0.45">
      <c r="A1934" s="3"/>
    </row>
    <row r="1935" spans="1:1" x14ac:dyDescent="0.45">
      <c r="A1935" s="3"/>
    </row>
    <row r="1936" spans="1:1" x14ac:dyDescent="0.45">
      <c r="A1936" s="3"/>
    </row>
    <row r="1937" spans="1:1" x14ac:dyDescent="0.45">
      <c r="A1937" s="3"/>
    </row>
    <row r="1938" spans="1:1" x14ac:dyDescent="0.45">
      <c r="A1938" s="3"/>
    </row>
    <row r="1939" spans="1:1" x14ac:dyDescent="0.45">
      <c r="A1939" s="3"/>
    </row>
    <row r="1940" spans="1:1" x14ac:dyDescent="0.45">
      <c r="A1940" s="3"/>
    </row>
    <row r="1941" spans="1:1" x14ac:dyDescent="0.45">
      <c r="A1941" s="3"/>
    </row>
    <row r="1942" spans="1:1" x14ac:dyDescent="0.45">
      <c r="A1942" s="3"/>
    </row>
    <row r="1943" spans="1:1" x14ac:dyDescent="0.45">
      <c r="A1943" s="3"/>
    </row>
    <row r="1944" spans="1:1" x14ac:dyDescent="0.45">
      <c r="A1944" s="3"/>
    </row>
    <row r="1945" spans="1:1" x14ac:dyDescent="0.45">
      <c r="A1945" s="3"/>
    </row>
    <row r="1946" spans="1:1" x14ac:dyDescent="0.45">
      <c r="A1946" s="3"/>
    </row>
    <row r="1947" spans="1:1" x14ac:dyDescent="0.45">
      <c r="A1947" s="3"/>
    </row>
    <row r="1948" spans="1:1" x14ac:dyDescent="0.45">
      <c r="A1948" s="3"/>
    </row>
    <row r="1949" spans="1:1" x14ac:dyDescent="0.45">
      <c r="A1949" s="3"/>
    </row>
    <row r="1950" spans="1:1" x14ac:dyDescent="0.45">
      <c r="A1950" s="3"/>
    </row>
    <row r="1951" spans="1:1" x14ac:dyDescent="0.45">
      <c r="A1951" s="3"/>
    </row>
    <row r="1952" spans="1:1" x14ac:dyDescent="0.45">
      <c r="A1952" s="3"/>
    </row>
    <row r="1953" spans="1:1" x14ac:dyDescent="0.45">
      <c r="A1953" s="3"/>
    </row>
    <row r="1954" spans="1:1" x14ac:dyDescent="0.45">
      <c r="A1954" s="3"/>
    </row>
    <row r="1955" spans="1:1" x14ac:dyDescent="0.45">
      <c r="A1955" s="3"/>
    </row>
    <row r="1956" spans="1:1" x14ac:dyDescent="0.45">
      <c r="A1956" s="3"/>
    </row>
    <row r="1957" spans="1:1" x14ac:dyDescent="0.45">
      <c r="A1957" s="3"/>
    </row>
    <row r="1958" spans="1:1" x14ac:dyDescent="0.45">
      <c r="A1958" s="3"/>
    </row>
    <row r="1959" spans="1:1" x14ac:dyDescent="0.45">
      <c r="A1959" s="3"/>
    </row>
    <row r="1960" spans="1:1" x14ac:dyDescent="0.45">
      <c r="A1960" s="3"/>
    </row>
    <row r="1961" spans="1:1" x14ac:dyDescent="0.45">
      <c r="A1961" s="3"/>
    </row>
    <row r="1962" spans="1:1" x14ac:dyDescent="0.45">
      <c r="A1962" s="3"/>
    </row>
    <row r="1963" spans="1:1" x14ac:dyDescent="0.45">
      <c r="A1963" s="3"/>
    </row>
    <row r="1964" spans="1:1" x14ac:dyDescent="0.45">
      <c r="A1964" s="3"/>
    </row>
    <row r="1965" spans="1:1" x14ac:dyDescent="0.45">
      <c r="A1965" s="3"/>
    </row>
    <row r="1966" spans="1:1" x14ac:dyDescent="0.45">
      <c r="A1966" s="3"/>
    </row>
    <row r="1967" spans="1:1" x14ac:dyDescent="0.45">
      <c r="A1967" s="3"/>
    </row>
    <row r="1968" spans="1:1" x14ac:dyDescent="0.45">
      <c r="A1968" s="3"/>
    </row>
    <row r="1969" spans="1:1" x14ac:dyDescent="0.45">
      <c r="A1969" s="3"/>
    </row>
    <row r="1970" spans="1:1" x14ac:dyDescent="0.45">
      <c r="A1970" s="3"/>
    </row>
    <row r="1971" spans="1:1" x14ac:dyDescent="0.45">
      <c r="A1971" s="3"/>
    </row>
    <row r="1972" spans="1:1" x14ac:dyDescent="0.45">
      <c r="A1972" s="3"/>
    </row>
    <row r="1973" spans="1:1" x14ac:dyDescent="0.45">
      <c r="A1973" s="3"/>
    </row>
    <row r="1974" spans="1:1" x14ac:dyDescent="0.45">
      <c r="A1974" s="3"/>
    </row>
    <row r="1975" spans="1:1" x14ac:dyDescent="0.45">
      <c r="A1975" s="3"/>
    </row>
    <row r="1976" spans="1:1" x14ac:dyDescent="0.45">
      <c r="A1976" s="3"/>
    </row>
    <row r="1977" spans="1:1" x14ac:dyDescent="0.45">
      <c r="A1977" s="3"/>
    </row>
    <row r="1978" spans="1:1" x14ac:dyDescent="0.45">
      <c r="A1978" s="3"/>
    </row>
    <row r="1979" spans="1:1" x14ac:dyDescent="0.45">
      <c r="A1979" s="3"/>
    </row>
    <row r="1980" spans="1:1" x14ac:dyDescent="0.45">
      <c r="A1980" s="3"/>
    </row>
    <row r="1981" spans="1:1" x14ac:dyDescent="0.45">
      <c r="A1981" s="3"/>
    </row>
    <row r="1982" spans="1:1" x14ac:dyDescent="0.45">
      <c r="A1982" s="3"/>
    </row>
    <row r="1983" spans="1:1" x14ac:dyDescent="0.45">
      <c r="A1983" s="3"/>
    </row>
    <row r="1984" spans="1:1" x14ac:dyDescent="0.45">
      <c r="A1984" s="3"/>
    </row>
    <row r="1985" spans="1:1" x14ac:dyDescent="0.45">
      <c r="A1985" s="3"/>
    </row>
    <row r="1986" spans="1:1" x14ac:dyDescent="0.45">
      <c r="A1986" s="3"/>
    </row>
    <row r="1987" spans="1:1" x14ac:dyDescent="0.45">
      <c r="A1987" s="3"/>
    </row>
    <row r="1988" spans="1:1" x14ac:dyDescent="0.45">
      <c r="A1988" s="3"/>
    </row>
    <row r="1989" spans="1:1" x14ac:dyDescent="0.45">
      <c r="A1989" s="3"/>
    </row>
    <row r="1990" spans="1:1" x14ac:dyDescent="0.45">
      <c r="A1990" s="3"/>
    </row>
    <row r="1991" spans="1:1" x14ac:dyDescent="0.45">
      <c r="A1991" s="3"/>
    </row>
    <row r="1992" spans="1:1" x14ac:dyDescent="0.45">
      <c r="A1992" s="3"/>
    </row>
    <row r="1993" spans="1:1" x14ac:dyDescent="0.45">
      <c r="A1993" s="3"/>
    </row>
    <row r="1994" spans="1:1" x14ac:dyDescent="0.45">
      <c r="A1994" s="3"/>
    </row>
    <row r="1995" spans="1:1" x14ac:dyDescent="0.45">
      <c r="A1995" s="3"/>
    </row>
    <row r="1996" spans="1:1" x14ac:dyDescent="0.45">
      <c r="A1996" s="3"/>
    </row>
    <row r="1997" spans="1:1" x14ac:dyDescent="0.45">
      <c r="A1997" s="3"/>
    </row>
    <row r="1998" spans="1:1" x14ac:dyDescent="0.45">
      <c r="A1998" s="3"/>
    </row>
    <row r="1999" spans="1:1" x14ac:dyDescent="0.45">
      <c r="A1999" s="3"/>
    </row>
    <row r="2000" spans="1:1" x14ac:dyDescent="0.45">
      <c r="A2000" s="3"/>
    </row>
    <row r="2001" spans="1:1" x14ac:dyDescent="0.45">
      <c r="A2001" s="3"/>
    </row>
    <row r="2002" spans="1:1" x14ac:dyDescent="0.45">
      <c r="A2002" s="3"/>
    </row>
    <row r="2003" spans="1:1" x14ac:dyDescent="0.45">
      <c r="A2003" s="3"/>
    </row>
    <row r="2004" spans="1:1" x14ac:dyDescent="0.45">
      <c r="A2004" s="3"/>
    </row>
    <row r="2005" spans="1:1" x14ac:dyDescent="0.45">
      <c r="A2005" s="3"/>
    </row>
    <row r="2006" spans="1:1" x14ac:dyDescent="0.45">
      <c r="A2006" s="3"/>
    </row>
    <row r="2007" spans="1:1" x14ac:dyDescent="0.45">
      <c r="A2007" s="3"/>
    </row>
    <row r="2008" spans="1:1" x14ac:dyDescent="0.45">
      <c r="A2008" s="3"/>
    </row>
    <row r="2009" spans="1:1" x14ac:dyDescent="0.45">
      <c r="A2009" s="3"/>
    </row>
    <row r="2010" spans="1:1" x14ac:dyDescent="0.45">
      <c r="A2010" s="3"/>
    </row>
    <row r="2011" spans="1:1" x14ac:dyDescent="0.45">
      <c r="A2011" s="3"/>
    </row>
    <row r="2012" spans="1:1" x14ac:dyDescent="0.45">
      <c r="A2012" s="3"/>
    </row>
    <row r="2013" spans="1:1" x14ac:dyDescent="0.45">
      <c r="A2013" s="3"/>
    </row>
    <row r="2014" spans="1:1" x14ac:dyDescent="0.45">
      <c r="A2014" s="3"/>
    </row>
    <row r="2015" spans="1:1" x14ac:dyDescent="0.45">
      <c r="A2015" s="3"/>
    </row>
    <row r="2016" spans="1:1" x14ac:dyDescent="0.45">
      <c r="A2016" s="3"/>
    </row>
    <row r="2017" spans="1:1" x14ac:dyDescent="0.45">
      <c r="A2017" s="3"/>
    </row>
    <row r="2018" spans="1:1" x14ac:dyDescent="0.45">
      <c r="A2018" s="3"/>
    </row>
    <row r="2019" spans="1:1" x14ac:dyDescent="0.45">
      <c r="A2019" s="3"/>
    </row>
    <row r="2020" spans="1:1" x14ac:dyDescent="0.45">
      <c r="A2020" s="3"/>
    </row>
    <row r="2021" spans="1:1" x14ac:dyDescent="0.45">
      <c r="A2021" s="3"/>
    </row>
    <row r="2022" spans="1:1" x14ac:dyDescent="0.45">
      <c r="A2022" s="3"/>
    </row>
    <row r="2023" spans="1:1" x14ac:dyDescent="0.45">
      <c r="A2023" s="3"/>
    </row>
    <row r="2024" spans="1:1" x14ac:dyDescent="0.45">
      <c r="A2024" s="3"/>
    </row>
    <row r="2025" spans="1:1" x14ac:dyDescent="0.45">
      <c r="A2025" s="3"/>
    </row>
    <row r="2026" spans="1:1" x14ac:dyDescent="0.45">
      <c r="A2026" s="3"/>
    </row>
    <row r="2027" spans="1:1" x14ac:dyDescent="0.45">
      <c r="A2027" s="3"/>
    </row>
    <row r="2028" spans="1:1" x14ac:dyDescent="0.45">
      <c r="A2028" s="3"/>
    </row>
    <row r="2029" spans="1:1" x14ac:dyDescent="0.45">
      <c r="A2029" s="3"/>
    </row>
    <row r="2030" spans="1:1" x14ac:dyDescent="0.45">
      <c r="A2030" s="3"/>
    </row>
    <row r="2031" spans="1:1" x14ac:dyDescent="0.45">
      <c r="A2031" s="3"/>
    </row>
    <row r="2032" spans="1:1" x14ac:dyDescent="0.45">
      <c r="A2032" s="3"/>
    </row>
    <row r="2033" spans="1:1" x14ac:dyDescent="0.45">
      <c r="A2033" s="3"/>
    </row>
    <row r="2034" spans="1:1" x14ac:dyDescent="0.45">
      <c r="A2034" s="3"/>
    </row>
    <row r="2035" spans="1:1" x14ac:dyDescent="0.45">
      <c r="A2035" s="3"/>
    </row>
    <row r="2036" spans="1:1" x14ac:dyDescent="0.45">
      <c r="A2036" s="3"/>
    </row>
    <row r="2037" spans="1:1" x14ac:dyDescent="0.45">
      <c r="A2037" s="3"/>
    </row>
    <row r="2038" spans="1:1" x14ac:dyDescent="0.45">
      <c r="A2038" s="3"/>
    </row>
    <row r="2039" spans="1:1" x14ac:dyDescent="0.45">
      <c r="A2039" s="3"/>
    </row>
    <row r="2040" spans="1:1" x14ac:dyDescent="0.45">
      <c r="A2040" s="3"/>
    </row>
    <row r="2041" spans="1:1" x14ac:dyDescent="0.45">
      <c r="A2041" s="3"/>
    </row>
    <row r="2042" spans="1:1" x14ac:dyDescent="0.45">
      <c r="A2042" s="3"/>
    </row>
    <row r="2043" spans="1:1" x14ac:dyDescent="0.45">
      <c r="A2043" s="3"/>
    </row>
    <row r="2044" spans="1:1" x14ac:dyDescent="0.45">
      <c r="A2044" s="3"/>
    </row>
    <row r="2045" spans="1:1" x14ac:dyDescent="0.45">
      <c r="A2045" s="3"/>
    </row>
    <row r="2046" spans="1:1" x14ac:dyDescent="0.45">
      <c r="A2046" s="3"/>
    </row>
    <row r="2047" spans="1:1" x14ac:dyDescent="0.45">
      <c r="A2047" s="3"/>
    </row>
    <row r="2048" spans="1:1" x14ac:dyDescent="0.45">
      <c r="A2048" s="3"/>
    </row>
    <row r="2049" spans="1:1" x14ac:dyDescent="0.45">
      <c r="A2049" s="3"/>
    </row>
    <row r="2050" spans="1:1" x14ac:dyDescent="0.45">
      <c r="A2050" s="3"/>
    </row>
    <row r="2051" spans="1:1" x14ac:dyDescent="0.45">
      <c r="A2051" s="3"/>
    </row>
    <row r="2052" spans="1:1" x14ac:dyDescent="0.45">
      <c r="A2052" s="3"/>
    </row>
    <row r="2053" spans="1:1" x14ac:dyDescent="0.45">
      <c r="A2053" s="3"/>
    </row>
    <row r="2054" spans="1:1" x14ac:dyDescent="0.45">
      <c r="A2054" s="3"/>
    </row>
    <row r="2055" spans="1:1" x14ac:dyDescent="0.45">
      <c r="A2055" s="3"/>
    </row>
    <row r="2056" spans="1:1" x14ac:dyDescent="0.45">
      <c r="A2056" s="3"/>
    </row>
    <row r="2057" spans="1:1" x14ac:dyDescent="0.45">
      <c r="A2057" s="3"/>
    </row>
    <row r="2058" spans="1:1" x14ac:dyDescent="0.45">
      <c r="A2058" s="3"/>
    </row>
    <row r="2059" spans="1:1" x14ac:dyDescent="0.45">
      <c r="A2059" s="3"/>
    </row>
    <row r="2060" spans="1:1" x14ac:dyDescent="0.45">
      <c r="A2060" s="3"/>
    </row>
    <row r="2061" spans="1:1" x14ac:dyDescent="0.45">
      <c r="A2061" s="3"/>
    </row>
    <row r="2062" spans="1:1" x14ac:dyDescent="0.45">
      <c r="A2062" s="3"/>
    </row>
    <row r="2063" spans="1:1" x14ac:dyDescent="0.45">
      <c r="A2063" s="3"/>
    </row>
    <row r="2064" spans="1:1" x14ac:dyDescent="0.45">
      <c r="A2064" s="3"/>
    </row>
    <row r="2065" spans="1:1" x14ac:dyDescent="0.45">
      <c r="A2065" s="3"/>
    </row>
    <row r="2066" spans="1:1" x14ac:dyDescent="0.45">
      <c r="A2066" s="3"/>
    </row>
    <row r="2067" spans="1:1" x14ac:dyDescent="0.45">
      <c r="A2067" s="3"/>
    </row>
    <row r="2068" spans="1:1" x14ac:dyDescent="0.45">
      <c r="A2068" s="3"/>
    </row>
    <row r="2069" spans="1:1" x14ac:dyDescent="0.45">
      <c r="A2069" s="3"/>
    </row>
    <row r="2070" spans="1:1" x14ac:dyDescent="0.45">
      <c r="A2070" s="3"/>
    </row>
    <row r="2071" spans="1:1" x14ac:dyDescent="0.45">
      <c r="A2071" s="3"/>
    </row>
    <row r="2072" spans="1:1" x14ac:dyDescent="0.45">
      <c r="A2072" s="3"/>
    </row>
    <row r="2073" spans="1:1" x14ac:dyDescent="0.45">
      <c r="A2073" s="3"/>
    </row>
    <row r="2074" spans="1:1" x14ac:dyDescent="0.45">
      <c r="A2074" s="3"/>
    </row>
    <row r="2075" spans="1:1" x14ac:dyDescent="0.45">
      <c r="A2075" s="3"/>
    </row>
    <row r="2076" spans="1:1" x14ac:dyDescent="0.45">
      <c r="A2076" s="3"/>
    </row>
    <row r="2077" spans="1:1" x14ac:dyDescent="0.45">
      <c r="A2077" s="3"/>
    </row>
    <row r="2078" spans="1:1" x14ac:dyDescent="0.45">
      <c r="A2078" s="3"/>
    </row>
    <row r="2079" spans="1:1" x14ac:dyDescent="0.45">
      <c r="A2079" s="3"/>
    </row>
    <row r="2080" spans="1:1" x14ac:dyDescent="0.45">
      <c r="A2080" s="3"/>
    </row>
    <row r="2081" spans="1:1" x14ac:dyDescent="0.45">
      <c r="A2081" s="3"/>
    </row>
    <row r="2082" spans="1:1" x14ac:dyDescent="0.45">
      <c r="A2082" s="3"/>
    </row>
    <row r="2083" spans="1:1" x14ac:dyDescent="0.45">
      <c r="A2083" s="3"/>
    </row>
    <row r="2084" spans="1:1" x14ac:dyDescent="0.45">
      <c r="A2084" s="3"/>
    </row>
    <row r="2085" spans="1:1" x14ac:dyDescent="0.45">
      <c r="A2085" s="3"/>
    </row>
    <row r="2086" spans="1:1" x14ac:dyDescent="0.45">
      <c r="A2086" s="3"/>
    </row>
    <row r="2087" spans="1:1" x14ac:dyDescent="0.45">
      <c r="A2087" s="3"/>
    </row>
    <row r="2088" spans="1:1" x14ac:dyDescent="0.45">
      <c r="A2088" s="3"/>
    </row>
    <row r="2089" spans="1:1" x14ac:dyDescent="0.45">
      <c r="A2089" s="3"/>
    </row>
    <row r="2090" spans="1:1" x14ac:dyDescent="0.45">
      <c r="A2090" s="3"/>
    </row>
    <row r="2091" spans="1:1" x14ac:dyDescent="0.45">
      <c r="A2091" s="3"/>
    </row>
    <row r="2092" spans="1:1" x14ac:dyDescent="0.45">
      <c r="A2092" s="3"/>
    </row>
    <row r="2093" spans="1:1" x14ac:dyDescent="0.45">
      <c r="A2093" s="3"/>
    </row>
    <row r="2094" spans="1:1" x14ac:dyDescent="0.45">
      <c r="A2094" s="3"/>
    </row>
    <row r="2095" spans="1:1" x14ac:dyDescent="0.45">
      <c r="A2095" s="3"/>
    </row>
    <row r="2096" spans="1:1" x14ac:dyDescent="0.45">
      <c r="A2096" s="3"/>
    </row>
    <row r="2097" spans="1:1" x14ac:dyDescent="0.45">
      <c r="A2097" s="3"/>
    </row>
    <row r="2098" spans="1:1" x14ac:dyDescent="0.45">
      <c r="A2098" s="3"/>
    </row>
    <row r="2099" spans="1:1" x14ac:dyDescent="0.45">
      <c r="A2099" s="3"/>
    </row>
    <row r="2100" spans="1:1" x14ac:dyDescent="0.45">
      <c r="A2100" s="3"/>
    </row>
    <row r="2101" spans="1:1" x14ac:dyDescent="0.45">
      <c r="A2101" s="3"/>
    </row>
    <row r="2102" spans="1:1" x14ac:dyDescent="0.45">
      <c r="A2102" s="3"/>
    </row>
    <row r="2103" spans="1:1" x14ac:dyDescent="0.45">
      <c r="A2103" s="3"/>
    </row>
    <row r="2104" spans="1:1" x14ac:dyDescent="0.45">
      <c r="A2104" s="3"/>
    </row>
    <row r="2105" spans="1:1" x14ac:dyDescent="0.45">
      <c r="A2105" s="3"/>
    </row>
    <row r="2106" spans="1:1" x14ac:dyDescent="0.45">
      <c r="A2106" s="3"/>
    </row>
    <row r="2107" spans="1:1" x14ac:dyDescent="0.45">
      <c r="A2107" s="3"/>
    </row>
    <row r="2108" spans="1:1" x14ac:dyDescent="0.45">
      <c r="A2108" s="3"/>
    </row>
    <row r="2109" spans="1:1" x14ac:dyDescent="0.45">
      <c r="A2109" s="3"/>
    </row>
    <row r="2110" spans="1:1" x14ac:dyDescent="0.45">
      <c r="A2110" s="3"/>
    </row>
    <row r="2111" spans="1:1" x14ac:dyDescent="0.45">
      <c r="A2111" s="3"/>
    </row>
    <row r="2112" spans="1:1" x14ac:dyDescent="0.45">
      <c r="A2112" s="3"/>
    </row>
    <row r="2113" spans="1:1" x14ac:dyDescent="0.45">
      <c r="A2113" s="3"/>
    </row>
    <row r="2114" spans="1:1" x14ac:dyDescent="0.45">
      <c r="A2114" s="3"/>
    </row>
    <row r="2115" spans="1:1" x14ac:dyDescent="0.45">
      <c r="A2115" s="3"/>
    </row>
    <row r="2116" spans="1:1" x14ac:dyDescent="0.45">
      <c r="A2116" s="3"/>
    </row>
    <row r="2117" spans="1:1" x14ac:dyDescent="0.45">
      <c r="A2117" s="3"/>
    </row>
    <row r="2118" spans="1:1" x14ac:dyDescent="0.45">
      <c r="A2118" s="3"/>
    </row>
    <row r="2119" spans="1:1" x14ac:dyDescent="0.45">
      <c r="A2119" s="3"/>
    </row>
    <row r="2120" spans="1:1" x14ac:dyDescent="0.45">
      <c r="A2120" s="3"/>
    </row>
    <row r="2121" spans="1:1" x14ac:dyDescent="0.45">
      <c r="A2121" s="3"/>
    </row>
    <row r="2122" spans="1:1" x14ac:dyDescent="0.45">
      <c r="A2122" s="3"/>
    </row>
    <row r="2123" spans="1:1" x14ac:dyDescent="0.45">
      <c r="A2123" s="3"/>
    </row>
    <row r="2124" spans="1:1" x14ac:dyDescent="0.45">
      <c r="A2124" s="3"/>
    </row>
    <row r="2125" spans="1:1" x14ac:dyDescent="0.45">
      <c r="A2125" s="3"/>
    </row>
    <row r="2126" spans="1:1" x14ac:dyDescent="0.45">
      <c r="A2126" s="3"/>
    </row>
    <row r="2127" spans="1:1" x14ac:dyDescent="0.45">
      <c r="A2127" s="3"/>
    </row>
    <row r="2128" spans="1:1" x14ac:dyDescent="0.45">
      <c r="A2128" s="3"/>
    </row>
    <row r="2129" spans="1:1" x14ac:dyDescent="0.45">
      <c r="A2129" s="3"/>
    </row>
    <row r="2130" spans="1:1" x14ac:dyDescent="0.45">
      <c r="A2130" s="3"/>
    </row>
    <row r="2131" spans="1:1" x14ac:dyDescent="0.45">
      <c r="A2131" s="3"/>
    </row>
    <row r="2132" spans="1:1" x14ac:dyDescent="0.45">
      <c r="A2132" s="3"/>
    </row>
    <row r="2133" spans="1:1" x14ac:dyDescent="0.45">
      <c r="A2133" s="3"/>
    </row>
    <row r="2134" spans="1:1" x14ac:dyDescent="0.45">
      <c r="A2134" s="3"/>
    </row>
    <row r="2135" spans="1:1" x14ac:dyDescent="0.45">
      <c r="A2135" s="3"/>
    </row>
    <row r="2136" spans="1:1" x14ac:dyDescent="0.45">
      <c r="A2136" s="3"/>
    </row>
    <row r="2137" spans="1:1" x14ac:dyDescent="0.45">
      <c r="A2137" s="3"/>
    </row>
    <row r="2138" spans="1:1" x14ac:dyDescent="0.45">
      <c r="A2138" s="3"/>
    </row>
    <row r="2139" spans="1:1" x14ac:dyDescent="0.45">
      <c r="A2139" s="3"/>
    </row>
    <row r="2140" spans="1:1" x14ac:dyDescent="0.45">
      <c r="A2140" s="3"/>
    </row>
    <row r="2141" spans="1:1" x14ac:dyDescent="0.45">
      <c r="A2141" s="3"/>
    </row>
    <row r="2142" spans="1:1" x14ac:dyDescent="0.45">
      <c r="A2142" s="3"/>
    </row>
    <row r="2143" spans="1:1" x14ac:dyDescent="0.45">
      <c r="A2143" s="3"/>
    </row>
    <row r="2144" spans="1:1" x14ac:dyDescent="0.45">
      <c r="A2144" s="3"/>
    </row>
    <row r="2145" spans="1:1" x14ac:dyDescent="0.45">
      <c r="A2145" s="3"/>
    </row>
    <row r="2146" spans="1:1" x14ac:dyDescent="0.45">
      <c r="A2146" s="3"/>
    </row>
    <row r="2147" spans="1:1" x14ac:dyDescent="0.45">
      <c r="A2147" s="3"/>
    </row>
    <row r="2148" spans="1:1" x14ac:dyDescent="0.45">
      <c r="A2148" s="3"/>
    </row>
    <row r="2149" spans="1:1" x14ac:dyDescent="0.45">
      <c r="A2149" s="3"/>
    </row>
    <row r="2150" spans="1:1" x14ac:dyDescent="0.45">
      <c r="A2150" s="3"/>
    </row>
    <row r="2151" spans="1:1" x14ac:dyDescent="0.45">
      <c r="A2151" s="3"/>
    </row>
    <row r="2152" spans="1:1" x14ac:dyDescent="0.45">
      <c r="A2152" s="3"/>
    </row>
    <row r="2153" spans="1:1" x14ac:dyDescent="0.45">
      <c r="A2153" s="3"/>
    </row>
    <row r="2154" spans="1:1" x14ac:dyDescent="0.45">
      <c r="A2154" s="3"/>
    </row>
    <row r="2155" spans="1:1" x14ac:dyDescent="0.45">
      <c r="A2155" s="3"/>
    </row>
    <row r="2156" spans="1:1" x14ac:dyDescent="0.45">
      <c r="A2156" s="3"/>
    </row>
    <row r="2157" spans="1:1" x14ac:dyDescent="0.45">
      <c r="A2157" s="3"/>
    </row>
    <row r="2158" spans="1:1" x14ac:dyDescent="0.45">
      <c r="A2158" s="3"/>
    </row>
    <row r="2159" spans="1:1" x14ac:dyDescent="0.45">
      <c r="A2159" s="3"/>
    </row>
    <row r="2160" spans="1:1" x14ac:dyDescent="0.45">
      <c r="A2160" s="3"/>
    </row>
    <row r="2161" spans="1:1" x14ac:dyDescent="0.45">
      <c r="A2161" s="3"/>
    </row>
    <row r="2162" spans="1:1" x14ac:dyDescent="0.45">
      <c r="A2162" s="3"/>
    </row>
    <row r="2163" spans="1:1" x14ac:dyDescent="0.45">
      <c r="A2163" s="3"/>
    </row>
    <row r="2164" spans="1:1" x14ac:dyDescent="0.45">
      <c r="A2164" s="3"/>
    </row>
    <row r="2165" spans="1:1" x14ac:dyDescent="0.45">
      <c r="A2165" s="3"/>
    </row>
    <row r="2166" spans="1:1" x14ac:dyDescent="0.45">
      <c r="A2166" s="3"/>
    </row>
    <row r="2167" spans="1:1" x14ac:dyDescent="0.45">
      <c r="A2167" s="3"/>
    </row>
    <row r="2168" spans="1:1" x14ac:dyDescent="0.45">
      <c r="A2168" s="3"/>
    </row>
    <row r="2169" spans="1:1" x14ac:dyDescent="0.45">
      <c r="A2169" s="3"/>
    </row>
    <row r="2170" spans="1:1" x14ac:dyDescent="0.45">
      <c r="A2170" s="3"/>
    </row>
    <row r="2171" spans="1:1" x14ac:dyDescent="0.45">
      <c r="A2171" s="3"/>
    </row>
    <row r="2172" spans="1:1" x14ac:dyDescent="0.45">
      <c r="A2172" s="3"/>
    </row>
    <row r="2173" spans="1:1" x14ac:dyDescent="0.45">
      <c r="A2173" s="3"/>
    </row>
    <row r="2174" spans="1:1" x14ac:dyDescent="0.45">
      <c r="A2174" s="3"/>
    </row>
    <row r="2175" spans="1:1" x14ac:dyDescent="0.45">
      <c r="A2175" s="3"/>
    </row>
    <row r="2176" spans="1:1" x14ac:dyDescent="0.45">
      <c r="A2176" s="3"/>
    </row>
    <row r="2177" spans="1:1" x14ac:dyDescent="0.45">
      <c r="A2177" s="3"/>
    </row>
    <row r="2178" spans="1:1" x14ac:dyDescent="0.45">
      <c r="A2178" s="3"/>
    </row>
    <row r="2179" spans="1:1" x14ac:dyDescent="0.45">
      <c r="A2179" s="3"/>
    </row>
    <row r="2180" spans="1:1" x14ac:dyDescent="0.45">
      <c r="A2180" s="3"/>
    </row>
    <row r="2181" spans="1:1" x14ac:dyDescent="0.45">
      <c r="A2181" s="3"/>
    </row>
    <row r="2182" spans="1:1" x14ac:dyDescent="0.45">
      <c r="A2182" s="3"/>
    </row>
    <row r="2183" spans="1:1" x14ac:dyDescent="0.45">
      <c r="A2183" s="3"/>
    </row>
    <row r="2184" spans="1:1" x14ac:dyDescent="0.45">
      <c r="A2184" s="3"/>
    </row>
    <row r="2185" spans="1:1" x14ac:dyDescent="0.45">
      <c r="A2185" s="3"/>
    </row>
    <row r="2186" spans="1:1" x14ac:dyDescent="0.45">
      <c r="A2186" s="3"/>
    </row>
    <row r="2187" spans="1:1" x14ac:dyDescent="0.45">
      <c r="A2187" s="3"/>
    </row>
    <row r="2188" spans="1:1" x14ac:dyDescent="0.45">
      <c r="A2188" s="3"/>
    </row>
    <row r="2189" spans="1:1" x14ac:dyDescent="0.45">
      <c r="A2189" s="3"/>
    </row>
    <row r="2190" spans="1:1" x14ac:dyDescent="0.45">
      <c r="A2190" s="3"/>
    </row>
    <row r="2191" spans="1:1" x14ac:dyDescent="0.45">
      <c r="A2191" s="3"/>
    </row>
    <row r="2192" spans="1:1" x14ac:dyDescent="0.45">
      <c r="A2192" s="3"/>
    </row>
    <row r="2193" spans="1:1" x14ac:dyDescent="0.45">
      <c r="A2193" s="3"/>
    </row>
    <row r="2194" spans="1:1" x14ac:dyDescent="0.45">
      <c r="A2194" s="3"/>
    </row>
    <row r="2195" spans="1:1" x14ac:dyDescent="0.45">
      <c r="A2195" s="3"/>
    </row>
    <row r="2196" spans="1:1" x14ac:dyDescent="0.45">
      <c r="A2196" s="3"/>
    </row>
    <row r="2197" spans="1:1" x14ac:dyDescent="0.45">
      <c r="A2197" s="3"/>
    </row>
    <row r="2198" spans="1:1" x14ac:dyDescent="0.45">
      <c r="A2198" s="3"/>
    </row>
    <row r="2199" spans="1:1" x14ac:dyDescent="0.45">
      <c r="A2199" s="3"/>
    </row>
    <row r="2200" spans="1:1" x14ac:dyDescent="0.45">
      <c r="A2200" s="3"/>
    </row>
    <row r="2201" spans="1:1" x14ac:dyDescent="0.45">
      <c r="A2201" s="3"/>
    </row>
    <row r="2202" spans="1:1" x14ac:dyDescent="0.45">
      <c r="A2202" s="3"/>
    </row>
    <row r="2203" spans="1:1" x14ac:dyDescent="0.45">
      <c r="A2203" s="3"/>
    </row>
    <row r="2204" spans="1:1" x14ac:dyDescent="0.45">
      <c r="A2204" s="3"/>
    </row>
    <row r="2205" spans="1:1" x14ac:dyDescent="0.45">
      <c r="A2205" s="3"/>
    </row>
    <row r="2206" spans="1:1" x14ac:dyDescent="0.45">
      <c r="A2206" s="3"/>
    </row>
    <row r="2207" spans="1:1" x14ac:dyDescent="0.45">
      <c r="A2207" s="3"/>
    </row>
    <row r="2208" spans="1:1" x14ac:dyDescent="0.45">
      <c r="A2208" s="3"/>
    </row>
    <row r="2209" spans="1:1" x14ac:dyDescent="0.45">
      <c r="A2209" s="3"/>
    </row>
    <row r="2210" spans="1:1" x14ac:dyDescent="0.45">
      <c r="A2210" s="3"/>
    </row>
    <row r="2211" spans="1:1" x14ac:dyDescent="0.45">
      <c r="A2211" s="3"/>
    </row>
    <row r="2212" spans="1:1" x14ac:dyDescent="0.45">
      <c r="A2212" s="3"/>
    </row>
    <row r="2213" spans="1:1" x14ac:dyDescent="0.45">
      <c r="A2213" s="3"/>
    </row>
    <row r="2214" spans="1:1" x14ac:dyDescent="0.45">
      <c r="A2214" s="3"/>
    </row>
    <row r="2215" spans="1:1" x14ac:dyDescent="0.45">
      <c r="A2215" s="3"/>
    </row>
    <row r="2216" spans="1:1" x14ac:dyDescent="0.45">
      <c r="A2216" s="3"/>
    </row>
    <row r="2217" spans="1:1" x14ac:dyDescent="0.45">
      <c r="A2217" s="3"/>
    </row>
    <row r="2218" spans="1:1" x14ac:dyDescent="0.45">
      <c r="A2218" s="3"/>
    </row>
    <row r="2219" spans="1:1" x14ac:dyDescent="0.45">
      <c r="A2219" s="3"/>
    </row>
    <row r="2220" spans="1:1" x14ac:dyDescent="0.45">
      <c r="A2220" s="3"/>
    </row>
    <row r="2221" spans="1:1" x14ac:dyDescent="0.45">
      <c r="A2221" s="3"/>
    </row>
    <row r="2222" spans="1:1" x14ac:dyDescent="0.45">
      <c r="A2222" s="3"/>
    </row>
    <row r="2223" spans="1:1" x14ac:dyDescent="0.45">
      <c r="A2223" s="3"/>
    </row>
    <row r="2224" spans="1:1" x14ac:dyDescent="0.45">
      <c r="A2224" s="3"/>
    </row>
    <row r="2225" spans="1:1" x14ac:dyDescent="0.45">
      <c r="A2225" s="3"/>
    </row>
    <row r="2226" spans="1:1" x14ac:dyDescent="0.45">
      <c r="A2226" s="3"/>
    </row>
    <row r="2227" spans="1:1" x14ac:dyDescent="0.45">
      <c r="A2227" s="3"/>
    </row>
    <row r="2228" spans="1:1" x14ac:dyDescent="0.45">
      <c r="A2228" s="3"/>
    </row>
    <row r="2229" spans="1:1" x14ac:dyDescent="0.45">
      <c r="A2229" s="3"/>
    </row>
    <row r="2230" spans="1:1" x14ac:dyDescent="0.45">
      <c r="A2230" s="3"/>
    </row>
    <row r="2231" spans="1:1" x14ac:dyDescent="0.45">
      <c r="A2231" s="3"/>
    </row>
    <row r="2232" spans="1:1" x14ac:dyDescent="0.45">
      <c r="A2232" s="3"/>
    </row>
    <row r="2233" spans="1:1" x14ac:dyDescent="0.45">
      <c r="A2233" s="3"/>
    </row>
    <row r="2234" spans="1:1" x14ac:dyDescent="0.45">
      <c r="A2234" s="3"/>
    </row>
    <row r="2235" spans="1:1" x14ac:dyDescent="0.45">
      <c r="A2235" s="3"/>
    </row>
    <row r="2236" spans="1:1" x14ac:dyDescent="0.45">
      <c r="A2236" s="3"/>
    </row>
    <row r="2237" spans="1:1" x14ac:dyDescent="0.45">
      <c r="A2237" s="3"/>
    </row>
    <row r="2238" spans="1:1" x14ac:dyDescent="0.45">
      <c r="A2238" s="3"/>
    </row>
    <row r="2239" spans="1:1" x14ac:dyDescent="0.45">
      <c r="A2239" s="3"/>
    </row>
    <row r="2240" spans="1:1" x14ac:dyDescent="0.45">
      <c r="A2240" s="3"/>
    </row>
    <row r="2241" spans="1:1" x14ac:dyDescent="0.45">
      <c r="A2241" s="3"/>
    </row>
    <row r="2242" spans="1:1" x14ac:dyDescent="0.45">
      <c r="A2242" s="3"/>
    </row>
    <row r="2243" spans="1:1" x14ac:dyDescent="0.45">
      <c r="A2243" s="3"/>
    </row>
    <row r="2244" spans="1:1" x14ac:dyDescent="0.45">
      <c r="A2244" s="3"/>
    </row>
    <row r="2245" spans="1:1" x14ac:dyDescent="0.45">
      <c r="A2245" s="3"/>
    </row>
    <row r="2246" spans="1:1" x14ac:dyDescent="0.45">
      <c r="A2246" s="3"/>
    </row>
    <row r="2247" spans="1:1" x14ac:dyDescent="0.45">
      <c r="A2247" s="3"/>
    </row>
    <row r="2248" spans="1:1" x14ac:dyDescent="0.45">
      <c r="A2248" s="3"/>
    </row>
    <row r="2249" spans="1:1" x14ac:dyDescent="0.45">
      <c r="A2249" s="3"/>
    </row>
    <row r="2250" spans="1:1" x14ac:dyDescent="0.45">
      <c r="A2250" s="3"/>
    </row>
    <row r="2251" spans="1:1" x14ac:dyDescent="0.45">
      <c r="A2251" s="3"/>
    </row>
    <row r="2252" spans="1:1" x14ac:dyDescent="0.45">
      <c r="A2252" s="3"/>
    </row>
    <row r="2253" spans="1:1" x14ac:dyDescent="0.45">
      <c r="A2253" s="3"/>
    </row>
    <row r="2254" spans="1:1" x14ac:dyDescent="0.45">
      <c r="A2254" s="3"/>
    </row>
    <row r="2255" spans="1:1" x14ac:dyDescent="0.45">
      <c r="A2255" s="3"/>
    </row>
    <row r="2256" spans="1:1" x14ac:dyDescent="0.45">
      <c r="A2256" s="3"/>
    </row>
    <row r="2257" spans="1:1" x14ac:dyDescent="0.45">
      <c r="A2257" s="3"/>
    </row>
    <row r="2258" spans="1:1" x14ac:dyDescent="0.45">
      <c r="A2258" s="3"/>
    </row>
    <row r="2259" spans="1:1" x14ac:dyDescent="0.45">
      <c r="A2259" s="3"/>
    </row>
    <row r="2260" spans="1:1" x14ac:dyDescent="0.45">
      <c r="A2260" s="3"/>
    </row>
    <row r="2261" spans="1:1" x14ac:dyDescent="0.45">
      <c r="A2261" s="3"/>
    </row>
    <row r="2262" spans="1:1" x14ac:dyDescent="0.45">
      <c r="A2262" s="3"/>
    </row>
    <row r="2263" spans="1:1" x14ac:dyDescent="0.45">
      <c r="A2263" s="3"/>
    </row>
    <row r="2264" spans="1:1" x14ac:dyDescent="0.45">
      <c r="A2264" s="3"/>
    </row>
    <row r="2265" spans="1:1" x14ac:dyDescent="0.45">
      <c r="A2265" s="3"/>
    </row>
    <row r="2266" spans="1:1" x14ac:dyDescent="0.45">
      <c r="A2266" s="3"/>
    </row>
    <row r="2267" spans="1:1" x14ac:dyDescent="0.45">
      <c r="A2267" s="3"/>
    </row>
    <row r="2268" spans="1:1" x14ac:dyDescent="0.45">
      <c r="A2268" s="3"/>
    </row>
    <row r="2269" spans="1:1" x14ac:dyDescent="0.45">
      <c r="A2269" s="3"/>
    </row>
    <row r="2270" spans="1:1" x14ac:dyDescent="0.45">
      <c r="A2270" s="3"/>
    </row>
    <row r="2271" spans="1:1" x14ac:dyDescent="0.45">
      <c r="A2271" s="3"/>
    </row>
    <row r="2272" spans="1:1" x14ac:dyDescent="0.45">
      <c r="A2272" s="3"/>
    </row>
    <row r="2273" spans="1:1" x14ac:dyDescent="0.45">
      <c r="A2273" s="3"/>
    </row>
    <row r="2274" spans="1:1" x14ac:dyDescent="0.45">
      <c r="A2274" s="3"/>
    </row>
    <row r="2275" spans="1:1" x14ac:dyDescent="0.45">
      <c r="A2275" s="3"/>
    </row>
    <row r="2276" spans="1:1" x14ac:dyDescent="0.45">
      <c r="A2276" s="3"/>
    </row>
    <row r="2277" spans="1:1" x14ac:dyDescent="0.45">
      <c r="A2277" s="3"/>
    </row>
    <row r="2278" spans="1:1" x14ac:dyDescent="0.45">
      <c r="A2278" s="3"/>
    </row>
    <row r="2279" spans="1:1" x14ac:dyDescent="0.45">
      <c r="A2279" s="3"/>
    </row>
    <row r="2280" spans="1:1" x14ac:dyDescent="0.45">
      <c r="A2280" s="3"/>
    </row>
    <row r="2281" spans="1:1" x14ac:dyDescent="0.45">
      <c r="A2281" s="3"/>
    </row>
    <row r="2282" spans="1:1" x14ac:dyDescent="0.45">
      <c r="A2282" s="3"/>
    </row>
    <row r="2283" spans="1:1" x14ac:dyDescent="0.45">
      <c r="A2283" s="3"/>
    </row>
    <row r="2284" spans="1:1" x14ac:dyDescent="0.45">
      <c r="A2284" s="3"/>
    </row>
    <row r="2285" spans="1:1" x14ac:dyDescent="0.45">
      <c r="A2285" s="3"/>
    </row>
    <row r="2286" spans="1:1" x14ac:dyDescent="0.45">
      <c r="A2286" s="3"/>
    </row>
    <row r="2287" spans="1:1" x14ac:dyDescent="0.45">
      <c r="A2287" s="3"/>
    </row>
    <row r="2288" spans="1:1" x14ac:dyDescent="0.45">
      <c r="A2288" s="3"/>
    </row>
    <row r="2289" spans="1:1" x14ac:dyDescent="0.45">
      <c r="A2289" s="3"/>
    </row>
    <row r="2290" spans="1:1" x14ac:dyDescent="0.45">
      <c r="A2290" s="3"/>
    </row>
    <row r="2291" spans="1:1" x14ac:dyDescent="0.45">
      <c r="A2291" s="3"/>
    </row>
    <row r="2292" spans="1:1" x14ac:dyDescent="0.45">
      <c r="A2292" s="3"/>
    </row>
    <row r="2293" spans="1:1" x14ac:dyDescent="0.45">
      <c r="A2293" s="3"/>
    </row>
    <row r="2294" spans="1:1" x14ac:dyDescent="0.45">
      <c r="A2294" s="3"/>
    </row>
    <row r="2295" spans="1:1" x14ac:dyDescent="0.45">
      <c r="A2295" s="3"/>
    </row>
    <row r="2296" spans="1:1" x14ac:dyDescent="0.45">
      <c r="A2296" s="3"/>
    </row>
    <row r="2297" spans="1:1" x14ac:dyDescent="0.45">
      <c r="A2297" s="3"/>
    </row>
    <row r="2298" spans="1:1" x14ac:dyDescent="0.45">
      <c r="A2298" s="3"/>
    </row>
    <row r="2299" spans="1:1" x14ac:dyDescent="0.45">
      <c r="A2299" s="3"/>
    </row>
    <row r="2300" spans="1:1" x14ac:dyDescent="0.45">
      <c r="A2300" s="3"/>
    </row>
    <row r="2301" spans="1:1" x14ac:dyDescent="0.45">
      <c r="A2301" s="3"/>
    </row>
    <row r="2302" spans="1:1" x14ac:dyDescent="0.45">
      <c r="A2302" s="3"/>
    </row>
    <row r="2303" spans="1:1" x14ac:dyDescent="0.45">
      <c r="A2303" s="3"/>
    </row>
    <row r="2304" spans="1:1" x14ac:dyDescent="0.45">
      <c r="A2304" s="3"/>
    </row>
    <row r="2305" spans="1:1" x14ac:dyDescent="0.45">
      <c r="A2305" s="3"/>
    </row>
    <row r="2306" spans="1:1" x14ac:dyDescent="0.45">
      <c r="A2306" s="3"/>
    </row>
    <row r="2307" spans="1:1" x14ac:dyDescent="0.45">
      <c r="A2307" s="3"/>
    </row>
    <row r="2308" spans="1:1" x14ac:dyDescent="0.45">
      <c r="A2308" s="3"/>
    </row>
    <row r="2309" spans="1:1" x14ac:dyDescent="0.45">
      <c r="A2309" s="3"/>
    </row>
    <row r="2310" spans="1:1" x14ac:dyDescent="0.45">
      <c r="A2310" s="3"/>
    </row>
    <row r="2311" spans="1:1" x14ac:dyDescent="0.45">
      <c r="A2311" s="3"/>
    </row>
    <row r="2312" spans="1:1" x14ac:dyDescent="0.45">
      <c r="A2312" s="3"/>
    </row>
    <row r="2313" spans="1:1" x14ac:dyDescent="0.45">
      <c r="A2313" s="3"/>
    </row>
    <row r="2314" spans="1:1" x14ac:dyDescent="0.45">
      <c r="A2314" s="3"/>
    </row>
    <row r="2315" spans="1:1" x14ac:dyDescent="0.45">
      <c r="A2315" s="3"/>
    </row>
    <row r="2316" spans="1:1" x14ac:dyDescent="0.45">
      <c r="A2316" s="3"/>
    </row>
    <row r="2317" spans="1:1" x14ac:dyDescent="0.45">
      <c r="A2317" s="3"/>
    </row>
    <row r="2318" spans="1:1" x14ac:dyDescent="0.45">
      <c r="A2318" s="3"/>
    </row>
    <row r="2319" spans="1:1" x14ac:dyDescent="0.45">
      <c r="A2319" s="3"/>
    </row>
    <row r="2320" spans="1:1" x14ac:dyDescent="0.45">
      <c r="A2320" s="3"/>
    </row>
    <row r="2321" spans="1:1" x14ac:dyDescent="0.45">
      <c r="A2321" s="3"/>
    </row>
    <row r="2322" spans="1:1" x14ac:dyDescent="0.45">
      <c r="A2322" s="3"/>
    </row>
    <row r="2323" spans="1:1" x14ac:dyDescent="0.45">
      <c r="A2323" s="3"/>
    </row>
    <row r="2324" spans="1:1" x14ac:dyDescent="0.45">
      <c r="A2324" s="3"/>
    </row>
    <row r="2325" spans="1:1" x14ac:dyDescent="0.45">
      <c r="A2325" s="3"/>
    </row>
    <row r="2326" spans="1:1" x14ac:dyDescent="0.45">
      <c r="A2326" s="3"/>
    </row>
    <row r="2327" spans="1:1" x14ac:dyDescent="0.45">
      <c r="A2327" s="3"/>
    </row>
    <row r="2328" spans="1:1" x14ac:dyDescent="0.45">
      <c r="A2328" s="3"/>
    </row>
    <row r="2329" spans="1:1" x14ac:dyDescent="0.45">
      <c r="A2329" s="3"/>
    </row>
    <row r="2330" spans="1:1" x14ac:dyDescent="0.45">
      <c r="A2330" s="3"/>
    </row>
    <row r="2331" spans="1:1" x14ac:dyDescent="0.45">
      <c r="A2331" s="3"/>
    </row>
    <row r="2332" spans="1:1" x14ac:dyDescent="0.45">
      <c r="A2332" s="3"/>
    </row>
    <row r="2333" spans="1:1" x14ac:dyDescent="0.45">
      <c r="A2333" s="3"/>
    </row>
    <row r="2334" spans="1:1" x14ac:dyDescent="0.45">
      <c r="A2334" s="3"/>
    </row>
    <row r="2335" spans="1:1" x14ac:dyDescent="0.45">
      <c r="A2335" s="3"/>
    </row>
    <row r="2336" spans="1:1" x14ac:dyDescent="0.45">
      <c r="A2336" s="3"/>
    </row>
    <row r="2337" spans="1:1" x14ac:dyDescent="0.45">
      <c r="A2337" s="3"/>
    </row>
    <row r="2338" spans="1:1" x14ac:dyDescent="0.45">
      <c r="A2338" s="3"/>
    </row>
    <row r="2339" spans="1:1" x14ac:dyDescent="0.45">
      <c r="A2339" s="3"/>
    </row>
    <row r="2340" spans="1:1" x14ac:dyDescent="0.45">
      <c r="A2340" s="3"/>
    </row>
    <row r="2341" spans="1:1" x14ac:dyDescent="0.45">
      <c r="A2341" s="3"/>
    </row>
    <row r="2342" spans="1:1" x14ac:dyDescent="0.45">
      <c r="A2342" s="3"/>
    </row>
    <row r="2343" spans="1:1" x14ac:dyDescent="0.45">
      <c r="A2343" s="3"/>
    </row>
    <row r="2344" spans="1:1" x14ac:dyDescent="0.45">
      <c r="A2344" s="3"/>
    </row>
    <row r="2345" spans="1:1" x14ac:dyDescent="0.45">
      <c r="A2345" s="3"/>
    </row>
    <row r="2346" spans="1:1" x14ac:dyDescent="0.45">
      <c r="A2346" s="3"/>
    </row>
    <row r="2347" spans="1:1" x14ac:dyDescent="0.45">
      <c r="A2347" s="3"/>
    </row>
    <row r="2348" spans="1:1" x14ac:dyDescent="0.45">
      <c r="A2348" s="3"/>
    </row>
    <row r="2349" spans="1:1" x14ac:dyDescent="0.45">
      <c r="A2349" s="3"/>
    </row>
    <row r="2350" spans="1:1" x14ac:dyDescent="0.45">
      <c r="A2350" s="3"/>
    </row>
    <row r="2351" spans="1:1" x14ac:dyDescent="0.45">
      <c r="A2351" s="3"/>
    </row>
    <row r="2352" spans="1:1" x14ac:dyDescent="0.45">
      <c r="A2352" s="3"/>
    </row>
    <row r="2353" spans="1:1" x14ac:dyDescent="0.45">
      <c r="A2353" s="3"/>
    </row>
    <row r="2354" spans="1:1" x14ac:dyDescent="0.45">
      <c r="A2354" s="3"/>
    </row>
    <row r="2355" spans="1:1" x14ac:dyDescent="0.45">
      <c r="A2355" s="3"/>
    </row>
    <row r="2356" spans="1:1" x14ac:dyDescent="0.45">
      <c r="A2356" s="3"/>
    </row>
    <row r="2357" spans="1:1" x14ac:dyDescent="0.45">
      <c r="A2357" s="3"/>
    </row>
    <row r="2358" spans="1:1" x14ac:dyDescent="0.45">
      <c r="A2358" s="3"/>
    </row>
    <row r="2359" spans="1:1" x14ac:dyDescent="0.45">
      <c r="A2359" s="3"/>
    </row>
    <row r="2360" spans="1:1" x14ac:dyDescent="0.45">
      <c r="A2360" s="3"/>
    </row>
    <row r="2361" spans="1:1" x14ac:dyDescent="0.45">
      <c r="A2361" s="3"/>
    </row>
    <row r="2362" spans="1:1" x14ac:dyDescent="0.45">
      <c r="A2362" s="3"/>
    </row>
    <row r="2363" spans="1:1" x14ac:dyDescent="0.45">
      <c r="A2363" s="3"/>
    </row>
    <row r="2364" spans="1:1" x14ac:dyDescent="0.45">
      <c r="A2364" s="3"/>
    </row>
    <row r="2365" spans="1:1" x14ac:dyDescent="0.45">
      <c r="A2365" s="3"/>
    </row>
    <row r="2366" spans="1:1" x14ac:dyDescent="0.45">
      <c r="A2366" s="3"/>
    </row>
    <row r="2367" spans="1:1" x14ac:dyDescent="0.45">
      <c r="A2367" s="3"/>
    </row>
    <row r="2368" spans="1:1" x14ac:dyDescent="0.45">
      <c r="A2368" s="3"/>
    </row>
    <row r="2369" spans="1:1" x14ac:dyDescent="0.45">
      <c r="A2369" s="3"/>
    </row>
    <row r="2370" spans="1:1" x14ac:dyDescent="0.45">
      <c r="A2370" s="3"/>
    </row>
    <row r="2371" spans="1:1" x14ac:dyDescent="0.45">
      <c r="A2371" s="3"/>
    </row>
    <row r="2372" spans="1:1" x14ac:dyDescent="0.45">
      <c r="A2372" s="3"/>
    </row>
    <row r="2373" spans="1:1" x14ac:dyDescent="0.45">
      <c r="A2373" s="3"/>
    </row>
    <row r="2374" spans="1:1" x14ac:dyDescent="0.45">
      <c r="A2374" s="3"/>
    </row>
    <row r="2375" spans="1:1" x14ac:dyDescent="0.45">
      <c r="A2375" s="3"/>
    </row>
    <row r="2376" spans="1:1" x14ac:dyDescent="0.45">
      <c r="A2376" s="3"/>
    </row>
    <row r="2377" spans="1:1" x14ac:dyDescent="0.45">
      <c r="A2377" s="3"/>
    </row>
    <row r="2378" spans="1:1" x14ac:dyDescent="0.45">
      <c r="A2378" s="3"/>
    </row>
    <row r="2379" spans="1:1" x14ac:dyDescent="0.45">
      <c r="A2379" s="3"/>
    </row>
    <row r="2380" spans="1:1" x14ac:dyDescent="0.45">
      <c r="A2380" s="3"/>
    </row>
    <row r="2381" spans="1:1" x14ac:dyDescent="0.45">
      <c r="A2381" s="3"/>
    </row>
    <row r="2382" spans="1:1" x14ac:dyDescent="0.45">
      <c r="A2382" s="3"/>
    </row>
    <row r="2383" spans="1:1" x14ac:dyDescent="0.45">
      <c r="A2383" s="3"/>
    </row>
    <row r="2384" spans="1:1" x14ac:dyDescent="0.45">
      <c r="A2384" s="3"/>
    </row>
    <row r="2385" spans="1:1" x14ac:dyDescent="0.45">
      <c r="A2385" s="3"/>
    </row>
    <row r="2386" spans="1:1" x14ac:dyDescent="0.45">
      <c r="A2386" s="3"/>
    </row>
    <row r="2387" spans="1:1" x14ac:dyDescent="0.45">
      <c r="A2387" s="3"/>
    </row>
    <row r="2388" spans="1:1" x14ac:dyDescent="0.45">
      <c r="A2388" s="3"/>
    </row>
    <row r="2389" spans="1:1" x14ac:dyDescent="0.45">
      <c r="A2389" s="3"/>
    </row>
    <row r="2390" spans="1:1" x14ac:dyDescent="0.45">
      <c r="A2390" s="3"/>
    </row>
    <row r="2391" spans="1:1" x14ac:dyDescent="0.45">
      <c r="A2391" s="3"/>
    </row>
    <row r="2392" spans="1:1" x14ac:dyDescent="0.45">
      <c r="A2392" s="3"/>
    </row>
    <row r="2393" spans="1:1" x14ac:dyDescent="0.45">
      <c r="A2393" s="3"/>
    </row>
    <row r="2394" spans="1:1" x14ac:dyDescent="0.45">
      <c r="A2394" s="3"/>
    </row>
    <row r="2395" spans="1:1" x14ac:dyDescent="0.45">
      <c r="A2395" s="3"/>
    </row>
    <row r="2396" spans="1:1" x14ac:dyDescent="0.45">
      <c r="A2396" s="3"/>
    </row>
    <row r="2397" spans="1:1" x14ac:dyDescent="0.45">
      <c r="A2397" s="3"/>
    </row>
    <row r="2398" spans="1:1" x14ac:dyDescent="0.45">
      <c r="A2398" s="3"/>
    </row>
    <row r="2399" spans="1:1" x14ac:dyDescent="0.45">
      <c r="A2399" s="3"/>
    </row>
    <row r="2400" spans="1:1" x14ac:dyDescent="0.45">
      <c r="A2400" s="3"/>
    </row>
    <row r="2401" spans="1:1" x14ac:dyDescent="0.45">
      <c r="A2401" s="3"/>
    </row>
    <row r="2402" spans="1:1" x14ac:dyDescent="0.45">
      <c r="A2402" s="3"/>
    </row>
    <row r="2403" spans="1:1" x14ac:dyDescent="0.45">
      <c r="A2403" s="3"/>
    </row>
    <row r="2404" spans="1:1" x14ac:dyDescent="0.45">
      <c r="A2404" s="3"/>
    </row>
    <row r="2405" spans="1:1" x14ac:dyDescent="0.45">
      <c r="A2405" s="3"/>
    </row>
    <row r="2406" spans="1:1" x14ac:dyDescent="0.45">
      <c r="A2406" s="3"/>
    </row>
    <row r="2407" spans="1:1" x14ac:dyDescent="0.45">
      <c r="A2407" s="3"/>
    </row>
    <row r="2408" spans="1:1" x14ac:dyDescent="0.45">
      <c r="A2408" s="3"/>
    </row>
    <row r="2409" spans="1:1" x14ac:dyDescent="0.45">
      <c r="A2409" s="3"/>
    </row>
    <row r="2410" spans="1:1" x14ac:dyDescent="0.45">
      <c r="A2410" s="3"/>
    </row>
    <row r="2411" spans="1:1" x14ac:dyDescent="0.45">
      <c r="A2411" s="3"/>
    </row>
    <row r="2412" spans="1:1" x14ac:dyDescent="0.45">
      <c r="A2412" s="3"/>
    </row>
    <row r="2413" spans="1:1" x14ac:dyDescent="0.45">
      <c r="A2413" s="3"/>
    </row>
    <row r="2414" spans="1:1" x14ac:dyDescent="0.45">
      <c r="A2414" s="3"/>
    </row>
    <row r="2415" spans="1:1" x14ac:dyDescent="0.45">
      <c r="A2415" s="3"/>
    </row>
    <row r="2416" spans="1:1" x14ac:dyDescent="0.45">
      <c r="A2416" s="3"/>
    </row>
    <row r="2417" spans="1:1" x14ac:dyDescent="0.45">
      <c r="A2417" s="3"/>
    </row>
    <row r="2418" spans="1:1" x14ac:dyDescent="0.45">
      <c r="A2418" s="3"/>
    </row>
    <row r="2419" spans="1:1" x14ac:dyDescent="0.45">
      <c r="A2419" s="3"/>
    </row>
    <row r="2420" spans="1:1" x14ac:dyDescent="0.45">
      <c r="A2420" s="3"/>
    </row>
    <row r="2421" spans="1:1" x14ac:dyDescent="0.45">
      <c r="A2421" s="3"/>
    </row>
    <row r="2422" spans="1:1" x14ac:dyDescent="0.45">
      <c r="A2422" s="3"/>
    </row>
    <row r="2423" spans="1:1" x14ac:dyDescent="0.45">
      <c r="A2423" s="3"/>
    </row>
    <row r="2424" spans="1:1" x14ac:dyDescent="0.45">
      <c r="A2424" s="3"/>
    </row>
    <row r="2425" spans="1:1" x14ac:dyDescent="0.45">
      <c r="A2425" s="3"/>
    </row>
    <row r="2426" spans="1:1" x14ac:dyDescent="0.45">
      <c r="A2426" s="3"/>
    </row>
    <row r="2427" spans="1:1" x14ac:dyDescent="0.45">
      <c r="A2427" s="3"/>
    </row>
    <row r="2428" spans="1:1" x14ac:dyDescent="0.45">
      <c r="A2428" s="3"/>
    </row>
    <row r="2429" spans="1:1" x14ac:dyDescent="0.45">
      <c r="A2429" s="3"/>
    </row>
    <row r="2430" spans="1:1" x14ac:dyDescent="0.45">
      <c r="A2430" s="3"/>
    </row>
    <row r="2431" spans="1:1" x14ac:dyDescent="0.45">
      <c r="A2431" s="3"/>
    </row>
    <row r="2432" spans="1:1" x14ac:dyDescent="0.45">
      <c r="A2432" s="3"/>
    </row>
    <row r="2433" spans="1:1" x14ac:dyDescent="0.45">
      <c r="A2433" s="3"/>
    </row>
    <row r="2434" spans="1:1" x14ac:dyDescent="0.45">
      <c r="A2434" s="3"/>
    </row>
    <row r="2435" spans="1:1" x14ac:dyDescent="0.45">
      <c r="A2435" s="3"/>
    </row>
    <row r="2436" spans="1:1" x14ac:dyDescent="0.45">
      <c r="A2436" s="3"/>
    </row>
    <row r="2437" spans="1:1" x14ac:dyDescent="0.45">
      <c r="A2437" s="3"/>
    </row>
    <row r="2438" spans="1:1" x14ac:dyDescent="0.45">
      <c r="A2438" s="3"/>
    </row>
    <row r="2439" spans="1:1" x14ac:dyDescent="0.45">
      <c r="A2439" s="3"/>
    </row>
    <row r="2440" spans="1:1" x14ac:dyDescent="0.45">
      <c r="A2440" s="3"/>
    </row>
    <row r="2441" spans="1:1" x14ac:dyDescent="0.45">
      <c r="A2441" s="3"/>
    </row>
    <row r="2442" spans="1:1" x14ac:dyDescent="0.45">
      <c r="A2442" s="3"/>
    </row>
    <row r="2443" spans="1:1" x14ac:dyDescent="0.45">
      <c r="A2443" s="3"/>
    </row>
    <row r="2444" spans="1:1" x14ac:dyDescent="0.45">
      <c r="A2444" s="3"/>
    </row>
    <row r="2445" spans="1:1" x14ac:dyDescent="0.45">
      <c r="A2445" s="3"/>
    </row>
    <row r="2446" spans="1:1" x14ac:dyDescent="0.45">
      <c r="A2446" s="3"/>
    </row>
    <row r="2447" spans="1:1" x14ac:dyDescent="0.45">
      <c r="A2447" s="3"/>
    </row>
    <row r="2448" spans="1:1" x14ac:dyDescent="0.45">
      <c r="A2448" s="3"/>
    </row>
    <row r="2449" spans="1:1" x14ac:dyDescent="0.45">
      <c r="A2449" s="3"/>
    </row>
    <row r="2450" spans="1:1" x14ac:dyDescent="0.45">
      <c r="A2450" s="3"/>
    </row>
    <row r="2451" spans="1:1" x14ac:dyDescent="0.45">
      <c r="A2451" s="3"/>
    </row>
    <row r="2452" spans="1:1" x14ac:dyDescent="0.45">
      <c r="A2452" s="3"/>
    </row>
    <row r="2453" spans="1:1" x14ac:dyDescent="0.45">
      <c r="A2453" s="3"/>
    </row>
    <row r="2454" spans="1:1" x14ac:dyDescent="0.45">
      <c r="A2454" s="3"/>
    </row>
    <row r="2455" spans="1:1" x14ac:dyDescent="0.45">
      <c r="A2455" s="3"/>
    </row>
    <row r="2456" spans="1:1" x14ac:dyDescent="0.45">
      <c r="A2456" s="3"/>
    </row>
    <row r="2457" spans="1:1" x14ac:dyDescent="0.45">
      <c r="A2457" s="3"/>
    </row>
    <row r="2458" spans="1:1" x14ac:dyDescent="0.45">
      <c r="A2458" s="3"/>
    </row>
    <row r="2459" spans="1:1" x14ac:dyDescent="0.45">
      <c r="A2459" s="3"/>
    </row>
    <row r="2460" spans="1:1" x14ac:dyDescent="0.45">
      <c r="A2460" s="3"/>
    </row>
    <row r="2461" spans="1:1" x14ac:dyDescent="0.45">
      <c r="A2461" s="3"/>
    </row>
    <row r="2462" spans="1:1" x14ac:dyDescent="0.45">
      <c r="A2462" s="3"/>
    </row>
    <row r="2463" spans="1:1" x14ac:dyDescent="0.45">
      <c r="A2463" s="3"/>
    </row>
    <row r="2464" spans="1:1" x14ac:dyDescent="0.45">
      <c r="A2464" s="3"/>
    </row>
    <row r="2465" spans="1:1" x14ac:dyDescent="0.45">
      <c r="A2465" s="3"/>
    </row>
    <row r="2466" spans="1:1" x14ac:dyDescent="0.45">
      <c r="A2466" s="3"/>
    </row>
    <row r="2467" spans="1:1" x14ac:dyDescent="0.45">
      <c r="A2467" s="3"/>
    </row>
    <row r="2468" spans="1:1" x14ac:dyDescent="0.45">
      <c r="A2468" s="3"/>
    </row>
    <row r="2469" spans="1:1" x14ac:dyDescent="0.45">
      <c r="A2469" s="3"/>
    </row>
    <row r="2470" spans="1:1" x14ac:dyDescent="0.45">
      <c r="A2470" s="3"/>
    </row>
    <row r="2471" spans="1:1" x14ac:dyDescent="0.45">
      <c r="A2471" s="3"/>
    </row>
    <row r="2472" spans="1:1" x14ac:dyDescent="0.45">
      <c r="A2472" s="3"/>
    </row>
    <row r="2473" spans="1:1" x14ac:dyDescent="0.45">
      <c r="A2473" s="3"/>
    </row>
    <row r="2474" spans="1:1" x14ac:dyDescent="0.45">
      <c r="A2474" s="3"/>
    </row>
    <row r="2475" spans="1:1" x14ac:dyDescent="0.45">
      <c r="A2475" s="3"/>
    </row>
    <row r="2476" spans="1:1" x14ac:dyDescent="0.45">
      <c r="A2476" s="3"/>
    </row>
    <row r="2477" spans="1:1" x14ac:dyDescent="0.45">
      <c r="A2477" s="3"/>
    </row>
    <row r="2478" spans="1:1" x14ac:dyDescent="0.45">
      <c r="A2478" s="3"/>
    </row>
    <row r="2479" spans="1:1" x14ac:dyDescent="0.45">
      <c r="A2479" s="3"/>
    </row>
    <row r="2480" spans="1:1" x14ac:dyDescent="0.45">
      <c r="A2480" s="3"/>
    </row>
    <row r="2481" spans="1:1" x14ac:dyDescent="0.45">
      <c r="A2481" s="3"/>
    </row>
    <row r="2482" spans="1:1" x14ac:dyDescent="0.45">
      <c r="A2482" s="3"/>
    </row>
    <row r="2483" spans="1:1" x14ac:dyDescent="0.45">
      <c r="A2483" s="3"/>
    </row>
    <row r="2484" spans="1:1" x14ac:dyDescent="0.45">
      <c r="A2484" s="3"/>
    </row>
    <row r="2485" spans="1:1" x14ac:dyDescent="0.45">
      <c r="A2485" s="3"/>
    </row>
    <row r="2486" spans="1:1" x14ac:dyDescent="0.45">
      <c r="A2486" s="3"/>
    </row>
    <row r="2487" spans="1:1" x14ac:dyDescent="0.45">
      <c r="A2487" s="3"/>
    </row>
    <row r="2488" spans="1:1" x14ac:dyDescent="0.45">
      <c r="A2488" s="3"/>
    </row>
    <row r="2489" spans="1:1" x14ac:dyDescent="0.45">
      <c r="A2489" s="3"/>
    </row>
    <row r="2490" spans="1:1" x14ac:dyDescent="0.45">
      <c r="A2490" s="3"/>
    </row>
    <row r="2491" spans="1:1" x14ac:dyDescent="0.45">
      <c r="A2491" s="3"/>
    </row>
    <row r="2492" spans="1:1" x14ac:dyDescent="0.45">
      <c r="A2492" s="3"/>
    </row>
    <row r="2493" spans="1:1" x14ac:dyDescent="0.45">
      <c r="A2493" s="3"/>
    </row>
    <row r="2494" spans="1:1" x14ac:dyDescent="0.45">
      <c r="A2494" s="3"/>
    </row>
    <row r="2495" spans="1:1" x14ac:dyDescent="0.45">
      <c r="A2495" s="3"/>
    </row>
    <row r="2496" spans="1:1" x14ac:dyDescent="0.45">
      <c r="A2496" s="3"/>
    </row>
    <row r="2497" spans="1:1" x14ac:dyDescent="0.45">
      <c r="A2497" s="3"/>
    </row>
    <row r="2498" spans="1:1" x14ac:dyDescent="0.45">
      <c r="A2498" s="3"/>
    </row>
    <row r="2499" spans="1:1" x14ac:dyDescent="0.45">
      <c r="A2499" s="3"/>
    </row>
    <row r="2500" spans="1:1" x14ac:dyDescent="0.45">
      <c r="A2500" s="3"/>
    </row>
    <row r="2501" spans="1:1" x14ac:dyDescent="0.45">
      <c r="A2501" s="3"/>
    </row>
    <row r="2502" spans="1:1" x14ac:dyDescent="0.45">
      <c r="A2502" s="3"/>
    </row>
    <row r="2503" spans="1:1" x14ac:dyDescent="0.45">
      <c r="A2503" s="3"/>
    </row>
    <row r="2504" spans="1:1" x14ac:dyDescent="0.45">
      <c r="A2504" s="3"/>
    </row>
    <row r="2505" spans="1:1" x14ac:dyDescent="0.45">
      <c r="A2505" s="3"/>
    </row>
    <row r="2506" spans="1:1" x14ac:dyDescent="0.45">
      <c r="A2506" s="3"/>
    </row>
    <row r="2507" spans="1:1" x14ac:dyDescent="0.45">
      <c r="A2507" s="3"/>
    </row>
    <row r="2508" spans="1:1" x14ac:dyDescent="0.45">
      <c r="A2508" s="3"/>
    </row>
    <row r="2509" spans="1:1" x14ac:dyDescent="0.45">
      <c r="A2509" s="3"/>
    </row>
    <row r="2510" spans="1:1" x14ac:dyDescent="0.45">
      <c r="A2510" s="3"/>
    </row>
    <row r="2511" spans="1:1" x14ac:dyDescent="0.45">
      <c r="A2511" s="3"/>
    </row>
    <row r="2512" spans="1:1" x14ac:dyDescent="0.45">
      <c r="A2512" s="3"/>
    </row>
    <row r="2513" spans="1:1" x14ac:dyDescent="0.45">
      <c r="A2513" s="3"/>
    </row>
    <row r="2514" spans="1:1" x14ac:dyDescent="0.45">
      <c r="A2514" s="3"/>
    </row>
    <row r="2515" spans="1:1" x14ac:dyDescent="0.45">
      <c r="A2515" s="3"/>
    </row>
    <row r="2516" spans="1:1" x14ac:dyDescent="0.45">
      <c r="A2516" s="3"/>
    </row>
    <row r="2517" spans="1:1" x14ac:dyDescent="0.45">
      <c r="A2517" s="3"/>
    </row>
    <row r="2518" spans="1:1" x14ac:dyDescent="0.45">
      <c r="A2518" s="3"/>
    </row>
    <row r="2519" spans="1:1" x14ac:dyDescent="0.45">
      <c r="A2519" s="3"/>
    </row>
    <row r="2520" spans="1:1" x14ac:dyDescent="0.45">
      <c r="A2520" s="3"/>
    </row>
    <row r="2521" spans="1:1" x14ac:dyDescent="0.45">
      <c r="A2521" s="3"/>
    </row>
    <row r="2522" spans="1:1" x14ac:dyDescent="0.45">
      <c r="A2522" s="3"/>
    </row>
    <row r="2523" spans="1:1" x14ac:dyDescent="0.45">
      <c r="A2523" s="3"/>
    </row>
    <row r="2524" spans="1:1" x14ac:dyDescent="0.45">
      <c r="A2524" s="3"/>
    </row>
    <row r="2525" spans="1:1" x14ac:dyDescent="0.45">
      <c r="A2525" s="3"/>
    </row>
    <row r="2526" spans="1:1" x14ac:dyDescent="0.45">
      <c r="A2526" s="3"/>
    </row>
    <row r="2527" spans="1:1" x14ac:dyDescent="0.45">
      <c r="A2527" s="3"/>
    </row>
    <row r="2528" spans="1:1" x14ac:dyDescent="0.45">
      <c r="A2528" s="3"/>
    </row>
    <row r="2529" spans="1:1" x14ac:dyDescent="0.45">
      <c r="A2529" s="3"/>
    </row>
    <row r="2530" spans="1:1" x14ac:dyDescent="0.45">
      <c r="A2530" s="3"/>
    </row>
    <row r="2531" spans="1:1" x14ac:dyDescent="0.45">
      <c r="A2531" s="3"/>
    </row>
    <row r="2532" spans="1:1" x14ac:dyDescent="0.45">
      <c r="A2532" s="3"/>
    </row>
    <row r="2533" spans="1:1" x14ac:dyDescent="0.45">
      <c r="A2533" s="3"/>
    </row>
    <row r="2534" spans="1:1" x14ac:dyDescent="0.45">
      <c r="A2534" s="3"/>
    </row>
    <row r="2535" spans="1:1" x14ac:dyDescent="0.45">
      <c r="A2535" s="3"/>
    </row>
    <row r="2536" spans="1:1" x14ac:dyDescent="0.45">
      <c r="A2536" s="3"/>
    </row>
    <row r="2537" spans="1:1" x14ac:dyDescent="0.45">
      <c r="A2537" s="3"/>
    </row>
    <row r="2538" spans="1:1" x14ac:dyDescent="0.45">
      <c r="A2538" s="3"/>
    </row>
    <row r="2539" spans="1:1" x14ac:dyDescent="0.45">
      <c r="A2539" s="3"/>
    </row>
    <row r="2540" spans="1:1" x14ac:dyDescent="0.45">
      <c r="A2540" s="3"/>
    </row>
    <row r="2541" spans="1:1" x14ac:dyDescent="0.45">
      <c r="A2541" s="3"/>
    </row>
    <row r="2542" spans="1:1" x14ac:dyDescent="0.45">
      <c r="A2542" s="3"/>
    </row>
    <row r="2543" spans="1:1" x14ac:dyDescent="0.45">
      <c r="A2543" s="3"/>
    </row>
    <row r="2544" spans="1:1" x14ac:dyDescent="0.45">
      <c r="A2544" s="3"/>
    </row>
    <row r="2545" spans="1:1" x14ac:dyDescent="0.45">
      <c r="A2545" s="3"/>
    </row>
    <row r="2546" spans="1:1" x14ac:dyDescent="0.45">
      <c r="A2546" s="3"/>
    </row>
    <row r="2547" spans="1:1" x14ac:dyDescent="0.45">
      <c r="A2547" s="3"/>
    </row>
    <row r="2548" spans="1:1" x14ac:dyDescent="0.45">
      <c r="A2548" s="3"/>
    </row>
    <row r="2549" spans="1:1" x14ac:dyDescent="0.45">
      <c r="A2549" s="3"/>
    </row>
    <row r="2550" spans="1:1" x14ac:dyDescent="0.45">
      <c r="A2550" s="3"/>
    </row>
    <row r="2551" spans="1:1" x14ac:dyDescent="0.45">
      <c r="A2551" s="3"/>
    </row>
    <row r="2552" spans="1:1" x14ac:dyDescent="0.45">
      <c r="A2552" s="3"/>
    </row>
    <row r="2553" spans="1:1" x14ac:dyDescent="0.45">
      <c r="A2553" s="3"/>
    </row>
    <row r="2554" spans="1:1" x14ac:dyDescent="0.45">
      <c r="A2554" s="3"/>
    </row>
    <row r="2555" spans="1:1" x14ac:dyDescent="0.45">
      <c r="A2555" s="3"/>
    </row>
    <row r="2556" spans="1:1" x14ac:dyDescent="0.45">
      <c r="A2556" s="3"/>
    </row>
    <row r="2557" spans="1:1" x14ac:dyDescent="0.45">
      <c r="A2557" s="3"/>
    </row>
    <row r="2558" spans="1:1" x14ac:dyDescent="0.45">
      <c r="A2558" s="3"/>
    </row>
    <row r="2559" spans="1:1" x14ac:dyDescent="0.45">
      <c r="A2559" s="3"/>
    </row>
    <row r="2560" spans="1:1" x14ac:dyDescent="0.45">
      <c r="A2560" s="3"/>
    </row>
    <row r="2561" spans="1:1" x14ac:dyDescent="0.45">
      <c r="A2561" s="3"/>
    </row>
    <row r="2562" spans="1:1" x14ac:dyDescent="0.45">
      <c r="A2562" s="3"/>
    </row>
    <row r="2563" spans="1:1" x14ac:dyDescent="0.45">
      <c r="A2563" s="3"/>
    </row>
    <row r="2564" spans="1:1" x14ac:dyDescent="0.45">
      <c r="A2564" s="3"/>
    </row>
    <row r="2565" spans="1:1" x14ac:dyDescent="0.45">
      <c r="A2565" s="3"/>
    </row>
    <row r="2566" spans="1:1" x14ac:dyDescent="0.45">
      <c r="A2566" s="3"/>
    </row>
    <row r="2567" spans="1:1" x14ac:dyDescent="0.45">
      <c r="A2567" s="3"/>
    </row>
    <row r="2568" spans="1:1" x14ac:dyDescent="0.45">
      <c r="A2568" s="3"/>
    </row>
    <row r="2569" spans="1:1" x14ac:dyDescent="0.45">
      <c r="A2569" s="3"/>
    </row>
    <row r="2570" spans="1:1" x14ac:dyDescent="0.45">
      <c r="A2570" s="3"/>
    </row>
    <row r="2571" spans="1:1" x14ac:dyDescent="0.45">
      <c r="A2571" s="3"/>
    </row>
    <row r="2572" spans="1:1" x14ac:dyDescent="0.45">
      <c r="A2572" s="3"/>
    </row>
    <row r="2573" spans="1:1" x14ac:dyDescent="0.45">
      <c r="A2573" s="3"/>
    </row>
    <row r="2574" spans="1:1" x14ac:dyDescent="0.45">
      <c r="A2574" s="3"/>
    </row>
    <row r="2575" spans="1:1" x14ac:dyDescent="0.45">
      <c r="A2575" s="3"/>
    </row>
    <row r="2576" spans="1:1" x14ac:dyDescent="0.45">
      <c r="A2576" s="3"/>
    </row>
    <row r="2577" spans="1:1" x14ac:dyDescent="0.45">
      <c r="A2577" s="3"/>
    </row>
    <row r="2578" spans="1:1" x14ac:dyDescent="0.45">
      <c r="A2578" s="3"/>
    </row>
    <row r="2579" spans="1:1" x14ac:dyDescent="0.45">
      <c r="A2579" s="3"/>
    </row>
    <row r="2580" spans="1:1" x14ac:dyDescent="0.45">
      <c r="A2580" s="3"/>
    </row>
    <row r="2581" spans="1:1" x14ac:dyDescent="0.45">
      <c r="A2581" s="3"/>
    </row>
    <row r="2582" spans="1:1" x14ac:dyDescent="0.45">
      <c r="A2582" s="3"/>
    </row>
    <row r="2583" spans="1:1" x14ac:dyDescent="0.45">
      <c r="A2583" s="3"/>
    </row>
    <row r="2584" spans="1:1" x14ac:dyDescent="0.45">
      <c r="A2584" s="3"/>
    </row>
    <row r="2585" spans="1:1" x14ac:dyDescent="0.45">
      <c r="A2585" s="3"/>
    </row>
    <row r="2586" spans="1:1" x14ac:dyDescent="0.45">
      <c r="A2586" s="3"/>
    </row>
    <row r="2587" spans="1:1" x14ac:dyDescent="0.45">
      <c r="A2587" s="3"/>
    </row>
    <row r="2588" spans="1:1" x14ac:dyDescent="0.45">
      <c r="A2588" s="3"/>
    </row>
    <row r="2589" spans="1:1" x14ac:dyDescent="0.45">
      <c r="A2589" s="3"/>
    </row>
    <row r="2590" spans="1:1" x14ac:dyDescent="0.45">
      <c r="A2590" s="3"/>
    </row>
    <row r="2591" spans="1:1" x14ac:dyDescent="0.45">
      <c r="A2591" s="3"/>
    </row>
    <row r="2592" spans="1:1" x14ac:dyDescent="0.45">
      <c r="A2592" s="3"/>
    </row>
    <row r="2593" spans="1:1" x14ac:dyDescent="0.45">
      <c r="A2593" s="3"/>
    </row>
    <row r="2594" spans="1:1" x14ac:dyDescent="0.45">
      <c r="A2594" s="3"/>
    </row>
    <row r="2595" spans="1:1" x14ac:dyDescent="0.45">
      <c r="A2595" s="3"/>
    </row>
    <row r="2596" spans="1:1" x14ac:dyDescent="0.45">
      <c r="A2596" s="3"/>
    </row>
    <row r="2597" spans="1:1" x14ac:dyDescent="0.45">
      <c r="A2597" s="3"/>
    </row>
    <row r="2598" spans="1:1" x14ac:dyDescent="0.45">
      <c r="A2598" s="3"/>
    </row>
    <row r="2599" spans="1:1" x14ac:dyDescent="0.45">
      <c r="A2599" s="3"/>
    </row>
    <row r="2600" spans="1:1" x14ac:dyDescent="0.45">
      <c r="A2600" s="3"/>
    </row>
    <row r="2601" spans="1:1" x14ac:dyDescent="0.45">
      <c r="A2601" s="3"/>
    </row>
    <row r="2602" spans="1:1" x14ac:dyDescent="0.45">
      <c r="A2602" s="3"/>
    </row>
    <row r="2603" spans="1:1" x14ac:dyDescent="0.45">
      <c r="A2603" s="3"/>
    </row>
    <row r="2604" spans="1:1" x14ac:dyDescent="0.45">
      <c r="A2604" s="3"/>
    </row>
    <row r="2605" spans="1:1" x14ac:dyDescent="0.45">
      <c r="A2605" s="3"/>
    </row>
    <row r="2606" spans="1:1" x14ac:dyDescent="0.45">
      <c r="A2606" s="3"/>
    </row>
    <row r="2607" spans="1:1" x14ac:dyDescent="0.45">
      <c r="A2607" s="3"/>
    </row>
    <row r="2608" spans="1:1" x14ac:dyDescent="0.45">
      <c r="A2608" s="3"/>
    </row>
    <row r="2609" spans="1:1" x14ac:dyDescent="0.45">
      <c r="A2609" s="3"/>
    </row>
    <row r="2610" spans="1:1" x14ac:dyDescent="0.45">
      <c r="A2610" s="3"/>
    </row>
    <row r="2611" spans="1:1" x14ac:dyDescent="0.45">
      <c r="A2611" s="3"/>
    </row>
    <row r="2612" spans="1:1" x14ac:dyDescent="0.45">
      <c r="A2612" s="3"/>
    </row>
    <row r="2613" spans="1:1" x14ac:dyDescent="0.45">
      <c r="A2613" s="3"/>
    </row>
    <row r="2614" spans="1:1" x14ac:dyDescent="0.45">
      <c r="A2614" s="3"/>
    </row>
    <row r="2615" spans="1:1" x14ac:dyDescent="0.45">
      <c r="A2615" s="3"/>
    </row>
    <row r="2616" spans="1:1" x14ac:dyDescent="0.45">
      <c r="A2616" s="3"/>
    </row>
    <row r="2617" spans="1:1" x14ac:dyDescent="0.45">
      <c r="A2617" s="3"/>
    </row>
    <row r="2618" spans="1:1" x14ac:dyDescent="0.45">
      <c r="A2618" s="3"/>
    </row>
    <row r="2619" spans="1:1" x14ac:dyDescent="0.45">
      <c r="A2619" s="3"/>
    </row>
    <row r="2620" spans="1:1" x14ac:dyDescent="0.45">
      <c r="A2620" s="3"/>
    </row>
    <row r="2621" spans="1:1" x14ac:dyDescent="0.45">
      <c r="A2621" s="3"/>
    </row>
    <row r="2622" spans="1:1" x14ac:dyDescent="0.45">
      <c r="A2622" s="3"/>
    </row>
    <row r="2623" spans="1:1" x14ac:dyDescent="0.45">
      <c r="A2623" s="3"/>
    </row>
    <row r="2624" spans="1:1" x14ac:dyDescent="0.45">
      <c r="A2624" s="3"/>
    </row>
    <row r="2625" spans="1:1" x14ac:dyDescent="0.45">
      <c r="A2625" s="3"/>
    </row>
    <row r="2626" spans="1:1" x14ac:dyDescent="0.45">
      <c r="A2626" s="3"/>
    </row>
    <row r="2627" spans="1:1" x14ac:dyDescent="0.45">
      <c r="A2627" s="3"/>
    </row>
    <row r="2628" spans="1:1" x14ac:dyDescent="0.45">
      <c r="A2628" s="3"/>
    </row>
    <row r="2629" spans="1:1" x14ac:dyDescent="0.45">
      <c r="A2629" s="3"/>
    </row>
    <row r="2630" spans="1:1" x14ac:dyDescent="0.45">
      <c r="A2630" s="3"/>
    </row>
    <row r="2631" spans="1:1" x14ac:dyDescent="0.45">
      <c r="A2631" s="3"/>
    </row>
    <row r="2632" spans="1:1" x14ac:dyDescent="0.45">
      <c r="A2632" s="3"/>
    </row>
    <row r="2633" spans="1:1" x14ac:dyDescent="0.45">
      <c r="A2633" s="3"/>
    </row>
    <row r="2634" spans="1:1" x14ac:dyDescent="0.45">
      <c r="A2634" s="3"/>
    </row>
    <row r="2635" spans="1:1" x14ac:dyDescent="0.45">
      <c r="A2635" s="3"/>
    </row>
    <row r="2636" spans="1:1" x14ac:dyDescent="0.45">
      <c r="A2636" s="3"/>
    </row>
    <row r="2637" spans="1:1" x14ac:dyDescent="0.45">
      <c r="A2637" s="3"/>
    </row>
    <row r="2638" spans="1:1" x14ac:dyDescent="0.45">
      <c r="A2638" s="3"/>
    </row>
    <row r="2639" spans="1:1" x14ac:dyDescent="0.45">
      <c r="A2639" s="3"/>
    </row>
    <row r="2640" spans="1:1" x14ac:dyDescent="0.45">
      <c r="A2640" s="3"/>
    </row>
    <row r="2641" spans="1:1" x14ac:dyDescent="0.45">
      <c r="A2641" s="3"/>
    </row>
    <row r="2642" spans="1:1" x14ac:dyDescent="0.45">
      <c r="A2642" s="3"/>
    </row>
    <row r="2643" spans="1:1" x14ac:dyDescent="0.45">
      <c r="A2643" s="3"/>
    </row>
    <row r="2644" spans="1:1" x14ac:dyDescent="0.45">
      <c r="A2644" s="3"/>
    </row>
    <row r="2645" spans="1:1" x14ac:dyDescent="0.45">
      <c r="A2645" s="3"/>
    </row>
    <row r="2646" spans="1:1" x14ac:dyDescent="0.45">
      <c r="A2646" s="3"/>
    </row>
    <row r="2647" spans="1:1" x14ac:dyDescent="0.45">
      <c r="A2647" s="3"/>
    </row>
    <row r="2648" spans="1:1" x14ac:dyDescent="0.45">
      <c r="A2648" s="3"/>
    </row>
    <row r="2649" spans="1:1" x14ac:dyDescent="0.45">
      <c r="A2649" s="3"/>
    </row>
    <row r="2650" spans="1:1" x14ac:dyDescent="0.45">
      <c r="A2650" s="3"/>
    </row>
    <row r="2651" spans="1:1" x14ac:dyDescent="0.45">
      <c r="A2651" s="3"/>
    </row>
    <row r="2652" spans="1:1" x14ac:dyDescent="0.45">
      <c r="A2652" s="3"/>
    </row>
    <row r="2653" spans="1:1" x14ac:dyDescent="0.45">
      <c r="A2653" s="3"/>
    </row>
    <row r="2654" spans="1:1" x14ac:dyDescent="0.45">
      <c r="A2654" s="3"/>
    </row>
    <row r="2655" spans="1:1" x14ac:dyDescent="0.45">
      <c r="A2655" s="3"/>
    </row>
    <row r="2656" spans="1:1" x14ac:dyDescent="0.45">
      <c r="A2656" s="3"/>
    </row>
    <row r="2657" spans="1:1" x14ac:dyDescent="0.45">
      <c r="A2657" s="3"/>
    </row>
    <row r="2658" spans="1:1" x14ac:dyDescent="0.45">
      <c r="A2658" s="3"/>
    </row>
    <row r="2659" spans="1:1" x14ac:dyDescent="0.45">
      <c r="A2659" s="3"/>
    </row>
    <row r="2660" spans="1:1" x14ac:dyDescent="0.45">
      <c r="A2660" s="3"/>
    </row>
    <row r="2661" spans="1:1" x14ac:dyDescent="0.45">
      <c r="A2661" s="3"/>
    </row>
    <row r="2662" spans="1:1" x14ac:dyDescent="0.45">
      <c r="A2662" s="3"/>
    </row>
    <row r="2663" spans="1:1" x14ac:dyDescent="0.45">
      <c r="A2663" s="3"/>
    </row>
    <row r="2664" spans="1:1" x14ac:dyDescent="0.45">
      <c r="A2664" s="3"/>
    </row>
    <row r="2665" spans="1:1" x14ac:dyDescent="0.45">
      <c r="A2665" s="3"/>
    </row>
    <row r="2666" spans="1:1" x14ac:dyDescent="0.45">
      <c r="A2666" s="3"/>
    </row>
    <row r="2667" spans="1:1" x14ac:dyDescent="0.45">
      <c r="A2667" s="3"/>
    </row>
    <row r="2668" spans="1:1" x14ac:dyDescent="0.45">
      <c r="A2668" s="3"/>
    </row>
    <row r="2669" spans="1:1" x14ac:dyDescent="0.45">
      <c r="A2669" s="3"/>
    </row>
    <row r="2670" spans="1:1" x14ac:dyDescent="0.45">
      <c r="A2670" s="3"/>
    </row>
    <row r="2671" spans="1:1" x14ac:dyDescent="0.45">
      <c r="A2671" s="3"/>
    </row>
    <row r="2672" spans="1:1" x14ac:dyDescent="0.45">
      <c r="A2672" s="3"/>
    </row>
    <row r="2673" spans="1:1" x14ac:dyDescent="0.45">
      <c r="A2673" s="3"/>
    </row>
    <row r="2674" spans="1:1" x14ac:dyDescent="0.45">
      <c r="A2674" s="3"/>
    </row>
    <row r="2675" spans="1:1" x14ac:dyDescent="0.45">
      <c r="A2675" s="3"/>
    </row>
    <row r="2676" spans="1:1" x14ac:dyDescent="0.45">
      <c r="A2676" s="3"/>
    </row>
    <row r="2677" spans="1:1" x14ac:dyDescent="0.45">
      <c r="A2677" s="3"/>
    </row>
    <row r="2678" spans="1:1" x14ac:dyDescent="0.45">
      <c r="A2678" s="3"/>
    </row>
    <row r="2679" spans="1:1" x14ac:dyDescent="0.45">
      <c r="A2679" s="3"/>
    </row>
    <row r="2680" spans="1:1" x14ac:dyDescent="0.45">
      <c r="A2680" s="3"/>
    </row>
    <row r="2681" spans="1:1" x14ac:dyDescent="0.45">
      <c r="A2681" s="3"/>
    </row>
    <row r="2682" spans="1:1" x14ac:dyDescent="0.45">
      <c r="A2682" s="3"/>
    </row>
    <row r="2683" spans="1:1" x14ac:dyDescent="0.45">
      <c r="A2683" s="3"/>
    </row>
    <row r="2684" spans="1:1" x14ac:dyDescent="0.45">
      <c r="A2684" s="3"/>
    </row>
    <row r="2685" spans="1:1" x14ac:dyDescent="0.45">
      <c r="A2685" s="3"/>
    </row>
    <row r="2686" spans="1:1" x14ac:dyDescent="0.45">
      <c r="A2686" s="3"/>
    </row>
    <row r="2687" spans="1:1" x14ac:dyDescent="0.45">
      <c r="A2687" s="3"/>
    </row>
    <row r="2688" spans="1:1" x14ac:dyDescent="0.45">
      <c r="A2688" s="3"/>
    </row>
    <row r="2689" spans="1:1" x14ac:dyDescent="0.45">
      <c r="A2689" s="3"/>
    </row>
    <row r="2690" spans="1:1" x14ac:dyDescent="0.45">
      <c r="A2690" s="3"/>
    </row>
    <row r="2691" spans="1:1" x14ac:dyDescent="0.45">
      <c r="A2691" s="3"/>
    </row>
    <row r="2692" spans="1:1" x14ac:dyDescent="0.45">
      <c r="A2692" s="3"/>
    </row>
    <row r="2693" spans="1:1" x14ac:dyDescent="0.45">
      <c r="A2693" s="3"/>
    </row>
    <row r="2694" spans="1:1" x14ac:dyDescent="0.45">
      <c r="A2694" s="3"/>
    </row>
    <row r="2695" spans="1:1" x14ac:dyDescent="0.45">
      <c r="A2695" s="3"/>
    </row>
    <row r="2696" spans="1:1" x14ac:dyDescent="0.45">
      <c r="A2696" s="3"/>
    </row>
    <row r="2697" spans="1:1" x14ac:dyDescent="0.45">
      <c r="A2697" s="3"/>
    </row>
    <row r="2698" spans="1:1" x14ac:dyDescent="0.45">
      <c r="A2698" s="3"/>
    </row>
    <row r="2699" spans="1:1" x14ac:dyDescent="0.45">
      <c r="A2699" s="3"/>
    </row>
    <row r="2700" spans="1:1" x14ac:dyDescent="0.45">
      <c r="A2700" s="3"/>
    </row>
    <row r="2701" spans="1:1" x14ac:dyDescent="0.45">
      <c r="A2701" s="3"/>
    </row>
    <row r="2702" spans="1:1" x14ac:dyDescent="0.45">
      <c r="A2702" s="3"/>
    </row>
    <row r="2703" spans="1:1" x14ac:dyDescent="0.45">
      <c r="A2703" s="3"/>
    </row>
    <row r="2704" spans="1:1" x14ac:dyDescent="0.45">
      <c r="A2704" s="3"/>
    </row>
    <row r="2705" spans="1:1" x14ac:dyDescent="0.45">
      <c r="A2705" s="3"/>
    </row>
    <row r="2706" spans="1:1" x14ac:dyDescent="0.45">
      <c r="A2706" s="3"/>
    </row>
    <row r="2707" spans="1:1" x14ac:dyDescent="0.45">
      <c r="A2707" s="3"/>
    </row>
    <row r="2708" spans="1:1" x14ac:dyDescent="0.45">
      <c r="A2708" s="3"/>
    </row>
    <row r="2709" spans="1:1" x14ac:dyDescent="0.45">
      <c r="A2709" s="3"/>
    </row>
    <row r="2710" spans="1:1" x14ac:dyDescent="0.45">
      <c r="A2710" s="3"/>
    </row>
    <row r="2711" spans="1:1" x14ac:dyDescent="0.45">
      <c r="A2711" s="3"/>
    </row>
    <row r="2712" spans="1:1" x14ac:dyDescent="0.45">
      <c r="A2712" s="3"/>
    </row>
    <row r="2713" spans="1:1" x14ac:dyDescent="0.45">
      <c r="A2713" s="3"/>
    </row>
    <row r="2714" spans="1:1" x14ac:dyDescent="0.45">
      <c r="A2714" s="3"/>
    </row>
    <row r="2715" spans="1:1" x14ac:dyDescent="0.45">
      <c r="A2715" s="3"/>
    </row>
    <row r="2716" spans="1:1" x14ac:dyDescent="0.45">
      <c r="A2716" s="3"/>
    </row>
    <row r="2717" spans="1:1" x14ac:dyDescent="0.45">
      <c r="A2717" s="3"/>
    </row>
    <row r="2718" spans="1:1" x14ac:dyDescent="0.45">
      <c r="A2718" s="3"/>
    </row>
    <row r="2719" spans="1:1" x14ac:dyDescent="0.45">
      <c r="A2719" s="3"/>
    </row>
    <row r="2720" spans="1:1" x14ac:dyDescent="0.45">
      <c r="A2720" s="3"/>
    </row>
    <row r="2721" spans="1:1" x14ac:dyDescent="0.45">
      <c r="A2721" s="3"/>
    </row>
    <row r="2722" spans="1:1" x14ac:dyDescent="0.45">
      <c r="A2722" s="3"/>
    </row>
    <row r="2723" spans="1:1" x14ac:dyDescent="0.45">
      <c r="A2723" s="3"/>
    </row>
    <row r="2724" spans="1:1" x14ac:dyDescent="0.45">
      <c r="A2724" s="3"/>
    </row>
    <row r="2725" spans="1:1" x14ac:dyDescent="0.45">
      <c r="A2725" s="3"/>
    </row>
    <row r="2726" spans="1:1" x14ac:dyDescent="0.45">
      <c r="A2726" s="3"/>
    </row>
    <row r="2727" spans="1:1" x14ac:dyDescent="0.45">
      <c r="A2727" s="3"/>
    </row>
    <row r="2728" spans="1:1" x14ac:dyDescent="0.45">
      <c r="A2728" s="3"/>
    </row>
    <row r="2729" spans="1:1" x14ac:dyDescent="0.45">
      <c r="A2729" s="3"/>
    </row>
    <row r="2730" spans="1:1" x14ac:dyDescent="0.45">
      <c r="A2730" s="3"/>
    </row>
    <row r="2731" spans="1:1" x14ac:dyDescent="0.45">
      <c r="A2731" s="3"/>
    </row>
    <row r="2732" spans="1:1" x14ac:dyDescent="0.45">
      <c r="A2732" s="3"/>
    </row>
    <row r="2733" spans="1:1" x14ac:dyDescent="0.45">
      <c r="A2733" s="3"/>
    </row>
    <row r="2734" spans="1:1" x14ac:dyDescent="0.45">
      <c r="A2734" s="3"/>
    </row>
    <row r="2735" spans="1:1" x14ac:dyDescent="0.45">
      <c r="A2735" s="3"/>
    </row>
    <row r="2736" spans="1:1" x14ac:dyDescent="0.45">
      <c r="A2736" s="3"/>
    </row>
    <row r="2737" spans="1:1" x14ac:dyDescent="0.45">
      <c r="A2737" s="3"/>
    </row>
    <row r="2738" spans="1:1" x14ac:dyDescent="0.45">
      <c r="A2738" s="3"/>
    </row>
    <row r="2739" spans="1:1" x14ac:dyDescent="0.45">
      <c r="A2739" s="3"/>
    </row>
    <row r="2740" spans="1:1" x14ac:dyDescent="0.45">
      <c r="A2740" s="3"/>
    </row>
    <row r="2741" spans="1:1" x14ac:dyDescent="0.45">
      <c r="A2741" s="3"/>
    </row>
    <row r="2742" spans="1:1" x14ac:dyDescent="0.45">
      <c r="A2742" s="3"/>
    </row>
    <row r="2743" spans="1:1" x14ac:dyDescent="0.45">
      <c r="A2743" s="3"/>
    </row>
    <row r="2744" spans="1:1" x14ac:dyDescent="0.45">
      <c r="A2744" s="3"/>
    </row>
    <row r="2745" spans="1:1" x14ac:dyDescent="0.45">
      <c r="A2745" s="3"/>
    </row>
    <row r="2746" spans="1:1" x14ac:dyDescent="0.45">
      <c r="A2746" s="3"/>
    </row>
    <row r="2747" spans="1:1" x14ac:dyDescent="0.45">
      <c r="A2747" s="3"/>
    </row>
    <row r="2748" spans="1:1" x14ac:dyDescent="0.45">
      <c r="A2748" s="3"/>
    </row>
    <row r="2749" spans="1:1" x14ac:dyDescent="0.45">
      <c r="A2749" s="3"/>
    </row>
    <row r="2750" spans="1:1" x14ac:dyDescent="0.45">
      <c r="A2750" s="3"/>
    </row>
    <row r="2751" spans="1:1" x14ac:dyDescent="0.45">
      <c r="A2751" s="3"/>
    </row>
    <row r="2752" spans="1:1" x14ac:dyDescent="0.45">
      <c r="A2752" s="3"/>
    </row>
    <row r="2753" spans="1:1" x14ac:dyDescent="0.45">
      <c r="A2753" s="3"/>
    </row>
    <row r="2754" spans="1:1" x14ac:dyDescent="0.45">
      <c r="A2754" s="3"/>
    </row>
    <row r="2755" spans="1:1" x14ac:dyDescent="0.45">
      <c r="A2755" s="3"/>
    </row>
    <row r="2756" spans="1:1" x14ac:dyDescent="0.45">
      <c r="A2756" s="3"/>
    </row>
    <row r="2757" spans="1:1" x14ac:dyDescent="0.45">
      <c r="A2757" s="3"/>
    </row>
    <row r="2758" spans="1:1" x14ac:dyDescent="0.45">
      <c r="A2758" s="3"/>
    </row>
    <row r="2759" spans="1:1" x14ac:dyDescent="0.45">
      <c r="A2759" s="3"/>
    </row>
    <row r="2760" spans="1:1" x14ac:dyDescent="0.45">
      <c r="A2760" s="3"/>
    </row>
    <row r="2761" spans="1:1" x14ac:dyDescent="0.45">
      <c r="A2761" s="3"/>
    </row>
    <row r="2762" spans="1:1" x14ac:dyDescent="0.45">
      <c r="A2762" s="3"/>
    </row>
    <row r="2763" spans="1:1" x14ac:dyDescent="0.45">
      <c r="A2763" s="3"/>
    </row>
    <row r="2764" spans="1:1" x14ac:dyDescent="0.45">
      <c r="A2764" s="3"/>
    </row>
    <row r="2765" spans="1:1" x14ac:dyDescent="0.45">
      <c r="A2765" s="3"/>
    </row>
    <row r="2766" spans="1:1" x14ac:dyDescent="0.45">
      <c r="A2766" s="3"/>
    </row>
    <row r="2767" spans="1:1" x14ac:dyDescent="0.45">
      <c r="A2767" s="3"/>
    </row>
    <row r="2768" spans="1:1" x14ac:dyDescent="0.45">
      <c r="A2768" s="3"/>
    </row>
    <row r="2769" spans="1:1" x14ac:dyDescent="0.45">
      <c r="A2769" s="3"/>
    </row>
    <row r="2770" spans="1:1" x14ac:dyDescent="0.45">
      <c r="A2770" s="3"/>
    </row>
    <row r="2771" spans="1:1" x14ac:dyDescent="0.45">
      <c r="A2771" s="3"/>
    </row>
    <row r="2772" spans="1:1" x14ac:dyDescent="0.45">
      <c r="A2772" s="3"/>
    </row>
    <row r="2773" spans="1:1" x14ac:dyDescent="0.45">
      <c r="A2773" s="3"/>
    </row>
    <row r="2774" spans="1:1" x14ac:dyDescent="0.45">
      <c r="A2774" s="3"/>
    </row>
    <row r="2775" spans="1:1" x14ac:dyDescent="0.45">
      <c r="A2775" s="3"/>
    </row>
    <row r="2776" spans="1:1" x14ac:dyDescent="0.45">
      <c r="A2776" s="3"/>
    </row>
    <row r="2777" spans="1:1" x14ac:dyDescent="0.45">
      <c r="A2777" s="3"/>
    </row>
    <row r="2778" spans="1:1" x14ac:dyDescent="0.45">
      <c r="A2778" s="3"/>
    </row>
    <row r="2779" spans="1:1" x14ac:dyDescent="0.45">
      <c r="A2779" s="3"/>
    </row>
    <row r="2780" spans="1:1" x14ac:dyDescent="0.45">
      <c r="A2780" s="3"/>
    </row>
    <row r="2781" spans="1:1" x14ac:dyDescent="0.45">
      <c r="A2781" s="3"/>
    </row>
    <row r="2782" spans="1:1" x14ac:dyDescent="0.45">
      <c r="A2782" s="3"/>
    </row>
    <row r="2783" spans="1:1" x14ac:dyDescent="0.45">
      <c r="A2783" s="3"/>
    </row>
    <row r="2784" spans="1:1" x14ac:dyDescent="0.45">
      <c r="A2784" s="3"/>
    </row>
    <row r="2785" spans="1:1" x14ac:dyDescent="0.45">
      <c r="A2785" s="3"/>
    </row>
    <row r="2786" spans="1:1" x14ac:dyDescent="0.45">
      <c r="A2786" s="3"/>
    </row>
    <row r="2787" spans="1:1" x14ac:dyDescent="0.45">
      <c r="A2787" s="3"/>
    </row>
    <row r="2788" spans="1:1" x14ac:dyDescent="0.45">
      <c r="A2788" s="3"/>
    </row>
    <row r="2789" spans="1:1" x14ac:dyDescent="0.45">
      <c r="A2789" s="3"/>
    </row>
    <row r="2790" spans="1:1" x14ac:dyDescent="0.45">
      <c r="A2790" s="3"/>
    </row>
    <row r="2791" spans="1:1" x14ac:dyDescent="0.45">
      <c r="A2791" s="3"/>
    </row>
    <row r="2792" spans="1:1" x14ac:dyDescent="0.45">
      <c r="A2792" s="3"/>
    </row>
    <row r="2793" spans="1:1" x14ac:dyDescent="0.45">
      <c r="A2793" s="3"/>
    </row>
    <row r="2794" spans="1:1" x14ac:dyDescent="0.45">
      <c r="A2794" s="3"/>
    </row>
    <row r="2795" spans="1:1" x14ac:dyDescent="0.45">
      <c r="A2795" s="3"/>
    </row>
    <row r="2796" spans="1:1" x14ac:dyDescent="0.45">
      <c r="A2796" s="3"/>
    </row>
    <row r="2797" spans="1:1" x14ac:dyDescent="0.45">
      <c r="A2797" s="3"/>
    </row>
    <row r="2798" spans="1:1" x14ac:dyDescent="0.45">
      <c r="A2798" s="3"/>
    </row>
    <row r="2799" spans="1:1" x14ac:dyDescent="0.45">
      <c r="A2799" s="3"/>
    </row>
    <row r="2800" spans="1:1" x14ac:dyDescent="0.45">
      <c r="A2800" s="3"/>
    </row>
    <row r="2801" spans="1:1" x14ac:dyDescent="0.45">
      <c r="A2801" s="3"/>
    </row>
    <row r="2802" spans="1:1" x14ac:dyDescent="0.45">
      <c r="A2802" s="3"/>
    </row>
    <row r="2803" spans="1:1" x14ac:dyDescent="0.45">
      <c r="A2803" s="3"/>
    </row>
    <row r="2804" spans="1:1" x14ac:dyDescent="0.45">
      <c r="A2804" s="3"/>
    </row>
    <row r="2805" spans="1:1" x14ac:dyDescent="0.45">
      <c r="A2805" s="3"/>
    </row>
    <row r="2806" spans="1:1" x14ac:dyDescent="0.45">
      <c r="A2806" s="3"/>
    </row>
    <row r="2807" spans="1:1" x14ac:dyDescent="0.45">
      <c r="A2807" s="3"/>
    </row>
    <row r="2808" spans="1:1" x14ac:dyDescent="0.45">
      <c r="A2808" s="3"/>
    </row>
    <row r="2809" spans="1:1" x14ac:dyDescent="0.45">
      <c r="A2809" s="3"/>
    </row>
    <row r="2810" spans="1:1" x14ac:dyDescent="0.45">
      <c r="A2810" s="3"/>
    </row>
    <row r="2811" spans="1:1" x14ac:dyDescent="0.45">
      <c r="A2811" s="3"/>
    </row>
    <row r="2812" spans="1:1" x14ac:dyDescent="0.45">
      <c r="A2812" s="3"/>
    </row>
    <row r="2813" spans="1:1" x14ac:dyDescent="0.45">
      <c r="A2813" s="3"/>
    </row>
    <row r="2814" spans="1:1" x14ac:dyDescent="0.45">
      <c r="A2814" s="3"/>
    </row>
    <row r="2815" spans="1:1" x14ac:dyDescent="0.45">
      <c r="A2815" s="3"/>
    </row>
    <row r="2816" spans="1:1" x14ac:dyDescent="0.45">
      <c r="A2816" s="3"/>
    </row>
    <row r="2817" spans="1:1" x14ac:dyDescent="0.45">
      <c r="A2817" s="3"/>
    </row>
    <row r="2818" spans="1:1" x14ac:dyDescent="0.45">
      <c r="A2818" s="3"/>
    </row>
    <row r="2819" spans="1:1" x14ac:dyDescent="0.45">
      <c r="A2819" s="3"/>
    </row>
    <row r="2820" spans="1:1" x14ac:dyDescent="0.45">
      <c r="A2820" s="3"/>
    </row>
    <row r="2821" spans="1:1" x14ac:dyDescent="0.45">
      <c r="A2821" s="3"/>
    </row>
    <row r="2822" spans="1:1" x14ac:dyDescent="0.45">
      <c r="A2822" s="3"/>
    </row>
    <row r="2823" spans="1:1" x14ac:dyDescent="0.45">
      <c r="A2823" s="3"/>
    </row>
    <row r="2824" spans="1:1" x14ac:dyDescent="0.45">
      <c r="A2824" s="3"/>
    </row>
    <row r="2825" spans="1:1" x14ac:dyDescent="0.45">
      <c r="A2825" s="3"/>
    </row>
    <row r="2826" spans="1:1" x14ac:dyDescent="0.45">
      <c r="A2826" s="3"/>
    </row>
    <row r="2827" spans="1:1" x14ac:dyDescent="0.45">
      <c r="A2827" s="3"/>
    </row>
    <row r="2828" spans="1:1" x14ac:dyDescent="0.45">
      <c r="A2828" s="3"/>
    </row>
    <row r="2829" spans="1:1" x14ac:dyDescent="0.45">
      <c r="A2829" s="3"/>
    </row>
    <row r="2830" spans="1:1" x14ac:dyDescent="0.45">
      <c r="A2830" s="3"/>
    </row>
    <row r="2831" spans="1:1" x14ac:dyDescent="0.45">
      <c r="A2831" s="3"/>
    </row>
    <row r="2832" spans="1:1" x14ac:dyDescent="0.45">
      <c r="A2832" s="3"/>
    </row>
    <row r="2833" spans="1:1" x14ac:dyDescent="0.45">
      <c r="A2833" s="3"/>
    </row>
    <row r="2834" spans="1:1" x14ac:dyDescent="0.45">
      <c r="A2834" s="3"/>
    </row>
    <row r="2835" spans="1:1" x14ac:dyDescent="0.45">
      <c r="A2835" s="3"/>
    </row>
    <row r="2836" spans="1:1" x14ac:dyDescent="0.45">
      <c r="A2836" s="3"/>
    </row>
    <row r="2837" spans="1:1" x14ac:dyDescent="0.45">
      <c r="A2837" s="3"/>
    </row>
    <row r="2838" spans="1:1" x14ac:dyDescent="0.45">
      <c r="A2838" s="3"/>
    </row>
    <row r="2839" spans="1:1" x14ac:dyDescent="0.45">
      <c r="A2839" s="3"/>
    </row>
    <row r="2840" spans="1:1" x14ac:dyDescent="0.45">
      <c r="A2840" s="3"/>
    </row>
    <row r="2841" spans="1:1" x14ac:dyDescent="0.45">
      <c r="A2841" s="3"/>
    </row>
    <row r="2842" spans="1:1" x14ac:dyDescent="0.45">
      <c r="A2842" s="3"/>
    </row>
    <row r="2843" spans="1:1" x14ac:dyDescent="0.45">
      <c r="A2843" s="3"/>
    </row>
    <row r="2844" spans="1:1" x14ac:dyDescent="0.45">
      <c r="A2844" s="3"/>
    </row>
    <row r="2845" spans="1:1" x14ac:dyDescent="0.45">
      <c r="A2845" s="3"/>
    </row>
    <row r="2846" spans="1:1" x14ac:dyDescent="0.45">
      <c r="A2846" s="3"/>
    </row>
    <row r="2847" spans="1:1" x14ac:dyDescent="0.45">
      <c r="A2847" s="3"/>
    </row>
    <row r="2848" spans="1:1" x14ac:dyDescent="0.45">
      <c r="A2848" s="3"/>
    </row>
    <row r="2849" spans="1:1" x14ac:dyDescent="0.45">
      <c r="A2849" s="3"/>
    </row>
    <row r="2850" spans="1:1" x14ac:dyDescent="0.45">
      <c r="A2850" s="3"/>
    </row>
    <row r="2851" spans="1:1" x14ac:dyDescent="0.45">
      <c r="A2851" s="3"/>
    </row>
    <row r="2852" spans="1:1" x14ac:dyDescent="0.45">
      <c r="A2852" s="3"/>
    </row>
    <row r="2853" spans="1:1" x14ac:dyDescent="0.45">
      <c r="A2853" s="3"/>
    </row>
    <row r="2854" spans="1:1" x14ac:dyDescent="0.45">
      <c r="A2854" s="3"/>
    </row>
    <row r="2855" spans="1:1" x14ac:dyDescent="0.45">
      <c r="A2855" s="3"/>
    </row>
    <row r="2856" spans="1:1" x14ac:dyDescent="0.45">
      <c r="A2856" s="3"/>
    </row>
    <row r="2857" spans="1:1" x14ac:dyDescent="0.45">
      <c r="A2857" s="3"/>
    </row>
    <row r="2858" spans="1:1" x14ac:dyDescent="0.45">
      <c r="A2858" s="3"/>
    </row>
    <row r="2859" spans="1:1" x14ac:dyDescent="0.45">
      <c r="A2859" s="3"/>
    </row>
    <row r="2860" spans="1:1" x14ac:dyDescent="0.45">
      <c r="A2860" s="3"/>
    </row>
    <row r="2861" spans="1:1" x14ac:dyDescent="0.45">
      <c r="A2861" s="3"/>
    </row>
    <row r="2862" spans="1:1" x14ac:dyDescent="0.45">
      <c r="A2862" s="3"/>
    </row>
    <row r="2863" spans="1:1" x14ac:dyDescent="0.45">
      <c r="A2863" s="3"/>
    </row>
    <row r="2864" spans="1:1" x14ac:dyDescent="0.45">
      <c r="A2864" s="3"/>
    </row>
    <row r="2865" spans="1:1" x14ac:dyDescent="0.45">
      <c r="A2865" s="3"/>
    </row>
    <row r="2866" spans="1:1" x14ac:dyDescent="0.45">
      <c r="A2866" s="3"/>
    </row>
    <row r="2867" spans="1:1" x14ac:dyDescent="0.45">
      <c r="A2867" s="3"/>
    </row>
    <row r="2868" spans="1:1" x14ac:dyDescent="0.45">
      <c r="A2868" s="3"/>
    </row>
    <row r="2869" spans="1:1" x14ac:dyDescent="0.45">
      <c r="A2869" s="3"/>
    </row>
    <row r="2870" spans="1:1" x14ac:dyDescent="0.45">
      <c r="A2870" s="3"/>
    </row>
    <row r="2871" spans="1:1" x14ac:dyDescent="0.45">
      <c r="A2871" s="3"/>
    </row>
    <row r="2872" spans="1:1" x14ac:dyDescent="0.45">
      <c r="A2872" s="3"/>
    </row>
    <row r="2873" spans="1:1" x14ac:dyDescent="0.45">
      <c r="A2873" s="3"/>
    </row>
    <row r="2874" spans="1:1" x14ac:dyDescent="0.45">
      <c r="A2874" s="3"/>
    </row>
    <row r="2875" spans="1:1" x14ac:dyDescent="0.45">
      <c r="A2875" s="3"/>
    </row>
    <row r="2876" spans="1:1" x14ac:dyDescent="0.45">
      <c r="A2876" s="3"/>
    </row>
    <row r="2877" spans="1:1" x14ac:dyDescent="0.45">
      <c r="A2877" s="3"/>
    </row>
    <row r="2878" spans="1:1" x14ac:dyDescent="0.45">
      <c r="A2878" s="3"/>
    </row>
    <row r="2879" spans="1:1" x14ac:dyDescent="0.45">
      <c r="A2879" s="3"/>
    </row>
    <row r="2880" spans="1:1" x14ac:dyDescent="0.45">
      <c r="A2880" s="3"/>
    </row>
    <row r="2881" spans="1:1" x14ac:dyDescent="0.45">
      <c r="A2881" s="3"/>
    </row>
    <row r="2882" spans="1:1" x14ac:dyDescent="0.45">
      <c r="A2882" s="3"/>
    </row>
    <row r="2883" spans="1:1" x14ac:dyDescent="0.45">
      <c r="A2883" s="3"/>
    </row>
    <row r="2884" spans="1:1" x14ac:dyDescent="0.45">
      <c r="A2884" s="3"/>
    </row>
    <row r="2885" spans="1:1" x14ac:dyDescent="0.45">
      <c r="A2885" s="3"/>
    </row>
    <row r="2886" spans="1:1" x14ac:dyDescent="0.45">
      <c r="A2886" s="3"/>
    </row>
    <row r="2887" spans="1:1" x14ac:dyDescent="0.45">
      <c r="A2887" s="3"/>
    </row>
    <row r="2888" spans="1:1" x14ac:dyDescent="0.45">
      <c r="A2888" s="3"/>
    </row>
    <row r="2889" spans="1:1" x14ac:dyDescent="0.45">
      <c r="A2889" s="3"/>
    </row>
    <row r="2890" spans="1:1" x14ac:dyDescent="0.45">
      <c r="A2890" s="3"/>
    </row>
    <row r="2891" spans="1:1" x14ac:dyDescent="0.45">
      <c r="A2891" s="3"/>
    </row>
    <row r="2892" spans="1:1" x14ac:dyDescent="0.45">
      <c r="A2892" s="3"/>
    </row>
    <row r="2893" spans="1:1" x14ac:dyDescent="0.45">
      <c r="A2893" s="3"/>
    </row>
    <row r="2894" spans="1:1" x14ac:dyDescent="0.45">
      <c r="A2894" s="3"/>
    </row>
    <row r="2895" spans="1:1" x14ac:dyDescent="0.45">
      <c r="A2895" s="3"/>
    </row>
    <row r="2896" spans="1:1" x14ac:dyDescent="0.45">
      <c r="A2896" s="3"/>
    </row>
    <row r="2897" spans="1:1" x14ac:dyDescent="0.45">
      <c r="A2897" s="3"/>
    </row>
    <row r="2898" spans="1:1" x14ac:dyDescent="0.45">
      <c r="A2898" s="3"/>
    </row>
    <row r="2899" spans="1:1" x14ac:dyDescent="0.45">
      <c r="A2899" s="3"/>
    </row>
    <row r="2900" spans="1:1" x14ac:dyDescent="0.45">
      <c r="A2900" s="3"/>
    </row>
    <row r="2901" spans="1:1" x14ac:dyDescent="0.45">
      <c r="A2901" s="3"/>
    </row>
    <row r="2902" spans="1:1" x14ac:dyDescent="0.45">
      <c r="A2902" s="3"/>
    </row>
    <row r="2903" spans="1:1" x14ac:dyDescent="0.45">
      <c r="A2903" s="3"/>
    </row>
    <row r="2904" spans="1:1" x14ac:dyDescent="0.45">
      <c r="A2904" s="3"/>
    </row>
    <row r="2905" spans="1:1" x14ac:dyDescent="0.45">
      <c r="A2905" s="3"/>
    </row>
    <row r="2906" spans="1:1" x14ac:dyDescent="0.45">
      <c r="A2906" s="3"/>
    </row>
    <row r="2907" spans="1:1" x14ac:dyDescent="0.45">
      <c r="A2907" s="3"/>
    </row>
    <row r="2908" spans="1:1" x14ac:dyDescent="0.45">
      <c r="A2908" s="3"/>
    </row>
    <row r="2909" spans="1:1" x14ac:dyDescent="0.45">
      <c r="A2909" s="3"/>
    </row>
    <row r="2910" spans="1:1" x14ac:dyDescent="0.45">
      <c r="A2910" s="3"/>
    </row>
    <row r="2911" spans="1:1" x14ac:dyDescent="0.45">
      <c r="A2911" s="3"/>
    </row>
    <row r="2912" spans="1:1" x14ac:dyDescent="0.45">
      <c r="A2912" s="3"/>
    </row>
    <row r="2913" spans="1:1" x14ac:dyDescent="0.45">
      <c r="A2913" s="3"/>
    </row>
    <row r="2914" spans="1:1" x14ac:dyDescent="0.45">
      <c r="A2914" s="3"/>
    </row>
    <row r="2915" spans="1:1" x14ac:dyDescent="0.45">
      <c r="A2915" s="3"/>
    </row>
    <row r="2916" spans="1:1" x14ac:dyDescent="0.45">
      <c r="A2916" s="3"/>
    </row>
    <row r="2917" spans="1:1" x14ac:dyDescent="0.45">
      <c r="A2917" s="3"/>
    </row>
    <row r="2918" spans="1:1" x14ac:dyDescent="0.45">
      <c r="A2918" s="3"/>
    </row>
    <row r="2919" spans="1:1" x14ac:dyDescent="0.45">
      <c r="A2919" s="3"/>
    </row>
    <row r="2920" spans="1:1" x14ac:dyDescent="0.45">
      <c r="A2920" s="3"/>
    </row>
    <row r="2921" spans="1:1" x14ac:dyDescent="0.45">
      <c r="A2921" s="3"/>
    </row>
    <row r="2922" spans="1:1" x14ac:dyDescent="0.45">
      <c r="A2922" s="3"/>
    </row>
    <row r="2923" spans="1:1" x14ac:dyDescent="0.45">
      <c r="A2923" s="3"/>
    </row>
    <row r="2924" spans="1:1" x14ac:dyDescent="0.45">
      <c r="A2924" s="3"/>
    </row>
    <row r="2925" spans="1:1" x14ac:dyDescent="0.45">
      <c r="A2925" s="3"/>
    </row>
    <row r="2926" spans="1:1" x14ac:dyDescent="0.45">
      <c r="A2926" s="3"/>
    </row>
    <row r="2927" spans="1:1" x14ac:dyDescent="0.45">
      <c r="A2927" s="3"/>
    </row>
    <row r="2928" spans="1:1" x14ac:dyDescent="0.45">
      <c r="A2928" s="3"/>
    </row>
    <row r="2929" spans="1:1" x14ac:dyDescent="0.45">
      <c r="A2929" s="3"/>
    </row>
    <row r="2930" spans="1:1" x14ac:dyDescent="0.45">
      <c r="A2930" s="3"/>
    </row>
    <row r="2931" spans="1:1" x14ac:dyDescent="0.45">
      <c r="A2931" s="3"/>
    </row>
    <row r="2932" spans="1:1" x14ac:dyDescent="0.45">
      <c r="A2932" s="3"/>
    </row>
    <row r="2933" spans="1:1" x14ac:dyDescent="0.45">
      <c r="A2933" s="3"/>
    </row>
    <row r="2934" spans="1:1" x14ac:dyDescent="0.45">
      <c r="A2934" s="3"/>
    </row>
    <row r="2935" spans="1:1" x14ac:dyDescent="0.45">
      <c r="A2935" s="3"/>
    </row>
    <row r="2936" spans="1:1" x14ac:dyDescent="0.45">
      <c r="A2936" s="3"/>
    </row>
    <row r="2937" spans="1:1" x14ac:dyDescent="0.45">
      <c r="A2937" s="3"/>
    </row>
    <row r="2938" spans="1:1" x14ac:dyDescent="0.45">
      <c r="A2938" s="3"/>
    </row>
    <row r="2939" spans="1:1" x14ac:dyDescent="0.45">
      <c r="A2939" s="3"/>
    </row>
    <row r="2940" spans="1:1" x14ac:dyDescent="0.45">
      <c r="A2940" s="3"/>
    </row>
    <row r="2941" spans="1:1" x14ac:dyDescent="0.45">
      <c r="A2941" s="3"/>
    </row>
    <row r="2942" spans="1:1" x14ac:dyDescent="0.45">
      <c r="A2942" s="3"/>
    </row>
    <row r="2943" spans="1:1" x14ac:dyDescent="0.45">
      <c r="A2943" s="3"/>
    </row>
    <row r="2944" spans="1:1" x14ac:dyDescent="0.45">
      <c r="A2944" s="3"/>
    </row>
    <row r="2945" spans="1:1" x14ac:dyDescent="0.45">
      <c r="A2945" s="3"/>
    </row>
    <row r="2946" spans="1:1" x14ac:dyDescent="0.45">
      <c r="A2946" s="3"/>
    </row>
    <row r="2947" spans="1:1" x14ac:dyDescent="0.45">
      <c r="A2947" s="3"/>
    </row>
    <row r="2948" spans="1:1" x14ac:dyDescent="0.45">
      <c r="A2948" s="3"/>
    </row>
    <row r="2949" spans="1:1" x14ac:dyDescent="0.45">
      <c r="A2949" s="3"/>
    </row>
    <row r="2950" spans="1:1" x14ac:dyDescent="0.45">
      <c r="A2950" s="3"/>
    </row>
    <row r="2951" spans="1:1" x14ac:dyDescent="0.45">
      <c r="A2951" s="3"/>
    </row>
    <row r="2952" spans="1:1" x14ac:dyDescent="0.45">
      <c r="A2952" s="3"/>
    </row>
    <row r="2953" spans="1:1" x14ac:dyDescent="0.45">
      <c r="A2953" s="3"/>
    </row>
    <row r="2954" spans="1:1" x14ac:dyDescent="0.45">
      <c r="A2954" s="3"/>
    </row>
    <row r="2955" spans="1:1" x14ac:dyDescent="0.45">
      <c r="A2955" s="3"/>
    </row>
    <row r="2956" spans="1:1" x14ac:dyDescent="0.45">
      <c r="A2956" s="3"/>
    </row>
    <row r="2957" spans="1:1" x14ac:dyDescent="0.45">
      <c r="A2957" s="3"/>
    </row>
    <row r="2958" spans="1:1" x14ac:dyDescent="0.45">
      <c r="A2958" s="3"/>
    </row>
    <row r="2959" spans="1:1" x14ac:dyDescent="0.45">
      <c r="A2959" s="3"/>
    </row>
    <row r="2960" spans="1:1" x14ac:dyDescent="0.45">
      <c r="A2960" s="3"/>
    </row>
    <row r="2961" spans="1:1" x14ac:dyDescent="0.45">
      <c r="A2961" s="3"/>
    </row>
    <row r="2962" spans="1:1" x14ac:dyDescent="0.45">
      <c r="A2962" s="3"/>
    </row>
    <row r="2963" spans="1:1" x14ac:dyDescent="0.45">
      <c r="A2963" s="3"/>
    </row>
    <row r="2964" spans="1:1" x14ac:dyDescent="0.45">
      <c r="A2964" s="3"/>
    </row>
    <row r="2965" spans="1:1" x14ac:dyDescent="0.45">
      <c r="A2965" s="3"/>
    </row>
    <row r="2966" spans="1:1" x14ac:dyDescent="0.45">
      <c r="A2966" s="3"/>
    </row>
    <row r="2967" spans="1:1" x14ac:dyDescent="0.45">
      <c r="A2967" s="3"/>
    </row>
    <row r="2968" spans="1:1" x14ac:dyDescent="0.45">
      <c r="A2968" s="3"/>
    </row>
    <row r="2969" spans="1:1" x14ac:dyDescent="0.45">
      <c r="A2969" s="3"/>
    </row>
    <row r="2970" spans="1:1" x14ac:dyDescent="0.45">
      <c r="A2970" s="3"/>
    </row>
    <row r="2971" spans="1:1" x14ac:dyDescent="0.45">
      <c r="A2971" s="3"/>
    </row>
    <row r="2972" spans="1:1" x14ac:dyDescent="0.45">
      <c r="A2972" s="3"/>
    </row>
    <row r="2973" spans="1:1" x14ac:dyDescent="0.45">
      <c r="A2973" s="3"/>
    </row>
    <row r="2974" spans="1:1" x14ac:dyDescent="0.45">
      <c r="A2974" s="3"/>
    </row>
    <row r="2975" spans="1:1" x14ac:dyDescent="0.45">
      <c r="A2975" s="3"/>
    </row>
    <row r="2976" spans="1:1" x14ac:dyDescent="0.45">
      <c r="A2976" s="3"/>
    </row>
    <row r="2977" spans="1:1" x14ac:dyDescent="0.45">
      <c r="A2977" s="3"/>
    </row>
    <row r="2978" spans="1:1" x14ac:dyDescent="0.45">
      <c r="A2978" s="3"/>
    </row>
    <row r="2979" spans="1:1" x14ac:dyDescent="0.45">
      <c r="A2979" s="3"/>
    </row>
    <row r="2980" spans="1:1" x14ac:dyDescent="0.45">
      <c r="A2980" s="3"/>
    </row>
    <row r="2981" spans="1:1" x14ac:dyDescent="0.45">
      <c r="A2981" s="3"/>
    </row>
    <row r="2982" spans="1:1" x14ac:dyDescent="0.45">
      <c r="A2982" s="3"/>
    </row>
    <row r="2983" spans="1:1" x14ac:dyDescent="0.45">
      <c r="A2983" s="3"/>
    </row>
    <row r="2984" spans="1:1" x14ac:dyDescent="0.45">
      <c r="A2984" s="3"/>
    </row>
    <row r="2985" spans="1:1" x14ac:dyDescent="0.45">
      <c r="A2985" s="3"/>
    </row>
    <row r="2986" spans="1:1" x14ac:dyDescent="0.45">
      <c r="A2986" s="3"/>
    </row>
    <row r="2987" spans="1:1" x14ac:dyDescent="0.45">
      <c r="A2987" s="3"/>
    </row>
    <row r="2988" spans="1:1" x14ac:dyDescent="0.45">
      <c r="A2988" s="3"/>
    </row>
    <row r="2989" spans="1:1" x14ac:dyDescent="0.45">
      <c r="A2989" s="3"/>
    </row>
    <row r="2990" spans="1:1" x14ac:dyDescent="0.45">
      <c r="A2990" s="3"/>
    </row>
    <row r="2991" spans="1:1" x14ac:dyDescent="0.45">
      <c r="A2991" s="3"/>
    </row>
    <row r="2992" spans="1:1" x14ac:dyDescent="0.45">
      <c r="A2992" s="3"/>
    </row>
    <row r="2993" spans="1:1" x14ac:dyDescent="0.45">
      <c r="A2993" s="3"/>
    </row>
    <row r="2994" spans="1:1" x14ac:dyDescent="0.45">
      <c r="A2994" s="3"/>
    </row>
    <row r="2995" spans="1:1" x14ac:dyDescent="0.45">
      <c r="A2995" s="3"/>
    </row>
    <row r="2996" spans="1:1" x14ac:dyDescent="0.45">
      <c r="A2996" s="3"/>
    </row>
    <row r="2997" spans="1:1" x14ac:dyDescent="0.45">
      <c r="A2997" s="3"/>
    </row>
    <row r="2998" spans="1:1" x14ac:dyDescent="0.45">
      <c r="A2998" s="3"/>
    </row>
    <row r="2999" spans="1:1" x14ac:dyDescent="0.45">
      <c r="A2999" s="3"/>
    </row>
    <row r="3000" spans="1:1" x14ac:dyDescent="0.45">
      <c r="A3000" s="3"/>
    </row>
    <row r="3001" spans="1:1" x14ac:dyDescent="0.45">
      <c r="A3001" s="3"/>
    </row>
    <row r="3002" spans="1:1" x14ac:dyDescent="0.45">
      <c r="A3002" s="3"/>
    </row>
    <row r="3003" spans="1:1" x14ac:dyDescent="0.45">
      <c r="A3003" s="3"/>
    </row>
    <row r="3004" spans="1:1" x14ac:dyDescent="0.45">
      <c r="A3004" s="3"/>
    </row>
    <row r="3005" spans="1:1" x14ac:dyDescent="0.45">
      <c r="A3005" s="3"/>
    </row>
    <row r="3006" spans="1:1" x14ac:dyDescent="0.45">
      <c r="A3006" s="3"/>
    </row>
    <row r="3007" spans="1:1" x14ac:dyDescent="0.45">
      <c r="A3007" s="3"/>
    </row>
    <row r="3008" spans="1:1" x14ac:dyDescent="0.45">
      <c r="A3008" s="3"/>
    </row>
    <row r="3009" spans="1:1" x14ac:dyDescent="0.45">
      <c r="A3009" s="3"/>
    </row>
    <row r="3010" spans="1:1" x14ac:dyDescent="0.45">
      <c r="A3010" s="3"/>
    </row>
    <row r="3011" spans="1:1" x14ac:dyDescent="0.45">
      <c r="A3011" s="3"/>
    </row>
    <row r="3012" spans="1:1" x14ac:dyDescent="0.45">
      <c r="A3012" s="3"/>
    </row>
    <row r="3013" spans="1:1" x14ac:dyDescent="0.45">
      <c r="A3013" s="3"/>
    </row>
    <row r="3014" spans="1:1" x14ac:dyDescent="0.45">
      <c r="A3014" s="3"/>
    </row>
    <row r="3015" spans="1:1" x14ac:dyDescent="0.45">
      <c r="A3015" s="3"/>
    </row>
    <row r="3016" spans="1:1" x14ac:dyDescent="0.45">
      <c r="A3016" s="3"/>
    </row>
    <row r="3017" spans="1:1" x14ac:dyDescent="0.45">
      <c r="A3017" s="3"/>
    </row>
    <row r="3018" spans="1:1" x14ac:dyDescent="0.45">
      <c r="A3018" s="3"/>
    </row>
    <row r="3019" spans="1:1" x14ac:dyDescent="0.45">
      <c r="A3019" s="3"/>
    </row>
    <row r="3020" spans="1:1" x14ac:dyDescent="0.45">
      <c r="A3020" s="3"/>
    </row>
    <row r="3021" spans="1:1" x14ac:dyDescent="0.45">
      <c r="A3021" s="3"/>
    </row>
    <row r="3022" spans="1:1" x14ac:dyDescent="0.45">
      <c r="A3022" s="3"/>
    </row>
    <row r="3023" spans="1:1" x14ac:dyDescent="0.45">
      <c r="A3023" s="3"/>
    </row>
    <row r="3024" spans="1:1" x14ac:dyDescent="0.45">
      <c r="A3024" s="3"/>
    </row>
    <row r="3025" spans="1:1" x14ac:dyDescent="0.45">
      <c r="A3025" s="3"/>
    </row>
    <row r="3026" spans="1:1" x14ac:dyDescent="0.45">
      <c r="A3026" s="3"/>
    </row>
    <row r="3027" spans="1:1" x14ac:dyDescent="0.45">
      <c r="A3027" s="3"/>
    </row>
    <row r="3028" spans="1:1" x14ac:dyDescent="0.45">
      <c r="A3028" s="3"/>
    </row>
    <row r="3029" spans="1:1" x14ac:dyDescent="0.45">
      <c r="A3029" s="3"/>
    </row>
    <row r="3030" spans="1:1" x14ac:dyDescent="0.45">
      <c r="A3030" s="3"/>
    </row>
    <row r="3031" spans="1:1" x14ac:dyDescent="0.45">
      <c r="A3031" s="3"/>
    </row>
    <row r="3032" spans="1:1" x14ac:dyDescent="0.45">
      <c r="A3032" s="3"/>
    </row>
    <row r="3033" spans="1:1" x14ac:dyDescent="0.45">
      <c r="A3033" s="3"/>
    </row>
    <row r="3034" spans="1:1" x14ac:dyDescent="0.45">
      <c r="A3034" s="3"/>
    </row>
    <row r="3035" spans="1:1" x14ac:dyDescent="0.45">
      <c r="A3035" s="3"/>
    </row>
    <row r="3036" spans="1:1" x14ac:dyDescent="0.45">
      <c r="A3036" s="3"/>
    </row>
    <row r="3037" spans="1:1" x14ac:dyDescent="0.45">
      <c r="A3037" s="3"/>
    </row>
    <row r="3038" spans="1:1" x14ac:dyDescent="0.45">
      <c r="A3038" s="3"/>
    </row>
    <row r="3039" spans="1:1" x14ac:dyDescent="0.45">
      <c r="A3039" s="3"/>
    </row>
    <row r="3040" spans="1:1" x14ac:dyDescent="0.45">
      <c r="A3040" s="3"/>
    </row>
    <row r="3041" spans="1:1" x14ac:dyDescent="0.45">
      <c r="A3041" s="3"/>
    </row>
    <row r="3042" spans="1:1" x14ac:dyDescent="0.45">
      <c r="A3042" s="3"/>
    </row>
    <row r="3043" spans="1:1" x14ac:dyDescent="0.45">
      <c r="A3043" s="3"/>
    </row>
    <row r="3044" spans="1:1" x14ac:dyDescent="0.45">
      <c r="A3044" s="3"/>
    </row>
    <row r="3045" spans="1:1" x14ac:dyDescent="0.45">
      <c r="A3045" s="3"/>
    </row>
    <row r="3046" spans="1:1" x14ac:dyDescent="0.45">
      <c r="A3046" s="3"/>
    </row>
    <row r="3047" spans="1:1" x14ac:dyDescent="0.45">
      <c r="A3047" s="3"/>
    </row>
    <row r="3048" spans="1:1" x14ac:dyDescent="0.45">
      <c r="A3048" s="3"/>
    </row>
    <row r="3049" spans="1:1" x14ac:dyDescent="0.45">
      <c r="A3049" s="3"/>
    </row>
    <row r="3050" spans="1:1" x14ac:dyDescent="0.45">
      <c r="A3050" s="3"/>
    </row>
    <row r="3051" spans="1:1" x14ac:dyDescent="0.45">
      <c r="A3051" s="3"/>
    </row>
    <row r="3052" spans="1:1" x14ac:dyDescent="0.45">
      <c r="A3052" s="3"/>
    </row>
    <row r="3053" spans="1:1" x14ac:dyDescent="0.45">
      <c r="A3053" s="3"/>
    </row>
    <row r="3054" spans="1:1" x14ac:dyDescent="0.45">
      <c r="A3054" s="3"/>
    </row>
    <row r="3055" spans="1:1" x14ac:dyDescent="0.45">
      <c r="A3055" s="3"/>
    </row>
    <row r="3056" spans="1:1" x14ac:dyDescent="0.45">
      <c r="A3056" s="3"/>
    </row>
    <row r="3057" spans="1:1" x14ac:dyDescent="0.45">
      <c r="A3057" s="3"/>
    </row>
    <row r="3058" spans="1:1" x14ac:dyDescent="0.45">
      <c r="A3058" s="3"/>
    </row>
    <row r="3059" spans="1:1" x14ac:dyDescent="0.45">
      <c r="A3059" s="3"/>
    </row>
    <row r="3060" spans="1:1" x14ac:dyDescent="0.45">
      <c r="A3060" s="3"/>
    </row>
    <row r="3061" spans="1:1" x14ac:dyDescent="0.45">
      <c r="A3061" s="3"/>
    </row>
    <row r="3062" spans="1:1" x14ac:dyDescent="0.45">
      <c r="A3062" s="3"/>
    </row>
    <row r="3063" spans="1:1" x14ac:dyDescent="0.45">
      <c r="A3063" s="3"/>
    </row>
    <row r="3064" spans="1:1" x14ac:dyDescent="0.45">
      <c r="A3064" s="3"/>
    </row>
    <row r="3065" spans="1:1" x14ac:dyDescent="0.45">
      <c r="A3065" s="3"/>
    </row>
    <row r="3066" spans="1:1" x14ac:dyDescent="0.45">
      <c r="A3066" s="3"/>
    </row>
    <row r="3067" spans="1:1" x14ac:dyDescent="0.45">
      <c r="A3067" s="3"/>
    </row>
    <row r="3068" spans="1:1" x14ac:dyDescent="0.45">
      <c r="A3068" s="3"/>
    </row>
    <row r="3069" spans="1:1" x14ac:dyDescent="0.45">
      <c r="A3069" s="3"/>
    </row>
    <row r="3070" spans="1:1" x14ac:dyDescent="0.45">
      <c r="A3070" s="3"/>
    </row>
    <row r="3071" spans="1:1" x14ac:dyDescent="0.45">
      <c r="A3071" s="3"/>
    </row>
    <row r="3072" spans="1:1" x14ac:dyDescent="0.45">
      <c r="A3072" s="3"/>
    </row>
    <row r="3073" spans="1:1" x14ac:dyDescent="0.45">
      <c r="A3073" s="3"/>
    </row>
    <row r="3074" spans="1:1" x14ac:dyDescent="0.45">
      <c r="A3074" s="3"/>
    </row>
    <row r="3075" spans="1:1" x14ac:dyDescent="0.45">
      <c r="A3075" s="3"/>
    </row>
    <row r="3076" spans="1:1" x14ac:dyDescent="0.45">
      <c r="A3076" s="3"/>
    </row>
    <row r="3077" spans="1:1" x14ac:dyDescent="0.45">
      <c r="A3077" s="3"/>
    </row>
    <row r="3078" spans="1:1" x14ac:dyDescent="0.45">
      <c r="A3078" s="3"/>
    </row>
    <row r="3079" spans="1:1" x14ac:dyDescent="0.45">
      <c r="A3079" s="3"/>
    </row>
    <row r="3080" spans="1:1" x14ac:dyDescent="0.45">
      <c r="A3080" s="3"/>
    </row>
    <row r="3081" spans="1:1" x14ac:dyDescent="0.45">
      <c r="A3081" s="3"/>
    </row>
    <row r="3082" spans="1:1" x14ac:dyDescent="0.45">
      <c r="A3082" s="3"/>
    </row>
    <row r="3083" spans="1:1" x14ac:dyDescent="0.45">
      <c r="A3083" s="3"/>
    </row>
    <row r="3084" spans="1:1" x14ac:dyDescent="0.45">
      <c r="A3084" s="3"/>
    </row>
    <row r="3085" spans="1:1" x14ac:dyDescent="0.45">
      <c r="A3085" s="3"/>
    </row>
    <row r="3086" spans="1:1" x14ac:dyDescent="0.45">
      <c r="A3086" s="3"/>
    </row>
    <row r="3087" spans="1:1" x14ac:dyDescent="0.45">
      <c r="A3087" s="3"/>
    </row>
    <row r="3088" spans="1:1" x14ac:dyDescent="0.45">
      <c r="A3088" s="3"/>
    </row>
    <row r="3089" spans="1:1" x14ac:dyDescent="0.45">
      <c r="A3089" s="3"/>
    </row>
    <row r="3090" spans="1:1" x14ac:dyDescent="0.45">
      <c r="A3090" s="3"/>
    </row>
    <row r="3091" spans="1:1" x14ac:dyDescent="0.45">
      <c r="A3091" s="3"/>
    </row>
    <row r="3092" spans="1:1" x14ac:dyDescent="0.45">
      <c r="A3092" s="3"/>
    </row>
    <row r="3093" spans="1:1" x14ac:dyDescent="0.45">
      <c r="A3093" s="3"/>
    </row>
    <row r="3094" spans="1:1" x14ac:dyDescent="0.45">
      <c r="A3094" s="3"/>
    </row>
    <row r="3095" spans="1:1" x14ac:dyDescent="0.45">
      <c r="A3095" s="3"/>
    </row>
    <row r="3096" spans="1:1" x14ac:dyDescent="0.45">
      <c r="A3096" s="3"/>
    </row>
    <row r="3097" spans="1:1" x14ac:dyDescent="0.45">
      <c r="A3097" s="3"/>
    </row>
    <row r="3098" spans="1:1" x14ac:dyDescent="0.45">
      <c r="A3098" s="3"/>
    </row>
    <row r="3099" spans="1:1" x14ac:dyDescent="0.45">
      <c r="A3099" s="3"/>
    </row>
    <row r="3100" spans="1:1" x14ac:dyDescent="0.45">
      <c r="A3100" s="3"/>
    </row>
    <row r="3101" spans="1:1" x14ac:dyDescent="0.45">
      <c r="A3101" s="3"/>
    </row>
    <row r="3102" spans="1:1" x14ac:dyDescent="0.45">
      <c r="A3102" s="3"/>
    </row>
    <row r="3103" spans="1:1" x14ac:dyDescent="0.45">
      <c r="A3103" s="3"/>
    </row>
    <row r="3104" spans="1:1" x14ac:dyDescent="0.45">
      <c r="A3104" s="3"/>
    </row>
    <row r="3105" spans="1:1" x14ac:dyDescent="0.45">
      <c r="A3105" s="3"/>
    </row>
    <row r="3106" spans="1:1" x14ac:dyDescent="0.45">
      <c r="A3106" s="3"/>
    </row>
    <row r="3107" spans="1:1" x14ac:dyDescent="0.45">
      <c r="A3107" s="3"/>
    </row>
    <row r="3108" spans="1:1" x14ac:dyDescent="0.45">
      <c r="A3108" s="3"/>
    </row>
    <row r="3109" spans="1:1" x14ac:dyDescent="0.45">
      <c r="A3109" s="3"/>
    </row>
    <row r="3110" spans="1:1" x14ac:dyDescent="0.45">
      <c r="A3110" s="3"/>
    </row>
    <row r="3111" spans="1:1" x14ac:dyDescent="0.45">
      <c r="A3111" s="3"/>
    </row>
    <row r="3112" spans="1:1" x14ac:dyDescent="0.45">
      <c r="A3112" s="3"/>
    </row>
    <row r="3113" spans="1:1" x14ac:dyDescent="0.45">
      <c r="A3113" s="3"/>
    </row>
    <row r="3114" spans="1:1" x14ac:dyDescent="0.45">
      <c r="A3114" s="3"/>
    </row>
    <row r="3115" spans="1:1" x14ac:dyDescent="0.45">
      <c r="A3115" s="3"/>
    </row>
    <row r="3116" spans="1:1" x14ac:dyDescent="0.45">
      <c r="A3116" s="3"/>
    </row>
    <row r="3117" spans="1:1" x14ac:dyDescent="0.45">
      <c r="A3117" s="3"/>
    </row>
    <row r="3118" spans="1:1" x14ac:dyDescent="0.45">
      <c r="A3118" s="3"/>
    </row>
    <row r="3119" spans="1:1" x14ac:dyDescent="0.45">
      <c r="A3119" s="3"/>
    </row>
    <row r="3120" spans="1:1" x14ac:dyDescent="0.45">
      <c r="A3120" s="3"/>
    </row>
    <row r="3121" spans="1:1" x14ac:dyDescent="0.45">
      <c r="A3121" s="3"/>
    </row>
    <row r="3122" spans="1:1" x14ac:dyDescent="0.45">
      <c r="A3122" s="3"/>
    </row>
    <row r="3123" spans="1:1" x14ac:dyDescent="0.45">
      <c r="A3123" s="3"/>
    </row>
    <row r="3124" spans="1:1" x14ac:dyDescent="0.45">
      <c r="A3124" s="3"/>
    </row>
    <row r="3125" spans="1:1" x14ac:dyDescent="0.45">
      <c r="A3125" s="3"/>
    </row>
    <row r="3126" spans="1:1" x14ac:dyDescent="0.45">
      <c r="A3126" s="3"/>
    </row>
    <row r="3127" spans="1:1" x14ac:dyDescent="0.45">
      <c r="A3127" s="3"/>
    </row>
    <row r="3128" spans="1:1" x14ac:dyDescent="0.45">
      <c r="A3128" s="3"/>
    </row>
    <row r="3129" spans="1:1" x14ac:dyDescent="0.45">
      <c r="A3129" s="3"/>
    </row>
    <row r="3130" spans="1:1" x14ac:dyDescent="0.45">
      <c r="A3130" s="3"/>
    </row>
    <row r="3131" spans="1:1" x14ac:dyDescent="0.45">
      <c r="A3131" s="3"/>
    </row>
    <row r="3132" spans="1:1" x14ac:dyDescent="0.45">
      <c r="A3132" s="3"/>
    </row>
    <row r="3133" spans="1:1" x14ac:dyDescent="0.45">
      <c r="A3133" s="3"/>
    </row>
    <row r="3134" spans="1:1" x14ac:dyDescent="0.45">
      <c r="A3134" s="3"/>
    </row>
    <row r="3135" spans="1:1" x14ac:dyDescent="0.45">
      <c r="A3135" s="3"/>
    </row>
    <row r="3136" spans="1:1" x14ac:dyDescent="0.45">
      <c r="A3136" s="3"/>
    </row>
    <row r="3137" spans="1:1" x14ac:dyDescent="0.45">
      <c r="A3137" s="3"/>
    </row>
    <row r="3138" spans="1:1" x14ac:dyDescent="0.45">
      <c r="A3138" s="3"/>
    </row>
    <row r="3139" spans="1:1" x14ac:dyDescent="0.45">
      <c r="A3139" s="3"/>
    </row>
    <row r="3140" spans="1:1" x14ac:dyDescent="0.45">
      <c r="A3140" s="3"/>
    </row>
    <row r="3141" spans="1:1" x14ac:dyDescent="0.45">
      <c r="A3141" s="3"/>
    </row>
    <row r="3142" spans="1:1" x14ac:dyDescent="0.45">
      <c r="A3142" s="3"/>
    </row>
    <row r="3143" spans="1:1" x14ac:dyDescent="0.45">
      <c r="A3143" s="3"/>
    </row>
    <row r="3144" spans="1:1" x14ac:dyDescent="0.45">
      <c r="A3144" s="3"/>
    </row>
    <row r="3145" spans="1:1" x14ac:dyDescent="0.45">
      <c r="A3145" s="3"/>
    </row>
    <row r="3146" spans="1:1" x14ac:dyDescent="0.45">
      <c r="A3146" s="3"/>
    </row>
    <row r="3147" spans="1:1" x14ac:dyDescent="0.45">
      <c r="A3147" s="3"/>
    </row>
    <row r="3148" spans="1:1" x14ac:dyDescent="0.45">
      <c r="A3148" s="3"/>
    </row>
    <row r="3149" spans="1:1" x14ac:dyDescent="0.45">
      <c r="A3149" s="3"/>
    </row>
    <row r="3150" spans="1:1" x14ac:dyDescent="0.45">
      <c r="A3150" s="3"/>
    </row>
    <row r="3151" spans="1:1" x14ac:dyDescent="0.45">
      <c r="A3151" s="3"/>
    </row>
    <row r="3152" spans="1:1" x14ac:dyDescent="0.45">
      <c r="A3152" s="3"/>
    </row>
    <row r="3153" spans="1:1" x14ac:dyDescent="0.45">
      <c r="A3153" s="3"/>
    </row>
    <row r="3154" spans="1:1" x14ac:dyDescent="0.45">
      <c r="A3154" s="3"/>
    </row>
    <row r="3155" spans="1:1" x14ac:dyDescent="0.45">
      <c r="A3155" s="3"/>
    </row>
    <row r="3156" spans="1:1" x14ac:dyDescent="0.45">
      <c r="A3156" s="3"/>
    </row>
    <row r="3157" spans="1:1" x14ac:dyDescent="0.45">
      <c r="A3157" s="3"/>
    </row>
    <row r="3158" spans="1:1" x14ac:dyDescent="0.45">
      <c r="A3158" s="3"/>
    </row>
    <row r="3159" spans="1:1" x14ac:dyDescent="0.45">
      <c r="A3159" s="3"/>
    </row>
    <row r="3160" spans="1:1" x14ac:dyDescent="0.45">
      <c r="A3160" s="3"/>
    </row>
    <row r="3161" spans="1:1" x14ac:dyDescent="0.45">
      <c r="A3161" s="3"/>
    </row>
    <row r="3162" spans="1:1" x14ac:dyDescent="0.45">
      <c r="A3162" s="3"/>
    </row>
    <row r="3163" spans="1:1" x14ac:dyDescent="0.45">
      <c r="A3163" s="3"/>
    </row>
    <row r="3164" spans="1:1" x14ac:dyDescent="0.45">
      <c r="A3164" s="3"/>
    </row>
    <row r="3165" spans="1:1" x14ac:dyDescent="0.45">
      <c r="A3165" s="3"/>
    </row>
    <row r="3166" spans="1:1" x14ac:dyDescent="0.45">
      <c r="A3166" s="3"/>
    </row>
    <row r="3167" spans="1:1" x14ac:dyDescent="0.45">
      <c r="A3167" s="3"/>
    </row>
    <row r="3168" spans="1:1" x14ac:dyDescent="0.45">
      <c r="A3168" s="3"/>
    </row>
    <row r="3169" spans="1:1" x14ac:dyDescent="0.45">
      <c r="A3169" s="3"/>
    </row>
    <row r="3170" spans="1:1" x14ac:dyDescent="0.45">
      <c r="A3170" s="3"/>
    </row>
    <row r="3171" spans="1:1" x14ac:dyDescent="0.45">
      <c r="A3171" s="3"/>
    </row>
    <row r="3172" spans="1:1" x14ac:dyDescent="0.45">
      <c r="A3172" s="3"/>
    </row>
    <row r="3173" spans="1:1" x14ac:dyDescent="0.45">
      <c r="A3173" s="3"/>
    </row>
    <row r="3174" spans="1:1" x14ac:dyDescent="0.45">
      <c r="A3174" s="3"/>
    </row>
    <row r="3175" spans="1:1" x14ac:dyDescent="0.45">
      <c r="A3175" s="3"/>
    </row>
    <row r="3176" spans="1:1" x14ac:dyDescent="0.45">
      <c r="A3176" s="3"/>
    </row>
    <row r="3177" spans="1:1" x14ac:dyDescent="0.45">
      <c r="A3177" s="3"/>
    </row>
    <row r="3178" spans="1:1" x14ac:dyDescent="0.45">
      <c r="A3178" s="3"/>
    </row>
    <row r="3179" spans="1:1" x14ac:dyDescent="0.45">
      <c r="A3179" s="3"/>
    </row>
    <row r="3180" spans="1:1" x14ac:dyDescent="0.45">
      <c r="A3180" s="3"/>
    </row>
    <row r="3181" spans="1:1" x14ac:dyDescent="0.45">
      <c r="A3181" s="3"/>
    </row>
    <row r="3182" spans="1:1" x14ac:dyDescent="0.45">
      <c r="A3182" s="3"/>
    </row>
    <row r="3183" spans="1:1" x14ac:dyDescent="0.45">
      <c r="A3183" s="3"/>
    </row>
    <row r="3184" spans="1:1" x14ac:dyDescent="0.45">
      <c r="A3184" s="3"/>
    </row>
    <row r="3185" spans="1:1" x14ac:dyDescent="0.45">
      <c r="A3185" s="3"/>
    </row>
    <row r="3186" spans="1:1" x14ac:dyDescent="0.45">
      <c r="A3186" s="3"/>
    </row>
    <row r="3187" spans="1:1" x14ac:dyDescent="0.45">
      <c r="A3187" s="3"/>
    </row>
    <row r="3188" spans="1:1" x14ac:dyDescent="0.45">
      <c r="A3188" s="3"/>
    </row>
    <row r="3189" spans="1:1" x14ac:dyDescent="0.45">
      <c r="A3189" s="3"/>
    </row>
    <row r="3190" spans="1:1" x14ac:dyDescent="0.45">
      <c r="A3190" s="3"/>
    </row>
    <row r="3191" spans="1:1" x14ac:dyDescent="0.45">
      <c r="A3191" s="3"/>
    </row>
    <row r="3192" spans="1:1" x14ac:dyDescent="0.45">
      <c r="A3192" s="3"/>
    </row>
    <row r="3193" spans="1:1" x14ac:dyDescent="0.45">
      <c r="A3193" s="3"/>
    </row>
    <row r="3194" spans="1:1" x14ac:dyDescent="0.45">
      <c r="A3194" s="3"/>
    </row>
    <row r="3195" spans="1:1" x14ac:dyDescent="0.45">
      <c r="A3195" s="3"/>
    </row>
    <row r="3196" spans="1:1" x14ac:dyDescent="0.45">
      <c r="A3196" s="3"/>
    </row>
    <row r="3197" spans="1:1" x14ac:dyDescent="0.45">
      <c r="A3197" s="3"/>
    </row>
    <row r="3198" spans="1:1" x14ac:dyDescent="0.45">
      <c r="A3198" s="3"/>
    </row>
    <row r="3199" spans="1:1" x14ac:dyDescent="0.45">
      <c r="A3199" s="3"/>
    </row>
    <row r="3200" spans="1:1" x14ac:dyDescent="0.45">
      <c r="A3200" s="3"/>
    </row>
    <row r="3201" spans="1:1" x14ac:dyDescent="0.45">
      <c r="A3201" s="3"/>
    </row>
    <row r="3202" spans="1:1" x14ac:dyDescent="0.45">
      <c r="A3202" s="3"/>
    </row>
    <row r="3203" spans="1:1" x14ac:dyDescent="0.45">
      <c r="A3203" s="3"/>
    </row>
    <row r="3204" spans="1:1" x14ac:dyDescent="0.45">
      <c r="A3204" s="3"/>
    </row>
    <row r="3205" spans="1:1" x14ac:dyDescent="0.45">
      <c r="A3205" s="3"/>
    </row>
    <row r="3206" spans="1:1" x14ac:dyDescent="0.45">
      <c r="A3206" s="3"/>
    </row>
    <row r="3207" spans="1:1" x14ac:dyDescent="0.45">
      <c r="A3207" s="3"/>
    </row>
    <row r="3208" spans="1:1" x14ac:dyDescent="0.45">
      <c r="A3208" s="3"/>
    </row>
    <row r="3209" spans="1:1" x14ac:dyDescent="0.45">
      <c r="A3209" s="3"/>
    </row>
    <row r="3210" spans="1:1" x14ac:dyDescent="0.45">
      <c r="A3210" s="3"/>
    </row>
    <row r="3211" spans="1:1" x14ac:dyDescent="0.45">
      <c r="A3211" s="3"/>
    </row>
    <row r="3212" spans="1:1" x14ac:dyDescent="0.45">
      <c r="A3212" s="3"/>
    </row>
    <row r="3213" spans="1:1" x14ac:dyDescent="0.45">
      <c r="A3213" s="3"/>
    </row>
    <row r="3214" spans="1:1" x14ac:dyDescent="0.45">
      <c r="A3214" s="3"/>
    </row>
    <row r="3215" spans="1:1" x14ac:dyDescent="0.45">
      <c r="A3215" s="3"/>
    </row>
    <row r="3216" spans="1:1" x14ac:dyDescent="0.45">
      <c r="A3216" s="3"/>
    </row>
    <row r="3217" spans="1:1" x14ac:dyDescent="0.45">
      <c r="A3217" s="3"/>
    </row>
    <row r="3218" spans="1:1" x14ac:dyDescent="0.45">
      <c r="A3218" s="3"/>
    </row>
    <row r="3219" spans="1:1" x14ac:dyDescent="0.45">
      <c r="A3219" s="3"/>
    </row>
    <row r="3220" spans="1:1" x14ac:dyDescent="0.45">
      <c r="A3220" s="3"/>
    </row>
    <row r="3221" spans="1:1" x14ac:dyDescent="0.45">
      <c r="A3221" s="3"/>
    </row>
    <row r="3222" spans="1:1" x14ac:dyDescent="0.45">
      <c r="A3222" s="3"/>
    </row>
    <row r="3223" spans="1:1" x14ac:dyDescent="0.45">
      <c r="A3223" s="3"/>
    </row>
    <row r="3224" spans="1:1" x14ac:dyDescent="0.45">
      <c r="A3224" s="3"/>
    </row>
    <row r="3225" spans="1:1" x14ac:dyDescent="0.45">
      <c r="A3225" s="3"/>
    </row>
    <row r="3226" spans="1:1" x14ac:dyDescent="0.45">
      <c r="A3226" s="3"/>
    </row>
    <row r="3227" spans="1:1" x14ac:dyDescent="0.45">
      <c r="A3227" s="3"/>
    </row>
    <row r="3228" spans="1:1" x14ac:dyDescent="0.45">
      <c r="A3228" s="3"/>
    </row>
    <row r="3229" spans="1:1" x14ac:dyDescent="0.45">
      <c r="A3229" s="3"/>
    </row>
    <row r="3230" spans="1:1" x14ac:dyDescent="0.45">
      <c r="A3230" s="3"/>
    </row>
    <row r="3231" spans="1:1" x14ac:dyDescent="0.45">
      <c r="A3231" s="3"/>
    </row>
    <row r="3232" spans="1:1" x14ac:dyDescent="0.45">
      <c r="A3232" s="3"/>
    </row>
    <row r="3233" spans="1:1" x14ac:dyDescent="0.45">
      <c r="A3233" s="3"/>
    </row>
    <row r="3234" spans="1:1" x14ac:dyDescent="0.45">
      <c r="A3234" s="3"/>
    </row>
    <row r="3235" spans="1:1" x14ac:dyDescent="0.45">
      <c r="A3235" s="3"/>
    </row>
    <row r="3236" spans="1:1" x14ac:dyDescent="0.45">
      <c r="A3236" s="3"/>
    </row>
    <row r="3237" spans="1:1" x14ac:dyDescent="0.45">
      <c r="A3237" s="3"/>
    </row>
    <row r="3238" spans="1:1" x14ac:dyDescent="0.45">
      <c r="A3238" s="3"/>
    </row>
    <row r="3239" spans="1:1" x14ac:dyDescent="0.45">
      <c r="A3239" s="3"/>
    </row>
    <row r="3240" spans="1:1" x14ac:dyDescent="0.45">
      <c r="A3240" s="3"/>
    </row>
    <row r="3241" spans="1:1" x14ac:dyDescent="0.45">
      <c r="A3241" s="3"/>
    </row>
    <row r="3242" spans="1:1" x14ac:dyDescent="0.45">
      <c r="A3242" s="3"/>
    </row>
    <row r="3243" spans="1:1" x14ac:dyDescent="0.45">
      <c r="A3243" s="3"/>
    </row>
    <row r="3244" spans="1:1" x14ac:dyDescent="0.45">
      <c r="A3244" s="3"/>
    </row>
    <row r="3245" spans="1:1" x14ac:dyDescent="0.45">
      <c r="A3245" s="3"/>
    </row>
    <row r="3246" spans="1:1" x14ac:dyDescent="0.45">
      <c r="A3246" s="3"/>
    </row>
    <row r="3247" spans="1:1" x14ac:dyDescent="0.45">
      <c r="A3247" s="3"/>
    </row>
    <row r="3248" spans="1:1" x14ac:dyDescent="0.45">
      <c r="A3248" s="3"/>
    </row>
    <row r="3249" spans="1:1" x14ac:dyDescent="0.45">
      <c r="A3249" s="3"/>
    </row>
    <row r="3250" spans="1:1" x14ac:dyDescent="0.45">
      <c r="A3250" s="3"/>
    </row>
    <row r="3251" spans="1:1" x14ac:dyDescent="0.45">
      <c r="A3251" s="3"/>
    </row>
    <row r="3252" spans="1:1" x14ac:dyDescent="0.45">
      <c r="A3252" s="3"/>
    </row>
    <row r="3253" spans="1:1" x14ac:dyDescent="0.45">
      <c r="A3253" s="3"/>
    </row>
    <row r="3254" spans="1:1" x14ac:dyDescent="0.45">
      <c r="A3254" s="3"/>
    </row>
    <row r="3255" spans="1:1" x14ac:dyDescent="0.45">
      <c r="A3255" s="3"/>
    </row>
    <row r="3256" spans="1:1" x14ac:dyDescent="0.45">
      <c r="A3256" s="3"/>
    </row>
    <row r="3257" spans="1:1" x14ac:dyDescent="0.45">
      <c r="A3257" s="3"/>
    </row>
    <row r="3258" spans="1:1" x14ac:dyDescent="0.45">
      <c r="A3258" s="3"/>
    </row>
    <row r="3259" spans="1:1" x14ac:dyDescent="0.45">
      <c r="A3259" s="3"/>
    </row>
    <row r="3260" spans="1:1" x14ac:dyDescent="0.45">
      <c r="A3260" s="3"/>
    </row>
    <row r="3261" spans="1:1" x14ac:dyDescent="0.45">
      <c r="A3261" s="3"/>
    </row>
    <row r="3262" spans="1:1" x14ac:dyDescent="0.45">
      <c r="A3262" s="3"/>
    </row>
    <row r="3263" spans="1:1" x14ac:dyDescent="0.45">
      <c r="A3263" s="3"/>
    </row>
    <row r="3264" spans="1:1" x14ac:dyDescent="0.45">
      <c r="A3264" s="3"/>
    </row>
    <row r="3265" spans="1:1" x14ac:dyDescent="0.45">
      <c r="A3265" s="3"/>
    </row>
    <row r="3266" spans="1:1" x14ac:dyDescent="0.45">
      <c r="A3266" s="3"/>
    </row>
    <row r="3267" spans="1:1" x14ac:dyDescent="0.45">
      <c r="A3267" s="3"/>
    </row>
    <row r="3268" spans="1:1" x14ac:dyDescent="0.45">
      <c r="A3268" s="3"/>
    </row>
    <row r="3269" spans="1:1" x14ac:dyDescent="0.45">
      <c r="A3269" s="3"/>
    </row>
    <row r="3270" spans="1:1" x14ac:dyDescent="0.45">
      <c r="A3270" s="3"/>
    </row>
    <row r="3271" spans="1:1" x14ac:dyDescent="0.45">
      <c r="A3271" s="3"/>
    </row>
    <row r="3272" spans="1:1" x14ac:dyDescent="0.45">
      <c r="A3272" s="3"/>
    </row>
    <row r="3273" spans="1:1" x14ac:dyDescent="0.45">
      <c r="A3273" s="3"/>
    </row>
    <row r="3274" spans="1:1" x14ac:dyDescent="0.45">
      <c r="A3274" s="3"/>
    </row>
    <row r="3275" spans="1:1" x14ac:dyDescent="0.45">
      <c r="A3275" s="3"/>
    </row>
    <row r="3276" spans="1:1" x14ac:dyDescent="0.45">
      <c r="A3276" s="3"/>
    </row>
    <row r="3277" spans="1:1" x14ac:dyDescent="0.45">
      <c r="A3277" s="3"/>
    </row>
    <row r="3278" spans="1:1" x14ac:dyDescent="0.45">
      <c r="A3278" s="3"/>
    </row>
    <row r="3279" spans="1:1" x14ac:dyDescent="0.45">
      <c r="A3279" s="3"/>
    </row>
    <row r="3280" spans="1:1" x14ac:dyDescent="0.45">
      <c r="A3280" s="3"/>
    </row>
    <row r="3281" spans="1:1" x14ac:dyDescent="0.45">
      <c r="A3281" s="3"/>
    </row>
    <row r="3282" spans="1:1" x14ac:dyDescent="0.45">
      <c r="A3282" s="3"/>
    </row>
    <row r="3283" spans="1:1" x14ac:dyDescent="0.45">
      <c r="A3283" s="3"/>
    </row>
    <row r="3284" spans="1:1" x14ac:dyDescent="0.45">
      <c r="A3284" s="3"/>
    </row>
    <row r="3285" spans="1:1" x14ac:dyDescent="0.45">
      <c r="A3285" s="3"/>
    </row>
    <row r="3286" spans="1:1" x14ac:dyDescent="0.45">
      <c r="A3286" s="3"/>
    </row>
    <row r="3287" spans="1:1" x14ac:dyDescent="0.45">
      <c r="A3287" s="3"/>
    </row>
    <row r="3288" spans="1:1" x14ac:dyDescent="0.45">
      <c r="A3288" s="3"/>
    </row>
    <row r="3289" spans="1:1" x14ac:dyDescent="0.45">
      <c r="A3289" s="3"/>
    </row>
    <row r="3290" spans="1:1" x14ac:dyDescent="0.45">
      <c r="A3290" s="3"/>
    </row>
    <row r="3291" spans="1:1" x14ac:dyDescent="0.45">
      <c r="A3291" s="3"/>
    </row>
    <row r="3292" spans="1:1" x14ac:dyDescent="0.45">
      <c r="A3292" s="3"/>
    </row>
    <row r="3293" spans="1:1" x14ac:dyDescent="0.45">
      <c r="A3293" s="3"/>
    </row>
    <row r="3294" spans="1:1" x14ac:dyDescent="0.45">
      <c r="A3294" s="3"/>
    </row>
    <row r="3295" spans="1:1" x14ac:dyDescent="0.45">
      <c r="A3295" s="3"/>
    </row>
    <row r="3296" spans="1:1" x14ac:dyDescent="0.45">
      <c r="A3296" s="3"/>
    </row>
    <row r="3297" spans="1:1" x14ac:dyDescent="0.45">
      <c r="A3297" s="3"/>
    </row>
    <row r="3298" spans="1:1" x14ac:dyDescent="0.45">
      <c r="A3298" s="3"/>
    </row>
    <row r="3299" spans="1:1" x14ac:dyDescent="0.45">
      <c r="A3299" s="3"/>
    </row>
    <row r="3300" spans="1:1" x14ac:dyDescent="0.45">
      <c r="A3300" s="3"/>
    </row>
    <row r="3301" spans="1:1" x14ac:dyDescent="0.45">
      <c r="A3301" s="3"/>
    </row>
    <row r="3302" spans="1:1" x14ac:dyDescent="0.45">
      <c r="A3302" s="3"/>
    </row>
    <row r="3303" spans="1:1" x14ac:dyDescent="0.45">
      <c r="A3303" s="3"/>
    </row>
    <row r="3304" spans="1:1" x14ac:dyDescent="0.45">
      <c r="A3304" s="3"/>
    </row>
    <row r="3305" spans="1:1" x14ac:dyDescent="0.45">
      <c r="A3305" s="3"/>
    </row>
    <row r="3306" spans="1:1" x14ac:dyDescent="0.45">
      <c r="A3306" s="3"/>
    </row>
    <row r="3307" spans="1:1" x14ac:dyDescent="0.45">
      <c r="A3307" s="3"/>
    </row>
    <row r="3308" spans="1:1" x14ac:dyDescent="0.45">
      <c r="A3308" s="3"/>
    </row>
    <row r="3309" spans="1:1" x14ac:dyDescent="0.45">
      <c r="A3309" s="3"/>
    </row>
    <row r="3310" spans="1:1" x14ac:dyDescent="0.45">
      <c r="A3310" s="3"/>
    </row>
    <row r="3311" spans="1:1" x14ac:dyDescent="0.45">
      <c r="A3311" s="3"/>
    </row>
    <row r="3312" spans="1:1" x14ac:dyDescent="0.45">
      <c r="A3312" s="3"/>
    </row>
    <row r="3313" spans="1:1" x14ac:dyDescent="0.45">
      <c r="A3313" s="3"/>
    </row>
    <row r="3314" spans="1:1" x14ac:dyDescent="0.45">
      <c r="A3314" s="3"/>
    </row>
    <row r="3315" spans="1:1" x14ac:dyDescent="0.45">
      <c r="A3315" s="3"/>
    </row>
    <row r="3316" spans="1:1" x14ac:dyDescent="0.45">
      <c r="A3316" s="3"/>
    </row>
    <row r="3317" spans="1:1" x14ac:dyDescent="0.45">
      <c r="A3317" s="3"/>
    </row>
    <row r="3318" spans="1:1" x14ac:dyDescent="0.45">
      <c r="A3318" s="3"/>
    </row>
    <row r="3319" spans="1:1" x14ac:dyDescent="0.45">
      <c r="A3319" s="3"/>
    </row>
    <row r="3320" spans="1:1" x14ac:dyDescent="0.45">
      <c r="A3320" s="3"/>
    </row>
    <row r="3321" spans="1:1" x14ac:dyDescent="0.45">
      <c r="A3321" s="3"/>
    </row>
    <row r="3322" spans="1:1" x14ac:dyDescent="0.45">
      <c r="A3322" s="3"/>
    </row>
    <row r="3323" spans="1:1" x14ac:dyDescent="0.45">
      <c r="A3323" s="3"/>
    </row>
    <row r="3324" spans="1:1" x14ac:dyDescent="0.45">
      <c r="A3324" s="3"/>
    </row>
    <row r="3325" spans="1:1" x14ac:dyDescent="0.45">
      <c r="A3325" s="3"/>
    </row>
    <row r="3326" spans="1:1" x14ac:dyDescent="0.45">
      <c r="A3326" s="3"/>
    </row>
    <row r="3327" spans="1:1" x14ac:dyDescent="0.45">
      <c r="A3327" s="3"/>
    </row>
    <row r="3328" spans="1:1" x14ac:dyDescent="0.45">
      <c r="A3328" s="3"/>
    </row>
    <row r="3329" spans="1:1" x14ac:dyDescent="0.45">
      <c r="A3329" s="3"/>
    </row>
    <row r="3330" spans="1:1" x14ac:dyDescent="0.45">
      <c r="A3330" s="3"/>
    </row>
    <row r="3331" spans="1:1" x14ac:dyDescent="0.45">
      <c r="A3331" s="3"/>
    </row>
    <row r="3332" spans="1:1" x14ac:dyDescent="0.45">
      <c r="A3332" s="3"/>
    </row>
    <row r="3333" spans="1:1" x14ac:dyDescent="0.45">
      <c r="A3333" s="3"/>
    </row>
    <row r="3334" spans="1:1" x14ac:dyDescent="0.45">
      <c r="A3334" s="3"/>
    </row>
    <row r="3335" spans="1:1" x14ac:dyDescent="0.45">
      <c r="A3335" s="3"/>
    </row>
    <row r="3336" spans="1:1" x14ac:dyDescent="0.45">
      <c r="A3336" s="3"/>
    </row>
    <row r="3337" spans="1:1" x14ac:dyDescent="0.45">
      <c r="A3337" s="3"/>
    </row>
    <row r="3338" spans="1:1" x14ac:dyDescent="0.45">
      <c r="A3338" s="3"/>
    </row>
    <row r="3339" spans="1:1" x14ac:dyDescent="0.45">
      <c r="A3339" s="3"/>
    </row>
    <row r="3340" spans="1:1" x14ac:dyDescent="0.45">
      <c r="A3340" s="3"/>
    </row>
    <row r="3341" spans="1:1" x14ac:dyDescent="0.45">
      <c r="A3341" s="3"/>
    </row>
    <row r="3342" spans="1:1" x14ac:dyDescent="0.45">
      <c r="A3342" s="3"/>
    </row>
    <row r="3343" spans="1:1" x14ac:dyDescent="0.45">
      <c r="A3343" s="3"/>
    </row>
    <row r="3344" spans="1:1" x14ac:dyDescent="0.45">
      <c r="A3344" s="3"/>
    </row>
    <row r="3345" spans="1:1" x14ac:dyDescent="0.45">
      <c r="A3345" s="3"/>
    </row>
    <row r="3346" spans="1:1" x14ac:dyDescent="0.45">
      <c r="A3346" s="3"/>
    </row>
    <row r="3347" spans="1:1" x14ac:dyDescent="0.45">
      <c r="A3347" s="3"/>
    </row>
    <row r="3348" spans="1:1" x14ac:dyDescent="0.45">
      <c r="A3348" s="3"/>
    </row>
    <row r="3349" spans="1:1" x14ac:dyDescent="0.45">
      <c r="A3349" s="3"/>
    </row>
    <row r="3350" spans="1:1" x14ac:dyDescent="0.45">
      <c r="A3350" s="3"/>
    </row>
    <row r="3351" spans="1:1" x14ac:dyDescent="0.45">
      <c r="A3351" s="3"/>
    </row>
    <row r="3352" spans="1:1" x14ac:dyDescent="0.45">
      <c r="A3352" s="3"/>
    </row>
    <row r="3353" spans="1:1" x14ac:dyDescent="0.45">
      <c r="A3353" s="3"/>
    </row>
    <row r="3354" spans="1:1" x14ac:dyDescent="0.45">
      <c r="A3354" s="3"/>
    </row>
    <row r="3355" spans="1:1" x14ac:dyDescent="0.45">
      <c r="A3355" s="3"/>
    </row>
    <row r="3356" spans="1:1" x14ac:dyDescent="0.45">
      <c r="A3356" s="3"/>
    </row>
    <row r="3357" spans="1:1" x14ac:dyDescent="0.45">
      <c r="A3357" s="3"/>
    </row>
    <row r="3358" spans="1:1" x14ac:dyDescent="0.45">
      <c r="A3358" s="3"/>
    </row>
    <row r="3359" spans="1:1" x14ac:dyDescent="0.45">
      <c r="A3359" s="3"/>
    </row>
    <row r="3360" spans="1:1" x14ac:dyDescent="0.45">
      <c r="A3360" s="3"/>
    </row>
    <row r="3361" spans="1:1" x14ac:dyDescent="0.45">
      <c r="A3361" s="3"/>
    </row>
    <row r="3362" spans="1:1" x14ac:dyDescent="0.45">
      <c r="A3362" s="3"/>
    </row>
    <row r="3363" spans="1:1" x14ac:dyDescent="0.45">
      <c r="A3363" s="3"/>
    </row>
    <row r="3364" spans="1:1" x14ac:dyDescent="0.45">
      <c r="A3364" s="3"/>
    </row>
    <row r="3365" spans="1:1" x14ac:dyDescent="0.45">
      <c r="A3365" s="3"/>
    </row>
    <row r="3366" spans="1:1" x14ac:dyDescent="0.45">
      <c r="A3366" s="3"/>
    </row>
    <row r="3367" spans="1:1" x14ac:dyDescent="0.45">
      <c r="A3367" s="3"/>
    </row>
    <row r="3368" spans="1:1" x14ac:dyDescent="0.45">
      <c r="A3368" s="3"/>
    </row>
    <row r="3369" spans="1:1" x14ac:dyDescent="0.45">
      <c r="A3369" s="3"/>
    </row>
    <row r="3370" spans="1:1" x14ac:dyDescent="0.45">
      <c r="A3370" s="3"/>
    </row>
    <row r="3371" spans="1:1" x14ac:dyDescent="0.45">
      <c r="A3371" s="3"/>
    </row>
    <row r="3372" spans="1:1" x14ac:dyDescent="0.45">
      <c r="A3372" s="3"/>
    </row>
    <row r="3373" spans="1:1" x14ac:dyDescent="0.45">
      <c r="A3373" s="3"/>
    </row>
    <row r="3374" spans="1:1" x14ac:dyDescent="0.45">
      <c r="A3374" s="3"/>
    </row>
    <row r="3375" spans="1:1" x14ac:dyDescent="0.45">
      <c r="A3375" s="3"/>
    </row>
    <row r="3376" spans="1:1" x14ac:dyDescent="0.45">
      <c r="A3376" s="3"/>
    </row>
    <row r="3377" spans="1:1" x14ac:dyDescent="0.45">
      <c r="A3377" s="3"/>
    </row>
    <row r="3378" spans="1:1" x14ac:dyDescent="0.45">
      <c r="A3378" s="3"/>
    </row>
    <row r="3379" spans="1:1" x14ac:dyDescent="0.45">
      <c r="A3379" s="3"/>
    </row>
    <row r="3380" spans="1:1" x14ac:dyDescent="0.45">
      <c r="A3380" s="3"/>
    </row>
    <row r="3381" spans="1:1" x14ac:dyDescent="0.45">
      <c r="A3381" s="3"/>
    </row>
    <row r="3382" spans="1:1" x14ac:dyDescent="0.45">
      <c r="A3382" s="3"/>
    </row>
    <row r="3383" spans="1:1" x14ac:dyDescent="0.45">
      <c r="A3383" s="3"/>
    </row>
    <row r="3384" spans="1:1" x14ac:dyDescent="0.45">
      <c r="A3384" s="3"/>
    </row>
    <row r="3385" spans="1:1" x14ac:dyDescent="0.45">
      <c r="A3385" s="3"/>
    </row>
    <row r="3386" spans="1:1" x14ac:dyDescent="0.45">
      <c r="A3386" s="3"/>
    </row>
    <row r="3387" spans="1:1" x14ac:dyDescent="0.45">
      <c r="A3387" s="3"/>
    </row>
    <row r="3388" spans="1:1" x14ac:dyDescent="0.45">
      <c r="A3388" s="3"/>
    </row>
    <row r="3389" spans="1:1" x14ac:dyDescent="0.45">
      <c r="A3389" s="3"/>
    </row>
    <row r="3390" spans="1:1" x14ac:dyDescent="0.45">
      <c r="A3390" s="3"/>
    </row>
    <row r="3391" spans="1:1" x14ac:dyDescent="0.45">
      <c r="A3391" s="3"/>
    </row>
    <row r="3392" spans="1:1" x14ac:dyDescent="0.45">
      <c r="A3392" s="3"/>
    </row>
    <row r="3393" spans="1:1" x14ac:dyDescent="0.45">
      <c r="A3393" s="3"/>
    </row>
    <row r="3394" spans="1:1" x14ac:dyDescent="0.45">
      <c r="A3394" s="3"/>
    </row>
    <row r="3395" spans="1:1" x14ac:dyDescent="0.45">
      <c r="A3395" s="3"/>
    </row>
    <row r="3396" spans="1:1" x14ac:dyDescent="0.45">
      <c r="A3396" s="3"/>
    </row>
    <row r="3397" spans="1:1" x14ac:dyDescent="0.45">
      <c r="A3397" s="3"/>
    </row>
    <row r="3398" spans="1:1" x14ac:dyDescent="0.45">
      <c r="A3398" s="3"/>
    </row>
    <row r="3399" spans="1:1" x14ac:dyDescent="0.45">
      <c r="A3399" s="3"/>
    </row>
    <row r="3400" spans="1:1" x14ac:dyDescent="0.45">
      <c r="A3400" s="3"/>
    </row>
    <row r="3401" spans="1:1" x14ac:dyDescent="0.45">
      <c r="A3401" s="3"/>
    </row>
    <row r="3402" spans="1:1" x14ac:dyDescent="0.45">
      <c r="A3402" s="3"/>
    </row>
    <row r="3403" spans="1:1" x14ac:dyDescent="0.45">
      <c r="A3403" s="3"/>
    </row>
    <row r="3404" spans="1:1" x14ac:dyDescent="0.45">
      <c r="A3404" s="3"/>
    </row>
    <row r="3405" spans="1:1" x14ac:dyDescent="0.45">
      <c r="A3405" s="3"/>
    </row>
    <row r="3406" spans="1:1" x14ac:dyDescent="0.45">
      <c r="A3406" s="3"/>
    </row>
    <row r="3407" spans="1:1" x14ac:dyDescent="0.45">
      <c r="A3407" s="3"/>
    </row>
    <row r="3408" spans="1:1" x14ac:dyDescent="0.45">
      <c r="A3408" s="3"/>
    </row>
    <row r="3409" spans="1:1" x14ac:dyDescent="0.45">
      <c r="A3409" s="3"/>
    </row>
    <row r="3410" spans="1:1" x14ac:dyDescent="0.45">
      <c r="A3410" s="3"/>
    </row>
    <row r="3411" spans="1:1" x14ac:dyDescent="0.45">
      <c r="A3411" s="3"/>
    </row>
    <row r="3412" spans="1:1" x14ac:dyDescent="0.45">
      <c r="A3412" s="3"/>
    </row>
    <row r="3413" spans="1:1" x14ac:dyDescent="0.45">
      <c r="A3413" s="3"/>
    </row>
    <row r="3414" spans="1:1" x14ac:dyDescent="0.45">
      <c r="A3414" s="3"/>
    </row>
    <row r="3415" spans="1:1" x14ac:dyDescent="0.45">
      <c r="A3415" s="3"/>
    </row>
    <row r="3416" spans="1:1" x14ac:dyDescent="0.45">
      <c r="A3416" s="3"/>
    </row>
    <row r="3417" spans="1:1" x14ac:dyDescent="0.45">
      <c r="A3417" s="3"/>
    </row>
    <row r="3418" spans="1:1" x14ac:dyDescent="0.45">
      <c r="A3418" s="3"/>
    </row>
    <row r="3419" spans="1:1" x14ac:dyDescent="0.45">
      <c r="A3419" s="3"/>
    </row>
    <row r="3420" spans="1:1" x14ac:dyDescent="0.45">
      <c r="A3420" s="3"/>
    </row>
    <row r="3421" spans="1:1" x14ac:dyDescent="0.45">
      <c r="A3421" s="3"/>
    </row>
    <row r="3422" spans="1:1" x14ac:dyDescent="0.45">
      <c r="A3422" s="3"/>
    </row>
    <row r="3423" spans="1:1" x14ac:dyDescent="0.45">
      <c r="A3423" s="3"/>
    </row>
    <row r="3424" spans="1:1" x14ac:dyDescent="0.45">
      <c r="A3424" s="3"/>
    </row>
    <row r="3425" spans="1:1" x14ac:dyDescent="0.45">
      <c r="A3425" s="3"/>
    </row>
    <row r="3426" spans="1:1" x14ac:dyDescent="0.45">
      <c r="A3426" s="3"/>
    </row>
    <row r="3427" spans="1:1" x14ac:dyDescent="0.45">
      <c r="A3427" s="3"/>
    </row>
    <row r="3428" spans="1:1" x14ac:dyDescent="0.45">
      <c r="A3428" s="3"/>
    </row>
    <row r="3429" spans="1:1" x14ac:dyDescent="0.45">
      <c r="A3429" s="3"/>
    </row>
    <row r="3430" spans="1:1" x14ac:dyDescent="0.45">
      <c r="A3430" s="3"/>
    </row>
    <row r="3431" spans="1:1" x14ac:dyDescent="0.45">
      <c r="A3431" s="3"/>
    </row>
    <row r="3432" spans="1:1" x14ac:dyDescent="0.45">
      <c r="A3432" s="3"/>
    </row>
    <row r="3433" spans="1:1" x14ac:dyDescent="0.45">
      <c r="A3433" s="3"/>
    </row>
    <row r="3434" spans="1:1" x14ac:dyDescent="0.45">
      <c r="A3434" s="3"/>
    </row>
    <row r="3435" spans="1:1" x14ac:dyDescent="0.45">
      <c r="A3435" s="3"/>
    </row>
    <row r="3436" spans="1:1" x14ac:dyDescent="0.45">
      <c r="A3436" s="3"/>
    </row>
    <row r="3437" spans="1:1" x14ac:dyDescent="0.45">
      <c r="A3437" s="3"/>
    </row>
    <row r="3438" spans="1:1" x14ac:dyDescent="0.45">
      <c r="A3438" s="3"/>
    </row>
    <row r="3439" spans="1:1" x14ac:dyDescent="0.45">
      <c r="A3439" s="3"/>
    </row>
    <row r="3440" spans="1:1" x14ac:dyDescent="0.45">
      <c r="A3440" s="3"/>
    </row>
    <row r="3441" spans="1:1" x14ac:dyDescent="0.45">
      <c r="A3441" s="3"/>
    </row>
    <row r="3442" spans="1:1" x14ac:dyDescent="0.45">
      <c r="A3442" s="3"/>
    </row>
    <row r="3443" spans="1:1" x14ac:dyDescent="0.45">
      <c r="A3443" s="3"/>
    </row>
    <row r="3444" spans="1:1" x14ac:dyDescent="0.45">
      <c r="A3444" s="3"/>
    </row>
    <row r="3445" spans="1:1" x14ac:dyDescent="0.45">
      <c r="A3445" s="3"/>
    </row>
    <row r="3446" spans="1:1" x14ac:dyDescent="0.45">
      <c r="A3446" s="3"/>
    </row>
    <row r="3447" spans="1:1" x14ac:dyDescent="0.45">
      <c r="A3447" s="3"/>
    </row>
    <row r="3448" spans="1:1" x14ac:dyDescent="0.45">
      <c r="A3448" s="3"/>
    </row>
    <row r="3449" spans="1:1" x14ac:dyDescent="0.45">
      <c r="A3449" s="3"/>
    </row>
    <row r="3450" spans="1:1" x14ac:dyDescent="0.45">
      <c r="A3450" s="3"/>
    </row>
    <row r="3451" spans="1:1" x14ac:dyDescent="0.45">
      <c r="A3451" s="3"/>
    </row>
    <row r="3452" spans="1:1" x14ac:dyDescent="0.45">
      <c r="A3452" s="3"/>
    </row>
    <row r="3453" spans="1:1" x14ac:dyDescent="0.45">
      <c r="A3453" s="3"/>
    </row>
    <row r="3454" spans="1:1" x14ac:dyDescent="0.45">
      <c r="A3454" s="3"/>
    </row>
    <row r="3455" spans="1:1" x14ac:dyDescent="0.45">
      <c r="A3455" s="3"/>
    </row>
    <row r="3456" spans="1:1" x14ac:dyDescent="0.45">
      <c r="A3456" s="3"/>
    </row>
    <row r="3457" spans="1:1" x14ac:dyDescent="0.45">
      <c r="A3457" s="3"/>
    </row>
    <row r="3458" spans="1:1" x14ac:dyDescent="0.45">
      <c r="A3458" s="3"/>
    </row>
    <row r="3459" spans="1:1" x14ac:dyDescent="0.45">
      <c r="A3459" s="3"/>
    </row>
    <row r="3460" spans="1:1" x14ac:dyDescent="0.45">
      <c r="A3460" s="3"/>
    </row>
    <row r="3461" spans="1:1" x14ac:dyDescent="0.45">
      <c r="A3461" s="3"/>
    </row>
    <row r="3462" spans="1:1" x14ac:dyDescent="0.45">
      <c r="A3462" s="3"/>
    </row>
    <row r="3463" spans="1:1" x14ac:dyDescent="0.45">
      <c r="A3463" s="3"/>
    </row>
    <row r="3464" spans="1:1" x14ac:dyDescent="0.45">
      <c r="A3464" s="3"/>
    </row>
    <row r="3465" spans="1:1" x14ac:dyDescent="0.45">
      <c r="A3465" s="3"/>
    </row>
    <row r="3466" spans="1:1" x14ac:dyDescent="0.45">
      <c r="A3466" s="3"/>
    </row>
    <row r="3467" spans="1:1" x14ac:dyDescent="0.45">
      <c r="A3467" s="3"/>
    </row>
    <row r="3468" spans="1:1" x14ac:dyDescent="0.45">
      <c r="A3468" s="3"/>
    </row>
    <row r="3469" spans="1:1" x14ac:dyDescent="0.45">
      <c r="A3469" s="3"/>
    </row>
    <row r="3470" spans="1:1" x14ac:dyDescent="0.45">
      <c r="A3470" s="3"/>
    </row>
    <row r="3471" spans="1:1" x14ac:dyDescent="0.45">
      <c r="A3471" s="3"/>
    </row>
    <row r="3472" spans="1:1" x14ac:dyDescent="0.45">
      <c r="A3472" s="3"/>
    </row>
    <row r="3473" spans="1:1" x14ac:dyDescent="0.45">
      <c r="A3473" s="3"/>
    </row>
    <row r="3474" spans="1:1" x14ac:dyDescent="0.45">
      <c r="A3474" s="3"/>
    </row>
    <row r="3475" spans="1:1" x14ac:dyDescent="0.45">
      <c r="A3475" s="3"/>
    </row>
    <row r="3476" spans="1:1" x14ac:dyDescent="0.45">
      <c r="A3476" s="3"/>
    </row>
    <row r="3477" spans="1:1" x14ac:dyDescent="0.45">
      <c r="A3477" s="3"/>
    </row>
    <row r="3478" spans="1:1" x14ac:dyDescent="0.45">
      <c r="A3478" s="3"/>
    </row>
    <row r="3479" spans="1:1" x14ac:dyDescent="0.45">
      <c r="A3479" s="3"/>
    </row>
    <row r="3480" spans="1:1" x14ac:dyDescent="0.45">
      <c r="A3480" s="3"/>
    </row>
    <row r="3481" spans="1:1" x14ac:dyDescent="0.45">
      <c r="A3481" s="3"/>
    </row>
    <row r="3482" spans="1:1" x14ac:dyDescent="0.45">
      <c r="A3482" s="3"/>
    </row>
    <row r="3483" spans="1:1" x14ac:dyDescent="0.45">
      <c r="A3483" s="3"/>
    </row>
    <row r="3484" spans="1:1" x14ac:dyDescent="0.45">
      <c r="A3484" s="3"/>
    </row>
    <row r="3485" spans="1:1" x14ac:dyDescent="0.45">
      <c r="A3485" s="3"/>
    </row>
    <row r="3486" spans="1:1" x14ac:dyDescent="0.45">
      <c r="A3486" s="3"/>
    </row>
    <row r="3487" spans="1:1" x14ac:dyDescent="0.45">
      <c r="A3487" s="3"/>
    </row>
    <row r="3488" spans="1:1" x14ac:dyDescent="0.45">
      <c r="A3488" s="3"/>
    </row>
    <row r="3489" spans="1:1" x14ac:dyDescent="0.45">
      <c r="A3489" s="3"/>
    </row>
    <row r="3490" spans="1:1" x14ac:dyDescent="0.45">
      <c r="A3490" s="3"/>
    </row>
    <row r="3491" spans="1:1" x14ac:dyDescent="0.45">
      <c r="A3491" s="3"/>
    </row>
    <row r="3492" spans="1:1" x14ac:dyDescent="0.45">
      <c r="A3492" s="3"/>
    </row>
    <row r="3493" spans="1:1" x14ac:dyDescent="0.45">
      <c r="A3493" s="3"/>
    </row>
    <row r="3494" spans="1:1" x14ac:dyDescent="0.45">
      <c r="A3494" s="3"/>
    </row>
    <row r="3495" spans="1:1" x14ac:dyDescent="0.45">
      <c r="A3495" s="3"/>
    </row>
    <row r="3496" spans="1:1" x14ac:dyDescent="0.45">
      <c r="A3496" s="3"/>
    </row>
    <row r="3497" spans="1:1" x14ac:dyDescent="0.45">
      <c r="A3497" s="3"/>
    </row>
    <row r="3498" spans="1:1" x14ac:dyDescent="0.45">
      <c r="A3498" s="3"/>
    </row>
    <row r="3499" spans="1:1" x14ac:dyDescent="0.45">
      <c r="A3499" s="3"/>
    </row>
    <row r="3500" spans="1:1" x14ac:dyDescent="0.45">
      <c r="A3500" s="3"/>
    </row>
    <row r="3501" spans="1:1" x14ac:dyDescent="0.45">
      <c r="A3501" s="3"/>
    </row>
    <row r="3502" spans="1:1" x14ac:dyDescent="0.45">
      <c r="A3502" s="3"/>
    </row>
    <row r="3503" spans="1:1" x14ac:dyDescent="0.45">
      <c r="A3503" s="3"/>
    </row>
    <row r="3504" spans="1:1" x14ac:dyDescent="0.45">
      <c r="A3504" s="3"/>
    </row>
    <row r="3505" spans="1:1" x14ac:dyDescent="0.45">
      <c r="A3505" s="3"/>
    </row>
    <row r="3506" spans="1:1" x14ac:dyDescent="0.45">
      <c r="A3506" s="3"/>
    </row>
    <row r="3507" spans="1:1" x14ac:dyDescent="0.45">
      <c r="A3507" s="3"/>
    </row>
    <row r="3508" spans="1:1" x14ac:dyDescent="0.45">
      <c r="A3508" s="3"/>
    </row>
    <row r="3509" spans="1:1" x14ac:dyDescent="0.45">
      <c r="A3509" s="3"/>
    </row>
    <row r="3510" spans="1:1" x14ac:dyDescent="0.45">
      <c r="A3510" s="3"/>
    </row>
    <row r="3511" spans="1:1" x14ac:dyDescent="0.45">
      <c r="A3511" s="3"/>
    </row>
    <row r="3512" spans="1:1" x14ac:dyDescent="0.45">
      <c r="A3512" s="3"/>
    </row>
    <row r="3513" spans="1:1" x14ac:dyDescent="0.45">
      <c r="A3513" s="3"/>
    </row>
    <row r="3514" spans="1:1" x14ac:dyDescent="0.45">
      <c r="A3514" s="3"/>
    </row>
    <row r="3515" spans="1:1" x14ac:dyDescent="0.45">
      <c r="A3515" s="3"/>
    </row>
    <row r="3516" spans="1:1" x14ac:dyDescent="0.45">
      <c r="A3516" s="3"/>
    </row>
    <row r="3517" spans="1:1" x14ac:dyDescent="0.45">
      <c r="A3517" s="3"/>
    </row>
    <row r="3518" spans="1:1" x14ac:dyDescent="0.45">
      <c r="A3518" s="3"/>
    </row>
    <row r="3519" spans="1:1" x14ac:dyDescent="0.45">
      <c r="A3519" s="3"/>
    </row>
    <row r="3520" spans="1:1" x14ac:dyDescent="0.45">
      <c r="A3520" s="3"/>
    </row>
    <row r="3521" spans="1:1" x14ac:dyDescent="0.45">
      <c r="A3521" s="3"/>
    </row>
    <row r="3522" spans="1:1" x14ac:dyDescent="0.45">
      <c r="A3522" s="3"/>
    </row>
    <row r="3523" spans="1:1" x14ac:dyDescent="0.45">
      <c r="A3523" s="3"/>
    </row>
    <row r="3524" spans="1:1" x14ac:dyDescent="0.45">
      <c r="A3524" s="3"/>
    </row>
    <row r="3525" spans="1:1" x14ac:dyDescent="0.45">
      <c r="A3525" s="3"/>
    </row>
    <row r="3526" spans="1:1" x14ac:dyDescent="0.45">
      <c r="A3526" s="3"/>
    </row>
    <row r="3527" spans="1:1" x14ac:dyDescent="0.45">
      <c r="A3527" s="3"/>
    </row>
    <row r="3528" spans="1:1" x14ac:dyDescent="0.45">
      <c r="A3528" s="3"/>
    </row>
    <row r="3529" spans="1:1" x14ac:dyDescent="0.45">
      <c r="A3529" s="3"/>
    </row>
    <row r="3530" spans="1:1" x14ac:dyDescent="0.45">
      <c r="A3530" s="3"/>
    </row>
    <row r="3531" spans="1:1" x14ac:dyDescent="0.45">
      <c r="A3531" s="3"/>
    </row>
    <row r="3532" spans="1:1" x14ac:dyDescent="0.45">
      <c r="A3532" s="3"/>
    </row>
    <row r="3533" spans="1:1" x14ac:dyDescent="0.45">
      <c r="A3533" s="3"/>
    </row>
    <row r="3534" spans="1:1" x14ac:dyDescent="0.45">
      <c r="A3534" s="3"/>
    </row>
    <row r="3535" spans="1:1" x14ac:dyDescent="0.45">
      <c r="A3535" s="3"/>
    </row>
    <row r="3536" spans="1:1" x14ac:dyDescent="0.45">
      <c r="A3536" s="3"/>
    </row>
    <row r="3537" spans="1:1" x14ac:dyDescent="0.45">
      <c r="A3537" s="3"/>
    </row>
    <row r="3538" spans="1:1" x14ac:dyDescent="0.45">
      <c r="A3538" s="3"/>
    </row>
    <row r="3539" spans="1:1" x14ac:dyDescent="0.45">
      <c r="A3539" s="3"/>
    </row>
    <row r="3540" spans="1:1" x14ac:dyDescent="0.45">
      <c r="A3540" s="3"/>
    </row>
    <row r="3541" spans="1:1" x14ac:dyDescent="0.45">
      <c r="A3541" s="3"/>
    </row>
    <row r="3542" spans="1:1" x14ac:dyDescent="0.45">
      <c r="A3542" s="3"/>
    </row>
    <row r="3543" spans="1:1" x14ac:dyDescent="0.45">
      <c r="A3543" s="3"/>
    </row>
    <row r="3544" spans="1:1" x14ac:dyDescent="0.45">
      <c r="A3544" s="3"/>
    </row>
    <row r="3545" spans="1:1" x14ac:dyDescent="0.45">
      <c r="A3545" s="3"/>
    </row>
    <row r="3546" spans="1:1" x14ac:dyDescent="0.45">
      <c r="A3546" s="3"/>
    </row>
    <row r="3547" spans="1:1" x14ac:dyDescent="0.45">
      <c r="A3547" s="3"/>
    </row>
    <row r="3548" spans="1:1" x14ac:dyDescent="0.45">
      <c r="A3548" s="3"/>
    </row>
    <row r="3549" spans="1:1" x14ac:dyDescent="0.45">
      <c r="A3549" s="3"/>
    </row>
    <row r="3550" spans="1:1" x14ac:dyDescent="0.45">
      <c r="A3550" s="3"/>
    </row>
    <row r="3551" spans="1:1" x14ac:dyDescent="0.45">
      <c r="A3551" s="3"/>
    </row>
    <row r="3552" spans="1:1" x14ac:dyDescent="0.45">
      <c r="A3552" s="3"/>
    </row>
    <row r="3553" spans="1:1" x14ac:dyDescent="0.45">
      <c r="A3553" s="3"/>
    </row>
    <row r="3554" spans="1:1" x14ac:dyDescent="0.45">
      <c r="A3554" s="3"/>
    </row>
    <row r="3555" spans="1:1" x14ac:dyDescent="0.45">
      <c r="A3555" s="3"/>
    </row>
    <row r="3556" spans="1:1" x14ac:dyDescent="0.45">
      <c r="A3556" s="3"/>
    </row>
    <row r="3557" spans="1:1" x14ac:dyDescent="0.45">
      <c r="A3557" s="3"/>
    </row>
    <row r="3558" spans="1:1" x14ac:dyDescent="0.45">
      <c r="A3558" s="3"/>
    </row>
    <row r="3559" spans="1:1" x14ac:dyDescent="0.45">
      <c r="A3559" s="3"/>
    </row>
    <row r="3560" spans="1:1" x14ac:dyDescent="0.45">
      <c r="A3560" s="3"/>
    </row>
    <row r="3561" spans="1:1" x14ac:dyDescent="0.45">
      <c r="A3561" s="3"/>
    </row>
    <row r="3562" spans="1:1" x14ac:dyDescent="0.45">
      <c r="A3562" s="3"/>
    </row>
    <row r="3563" spans="1:1" x14ac:dyDescent="0.45">
      <c r="A3563" s="3"/>
    </row>
    <row r="3564" spans="1:1" x14ac:dyDescent="0.45">
      <c r="A3564" s="3"/>
    </row>
    <row r="3565" spans="1:1" x14ac:dyDescent="0.45">
      <c r="A3565" s="3"/>
    </row>
    <row r="3566" spans="1:1" x14ac:dyDescent="0.45">
      <c r="A3566" s="3"/>
    </row>
    <row r="3567" spans="1:1" x14ac:dyDescent="0.45">
      <c r="A3567" s="3"/>
    </row>
    <row r="3568" spans="1:1" x14ac:dyDescent="0.45">
      <c r="A3568" s="3"/>
    </row>
    <row r="3569" spans="1:1" x14ac:dyDescent="0.45">
      <c r="A3569" s="3"/>
    </row>
    <row r="3570" spans="1:1" x14ac:dyDescent="0.45">
      <c r="A3570" s="3"/>
    </row>
    <row r="3571" spans="1:1" x14ac:dyDescent="0.45">
      <c r="A3571" s="3"/>
    </row>
    <row r="3572" spans="1:1" x14ac:dyDescent="0.45">
      <c r="A3572" s="3"/>
    </row>
    <row r="3573" spans="1:1" x14ac:dyDescent="0.45">
      <c r="A3573" s="3"/>
    </row>
    <row r="3574" spans="1:1" x14ac:dyDescent="0.45">
      <c r="A3574" s="3"/>
    </row>
    <row r="3575" spans="1:1" x14ac:dyDescent="0.45">
      <c r="A3575" s="3"/>
    </row>
    <row r="3576" spans="1:1" x14ac:dyDescent="0.45">
      <c r="A3576" s="3"/>
    </row>
    <row r="3577" spans="1:1" x14ac:dyDescent="0.45">
      <c r="A3577" s="3"/>
    </row>
    <row r="3578" spans="1:1" x14ac:dyDescent="0.45">
      <c r="A3578" s="3"/>
    </row>
    <row r="3579" spans="1:1" x14ac:dyDescent="0.45">
      <c r="A3579" s="3"/>
    </row>
    <row r="3580" spans="1:1" x14ac:dyDescent="0.45">
      <c r="A3580" s="3"/>
    </row>
    <row r="3581" spans="1:1" x14ac:dyDescent="0.45">
      <c r="A3581" s="3"/>
    </row>
    <row r="3582" spans="1:1" x14ac:dyDescent="0.45">
      <c r="A3582" s="3"/>
    </row>
    <row r="3583" spans="1:1" x14ac:dyDescent="0.45">
      <c r="A3583" s="3"/>
    </row>
    <row r="3584" spans="1:1" x14ac:dyDescent="0.45">
      <c r="A3584" s="3"/>
    </row>
    <row r="3585" spans="1:1" x14ac:dyDescent="0.45">
      <c r="A3585" s="3"/>
    </row>
    <row r="3586" spans="1:1" x14ac:dyDescent="0.45">
      <c r="A3586" s="3"/>
    </row>
    <row r="3587" spans="1:1" x14ac:dyDescent="0.45">
      <c r="A3587" s="3"/>
    </row>
    <row r="3588" spans="1:1" x14ac:dyDescent="0.45">
      <c r="A3588" s="3"/>
    </row>
    <row r="3589" spans="1:1" x14ac:dyDescent="0.45">
      <c r="A3589" s="3"/>
    </row>
    <row r="3590" spans="1:1" x14ac:dyDescent="0.45">
      <c r="A3590" s="3"/>
    </row>
    <row r="3591" spans="1:1" x14ac:dyDescent="0.45">
      <c r="A3591" s="3"/>
    </row>
    <row r="3592" spans="1:1" x14ac:dyDescent="0.45">
      <c r="A3592" s="3"/>
    </row>
    <row r="3593" spans="1:1" x14ac:dyDescent="0.45">
      <c r="A3593" s="3"/>
    </row>
    <row r="3594" spans="1:1" x14ac:dyDescent="0.45">
      <c r="A3594" s="3"/>
    </row>
    <row r="3595" spans="1:1" x14ac:dyDescent="0.45">
      <c r="A3595" s="3"/>
    </row>
    <row r="3596" spans="1:1" x14ac:dyDescent="0.45">
      <c r="A3596" s="3"/>
    </row>
    <row r="3597" spans="1:1" x14ac:dyDescent="0.45">
      <c r="A3597" s="3"/>
    </row>
    <row r="3598" spans="1:1" x14ac:dyDescent="0.45">
      <c r="A3598" s="3"/>
    </row>
    <row r="3599" spans="1:1" x14ac:dyDescent="0.45">
      <c r="A3599" s="3"/>
    </row>
    <row r="3600" spans="1:1" x14ac:dyDescent="0.45">
      <c r="A3600" s="3"/>
    </row>
    <row r="3601" spans="1:1" x14ac:dyDescent="0.45">
      <c r="A3601" s="3"/>
    </row>
    <row r="3602" spans="1:1" x14ac:dyDescent="0.45">
      <c r="A3602" s="3"/>
    </row>
    <row r="3603" spans="1:1" x14ac:dyDescent="0.45">
      <c r="A3603" s="3"/>
    </row>
    <row r="3604" spans="1:1" x14ac:dyDescent="0.45">
      <c r="A3604" s="3"/>
    </row>
    <row r="3605" spans="1:1" x14ac:dyDescent="0.45">
      <c r="A3605" s="3"/>
    </row>
    <row r="3606" spans="1:1" x14ac:dyDescent="0.45">
      <c r="A3606" s="3"/>
    </row>
    <row r="3607" spans="1:1" x14ac:dyDescent="0.45">
      <c r="A3607" s="3"/>
    </row>
    <row r="3608" spans="1:1" x14ac:dyDescent="0.45">
      <c r="A3608" s="3"/>
    </row>
    <row r="3609" spans="1:1" x14ac:dyDescent="0.45">
      <c r="A3609" s="3"/>
    </row>
    <row r="3610" spans="1:1" x14ac:dyDescent="0.45">
      <c r="A3610" s="3"/>
    </row>
    <row r="3611" spans="1:1" x14ac:dyDescent="0.45">
      <c r="A3611" s="3"/>
    </row>
    <row r="3612" spans="1:1" x14ac:dyDescent="0.45">
      <c r="A3612" s="3"/>
    </row>
    <row r="3613" spans="1:1" x14ac:dyDescent="0.45">
      <c r="A3613" s="3"/>
    </row>
    <row r="3614" spans="1:1" x14ac:dyDescent="0.45">
      <c r="A3614" s="3"/>
    </row>
    <row r="3615" spans="1:1" x14ac:dyDescent="0.45">
      <c r="A3615" s="3"/>
    </row>
    <row r="3616" spans="1:1" x14ac:dyDescent="0.45">
      <c r="A3616" s="3"/>
    </row>
    <row r="3617" spans="1:1" x14ac:dyDescent="0.45">
      <c r="A3617" s="3"/>
    </row>
    <row r="3618" spans="1:1" x14ac:dyDescent="0.45">
      <c r="A3618" s="3"/>
    </row>
    <row r="3619" spans="1:1" x14ac:dyDescent="0.45">
      <c r="A3619" s="3"/>
    </row>
    <row r="3620" spans="1:1" x14ac:dyDescent="0.45">
      <c r="A3620" s="3"/>
    </row>
    <row r="3621" spans="1:1" x14ac:dyDescent="0.45">
      <c r="A3621" s="3"/>
    </row>
    <row r="3622" spans="1:1" x14ac:dyDescent="0.45">
      <c r="A3622" s="3"/>
    </row>
    <row r="3623" spans="1:1" x14ac:dyDescent="0.45">
      <c r="A3623" s="3"/>
    </row>
    <row r="3624" spans="1:1" x14ac:dyDescent="0.45">
      <c r="A3624" s="3"/>
    </row>
    <row r="3625" spans="1:1" x14ac:dyDescent="0.45">
      <c r="A3625" s="3"/>
    </row>
    <row r="3626" spans="1:1" x14ac:dyDescent="0.45">
      <c r="A3626" s="3"/>
    </row>
    <row r="3627" spans="1:1" x14ac:dyDescent="0.45">
      <c r="A3627" s="3"/>
    </row>
    <row r="3628" spans="1:1" x14ac:dyDescent="0.45">
      <c r="A3628" s="3"/>
    </row>
    <row r="3629" spans="1:1" x14ac:dyDescent="0.45">
      <c r="A3629" s="3"/>
    </row>
    <row r="3630" spans="1:1" x14ac:dyDescent="0.45">
      <c r="A3630" s="3"/>
    </row>
    <row r="3631" spans="1:1" x14ac:dyDescent="0.45">
      <c r="A3631" s="3"/>
    </row>
    <row r="3632" spans="1:1" x14ac:dyDescent="0.45">
      <c r="A3632" s="3"/>
    </row>
    <row r="3633" spans="1:1" x14ac:dyDescent="0.45">
      <c r="A3633" s="3"/>
    </row>
    <row r="3634" spans="1:1" x14ac:dyDescent="0.45">
      <c r="A3634" s="3"/>
    </row>
    <row r="3635" spans="1:1" x14ac:dyDescent="0.45">
      <c r="A3635" s="3"/>
    </row>
    <row r="3636" spans="1:1" x14ac:dyDescent="0.45">
      <c r="A3636" s="3"/>
    </row>
    <row r="3637" spans="1:1" x14ac:dyDescent="0.45">
      <c r="A3637" s="3"/>
    </row>
    <row r="3638" spans="1:1" x14ac:dyDescent="0.45">
      <c r="A3638" s="3"/>
    </row>
    <row r="3639" spans="1:1" x14ac:dyDescent="0.45">
      <c r="A3639" s="3"/>
    </row>
    <row r="3640" spans="1:1" x14ac:dyDescent="0.45">
      <c r="A3640" s="3"/>
    </row>
    <row r="3641" spans="1:1" x14ac:dyDescent="0.45">
      <c r="A3641" s="3"/>
    </row>
    <row r="3642" spans="1:1" x14ac:dyDescent="0.45">
      <c r="A3642" s="3"/>
    </row>
    <row r="3643" spans="1:1" x14ac:dyDescent="0.45">
      <c r="A3643" s="3"/>
    </row>
    <row r="3644" spans="1:1" x14ac:dyDescent="0.45">
      <c r="A3644" s="3"/>
    </row>
    <row r="3645" spans="1:1" x14ac:dyDescent="0.45">
      <c r="A3645" s="3"/>
    </row>
    <row r="3646" spans="1:1" x14ac:dyDescent="0.45">
      <c r="A3646" s="3"/>
    </row>
    <row r="3647" spans="1:1" x14ac:dyDescent="0.45">
      <c r="A3647" s="3"/>
    </row>
    <row r="3648" spans="1:1" x14ac:dyDescent="0.45">
      <c r="A3648" s="3"/>
    </row>
    <row r="3649" spans="1:1" x14ac:dyDescent="0.45">
      <c r="A3649" s="3"/>
    </row>
    <row r="3650" spans="1:1" x14ac:dyDescent="0.45">
      <c r="A3650" s="3"/>
    </row>
    <row r="3651" spans="1:1" x14ac:dyDescent="0.45">
      <c r="A3651" s="3"/>
    </row>
    <row r="3652" spans="1:1" x14ac:dyDescent="0.45">
      <c r="A3652" s="3"/>
    </row>
    <row r="3653" spans="1:1" x14ac:dyDescent="0.45">
      <c r="A3653" s="3"/>
    </row>
    <row r="3654" spans="1:1" x14ac:dyDescent="0.45">
      <c r="A3654" s="3"/>
    </row>
    <row r="3655" spans="1:1" x14ac:dyDescent="0.45">
      <c r="A3655" s="3"/>
    </row>
    <row r="3656" spans="1:1" x14ac:dyDescent="0.45">
      <c r="A3656" s="3"/>
    </row>
    <row r="3657" spans="1:1" x14ac:dyDescent="0.45">
      <c r="A3657" s="3"/>
    </row>
    <row r="3658" spans="1:1" x14ac:dyDescent="0.45">
      <c r="A3658" s="3"/>
    </row>
    <row r="3659" spans="1:1" x14ac:dyDescent="0.45">
      <c r="A3659" s="3"/>
    </row>
    <row r="3660" spans="1:1" x14ac:dyDescent="0.45">
      <c r="A3660" s="3"/>
    </row>
    <row r="3661" spans="1:1" x14ac:dyDescent="0.45">
      <c r="A3661" s="3"/>
    </row>
    <row r="3662" spans="1:1" x14ac:dyDescent="0.45">
      <c r="A3662" s="3"/>
    </row>
    <row r="3663" spans="1:1" x14ac:dyDescent="0.45">
      <c r="A3663" s="3"/>
    </row>
    <row r="3664" spans="1:1" x14ac:dyDescent="0.45">
      <c r="A3664" s="3"/>
    </row>
    <row r="3665" spans="1:1" x14ac:dyDescent="0.45">
      <c r="A3665" s="3"/>
    </row>
    <row r="3666" spans="1:1" x14ac:dyDescent="0.45">
      <c r="A3666" s="3"/>
    </row>
    <row r="3667" spans="1:1" x14ac:dyDescent="0.45">
      <c r="A3667" s="3"/>
    </row>
    <row r="3668" spans="1:1" x14ac:dyDescent="0.45">
      <c r="A3668" s="3"/>
    </row>
    <row r="3669" spans="1:1" x14ac:dyDescent="0.45">
      <c r="A3669" s="3"/>
    </row>
    <row r="3670" spans="1:1" x14ac:dyDescent="0.45">
      <c r="A3670" s="3"/>
    </row>
    <row r="3671" spans="1:1" x14ac:dyDescent="0.45">
      <c r="A3671" s="3"/>
    </row>
    <row r="3672" spans="1:1" x14ac:dyDescent="0.45">
      <c r="A3672" s="3"/>
    </row>
    <row r="3673" spans="1:1" x14ac:dyDescent="0.45">
      <c r="A3673" s="3"/>
    </row>
    <row r="3674" spans="1:1" x14ac:dyDescent="0.45">
      <c r="A3674" s="3"/>
    </row>
    <row r="3675" spans="1:1" x14ac:dyDescent="0.45">
      <c r="A3675" s="3"/>
    </row>
    <row r="3676" spans="1:1" x14ac:dyDescent="0.45">
      <c r="A3676" s="3"/>
    </row>
    <row r="3677" spans="1:1" x14ac:dyDescent="0.45">
      <c r="A3677" s="3"/>
    </row>
    <row r="3678" spans="1:1" x14ac:dyDescent="0.45">
      <c r="A3678" s="3"/>
    </row>
    <row r="3679" spans="1:1" x14ac:dyDescent="0.45">
      <c r="A3679" s="3"/>
    </row>
    <row r="3680" spans="1:1" x14ac:dyDescent="0.45">
      <c r="A3680" s="3"/>
    </row>
    <row r="3681" spans="1:1" x14ac:dyDescent="0.45">
      <c r="A3681" s="3"/>
    </row>
    <row r="3682" spans="1:1" x14ac:dyDescent="0.45">
      <c r="A3682" s="3"/>
    </row>
    <row r="3683" spans="1:1" x14ac:dyDescent="0.45">
      <c r="A3683" s="3"/>
    </row>
    <row r="3684" spans="1:1" x14ac:dyDescent="0.45">
      <c r="A3684" s="3"/>
    </row>
    <row r="3685" spans="1:1" x14ac:dyDescent="0.45">
      <c r="A3685" s="3"/>
    </row>
    <row r="3686" spans="1:1" x14ac:dyDescent="0.45">
      <c r="A3686" s="3"/>
    </row>
    <row r="3687" spans="1:1" x14ac:dyDescent="0.45">
      <c r="A3687" s="3"/>
    </row>
    <row r="3688" spans="1:1" x14ac:dyDescent="0.45">
      <c r="A3688" s="3"/>
    </row>
    <row r="3689" spans="1:1" x14ac:dyDescent="0.45">
      <c r="A3689" s="3"/>
    </row>
    <row r="3690" spans="1:1" x14ac:dyDescent="0.45">
      <c r="A3690" s="3"/>
    </row>
    <row r="3691" spans="1:1" x14ac:dyDescent="0.45">
      <c r="A3691" s="3"/>
    </row>
    <row r="3692" spans="1:1" x14ac:dyDescent="0.45">
      <c r="A3692" s="3"/>
    </row>
    <row r="3693" spans="1:1" x14ac:dyDescent="0.45">
      <c r="A3693" s="3"/>
    </row>
    <row r="3694" spans="1:1" x14ac:dyDescent="0.45">
      <c r="A3694" s="3"/>
    </row>
    <row r="3695" spans="1:1" x14ac:dyDescent="0.45">
      <c r="A3695" s="3"/>
    </row>
    <row r="3696" spans="1:1" x14ac:dyDescent="0.45">
      <c r="A3696" s="3"/>
    </row>
    <row r="3697" spans="1:1" x14ac:dyDescent="0.45">
      <c r="A3697" s="3"/>
    </row>
    <row r="3698" spans="1:1" x14ac:dyDescent="0.45">
      <c r="A3698" s="3"/>
    </row>
    <row r="3699" spans="1:1" x14ac:dyDescent="0.45">
      <c r="A3699" s="3"/>
    </row>
    <row r="3700" spans="1:1" x14ac:dyDescent="0.45">
      <c r="A3700" s="3"/>
    </row>
    <row r="3701" spans="1:1" x14ac:dyDescent="0.45">
      <c r="A3701" s="3"/>
    </row>
    <row r="3702" spans="1:1" x14ac:dyDescent="0.45">
      <c r="A3702" s="3"/>
    </row>
    <row r="3703" spans="1:1" x14ac:dyDescent="0.45">
      <c r="A3703" s="3"/>
    </row>
    <row r="3704" spans="1:1" x14ac:dyDescent="0.45">
      <c r="A3704" s="3"/>
    </row>
    <row r="3705" spans="1:1" x14ac:dyDescent="0.45">
      <c r="A3705" s="3"/>
    </row>
    <row r="3706" spans="1:1" x14ac:dyDescent="0.45">
      <c r="A3706" s="3"/>
    </row>
    <row r="3707" spans="1:1" x14ac:dyDescent="0.45">
      <c r="A3707" s="3"/>
    </row>
    <row r="3708" spans="1:1" x14ac:dyDescent="0.45">
      <c r="A3708" s="3"/>
    </row>
    <row r="3709" spans="1:1" x14ac:dyDescent="0.45">
      <c r="A3709" s="3"/>
    </row>
    <row r="3710" spans="1:1" x14ac:dyDescent="0.45">
      <c r="A3710" s="3"/>
    </row>
    <row r="3711" spans="1:1" x14ac:dyDescent="0.45">
      <c r="A3711" s="3"/>
    </row>
    <row r="3712" spans="1:1" x14ac:dyDescent="0.45">
      <c r="A3712" s="3"/>
    </row>
    <row r="3713" spans="1:1" x14ac:dyDescent="0.45">
      <c r="A3713" s="3"/>
    </row>
    <row r="3714" spans="1:1" x14ac:dyDescent="0.45">
      <c r="A3714" s="3"/>
    </row>
    <row r="3715" spans="1:1" x14ac:dyDescent="0.45">
      <c r="A3715" s="3"/>
    </row>
    <row r="3716" spans="1:1" x14ac:dyDescent="0.45">
      <c r="A3716" s="3"/>
    </row>
    <row r="3717" spans="1:1" x14ac:dyDescent="0.45">
      <c r="A3717" s="3"/>
    </row>
    <row r="3718" spans="1:1" x14ac:dyDescent="0.45">
      <c r="A3718" s="3"/>
    </row>
    <row r="3719" spans="1:1" x14ac:dyDescent="0.45">
      <c r="A3719" s="3"/>
    </row>
    <row r="3720" spans="1:1" x14ac:dyDescent="0.45">
      <c r="A3720" s="3"/>
    </row>
    <row r="3721" spans="1:1" x14ac:dyDescent="0.45">
      <c r="A3721" s="3"/>
    </row>
    <row r="3722" spans="1:1" x14ac:dyDescent="0.45">
      <c r="A3722" s="3"/>
    </row>
    <row r="3723" spans="1:1" x14ac:dyDescent="0.45">
      <c r="A3723" s="3"/>
    </row>
    <row r="3724" spans="1:1" x14ac:dyDescent="0.45">
      <c r="A3724" s="3"/>
    </row>
    <row r="3725" spans="1:1" x14ac:dyDescent="0.45">
      <c r="A3725" s="3"/>
    </row>
    <row r="3726" spans="1:1" x14ac:dyDescent="0.45">
      <c r="A3726" s="3"/>
    </row>
    <row r="3727" spans="1:1" x14ac:dyDescent="0.45">
      <c r="A3727" s="3"/>
    </row>
    <row r="3728" spans="1:1" x14ac:dyDescent="0.45">
      <c r="A3728" s="3"/>
    </row>
    <row r="3729" spans="1:1" x14ac:dyDescent="0.45">
      <c r="A3729" s="3"/>
    </row>
    <row r="3730" spans="1:1" x14ac:dyDescent="0.45">
      <c r="A3730" s="3"/>
    </row>
    <row r="3731" spans="1:1" x14ac:dyDescent="0.45">
      <c r="A3731" s="3"/>
    </row>
    <row r="3732" spans="1:1" x14ac:dyDescent="0.45">
      <c r="A3732" s="3"/>
    </row>
    <row r="3733" spans="1:1" x14ac:dyDescent="0.45">
      <c r="A3733" s="3"/>
    </row>
    <row r="3734" spans="1:1" x14ac:dyDescent="0.45">
      <c r="A3734" s="3"/>
    </row>
    <row r="3735" spans="1:1" x14ac:dyDescent="0.45">
      <c r="A3735" s="3"/>
    </row>
    <row r="3736" spans="1:1" x14ac:dyDescent="0.45">
      <c r="A3736" s="3"/>
    </row>
    <row r="3737" spans="1:1" x14ac:dyDescent="0.45">
      <c r="A3737" s="3"/>
    </row>
    <row r="3738" spans="1:1" x14ac:dyDescent="0.45">
      <c r="A3738" s="3"/>
    </row>
    <row r="3739" spans="1:1" x14ac:dyDescent="0.45">
      <c r="A3739" s="3"/>
    </row>
    <row r="3740" spans="1:1" x14ac:dyDescent="0.45">
      <c r="A3740" s="3"/>
    </row>
    <row r="3741" spans="1:1" x14ac:dyDescent="0.45">
      <c r="A3741" s="3"/>
    </row>
    <row r="3742" spans="1:1" x14ac:dyDescent="0.45">
      <c r="A3742" s="3"/>
    </row>
    <row r="3743" spans="1:1" x14ac:dyDescent="0.45">
      <c r="A3743" s="3"/>
    </row>
    <row r="3744" spans="1:1" x14ac:dyDescent="0.45">
      <c r="A3744" s="3"/>
    </row>
    <row r="3745" spans="1:1" x14ac:dyDescent="0.45">
      <c r="A3745" s="3"/>
    </row>
    <row r="3746" spans="1:1" x14ac:dyDescent="0.45">
      <c r="A3746" s="3"/>
    </row>
    <row r="3747" spans="1:1" x14ac:dyDescent="0.45">
      <c r="A3747" s="3"/>
    </row>
    <row r="3748" spans="1:1" x14ac:dyDescent="0.45">
      <c r="A3748" s="3"/>
    </row>
    <row r="3749" spans="1:1" x14ac:dyDescent="0.45">
      <c r="A3749" s="3"/>
    </row>
    <row r="3750" spans="1:1" x14ac:dyDescent="0.45">
      <c r="A3750" s="3"/>
    </row>
    <row r="3751" spans="1:1" x14ac:dyDescent="0.45">
      <c r="A3751" s="3"/>
    </row>
    <row r="3752" spans="1:1" x14ac:dyDescent="0.45">
      <c r="A3752" s="3"/>
    </row>
    <row r="3753" spans="1:1" x14ac:dyDescent="0.45">
      <c r="A3753" s="3"/>
    </row>
    <row r="3754" spans="1:1" x14ac:dyDescent="0.45">
      <c r="A3754" s="3"/>
    </row>
    <row r="3755" spans="1:1" x14ac:dyDescent="0.45">
      <c r="A3755" s="3"/>
    </row>
    <row r="3756" spans="1:1" x14ac:dyDescent="0.45">
      <c r="A3756" s="3"/>
    </row>
    <row r="3757" spans="1:1" x14ac:dyDescent="0.45">
      <c r="A3757" s="3"/>
    </row>
    <row r="3758" spans="1:1" x14ac:dyDescent="0.45">
      <c r="A3758" s="3"/>
    </row>
    <row r="3759" spans="1:1" x14ac:dyDescent="0.45">
      <c r="A3759" s="3"/>
    </row>
    <row r="3760" spans="1:1" x14ac:dyDescent="0.45">
      <c r="A3760" s="3"/>
    </row>
    <row r="3761" spans="1:1" x14ac:dyDescent="0.45">
      <c r="A3761" s="3"/>
    </row>
    <row r="3762" spans="1:1" x14ac:dyDescent="0.45">
      <c r="A3762" s="3"/>
    </row>
    <row r="3763" spans="1:1" x14ac:dyDescent="0.45">
      <c r="A3763" s="3"/>
    </row>
    <row r="3764" spans="1:1" x14ac:dyDescent="0.45">
      <c r="A3764" s="3"/>
    </row>
    <row r="3765" spans="1:1" x14ac:dyDescent="0.45">
      <c r="A3765" s="3"/>
    </row>
    <row r="3766" spans="1:1" x14ac:dyDescent="0.45">
      <c r="A3766" s="3"/>
    </row>
    <row r="3767" spans="1:1" x14ac:dyDescent="0.45">
      <c r="A3767" s="3"/>
    </row>
    <row r="3768" spans="1:1" x14ac:dyDescent="0.45">
      <c r="A3768" s="3"/>
    </row>
    <row r="3769" spans="1:1" x14ac:dyDescent="0.45">
      <c r="A3769" s="3"/>
    </row>
    <row r="3770" spans="1:1" x14ac:dyDescent="0.45">
      <c r="A3770" s="3"/>
    </row>
    <row r="3771" spans="1:1" x14ac:dyDescent="0.45">
      <c r="A3771" s="3"/>
    </row>
    <row r="3772" spans="1:1" x14ac:dyDescent="0.45">
      <c r="A3772" s="3"/>
    </row>
    <row r="3773" spans="1:1" x14ac:dyDescent="0.45">
      <c r="A3773" s="3"/>
    </row>
    <row r="3774" spans="1:1" x14ac:dyDescent="0.45">
      <c r="A3774" s="3"/>
    </row>
    <row r="3775" spans="1:1" x14ac:dyDescent="0.45">
      <c r="A3775" s="3"/>
    </row>
    <row r="3776" spans="1:1" x14ac:dyDescent="0.45">
      <c r="A3776" s="3"/>
    </row>
    <row r="3777" spans="1:1" x14ac:dyDescent="0.45">
      <c r="A3777" s="3"/>
    </row>
    <row r="3778" spans="1:1" x14ac:dyDescent="0.45">
      <c r="A3778" s="3"/>
    </row>
    <row r="3779" spans="1:1" x14ac:dyDescent="0.45">
      <c r="A3779" s="3"/>
    </row>
    <row r="3780" spans="1:1" x14ac:dyDescent="0.45">
      <c r="A3780" s="3"/>
    </row>
    <row r="3781" spans="1:1" x14ac:dyDescent="0.45">
      <c r="A3781" s="3"/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5B495-3D97-4183-9766-B2D84D96AC18}">
  <dimension ref="A1:CG328"/>
  <sheetViews>
    <sheetView workbookViewId="0">
      <pane xSplit="1" ySplit="3" topLeftCell="BH4" activePane="bottomRight" state="frozen"/>
      <selection pane="topRight" activeCell="B1" sqref="B1"/>
      <selection pane="bottomLeft" activeCell="A4" sqref="A4"/>
      <selection pane="bottomRight" activeCell="CB1" activeCellId="1" sqref="BV1:BV1048576 CB1:CB1048576"/>
    </sheetView>
  </sheetViews>
  <sheetFormatPr defaultRowHeight="14.25" x14ac:dyDescent="0.45"/>
  <cols>
    <col min="1" max="1" width="9.9296875" bestFit="1" customWidth="1"/>
    <col min="2" max="2" width="9.06640625" style="14"/>
    <col min="3" max="3" width="11" style="14" bestFit="1" customWidth="1"/>
    <col min="4" max="4" width="10" style="14" bestFit="1" customWidth="1"/>
    <col min="5" max="6" width="9.1328125" style="14" bestFit="1" customWidth="1"/>
    <col min="7" max="7" width="10" style="14" bestFit="1" customWidth="1"/>
    <col min="8" max="10" width="11" style="39" bestFit="1" customWidth="1"/>
    <col min="11" max="11" width="10" style="39" bestFit="1" customWidth="1"/>
    <col min="12" max="12" width="9.1328125" style="39" bestFit="1" customWidth="1"/>
    <col min="13" max="13" width="10" style="39" bestFit="1" customWidth="1"/>
    <col min="14" max="19" width="9.06640625" style="14"/>
    <col min="20" max="25" width="9.06640625" style="39"/>
    <col min="26" max="31" width="9.06640625" style="14"/>
    <col min="32" max="32" width="10" style="39" bestFit="1" customWidth="1"/>
    <col min="33" max="34" width="10.59765625" style="39" bestFit="1" customWidth="1"/>
    <col min="35" max="36" width="9.59765625" style="39" bestFit="1" customWidth="1"/>
    <col min="37" max="37" width="10.59765625" style="39" bestFit="1" customWidth="1"/>
    <col min="38" max="43" width="9.06640625" style="14"/>
    <col min="44" max="49" width="9.06640625" style="39"/>
    <col min="50" max="50" width="9.1328125" style="14" bestFit="1" customWidth="1"/>
    <col min="51" max="52" width="10" style="14" bestFit="1" customWidth="1"/>
    <col min="53" max="55" width="9.1328125" style="14" bestFit="1" customWidth="1"/>
    <col min="56" max="56" width="10" style="39" bestFit="1" customWidth="1"/>
    <col min="57" max="61" width="9.06640625" style="39"/>
    <col min="62" max="67" width="9.06640625" style="14"/>
    <col min="68" max="73" width="9.06640625" style="39"/>
    <col min="74" max="85" width="9.06640625" style="93"/>
  </cols>
  <sheetData>
    <row r="1" spans="1:85" x14ac:dyDescent="0.45">
      <c r="B1" s="14" t="str">
        <f>"IQ_Total_Revenue"</f>
        <v>IQ_Total_Revenue</v>
      </c>
      <c r="N1" s="14" t="str">
        <f>"IQ_TOTAL_REV_1YR_ANN_GROWTH"</f>
        <v>IQ_TOTAL_REV_1YR_ANN_GROWTH</v>
      </c>
      <c r="Z1" s="14" t="str">
        <f>"IQ_NI"</f>
        <v>IQ_NI</v>
      </c>
      <c r="AL1" s="14" t="str">
        <f>"IQ_NI_1YR_ANN_Growth"</f>
        <v>IQ_NI_1YR_ANN_Growth</v>
      </c>
      <c r="AX1" s="14" t="str">
        <f>"IQ_EBITDA"</f>
        <v>IQ_EBITDA</v>
      </c>
      <c r="BI1" s="14">
        <v>4</v>
      </c>
      <c r="BJ1" s="14" t="s">
        <v>523</v>
      </c>
      <c r="BV1" s="93" t="str">
        <f>"IQ_RETURN_INVESTED_CAPITAL"</f>
        <v>IQ_RETURN_INVESTED_CAPITAL</v>
      </c>
    </row>
    <row r="2" spans="1:85" x14ac:dyDescent="0.45">
      <c r="B2" s="14" t="str">
        <f>"IQ_CQ"</f>
        <v>IQ_CQ</v>
      </c>
      <c r="H2" s="39" t="str">
        <f>"IQ_LTM"</f>
        <v>IQ_LTM</v>
      </c>
      <c r="N2" s="14" t="str">
        <f>"IQ_CQ"</f>
        <v>IQ_CQ</v>
      </c>
      <c r="T2" s="39" t="str">
        <f>H2</f>
        <v>IQ_LTM</v>
      </c>
      <c r="Z2" s="14" t="str">
        <f>N2</f>
        <v>IQ_CQ</v>
      </c>
      <c r="AF2" s="39" t="str">
        <f>T2</f>
        <v>IQ_LTM</v>
      </c>
      <c r="AL2" s="14" t="str">
        <f>Z2</f>
        <v>IQ_CQ</v>
      </c>
      <c r="AR2" s="39" t="str">
        <f>AF2</f>
        <v>IQ_LTM</v>
      </c>
      <c r="AX2" s="14" t="str">
        <f>AL2</f>
        <v>IQ_CQ</v>
      </c>
      <c r="BD2" s="39" t="str">
        <f>AR2</f>
        <v>IQ_LTM</v>
      </c>
      <c r="BI2" s="14">
        <f>_xlfn.XMATCH("*",D:D,-1,2)</f>
        <v>67</v>
      </c>
      <c r="BJ2" s="14" t="str">
        <f>AX2</f>
        <v>IQ_CQ</v>
      </c>
      <c r="BP2" s="39" t="str">
        <f>BD2</f>
        <v>IQ_LTM</v>
      </c>
      <c r="BV2" s="93" t="s">
        <v>521</v>
      </c>
      <c r="CB2" s="93" t="s">
        <v>522</v>
      </c>
    </row>
    <row r="3" spans="1:85" x14ac:dyDescent="0.45">
      <c r="B3" s="25" t="str" cm="1">
        <f t="array" ref="B3:G3">Data!B6:G6</f>
        <v>COP</v>
      </c>
      <c r="C3" s="25" t="str">
        <v>XOM</v>
      </c>
      <c r="D3" s="25" t="str">
        <v>CVX</v>
      </c>
      <c r="E3" s="25" t="str">
        <v>EOG</v>
      </c>
      <c r="F3" s="25" t="str">
        <v>BP</v>
      </c>
      <c r="G3" s="25" t="str">
        <v>DVN</v>
      </c>
      <c r="H3" s="39" t="str" cm="1">
        <f t="array" ref="H3:M3">B3:G3</f>
        <v>COP</v>
      </c>
      <c r="I3" s="39" t="str">
        <v>XOM</v>
      </c>
      <c r="J3" s="39" t="str">
        <v>CVX</v>
      </c>
      <c r="K3" s="39" t="str">
        <v>EOG</v>
      </c>
      <c r="L3" s="39" t="str">
        <v>BP</v>
      </c>
      <c r="M3" s="39" t="str">
        <v>DVN</v>
      </c>
      <c r="N3" s="14" t="str" cm="1">
        <f t="array" ref="N3:S3">H3:M3</f>
        <v>COP</v>
      </c>
      <c r="O3" s="14" t="str">
        <v>XOM</v>
      </c>
      <c r="P3" s="14" t="str">
        <v>CVX</v>
      </c>
      <c r="Q3" s="14" t="str">
        <v>EOG</v>
      </c>
      <c r="R3" s="14" t="str">
        <v>BP</v>
      </c>
      <c r="S3" s="14" t="str">
        <v>DVN</v>
      </c>
      <c r="T3" s="39" t="str" cm="1">
        <f t="array" ref="T3:Y3">_xlfn.ANCHORARRAY(N3)</f>
        <v>COP</v>
      </c>
      <c r="U3" s="39" t="str">
        <v>XOM</v>
      </c>
      <c r="V3" s="39" t="str">
        <v>CVX</v>
      </c>
      <c r="W3" s="39" t="str">
        <v>EOG</v>
      </c>
      <c r="X3" s="39" t="str">
        <v>BP</v>
      </c>
      <c r="Y3" s="39" t="str">
        <v>DVN</v>
      </c>
      <c r="Z3" s="14" t="str" cm="1">
        <f t="array" ref="Z3:AE3">_xlfn.ANCHORARRAY(T3)</f>
        <v>COP</v>
      </c>
      <c r="AA3" s="14" t="str">
        <v>XOM</v>
      </c>
      <c r="AB3" s="14" t="str">
        <v>CVX</v>
      </c>
      <c r="AC3" s="14" t="str">
        <v>EOG</v>
      </c>
      <c r="AD3" s="14" t="str">
        <v>BP</v>
      </c>
      <c r="AE3" s="14" t="str">
        <v>DVN</v>
      </c>
      <c r="AF3" s="39" t="str" cm="1">
        <f t="array" ref="AF3:AK3">_xlfn.ANCHORARRAY(Z3)</f>
        <v>COP</v>
      </c>
      <c r="AG3" s="39" t="str">
        <v>XOM</v>
      </c>
      <c r="AH3" s="39" t="str">
        <v>CVX</v>
      </c>
      <c r="AI3" s="39" t="str">
        <v>EOG</v>
      </c>
      <c r="AJ3" s="39" t="str">
        <v>BP</v>
      </c>
      <c r="AK3" s="39" t="str">
        <v>DVN</v>
      </c>
      <c r="AL3" s="14" t="str" cm="1">
        <f t="array" ref="AL3:AQ3">_xlfn.ANCHORARRAY(AF3)</f>
        <v>COP</v>
      </c>
      <c r="AM3" s="14" t="str">
        <v>XOM</v>
      </c>
      <c r="AN3" s="14" t="str">
        <v>CVX</v>
      </c>
      <c r="AO3" s="14" t="str">
        <v>EOG</v>
      </c>
      <c r="AP3" s="14" t="str">
        <v>BP</v>
      </c>
      <c r="AQ3" s="14" t="str">
        <v>DVN</v>
      </c>
      <c r="AR3" s="39" t="str" cm="1">
        <f t="array" ref="AR3:AW3">_xlfn.ANCHORARRAY(AF3)</f>
        <v>COP</v>
      </c>
      <c r="AS3" s="39" t="str">
        <v>XOM</v>
      </c>
      <c r="AT3" s="39" t="str">
        <v>CVX</v>
      </c>
      <c r="AU3" s="39" t="str">
        <v>EOG</v>
      </c>
      <c r="AV3" s="39" t="str">
        <v>BP</v>
      </c>
      <c r="AW3" s="39" t="str">
        <v>DVN</v>
      </c>
      <c r="AX3" s="14" t="str" cm="1">
        <f t="array" ref="AX3:BC3">_xlfn.ANCHORARRAY(AL3)</f>
        <v>COP</v>
      </c>
      <c r="AY3" s="14" t="str">
        <v>XOM</v>
      </c>
      <c r="AZ3" s="14" t="str">
        <v>CVX</v>
      </c>
      <c r="BA3" s="14" t="str">
        <v>EOG</v>
      </c>
      <c r="BB3" s="14" t="str">
        <v>BP</v>
      </c>
      <c r="BC3" s="14" t="str">
        <v>DVN</v>
      </c>
      <c r="BD3" s="39" t="str" cm="1">
        <f t="array" ref="BD3:BI3">_xlfn.ANCHORARRAY(AX3)</f>
        <v>COP</v>
      </c>
      <c r="BE3" s="39" t="str">
        <v>XOM</v>
      </c>
      <c r="BF3" s="39" t="str">
        <v>CVX</v>
      </c>
      <c r="BG3" s="39" t="str">
        <v>EOG</v>
      </c>
      <c r="BH3" s="39" t="str">
        <v>BP</v>
      </c>
      <c r="BI3" s="39" t="str">
        <v>DVN</v>
      </c>
      <c r="BJ3" s="14" t="str" cm="1">
        <f t="array" ref="BJ3:BO3">_xlfn.ANCHORARRAY(BD3)</f>
        <v>COP</v>
      </c>
      <c r="BK3" s="14" t="str">
        <v>XOM</v>
      </c>
      <c r="BL3" s="14" t="str">
        <v>CVX</v>
      </c>
      <c r="BM3" s="14" t="str">
        <v>EOG</v>
      </c>
      <c r="BN3" s="14" t="str">
        <v>BP</v>
      </c>
      <c r="BO3" s="14" t="str">
        <v>DVN</v>
      </c>
      <c r="BP3" s="39" t="str" cm="1">
        <f t="array" ref="BP3:BU3">_xlfn.ANCHORARRAY(BJ3)</f>
        <v>COP</v>
      </c>
      <c r="BQ3" s="39" t="str">
        <v>XOM</v>
      </c>
      <c r="BR3" s="39" t="str">
        <v>CVX</v>
      </c>
      <c r="BS3" s="39" t="str">
        <v>EOG</v>
      </c>
      <c r="BT3" s="39" t="str">
        <v>BP</v>
      </c>
      <c r="BU3" s="39" t="str">
        <v>DVN</v>
      </c>
      <c r="BV3" s="93" t="str" cm="1">
        <f t="array" ref="BV3:CA3">_xlfn.ANCHORARRAY(BP3)</f>
        <v>COP</v>
      </c>
      <c r="BW3" s="93" t="str">
        <v>XOM</v>
      </c>
      <c r="BX3" s="93" t="str">
        <v>CVX</v>
      </c>
      <c r="BY3" s="93" t="str">
        <v>EOG</v>
      </c>
      <c r="BZ3" s="93" t="str">
        <v>BP</v>
      </c>
      <c r="CA3" s="93" t="str">
        <v>DVN</v>
      </c>
      <c r="CB3" s="93" t="str" cm="1">
        <f t="array" ref="CB3:CG3">_xlfn.ANCHORARRAY(BV3)</f>
        <v>COP</v>
      </c>
      <c r="CC3" s="93" t="str">
        <v>XOM</v>
      </c>
      <c r="CD3" s="93" t="str">
        <v>CVX</v>
      </c>
      <c r="CE3" s="93" t="str">
        <v>EOG</v>
      </c>
      <c r="CF3" s="93" t="str">
        <v>BP</v>
      </c>
      <c r="CG3" s="93" t="str">
        <v>DVN</v>
      </c>
    </row>
    <row r="4" spans="1:85" x14ac:dyDescent="0.45">
      <c r="A4" s="3">
        <v>45930</v>
      </c>
      <c r="B4" s="14" cm="1">
        <f t="array" ref="B4">_xll.ciqfunctions.udf.CIQ(B$3,$B$1,$B$2,$A4,"L",,"USD","H")</f>
        <v>15376</v>
      </c>
      <c r="C4" s="38" cm="1">
        <f t="array" ref="C4">_xll.ciqfunctions.udf.CIQ(C$3,$B$1,$B$2,$A4,"L",,"USD","H")</f>
        <v>83331</v>
      </c>
      <c r="D4" s="38" cm="1">
        <f t="array" ref="D4">_xll.ciqfunctions.udf.CIQ(D$3,$B$1,$B$2,$A4,"L",,"USD","H")</f>
        <v>48747</v>
      </c>
      <c r="E4" s="38" cm="1">
        <f t="array" ref="E4">_xll.ciqfunctions.udf.CIQ(E$3,$B$1,$B$2,$A4,"L",,"USD","H")</f>
        <v>5749</v>
      </c>
      <c r="F4" s="38" cm="1">
        <f t="array" ref="F4">_xll.ciqfunctions.udf.CIQ(F$3,$B$1,$B$2,$A4,"L",,"USD","H")</f>
        <v>48386</v>
      </c>
      <c r="G4" s="38" cm="1">
        <f t="array" ref="G4">_xll.ciqfunctions.udf.CIQ(G$3,$B$1,$B$2,$A4,"L",,"USD","H")</f>
        <v>4067</v>
      </c>
      <c r="H4" s="40" cm="1">
        <f t="array" ref="H4">_xll.ciqfunctions.udf.CIQ(B$3,$B$1,$H$2,$A4,"L",,"USD","H")</f>
        <v>61280</v>
      </c>
      <c r="I4" s="40" cm="1">
        <f t="array" ref="I4">_xll.ciqfunctions.udf.CIQ(C$3,$B$1,$H$2,$A4,"L",,"USD","H")</f>
        <v>326245</v>
      </c>
      <c r="J4" s="40" cm="1">
        <f t="array" ref="J4">_xll.ciqfunctions.udf.CIQ(D$3,$B$1,$H$2,$A4,"L",,"USD","H")</f>
        <v>188687</v>
      </c>
      <c r="K4" s="40" cm="1">
        <f t="array" ref="K4">_xll.ciqfunctions.udf.CIQ(E$3,$B$1,$H$2,$A4,"L",,"USD","H")</f>
        <v>22654</v>
      </c>
      <c r="L4" s="40" cm="1">
        <f t="array" ref="L4">_xll.ciqfunctions.udf.CIQ(F$3,$B$1,$H$2,$A4,"L",,"USD","H")</f>
        <v>185934</v>
      </c>
      <c r="M4" s="40" cm="1">
        <f t="array" ref="M4">_xll.ciqfunctions.udf.CIQ(G$3,$B$1,$H$2,$A4,"L",,"USD","H")</f>
        <v>16554</v>
      </c>
      <c r="N4" s="13" cm="1">
        <f t="array" ref="N4">_xll.ciqfunctions.udf.CIQ(B$3,$N$1,$B$2,$A4,"L",,"USD","H")</f>
        <v>14.048299999999999</v>
      </c>
      <c r="O4" s="13" cm="1">
        <f t="array" ref="O4">_xll.ciqfunctions.udf.CIQ(C$3,$N$1,$B$2,$A4,"L",,"USD","H")</f>
        <v>-5.0814000000000004</v>
      </c>
      <c r="P4" s="13" cm="1">
        <f t="array" ref="P4">_xll.ciqfunctions.udf.CIQ(D$3,$N$1,$B$2,$A4,"L",,"USD","H")</f>
        <v>-1.3539000000000001</v>
      </c>
      <c r="Q4" s="13" cm="1">
        <f t="array" ref="Q4">_xll.ciqfunctions.udf.CIQ(E$3,$N$1,$B$2,$A4,"L",,"USD","H")</f>
        <v>-2.4436</v>
      </c>
      <c r="R4" s="13" cm="1">
        <f t="array" ref="R4">_xll.ciqfunctions.udf.CIQ(F$3,$N$1,$B$2,$A4,"L",,"USD","H")</f>
        <v>2.4626999999999999</v>
      </c>
      <c r="S4" s="13" cm="1">
        <f t="array" ref="S4">_xll.ciqfunctions.udf.CIQ(G$3,$N$1,$B$2,$A4,"L",,"USD","H")</f>
        <v>7.1108000000000002</v>
      </c>
      <c r="T4" s="41" cm="1">
        <f t="array" ref="T4">_xll.ciqfunctions.udf.CIQ(N$3,$N$1,$T$2,$A4,"L",,"USD","H")</f>
        <v>7.6523000000000003</v>
      </c>
      <c r="U4" s="41" cm="1">
        <f t="array" ref="U4">_xll.ciqfunctions.udf.CIQ(O$3,$N$1,$T$2,$A4,"L",,"USD","H")</f>
        <v>-4.5635000000000003</v>
      </c>
      <c r="V4" s="41" cm="1">
        <f t="array" ref="V4">_xll.ciqfunctions.udf.CIQ(P$3,$N$1,$T$2,$A4,"L",,"USD","H")</f>
        <v>-1.5661</v>
      </c>
      <c r="W4" s="41" cm="1">
        <f t="array" ref="W4">_xll.ciqfunctions.udf.CIQ(Q$3,$N$1,$T$2,$A4,"L",,"USD","H")</f>
        <v>-5.0704000000000002</v>
      </c>
      <c r="X4" s="41" cm="1">
        <f t="array" ref="X4">_xll.ciqfunctions.udf.CIQ(R$3,$N$1,$T$2,$A4,"L",,"USD","H")</f>
        <v>-4.1227</v>
      </c>
      <c r="Y4" s="41" cm="1">
        <f t="array" ref="Y4">_xll.ciqfunctions.udf.CIQ(S$3,$N$1,$T$2,$A4,"L",,"USD","H")</f>
        <v>13.9376</v>
      </c>
      <c r="Z4" s="38" cm="1">
        <f t="array" ref="Z4">_xll.ciqfunctions.udf.CIQ(B$3,$Z$1,$B$2,$A4,"L",,"USD","H")</f>
        <v>1726</v>
      </c>
      <c r="AA4" s="38" cm="1">
        <f t="array" ref="AA4">_xll.ciqfunctions.udf.CIQ(C$3,$Z$1,$B$2,$A4,"L",,"USD","H")</f>
        <v>7548</v>
      </c>
      <c r="AB4" s="38" cm="1">
        <f t="array" ref="AB4">_xll.ciqfunctions.udf.CIQ(D$3,$Z$1,$B$2,$A4,"L",,"USD","H")</f>
        <v>3539</v>
      </c>
      <c r="AC4" s="38" cm="1">
        <f t="array" ref="AC4">_xll.ciqfunctions.udf.CIQ(E$3,$Z$1,$B$2,$A4,"L",,"USD","H")</f>
        <v>1471</v>
      </c>
      <c r="AD4" s="38" cm="1">
        <f t="array" ref="AD4">_xll.ciqfunctions.udf.CIQ(F$3,$Z$1,$B$2,$A4,"L",,"USD","H")</f>
        <v>1161</v>
      </c>
      <c r="AE4" s="38" cm="1">
        <f t="array" ref="AE4">_xll.ciqfunctions.udf.CIQ(G$3,$Z$1,$B$2,$A4,"L",,"USD","H")</f>
        <v>687</v>
      </c>
      <c r="AF4" s="40" cm="1">
        <f t="array" ref="AF4">_xll.ciqfunctions.udf.CIQ(B$3,$Z$1,$H$2,$A4,"L",,"USD","H")</f>
        <v>8852</v>
      </c>
      <c r="AG4" s="40" cm="1">
        <f t="array" ref="AG4">_xll.ciqfunctions.udf.CIQ(C$3,$Z$1,$H$2,$A4,"L",,"USD","H")</f>
        <v>29953</v>
      </c>
      <c r="AH4" s="40" cm="1">
        <f t="array" ref="AH4">_xll.ciqfunctions.udf.CIQ(D$3,$Z$1,$H$2,$A4,"L",,"USD","H")</f>
        <v>12768</v>
      </c>
      <c r="AI4" s="40" cm="1">
        <f t="array" ref="AI4">_xll.ciqfunctions.udf.CIQ(E$3,$Z$1,$H$2,$A4,"L",,"USD","H")</f>
        <v>5530</v>
      </c>
      <c r="AJ4" s="40" cm="1">
        <f t="array" ref="AJ4">_xll.ciqfunctions.udf.CIQ(F$3,$Z$1,$H$2,$A4,"L",,"USD","H")</f>
        <v>1518</v>
      </c>
      <c r="AK4" s="40" cm="1">
        <f t="array" ref="AK4">_xll.ciqfunctions.udf.CIQ(G$3,$Z$1,$H$2,$A4,"L",,"USD","H")</f>
        <v>2719</v>
      </c>
      <c r="AL4" s="13" cm="1">
        <f t="array" ref="AL4">_xll.ciqfunctions.udf.CIQ(B$3,$AL$1,$AL$2,$A4,"L",,"USD","H")</f>
        <v>-16.172899999999998</v>
      </c>
      <c r="AM4" s="13" cm="1">
        <f t="array" ref="AM4">_xll.ciqfunctions.udf.CIQ(C$3,$AL$1,$AL$2,$A4,"L",,"USD","H")</f>
        <v>-12.3345</v>
      </c>
      <c r="AN4" s="13" cm="1">
        <f t="array" ref="AN4">_xll.ciqfunctions.udf.CIQ(D$3,$AL$1,$AL$2,$A4,"L",,"USD","H")</f>
        <v>-21.127800000000001</v>
      </c>
      <c r="AO4" s="13" cm="1">
        <f t="array" ref="AO4">_xll.ciqfunctions.udf.CIQ(E$3,$AL$1,$AL$2,$A4,"L",,"USD","H")</f>
        <v>-12.074199999999999</v>
      </c>
      <c r="AP4" s="13" cm="1">
        <f t="array" ref="AP4">_xll.ciqfunctions.udf.CIQ(F$3,$AL$1,$AL$2,$A4,"L",,"USD","H")</f>
        <v>463.59219999999999</v>
      </c>
      <c r="AQ4" s="13" cm="1">
        <f t="array" ref="AQ4">_xll.ciqfunctions.udf.CIQ(G$3,$AL$1,$AL$2,$A4,"L",,"USD","H")</f>
        <v>-15.3941</v>
      </c>
      <c r="AR4" s="41" cm="1">
        <f t="array" ref="AR4">_xll.ciqfunctions.udf.CIQ(B$3,$AL$1,$AR$2,$A4,"L",,"USD","H")</f>
        <v>-10.9994</v>
      </c>
      <c r="AS4" s="41" cm="1">
        <f t="array" ref="AS4">_xll.ciqfunctions.udf.CIQ(C$3,$AL$1,$AR$2,$A4,"L",,"USD","H")</f>
        <v>-11.1187</v>
      </c>
      <c r="AT4" s="41" cm="1">
        <f t="array" ref="AT4">_xll.ciqfunctions.udf.CIQ(D$3,$AL$1,$AR$2,$A4,"L",,"USD","H")</f>
        <v>-23.457899999999999</v>
      </c>
      <c r="AU4" s="41" cm="1">
        <f t="array" ref="AU4">_xll.ciqfunctions.udf.CIQ(E$3,$AL$1,$AR$2,$A4,"L",,"USD","H")</f>
        <v>-22.549099999999999</v>
      </c>
      <c r="AV4" s="41" cm="1">
        <f t="array" ref="AV4">_xll.ciqfunctions.udf.CIQ(F$3,$AL$1,$AR$2,$A4,"L",,"USD","H")</f>
        <v>-44.006</v>
      </c>
      <c r="AW4" s="41" cm="1">
        <f t="array" ref="AW4">_xll.ciqfunctions.udf.CIQ(G$3,$AL$1,$AR$2,$A4,"L",,"USD","H")</f>
        <v>-20.1234</v>
      </c>
      <c r="AX4" s="38" cm="1">
        <f t="array" ref="AX4">_xll.ciqfunctions.udf.CIQ(B$3,$AX$1,$AX$2,$A4,"L",,"USD","H")</f>
        <v>5942</v>
      </c>
      <c r="AY4" s="38" cm="1">
        <f t="array" ref="AY4">_xll.ciqfunctions.udf.CIQ(C$3,$AX$1,$AX$2,$A4,"L",,"USD","H")</f>
        <v>15689</v>
      </c>
      <c r="AZ4" s="38" cm="1">
        <f t="array" ref="AZ4">_xll.ciqfunctions.udf.CIQ(D$3,$AX$1,$AX$2,$A4,"L",,"USD","H")</f>
        <v>10584</v>
      </c>
      <c r="BA4" s="38" cm="1">
        <f t="array" ref="BA4">_xll.ciqfunctions.udf.CIQ(E$3,$AX$1,$AX$2,$A4,"L",,"USD","H")</f>
        <v>3094</v>
      </c>
      <c r="BB4" s="38" cm="1">
        <f t="array" ref="BB4">_xll.ciqfunctions.udf.CIQ(F$3,$AX$1,$AX$2,$A4,"L",,"USD","H")</f>
        <v>9478</v>
      </c>
      <c r="BC4" s="38" cm="1">
        <f t="array" ref="BC4">_xll.ciqfunctions.udf.CIQ(G$3,$AX$1,$AX$2,$A4,"L",,"USD","H")</f>
        <v>1863</v>
      </c>
      <c r="BD4" s="40" cm="1">
        <f t="array" ref="BD4">_xll.ciqfunctions.udf.CIQ(B$3,$AX$1,$BD$2,$A4,"L",,"USD","H")</f>
        <v>25422</v>
      </c>
      <c r="BE4" s="40" cm="1">
        <f t="array" ref="BE4">_xll.ciqfunctions.udf.CIQ(C$3,$AX$1,$BD$2,$A4,"L",,"USD","H")</f>
        <v>61694</v>
      </c>
      <c r="BF4" s="40" cm="1">
        <f t="array" ref="BF4">_xll.ciqfunctions.udf.CIQ(D$3,$AX$1,$BD$2,$A4,"L",,"USD","H")</f>
        <v>37683</v>
      </c>
      <c r="BG4" s="40" cm="1">
        <f t="array" ref="BG4">_xll.ciqfunctions.udf.CIQ(E$3,$AX$1,$BD$2,$A4,"L",,"USD","H")</f>
        <v>11760</v>
      </c>
      <c r="BH4" s="40" cm="1">
        <f t="array" ref="BH4">_xll.ciqfunctions.udf.CIQ(F$3,$AX$1,$BD$2,$A4,"L",,"USD","H")</f>
        <v>28658</v>
      </c>
      <c r="BI4" s="40" cm="1">
        <f t="array" ref="BI4">_xll.ciqfunctions.udf.CIQ(G$3,$AX$1,$BD$2,$A4,"L",,"USD","H")</f>
        <v>7670</v>
      </c>
      <c r="BJ4" s="43">
        <f>AX4/AX8-1</f>
        <v>4.9267172876567233E-2</v>
      </c>
      <c r="BK4" s="43">
        <f t="shared" ref="BK4:BU4" si="0">AY4/AY8-1</f>
        <v>-9.138819713905133E-2</v>
      </c>
      <c r="BL4" s="43">
        <f t="shared" si="0"/>
        <v>0.10181136789506562</v>
      </c>
      <c r="BM4" s="43">
        <f t="shared" si="0"/>
        <v>-1.5276893698281335E-2</v>
      </c>
      <c r="BN4" s="43">
        <f t="shared" si="0"/>
        <v>0.16580565805658054</v>
      </c>
      <c r="BO4" s="43">
        <f t="shared" si="0"/>
        <v>-4.2651593011305278E-2</v>
      </c>
      <c r="BP4" s="42">
        <f t="shared" si="0"/>
        <v>3.9924732062505131E-2</v>
      </c>
      <c r="BQ4" s="42">
        <f t="shared" si="0"/>
        <v>-7.3594113672197592E-2</v>
      </c>
      <c r="BR4" s="42">
        <f t="shared" si="0"/>
        <v>-3.2354980355904783E-2</v>
      </c>
      <c r="BS4" s="42">
        <f t="shared" si="0"/>
        <v>-0.10692588092345079</v>
      </c>
      <c r="BT4" s="42">
        <f t="shared" si="0"/>
        <v>-9.5762471208153177E-2</v>
      </c>
      <c r="BU4" s="42">
        <f t="shared" si="0"/>
        <v>7.6195480819758465E-3</v>
      </c>
      <c r="BV4" s="68" cm="1">
        <f t="array" ref="BV4">_xll.ciqfunctions.udf.CIQ(B$3,$BV$1,$BV$2,$A4,"L",,"USD","H")/100</f>
        <v>3.3843999999999999E-2</v>
      </c>
      <c r="BW4" s="68" cm="1">
        <f t="array" ref="BW4">_xll.ciqfunctions.udf.CIQ(C$3,$BV$1,$BV$2,$A4,"L",,"USD","H")/100</f>
        <v>4.2712E-2</v>
      </c>
      <c r="BX4" s="68" cm="1">
        <f t="array" ref="BX4">_xll.ciqfunctions.udf.CIQ(D$3,$BV$1,$BV$2,$A4,"L",,"USD","H")/100</f>
        <v>2.124E-3</v>
      </c>
      <c r="BY4" s="68" cm="1">
        <f t="array" ref="BY4">_xll.ciqfunctions.udf.CIQ(E$3,$BV$1,$BV$2,$A4,"L",,"USD","H")/100</f>
        <v>0.102536</v>
      </c>
      <c r="BZ4" s="68" cm="1">
        <f t="array" ref="BZ4">_xll.ciqfunctions.udf.CIQ(F$3,$BV$1,$BV$2,$A4,"L",,"USD","H")/100</f>
        <v>-3.3040000000000001E-3</v>
      </c>
      <c r="CA4" s="68" cm="1">
        <f t="array" ref="CA4">_xll.ciqfunctions.udf.CIQ(G$3,$BV$1,$BV$2,$A4,"L",,"USD","H")/100</f>
        <v>8.8695999999999997E-2</v>
      </c>
      <c r="CB4" s="68" cm="1">
        <f t="array" ref="CB4">_xll.ciqfunctions.udf.CIQ(B$3,$BV$1,$CB$2,$A4,"L",,"USD","H")/100</f>
        <v>6.3835000000000003E-2</v>
      </c>
      <c r="CC4" s="68" cm="1">
        <f t="array" ref="CC4">_xll.ciqfunctions.udf.CIQ(C$3,$BV$1,$CB$2,$A4,"L",,"USD","H")/100</f>
        <v>4.0422E-2</v>
      </c>
      <c r="CD4" s="68" cm="1">
        <f t="array" ref="CD4">_xll.ciqfunctions.udf.CIQ(D$3,$BV$1,$CB$2,$A4,"L",,"USD","H")/100</f>
        <v>2.542E-3</v>
      </c>
      <c r="CE4" s="68" cm="1">
        <f t="array" ref="CE4">_xll.ciqfunctions.udf.CIQ(E$3,$BV$1,$CB$2,$A4,"L",,"USD","H")/100</f>
        <v>9.4589999999999994E-2</v>
      </c>
      <c r="CF4" s="68" cm="1">
        <f t="array" ref="CF4">_xll.ciqfunctions.udf.CIQ(F$3,$BV$1,$CB$2,$A4,"L",,"USD","H")/100</f>
        <v>-2.3582000000000002E-2</v>
      </c>
      <c r="CG4" s="68" cm="1">
        <f t="array" ref="CG4">_xll.ciqfunctions.udf.CIQ(G$3,$BV$1,$CB$2,$A4,"L",,"USD","H")/100</f>
        <v>8.823700000000001E-2</v>
      </c>
    </row>
    <row r="5" spans="1:85" x14ac:dyDescent="0.45">
      <c r="A5" s="3">
        <v>45838</v>
      </c>
      <c r="B5" s="14" cm="1">
        <f t="array" ref="B5">_xll.ciqfunctions.udf.CIQ(B$3,$B$1,$B$2,$A5,"L",,"USD","H")</f>
        <v>14319</v>
      </c>
      <c r="C5" s="38" cm="1">
        <f t="array" ref="C5">_xll.ciqfunctions.udf.CIQ(C$3,$B$1,$B$2,$A5,"L",,"USD","H")</f>
        <v>79477</v>
      </c>
      <c r="D5" s="38" cm="1">
        <f t="array" ref="D5">_xll.ciqfunctions.udf.CIQ(D$3,$B$1,$B$2,$A5,"L",,"USD","H")</f>
        <v>44516</v>
      </c>
      <c r="E5" s="38" cm="1">
        <f t="array" ref="E5">_xll.ciqfunctions.udf.CIQ(E$3,$B$1,$B$2,$A5,"L",,"USD","H")</f>
        <v>5371</v>
      </c>
      <c r="F5" s="38" cm="1">
        <f t="array" ref="F5">_xll.ciqfunctions.udf.CIQ(F$3,$B$1,$B$2,$A5,"L",,"USD","H")</f>
        <v>46973</v>
      </c>
      <c r="G5" s="38" cm="1">
        <f t="array" ref="G5">_xll.ciqfunctions.udf.CIQ(G$3,$B$1,$B$2,$A5,"L",,"USD","H")</f>
        <v>3868</v>
      </c>
      <c r="H5" s="40" cm="1">
        <f t="array" ref="H5">_xll.ciqfunctions.udf.CIQ(B$3,$B$1,$H$2,$A5,"L",,"USD","H")</f>
        <v>59386</v>
      </c>
      <c r="I5" s="40" cm="1">
        <f t="array" ref="I5">_xll.ciqfunctions.udf.CIQ(C$3,$B$1,$H$2,$A5,"L",,"USD","H")</f>
        <v>330706</v>
      </c>
      <c r="J5" s="40" cm="1">
        <f t="array" ref="J5">_xll.ciqfunctions.udf.CIQ(D$3,$B$1,$H$2,$A5,"L",,"USD","H")</f>
        <v>189356</v>
      </c>
      <c r="K5" s="40" cm="1">
        <f t="array" ref="K5">_xll.ciqfunctions.udf.CIQ(E$3,$B$1,$H$2,$A5,"L",,"USD","H")</f>
        <v>22798</v>
      </c>
      <c r="L5" s="40" cm="1">
        <f t="array" ref="L5">_xll.ciqfunctions.udf.CIQ(F$3,$B$1,$H$2,$A5,"L",,"USD","H")</f>
        <v>184771</v>
      </c>
      <c r="M5" s="40" cm="1">
        <f t="array" ref="M5">_xll.ciqfunctions.udf.CIQ(G$3,$B$1,$H$2,$A5,"L",,"USD","H")</f>
        <v>16105</v>
      </c>
      <c r="N5" s="13" cm="1">
        <f t="array" ref="N5">_xll.ciqfunctions.udf.CIQ(B$3,$N$1,$B$2,$A5,"L",,"USD","H")</f>
        <v>2.1107999999999998</v>
      </c>
      <c r="O5" s="13" cm="1">
        <f t="array" ref="O5">_xll.ciqfunctions.udf.CIQ(C$3,$N$1,$B$2,$A5,"L",,"USD","H")</f>
        <v>-11.6785</v>
      </c>
      <c r="P5" s="13" cm="1">
        <f t="array" ref="P5">_xll.ciqfunctions.udf.CIQ(D$3,$N$1,$B$2,$A5,"L",,"USD","H")</f>
        <v>-10.571</v>
      </c>
      <c r="Q5" s="13" cm="1">
        <f t="array" ref="Q5">_xll.ciqfunctions.udf.CIQ(E$3,$N$1,$B$2,$A5,"L",,"USD","H")</f>
        <v>-11.2525</v>
      </c>
      <c r="R5" s="13" cm="1">
        <f t="array" ref="R5">_xll.ciqfunctions.udf.CIQ(F$3,$N$1,$B$2,$A5,"L",,"USD","H")</f>
        <v>-1.3380000000000001</v>
      </c>
      <c r="S5" s="13" cm="1">
        <f t="array" ref="S5">_xll.ciqfunctions.udf.CIQ(G$3,$N$1,$B$2,$A5,"L",,"USD","H")</f>
        <v>-0.66769999999999996</v>
      </c>
      <c r="T5" s="41" cm="1">
        <f t="array" ref="T5">_xll.ciqfunctions.udf.CIQ(N$3,$N$1,$T$2,$A5,"L",,"USD","H")</f>
        <v>2.2486000000000002</v>
      </c>
      <c r="U5" s="41" cm="1">
        <f t="array" ref="U5">_xll.ciqfunctions.udf.CIQ(O$3,$N$1,$T$2,$A5,"L",,"USD","H")</f>
        <v>-3.4782000000000002</v>
      </c>
      <c r="V5" s="41" cm="1">
        <f t="array" ref="V5">_xll.ciqfunctions.udf.CIQ(P$3,$N$1,$T$2,$A5,"L",,"USD","H")</f>
        <v>-2.9182999999999999</v>
      </c>
      <c r="W5" s="41" cm="1">
        <f t="array" ref="W5">_xll.ciqfunctions.udf.CIQ(Q$3,$N$1,$T$2,$A5,"L",,"USD","H")</f>
        <v>-5.4222000000000001</v>
      </c>
      <c r="X5" s="41" cm="1">
        <f t="array" ref="X5">_xll.ciqfunctions.udf.CIQ(R$3,$N$1,$T$2,$A5,"L",,"USD","H")</f>
        <v>-7.5816999999999997</v>
      </c>
      <c r="Y5" s="41" cm="1">
        <f t="array" ref="Y5">_xll.ciqfunctions.udf.CIQ(S$3,$N$1,$T$2,$A5,"L",,"USD","H")</f>
        <v>7.7906000000000004</v>
      </c>
      <c r="Z5" s="38" cm="1">
        <f t="array" ref="Z5">_xll.ciqfunctions.udf.CIQ(B$3,$Z$1,$B$2,$A5,"L",,"USD","H")</f>
        <v>1971</v>
      </c>
      <c r="AA5" s="38" cm="1">
        <f t="array" ref="AA5">_xll.ciqfunctions.udf.CIQ(C$3,$Z$1,$B$2,$A5,"L",,"USD","H")</f>
        <v>7082</v>
      </c>
      <c r="AB5" s="38" cm="1">
        <f t="array" ref="AB5">_xll.ciqfunctions.udf.CIQ(D$3,$Z$1,$B$2,$A5,"L",,"USD","H")</f>
        <v>2490</v>
      </c>
      <c r="AC5" s="38" cm="1">
        <f t="array" ref="AC5">_xll.ciqfunctions.udf.CIQ(E$3,$Z$1,$B$2,$A5,"L",,"USD","H")</f>
        <v>1345</v>
      </c>
      <c r="AD5" s="38" cm="1">
        <f t="array" ref="AD5">_xll.ciqfunctions.udf.CIQ(F$3,$Z$1,$B$2,$A5,"L",,"USD","H")</f>
        <v>1629</v>
      </c>
      <c r="AE5" s="38" cm="1">
        <f t="array" ref="AE5">_xll.ciqfunctions.udf.CIQ(G$3,$Z$1,$B$2,$A5,"L",,"USD","H")</f>
        <v>899</v>
      </c>
      <c r="AF5" s="40" cm="1">
        <f t="array" ref="AF5">_xll.ciqfunctions.udf.CIQ(B$3,$Z$1,$H$2,$A5,"L",,"USD","H")</f>
        <v>9185</v>
      </c>
      <c r="AG5" s="40" cm="1">
        <f t="array" ref="AG5">_xll.ciqfunctions.udf.CIQ(C$3,$Z$1,$H$2,$A5,"L",,"USD","H")</f>
        <v>31015</v>
      </c>
      <c r="AH5" s="40" cm="1">
        <f t="array" ref="AH5">_xll.ciqfunctions.udf.CIQ(D$3,$Z$1,$H$2,$A5,"L",,"USD","H")</f>
        <v>13716</v>
      </c>
      <c r="AI5" s="40" cm="1">
        <f t="array" ref="AI5">_xll.ciqfunctions.udf.CIQ(E$3,$Z$1,$H$2,$A5,"L",,"USD","H")</f>
        <v>5732</v>
      </c>
      <c r="AJ5" s="40" cm="1">
        <f t="array" ref="AJ5">_xll.ciqfunctions.udf.CIQ(F$3,$Z$1,$H$2,$A5,"L",,"USD","H")</f>
        <v>563</v>
      </c>
      <c r="AK5" s="40" cm="1">
        <f t="array" ref="AK5">_xll.ciqfunctions.udf.CIQ(G$3,$Z$1,$H$2,$A5,"L",,"USD","H")</f>
        <v>2844</v>
      </c>
      <c r="AL5" s="13" cm="1">
        <f t="array" ref="AL5">_xll.ciqfunctions.udf.CIQ(B$3,$AL$1,$AL$2,$A5,"L",,"USD","H")</f>
        <v>-15.371499999999999</v>
      </c>
      <c r="AM5" s="13" cm="1">
        <f t="array" ref="AM5">_xll.ciqfunctions.udf.CIQ(C$3,$AL$1,$AL$2,$A5,"L",,"USD","H")</f>
        <v>-23.355</v>
      </c>
      <c r="AN5" s="13" cm="1">
        <f t="array" ref="AN5">_xll.ciqfunctions.udf.CIQ(D$3,$AL$1,$AL$2,$A5,"L",,"USD","H")</f>
        <v>-43.8431</v>
      </c>
      <c r="AO5" s="13" cm="1">
        <f t="array" ref="AO5">_xll.ciqfunctions.udf.CIQ(E$3,$AL$1,$AL$2,$A5,"L",,"USD","H")</f>
        <v>-20.414300000000001</v>
      </c>
      <c r="AP5" s="13" t="str" cm="1">
        <f t="array" ref="AP5">_xll.ciqfunctions.udf.CIQ(F$3,$AL$1,$AL$2,$A5,"L",,"USD","H")</f>
        <v>NM</v>
      </c>
      <c r="AQ5" s="13" cm="1">
        <f t="array" ref="AQ5">_xll.ciqfunctions.udf.CIQ(G$3,$AL$1,$AL$2,$A5,"L",,"USD","H")</f>
        <v>6.5164999999999997</v>
      </c>
      <c r="AR5" s="41" cm="1">
        <f t="array" ref="AR5">_xll.ciqfunctions.udf.CIQ(B$3,$AL$1,$AR$2,$A5,"L",,"USD","H")</f>
        <v>-14.038399999999999</v>
      </c>
      <c r="AS5" s="41" cm="1">
        <f t="array" ref="AS5">_xll.ciqfunctions.udf.CIQ(C$3,$AL$1,$AR$2,$A5,"L",,"USD","H")</f>
        <v>-9.2066999999999997</v>
      </c>
      <c r="AT5" s="41" cm="1">
        <f t="array" ref="AT5">_xll.ciqfunctions.udf.CIQ(D$3,$AL$1,$AR$2,$A5,"L",,"USD","H")</f>
        <v>-26.730799999999999</v>
      </c>
      <c r="AU5" s="41" cm="1">
        <f t="array" ref="AU5">_xll.ciqfunctions.udf.CIQ(E$3,$AL$1,$AR$2,$A5,"L",,"USD","H")</f>
        <v>-23.5428</v>
      </c>
      <c r="AV5" s="41" cm="1">
        <f t="array" ref="AV5">_xll.ciqfunctions.udf.CIQ(F$3,$AL$1,$AR$2,$A5,"L",,"USD","H")</f>
        <v>-92.353700000000003</v>
      </c>
      <c r="AW5" s="41" cm="1">
        <f t="array" ref="AW5">_xll.ciqfunctions.udf.CIQ(G$3,$AL$1,$AR$2,$A5,"L",,"USD","H")</f>
        <v>-18.789300000000001</v>
      </c>
      <c r="AX5" s="38" cm="1">
        <f t="array" ref="AX5">_xll.ciqfunctions.udf.CIQ(B$3,$AX$1,$AX$2,$A5,"L",,"USD","H")</f>
        <v>5681</v>
      </c>
      <c r="AY5" s="38" cm="1">
        <f t="array" ref="AY5">_xll.ciqfunctions.udf.CIQ(C$3,$AX$1,$AX$2,$A5,"L",,"USD","H")</f>
        <v>14922</v>
      </c>
      <c r="AZ5" s="38" cm="1">
        <f t="array" ref="AZ5">_xll.ciqfunctions.udf.CIQ(D$3,$AX$1,$AX$2,$A5,"L",,"USD","H")</f>
        <v>8458</v>
      </c>
      <c r="BA5" s="38" cm="1">
        <f t="array" ref="BA5">_xll.ciqfunctions.udf.CIQ(E$3,$AX$1,$AX$2,$A5,"L",,"USD","H")</f>
        <v>2839</v>
      </c>
      <c r="BB5" s="38" cm="1">
        <f t="array" ref="BB5">_xll.ciqfunctions.udf.CIQ(F$3,$AX$1,$AX$2,$A5,"L",,"USD","H")</f>
        <v>9702</v>
      </c>
      <c r="BC5" s="38" cm="1">
        <f t="array" ref="BC5">_xll.ciqfunctions.udf.CIQ(G$3,$AX$1,$AX$2,$A5,"L",,"USD","H")</f>
        <v>1884</v>
      </c>
      <c r="BD5" s="40" cm="1">
        <f t="array" ref="BD5">_xll.ciqfunctions.udf.CIQ(B$3,$AX$1,$BD$2,$A5,"L",,"USD","H")</f>
        <v>25143</v>
      </c>
      <c r="BE5" s="40" cm="1">
        <f t="array" ref="BE5">_xll.ciqfunctions.udf.CIQ(C$3,$AX$1,$BD$2,$A5,"L",,"USD","H")</f>
        <v>63272</v>
      </c>
      <c r="BF5" s="40" cm="1">
        <f t="array" ref="BF5">_xll.ciqfunctions.udf.CIQ(D$3,$AX$1,$BD$2,$A5,"L",,"USD","H")</f>
        <v>36705</v>
      </c>
      <c r="BG5" s="40" cm="1">
        <f t="array" ref="BG5">_xll.ciqfunctions.udf.CIQ(E$3,$AX$1,$BD$2,$A5,"L",,"USD","H")</f>
        <v>11808</v>
      </c>
      <c r="BH5" s="40" cm="1">
        <f t="array" ref="BH5">_xll.ciqfunctions.udf.CIQ(F$3,$AX$1,$BD$2,$A5,"L",,"USD","H")</f>
        <v>27310</v>
      </c>
      <c r="BI5" s="40" cm="1">
        <f t="array" ref="BI5">_xll.ciqfunctions.udf.CIQ(G$3,$AX$1,$BD$2,$A5,"L",,"USD","H")</f>
        <v>7744</v>
      </c>
      <c r="BJ5" s="43">
        <f t="shared" ref="BJ5:BJ63" si="1">AX5/AX9-1</f>
        <v>-7.248979591836735E-2</v>
      </c>
      <c r="BK5" s="43">
        <f t="shared" ref="BK5:BK63" si="2">AY5/AY9-1</f>
        <v>-0.10372995375097604</v>
      </c>
      <c r="BL5" s="43">
        <f t="shared" ref="BL5:BL63" si="3">AZ5/AZ9-1</f>
        <v>-0.13322402131584343</v>
      </c>
      <c r="BM5" s="43">
        <f t="shared" ref="BM5:BM63" si="4">BA5/BA9-1</f>
        <v>-0.10582677165354326</v>
      </c>
      <c r="BN5" s="43">
        <f t="shared" ref="BN5:BN63" si="5">BB5/BB9-1</f>
        <v>0.23623853211009171</v>
      </c>
      <c r="BO5" s="43">
        <f t="shared" ref="BO5:BO63" si="6">BC5/BC9-1</f>
        <v>-2.2314478463933529E-2</v>
      </c>
      <c r="BP5" s="42">
        <f t="shared" ref="BP5:BP63" si="7">BD5/BD9-1</f>
        <v>4.9562332627204331E-3</v>
      </c>
      <c r="BQ5" s="42">
        <f t="shared" ref="BQ5:BQ63" si="8">BE5/BE9-1</f>
        <v>-3.2848779443909404E-2</v>
      </c>
      <c r="BR5" s="42">
        <f t="shared" ref="BR5:BR63" si="9">BF5/BF9-1</f>
        <v>-0.10258917874868589</v>
      </c>
      <c r="BS5" s="42">
        <f t="shared" ref="BS5:BS63" si="10">BG5/BG9-1</f>
        <v>-0.1253333333333333</v>
      </c>
      <c r="BT5" s="42">
        <f t="shared" ref="BT5:BT63" si="11">BH5/BH9-1</f>
        <v>-0.24838310169258293</v>
      </c>
      <c r="BU5" s="42">
        <f t="shared" ref="BU5:BU63" si="12">BI5/BI9-1</f>
        <v>3.6541292999598518E-2</v>
      </c>
      <c r="BV5" s="68" cm="1">
        <f t="array" ref="BV5">_xll.ciqfunctions.udf.CIQ(B$3,$BV$1,$BV$2,$A5,"L",,"USD","H")/100</f>
        <v>4.4328000000000006E-2</v>
      </c>
      <c r="BW5" s="68" cm="1">
        <f t="array" ref="BW5">_xll.ciqfunctions.udf.CIQ(C$3,$BV$1,$BV$2,$A5,"L",,"USD","H")/100</f>
        <v>3.6263999999999998E-2</v>
      </c>
      <c r="BX5" s="68" cm="1">
        <f t="array" ref="BX5">_xll.ciqfunctions.udf.CIQ(D$3,$BV$1,$BV$2,$A5,"L",,"USD","H")/100</f>
        <v>-9.9600000000000001E-3</v>
      </c>
      <c r="BY5" s="68" cm="1">
        <f t="array" ref="BY5">_xll.ciqfunctions.udf.CIQ(E$3,$BV$1,$BV$2,$A5,"L",,"USD","H")/100</f>
        <v>9.5535999999999996E-2</v>
      </c>
      <c r="BZ5" s="68" cm="1">
        <f t="array" ref="BZ5">_xll.ciqfunctions.udf.CIQ(F$3,$BV$1,$BV$2,$A5,"L",,"USD","H")/100</f>
        <v>4.2888000000000003E-2</v>
      </c>
      <c r="CA5" s="68" cm="1">
        <f t="array" ref="CA5">_xll.ciqfunctions.udf.CIQ(G$3,$BV$1,$BV$2,$A5,"L",,"USD","H")/100</f>
        <v>0.123484</v>
      </c>
      <c r="CB5" s="68" cm="1">
        <f t="array" ref="CB5">_xll.ciqfunctions.udf.CIQ(B$3,$BV$1,$CB$2,$A5,"L",,"USD","H")/100</f>
        <v>6.8651999999999991E-2</v>
      </c>
      <c r="CC5" s="68" cm="1">
        <f t="array" ref="CC5">_xll.ciqfunctions.udf.CIQ(C$3,$BV$1,$CB$2,$A5,"L",,"USD","H")/100</f>
        <v>4.3860000000000003E-2</v>
      </c>
      <c r="CD5" s="68" cm="1">
        <f t="array" ref="CD5">_xll.ciqfunctions.udf.CIQ(D$3,$BV$1,$CB$2,$A5,"L",,"USD","H")/100</f>
        <v>1.0983E-2</v>
      </c>
      <c r="CE5" s="68" cm="1">
        <f t="array" ref="CE5">_xll.ciqfunctions.udf.CIQ(E$3,$BV$1,$CB$2,$A5,"L",,"USD","H")/100</f>
        <v>0.10804999999999999</v>
      </c>
      <c r="CF5" s="68" cm="1">
        <f t="array" ref="CF5">_xll.ciqfunctions.udf.CIQ(F$3,$BV$1,$CB$2,$A5,"L",,"USD","H")/100</f>
        <v>-2.9340999999999999E-2</v>
      </c>
      <c r="CG5" s="68" cm="1">
        <f t="array" ref="CG5">_xll.ciqfunctions.udf.CIQ(G$3,$BV$1,$CB$2,$A5,"L",,"USD","H")/100</f>
        <v>9.6820000000000003E-2</v>
      </c>
    </row>
    <row r="6" spans="1:85" x14ac:dyDescent="0.45">
      <c r="A6" s="3">
        <v>45747</v>
      </c>
      <c r="B6" s="14" cm="1">
        <f t="array" ref="B6">_xll.ciqfunctions.udf.CIQ(B$3,$B$1,$B$2,$A6,"L",,"USD","H")</f>
        <v>16909</v>
      </c>
      <c r="C6" s="38" cm="1">
        <f t="array" ref="C6">_xll.ciqfunctions.udf.CIQ(C$3,$B$1,$B$2,$A6,"L",,"USD","H")</f>
        <v>81058</v>
      </c>
      <c r="D6" s="38" cm="1">
        <f t="array" ref="D6">_xll.ciqfunctions.udf.CIQ(D$3,$B$1,$B$2,$A6,"L",,"USD","H")</f>
        <v>46265</v>
      </c>
      <c r="E6" s="38" cm="1">
        <f t="array" ref="E6">_xll.ciqfunctions.udf.CIQ(E$3,$B$1,$B$2,$A6,"L",,"USD","H")</f>
        <v>5861</v>
      </c>
      <c r="F6" s="38" cm="1">
        <f t="array" ref="F6">_xll.ciqfunctions.udf.CIQ(F$3,$B$1,$B$2,$A6,"L",,"USD","H")</f>
        <v>46458</v>
      </c>
      <c r="G6" s="38" cm="1">
        <f t="array" ref="G6">_xll.ciqfunctions.udf.CIQ(G$3,$B$1,$B$2,$A6,"L",,"USD","H")</f>
        <v>4338</v>
      </c>
      <c r="H6" s="40" cm="1">
        <f t="array" ref="H6">_xll.ciqfunctions.udf.CIQ(B$3,$B$1,$H$2,$A6,"L",,"USD","H")</f>
        <v>59090</v>
      </c>
      <c r="I6" s="40" cm="1">
        <f t="array" ref="I6">_xll.ciqfunctions.udf.CIQ(C$3,$B$1,$H$2,$A6,"L",,"USD","H")</f>
        <v>341215</v>
      </c>
      <c r="J6" s="40" cm="1">
        <f t="array" ref="J6">_xll.ciqfunctions.udf.CIQ(D$3,$B$1,$H$2,$A6,"L",,"USD","H")</f>
        <v>194618</v>
      </c>
      <c r="K6" s="40" cm="1">
        <f t="array" ref="K6">_xll.ciqfunctions.udf.CIQ(E$3,$B$1,$H$2,$A6,"L",,"USD","H")</f>
        <v>23479</v>
      </c>
      <c r="L6" s="40" cm="1">
        <f t="array" ref="L6">_xll.ciqfunctions.udf.CIQ(F$3,$B$1,$H$2,$A6,"L",,"USD","H")</f>
        <v>185408</v>
      </c>
      <c r="M6" s="40" cm="1">
        <f t="array" ref="M6">_xll.ciqfunctions.udf.CIQ(G$3,$B$1,$H$2,$A6,"L",,"USD","H")</f>
        <v>15943</v>
      </c>
      <c r="N6" s="13" cm="1">
        <f t="array" ref="N6">_xll.ciqfunctions.udf.CIQ(B$3,$N$1,$B$2,$A6,"L",,"USD","H")</f>
        <v>18.5016</v>
      </c>
      <c r="O6" s="13" cm="1">
        <f t="array" ref="O6">_xll.ciqfunctions.udf.CIQ(C$3,$N$1,$B$2,$A6,"L",,"USD","H")</f>
        <v>0.80459999999999998</v>
      </c>
      <c r="P6" s="13" cm="1">
        <f t="array" ref="P6">_xll.ciqfunctions.udf.CIQ(D$3,$N$1,$B$2,$A6,"L",,"USD","H")</f>
        <v>-2.0121000000000002</v>
      </c>
      <c r="Q6" s="13" cm="1">
        <f t="array" ref="Q6">_xll.ciqfunctions.udf.CIQ(E$3,$N$1,$B$2,$A6,"L",,"USD","H")</f>
        <v>1.7000000000000001E-2</v>
      </c>
      <c r="R6" s="13" cm="1">
        <f t="array" ref="R6">_xll.ciqfunctions.udf.CIQ(F$3,$N$1,$B$2,$A6,"L",,"USD","H")</f>
        <v>-4.0838000000000001</v>
      </c>
      <c r="S6" s="13" cm="1">
        <f t="array" ref="S6">_xll.ciqfunctions.udf.CIQ(G$3,$N$1,$B$2,$A6,"L",,"USD","H")</f>
        <v>21.648900000000001</v>
      </c>
      <c r="T6" s="41" cm="1">
        <f t="array" ref="T6">_xll.ciqfunctions.udf.CIQ(N$3,$N$1,$T$2,$A6,"L",,"USD","H")</f>
        <v>3.9950000000000001</v>
      </c>
      <c r="U6" s="41" cm="1">
        <f t="array" ref="U6">_xll.ciqfunctions.udf.CIQ(O$3,$N$1,$T$2,$A6,"L",,"USD","H")</f>
        <v>2.4998999999999998</v>
      </c>
      <c r="V6" s="41" cm="1">
        <f t="array" ref="V6">_xll.ciqfunctions.udf.CIQ(P$3,$N$1,$T$2,$A6,"L",,"USD","H")</f>
        <v>0.94130000000000003</v>
      </c>
      <c r="W6" s="41" cm="1">
        <f t="array" ref="W6">_xll.ciqfunctions.udf.CIQ(Q$3,$N$1,$T$2,$A6,"L",,"USD","H")</f>
        <v>-0.23380000000000001</v>
      </c>
      <c r="X6" s="41" cm="1">
        <f t="array" ref="X6">_xll.ciqfunctions.udf.CIQ(R$3,$N$1,$T$2,$A6,"L",,"USD","H")</f>
        <v>-7.7934999999999999</v>
      </c>
      <c r="Y6" s="41" cm="1">
        <f t="array" ref="Y6">_xll.ciqfunctions.udf.CIQ(S$3,$N$1,$T$2,$A6,"L",,"USD","H")</f>
        <v>9.3933999999999997</v>
      </c>
      <c r="Z6" s="38" cm="1">
        <f t="array" ref="Z6">_xll.ciqfunctions.udf.CIQ(B$3,$Z$1,$B$2,$A6,"L",,"USD","H")</f>
        <v>2849</v>
      </c>
      <c r="AA6" s="38" cm="1">
        <f t="array" ref="AA6">_xll.ciqfunctions.udf.CIQ(C$3,$Z$1,$B$2,$A6,"L",,"USD","H")</f>
        <v>7713</v>
      </c>
      <c r="AB6" s="38" cm="1">
        <f t="array" ref="AB6">_xll.ciqfunctions.udf.CIQ(D$3,$Z$1,$B$2,$A6,"L",,"USD","H")</f>
        <v>3500</v>
      </c>
      <c r="AC6" s="38" cm="1">
        <f t="array" ref="AC6">_xll.ciqfunctions.udf.CIQ(E$3,$Z$1,$B$2,$A6,"L",,"USD","H")</f>
        <v>1463</v>
      </c>
      <c r="AD6" s="38" cm="1">
        <f t="array" ref="AD6">_xll.ciqfunctions.udf.CIQ(F$3,$Z$1,$B$2,$A6,"L",,"USD","H")</f>
        <v>687</v>
      </c>
      <c r="AE6" s="38" cm="1">
        <f t="array" ref="AE6">_xll.ciqfunctions.udf.CIQ(G$3,$Z$1,$B$2,$A6,"L",,"USD","H")</f>
        <v>494</v>
      </c>
      <c r="AF6" s="40" cm="1">
        <f t="array" ref="AF6">_xll.ciqfunctions.udf.CIQ(B$3,$Z$1,$H$2,$A6,"L",,"USD","H")</f>
        <v>9543</v>
      </c>
      <c r="AG6" s="40" cm="1">
        <f t="array" ref="AG6">_xll.ciqfunctions.udf.CIQ(C$3,$Z$1,$H$2,$A6,"L",,"USD","H")</f>
        <v>33173</v>
      </c>
      <c r="AH6" s="40" cm="1">
        <f t="array" ref="AH6">_xll.ciqfunctions.udf.CIQ(D$3,$Z$1,$H$2,$A6,"L",,"USD","H")</f>
        <v>15660</v>
      </c>
      <c r="AI6" s="40" cm="1">
        <f t="array" ref="AI6">_xll.ciqfunctions.udf.CIQ(E$3,$Z$1,$H$2,$A6,"L",,"USD","H")</f>
        <v>6077</v>
      </c>
      <c r="AJ6" s="40" cm="1">
        <f t="array" ref="AJ6">_xll.ciqfunctions.udf.CIQ(F$3,$Z$1,$H$2,$A6,"L",,"USD","H")</f>
        <v>-1195</v>
      </c>
      <c r="AK6" s="40" cm="1">
        <f t="array" ref="AK6">_xll.ciqfunctions.udf.CIQ(G$3,$Z$1,$H$2,$A6,"L",,"USD","H")</f>
        <v>2789</v>
      </c>
      <c r="AL6" s="13" cm="1">
        <f t="array" ref="AL6">_xll.ciqfunctions.udf.CIQ(B$3,$AL$1,$AL$2,$A6,"L",,"USD","H")</f>
        <v>11.6816</v>
      </c>
      <c r="AM6" s="13" cm="1">
        <f t="array" ref="AM6">_xll.ciqfunctions.udf.CIQ(C$3,$AL$1,$AL$2,$A6,"L",,"USD","H")</f>
        <v>-6.1679000000000004</v>
      </c>
      <c r="AN6" s="13" cm="1">
        <f t="array" ref="AN6">_xll.ciqfunctions.udf.CIQ(D$3,$AL$1,$AL$2,$A6,"L",,"USD","H")</f>
        <v>-36.375300000000003</v>
      </c>
      <c r="AO6" s="13" cm="1">
        <f t="array" ref="AO6">_xll.ciqfunctions.udf.CIQ(E$3,$AL$1,$AL$2,$A6,"L",,"USD","H")</f>
        <v>-18.2225</v>
      </c>
      <c r="AP6" s="13" cm="1">
        <f t="array" ref="AP6">_xll.ciqfunctions.udf.CIQ(F$3,$AL$1,$AL$2,$A6,"L",,"USD","H")</f>
        <v>-69.642099999999999</v>
      </c>
      <c r="AQ6" s="13" cm="1">
        <f t="array" ref="AQ6">_xll.ciqfunctions.udf.CIQ(G$3,$AL$1,$AL$2,$A6,"L",,"USD","H")</f>
        <v>-17.114100000000001</v>
      </c>
      <c r="AR6" s="41" cm="1">
        <f t="array" ref="AR6">_xll.ciqfunctions.udf.CIQ(B$3,$AL$1,$AR$2,$A6,"L",,"USD","H")</f>
        <v>-9.8696999999999999</v>
      </c>
      <c r="AS6" s="41" cm="1">
        <f t="array" ref="AS6">_xll.ciqfunctions.udf.CIQ(C$3,$AL$1,$AR$2,$A6,"L",,"USD","H")</f>
        <v>1.1371</v>
      </c>
      <c r="AT6" s="41" cm="1">
        <f t="array" ref="AT6">_xll.ciqfunctions.udf.CIQ(D$3,$AL$1,$AR$2,$A6,"L",,"USD","H")</f>
        <v>-22.841999999999999</v>
      </c>
      <c r="AU6" s="41" cm="1">
        <f t="array" ref="AU6">_xll.ciqfunctions.udf.CIQ(E$3,$AL$1,$AR$2,$A6,"L",,"USD","H")</f>
        <v>-17.432099999999998</v>
      </c>
      <c r="AV6" s="41" t="str" cm="1">
        <f t="array" ref="AV6">_xll.ciqfunctions.udf.CIQ(F$3,$AL$1,$AR$2,$A6,"L",,"USD","H")</f>
        <v>NM</v>
      </c>
      <c r="AW6" s="41" cm="1">
        <f t="array" ref="AW6">_xll.ciqfunctions.udf.CIQ(G$3,$AL$1,$AR$2,$A6,"L",,"USD","H")</f>
        <v>-16.6966</v>
      </c>
      <c r="AX6" s="38" cm="1">
        <f t="array" ref="AX6">_xll.ciqfunctions.udf.CIQ(B$3,$AX$1,$AX$2,$A6,"L",,"USD","H")</f>
        <v>7275</v>
      </c>
      <c r="AY6" s="38" cm="1">
        <f t="array" ref="AY6">_xll.ciqfunctions.udf.CIQ(C$3,$AX$1,$AX$2,$A6,"L",,"USD","H")</f>
        <v>15435</v>
      </c>
      <c r="AZ6" s="38" cm="1">
        <f t="array" ref="AZ6">_xll.ciqfunctions.udf.CIQ(D$3,$AX$1,$AX$2,$A6,"L",,"USD","H")</f>
        <v>8567</v>
      </c>
      <c r="BA6" s="38" cm="1">
        <f t="array" ref="BA6">_xll.ciqfunctions.udf.CIQ(E$3,$AX$1,$AX$2,$A6,"L",,"USD","H")</f>
        <v>2917</v>
      </c>
      <c r="BB6" s="38" cm="1">
        <f t="array" ref="BB6">_xll.ciqfunctions.udf.CIQ(F$3,$AX$1,$AX$2,$A6,"L",,"USD","H")</f>
        <v>8215</v>
      </c>
      <c r="BC6" s="38" cm="1">
        <f t="array" ref="BC6">_xll.ciqfunctions.udf.CIQ(G$3,$AX$1,$AX$2,$A6,"L",,"USD","H")</f>
        <v>1937</v>
      </c>
      <c r="BD6" s="40" cm="1">
        <f t="array" ref="BD6">_xll.ciqfunctions.udf.CIQ(B$3,$AX$1,$BD$2,$A6,"L",,"USD","H")</f>
        <v>25587</v>
      </c>
      <c r="BE6" s="40" cm="1">
        <f t="array" ref="BE6">_xll.ciqfunctions.udf.CIQ(C$3,$AX$1,$BD$2,$A6,"L",,"USD","H")</f>
        <v>64999</v>
      </c>
      <c r="BF6" s="40" cm="1">
        <f t="array" ref="BF6">_xll.ciqfunctions.udf.CIQ(D$3,$AX$1,$BD$2,$A6,"L",,"USD","H")</f>
        <v>38005</v>
      </c>
      <c r="BG6" s="40" cm="1">
        <f t="array" ref="BG6">_xll.ciqfunctions.udf.CIQ(E$3,$AX$1,$BD$2,$A6,"L",,"USD","H")</f>
        <v>12144</v>
      </c>
      <c r="BH6" s="40" cm="1">
        <f t="array" ref="BH6">_xll.ciqfunctions.udf.CIQ(F$3,$AX$1,$BD$2,$A6,"L",,"USD","H")</f>
        <v>25456</v>
      </c>
      <c r="BI6" s="40" cm="1">
        <f t="array" ref="BI6">_xll.ciqfunctions.udf.CIQ(G$3,$AX$1,$BD$2,$A6,"L",,"USD","H")</f>
        <v>7759</v>
      </c>
      <c r="BJ6" s="43">
        <f t="shared" si="1"/>
        <v>0.21330887258172115</v>
      </c>
      <c r="BK6" s="43">
        <f t="shared" si="2"/>
        <v>4.7861507128309499E-2</v>
      </c>
      <c r="BL6" s="43">
        <f t="shared" si="3"/>
        <v>-0.19505778445926902</v>
      </c>
      <c r="BM6" s="43">
        <f t="shared" si="4"/>
        <v>-0.12612342720191727</v>
      </c>
      <c r="BN6" s="43">
        <f t="shared" si="5"/>
        <v>-0.15483539094650201</v>
      </c>
      <c r="BO6" s="43">
        <f t="shared" si="6"/>
        <v>0.23611997447351629</v>
      </c>
      <c r="BP6" s="42">
        <f t="shared" si="7"/>
        <v>5.3526578004693848E-2</v>
      </c>
      <c r="BQ6" s="42">
        <f t="shared" si="8"/>
        <v>4.3976164854403255E-2</v>
      </c>
      <c r="BR6" s="42">
        <f t="shared" si="9"/>
        <v>-7.8621993793638434E-2</v>
      </c>
      <c r="BS6" s="42">
        <f t="shared" si="10"/>
        <v>-8.0348352896630115E-2</v>
      </c>
      <c r="BT6" s="42">
        <f t="shared" si="11"/>
        <v>-0.33044004313632658</v>
      </c>
      <c r="BU6" s="42">
        <f t="shared" si="12"/>
        <v>8.6694677871148373E-2</v>
      </c>
      <c r="BV6" s="68" cm="1">
        <f t="array" ref="BV6">_xll.ciqfunctions.udf.CIQ(B$3,$BV$1,$BV$2,$A6,"L",,"USD","H")/100</f>
        <v>8.2647999999999999E-2</v>
      </c>
      <c r="BW6" s="68" cm="1">
        <f t="array" ref="BW6">_xll.ciqfunctions.udf.CIQ(C$3,$BV$1,$BV$2,$A6,"L",,"USD","H")/100</f>
        <v>4.3147999999999999E-2</v>
      </c>
      <c r="BX6" s="68" cm="1">
        <f t="array" ref="BX6">_xll.ciqfunctions.udf.CIQ(D$3,$BV$1,$BV$2,$A6,"L",,"USD","H")/100</f>
        <v>1.1384E-2</v>
      </c>
      <c r="BY6" s="68" cm="1">
        <f t="array" ref="BY6">_xll.ciqfunctions.udf.CIQ(E$3,$BV$1,$BV$2,$A6,"L",,"USD","H")/100</f>
        <v>0.10613599999999999</v>
      </c>
      <c r="BZ6" s="68" cm="1">
        <f t="array" ref="BZ6">_xll.ciqfunctions.udf.CIQ(F$3,$BV$1,$BV$2,$A6,"L",,"USD","H")/100</f>
        <v>-1.5251999999999998E-2</v>
      </c>
      <c r="CA6" s="68" cm="1">
        <f t="array" ref="CA6">_xll.ciqfunctions.udf.CIQ(G$3,$BV$1,$BV$2,$A6,"L",,"USD","H")/100</f>
        <v>5.5463999999999999E-2</v>
      </c>
      <c r="CB6" s="68" cm="1">
        <f t="array" ref="CB6">_xll.ciqfunctions.udf.CIQ(B$3,$BV$1,$CB$2,$A6,"L",,"USD","H")/100</f>
        <v>7.4290000000000009E-2</v>
      </c>
      <c r="CC6" s="68" cm="1">
        <f t="array" ref="CC6">_xll.ciqfunctions.udf.CIQ(C$3,$BV$1,$CB$2,$A6,"L",,"USD","H")/100</f>
        <v>5.6848999999999997E-2</v>
      </c>
      <c r="CD6" s="68" cm="1">
        <f t="array" ref="CD6">_xll.ciqfunctions.udf.CIQ(D$3,$BV$1,$CB$2,$A6,"L",,"USD","H")/100</f>
        <v>2.1350999999999998E-2</v>
      </c>
      <c r="CE6" s="68" cm="1">
        <f t="array" ref="CE6">_xll.ciqfunctions.udf.CIQ(E$3,$BV$1,$CB$2,$A6,"L",,"USD","H")/100</f>
        <v>0.118146</v>
      </c>
      <c r="CF6" s="68" cm="1">
        <f t="array" ref="CF6">_xll.ciqfunctions.udf.CIQ(F$3,$BV$1,$CB$2,$A6,"L",,"USD","H")/100</f>
        <v>-4.1839000000000001E-2</v>
      </c>
      <c r="CG6" s="68" cm="1">
        <f t="array" ref="CG6">_xll.ciqfunctions.udf.CIQ(G$3,$BV$1,$CB$2,$A6,"L",,"USD","H")/100</f>
        <v>9.3316999999999997E-2</v>
      </c>
    </row>
    <row r="7" spans="1:85" x14ac:dyDescent="0.45">
      <c r="A7" s="3">
        <v>45657</v>
      </c>
      <c r="B7" s="14" cm="1">
        <f t="array" ref="B7">_xll.ciqfunctions.udf.CIQ(B$3,$B$1,$B$2,$A7,"L",,"USD","H")</f>
        <v>14676</v>
      </c>
      <c r="C7" s="38" cm="1">
        <f t="array" ref="C7">_xll.ciqfunctions.udf.CIQ(C$3,$B$1,$B$2,$A7,"L",,"USD","H")</f>
        <v>82379</v>
      </c>
      <c r="D7" s="38" cm="1">
        <f t="array" ref="D7">_xll.ciqfunctions.udf.CIQ(D$3,$B$1,$B$2,$A7,"L",,"USD","H")</f>
        <v>49159</v>
      </c>
      <c r="E7" s="38" cm="1">
        <f t="array" ref="E7">_xll.ciqfunctions.udf.CIQ(E$3,$B$1,$B$2,$A7,"L",,"USD","H")</f>
        <v>5673</v>
      </c>
      <c r="F7" s="38" cm="1">
        <f t="array" ref="F7">_xll.ciqfunctions.udf.CIQ(F$3,$B$1,$B$2,$A7,"L",,"USD","H")</f>
        <v>44117</v>
      </c>
      <c r="G7" s="38" cm="1">
        <f t="array" ref="G7">_xll.ciqfunctions.udf.CIQ(G$3,$B$1,$B$2,$A7,"L",,"USD","H")</f>
        <v>4281</v>
      </c>
      <c r="H7" s="40" cm="1">
        <f t="array" ref="H7">_xll.ciqfunctions.udf.CIQ(B$3,$B$1,$H$2,$A7,"L",,"USD","H")</f>
        <v>56450</v>
      </c>
      <c r="I7" s="40" cm="1">
        <f t="array" ref="I7">_xll.ciqfunctions.udf.CIQ(C$3,$B$1,$H$2,$A7,"L",,"USD","H")</f>
        <v>340568</v>
      </c>
      <c r="J7" s="40" cm="1">
        <f t="array" ref="J7">_xll.ciqfunctions.udf.CIQ(D$3,$B$1,$H$2,$A7,"L",,"USD","H")</f>
        <v>195568</v>
      </c>
      <c r="K7" s="40" cm="1">
        <f t="array" ref="K7">_xll.ciqfunctions.udf.CIQ(E$3,$B$1,$H$2,$A7,"L",,"USD","H")</f>
        <v>23478</v>
      </c>
      <c r="L7" s="40" cm="1">
        <f t="array" ref="L7">_xll.ciqfunctions.udf.CIQ(F$3,$B$1,$H$2,$A7,"L",,"USD","H")</f>
        <v>187386</v>
      </c>
      <c r="M7" s="40" cm="1">
        <f t="array" ref="M7">_xll.ciqfunctions.udf.CIQ(G$3,$B$1,$H$2,$A7,"L",,"USD","H")</f>
        <v>15171</v>
      </c>
      <c r="N7" s="13" cm="1">
        <f t="array" ref="N7">_xll.ciqfunctions.udf.CIQ(B$3,$N$1,$B$2,$A7,"L",,"USD","H")</f>
        <v>-3.1288</v>
      </c>
      <c r="O7" s="13" cm="1">
        <f t="array" ref="O7">_xll.ciqfunctions.udf.CIQ(C$3,$N$1,$B$2,$A7,"L",,"USD","H")</f>
        <v>-1.5265</v>
      </c>
      <c r="P7" s="13" cm="1">
        <f t="array" ref="P7">_xll.ciqfunctions.udf.CIQ(D$3,$N$1,$B$2,$A7,"L",,"USD","H")</f>
        <v>8.5665999999999993</v>
      </c>
      <c r="Q7" s="13" cm="1">
        <f t="array" ref="Q7">_xll.ciqfunctions.udf.CIQ(E$3,$N$1,$B$2,$A7,"L",,"USD","H")</f>
        <v>-6.3707000000000003</v>
      </c>
      <c r="R7" s="13" cm="1">
        <f t="array" ref="R7">_xll.ciqfunctions.udf.CIQ(F$3,$N$1,$B$2,$A7,"L",,"USD","H")</f>
        <v>-12.9156</v>
      </c>
      <c r="S7" s="13" cm="1">
        <f t="array" ref="S7">_xll.ciqfunctions.udf.CIQ(G$3,$N$1,$B$2,$A7,"L",,"USD","H")</f>
        <v>17.642199999999999</v>
      </c>
      <c r="T7" s="41" cm="1">
        <f t="array" ref="T7">_xll.ciqfunctions.udf.CIQ(N$3,$N$1,$T$2,$A7,"L",,"USD","H")</f>
        <v>-2.4386999999999999</v>
      </c>
      <c r="U7" s="41" cm="1">
        <f t="array" ref="U7">_xll.ciqfunctions.udf.CIQ(O$3,$N$1,$T$2,$A7,"L",,"USD","H")</f>
        <v>1.1593</v>
      </c>
      <c r="V7" s="41" cm="1">
        <f t="array" ref="V7">_xll.ciqfunctions.udf.CIQ(P$3,$N$1,$T$2,$A7,"L",,"USD","H")</f>
        <v>0.3947</v>
      </c>
      <c r="W7" s="41" cm="1">
        <f t="array" ref="W7">_xll.ciqfunctions.udf.CIQ(Q$3,$N$1,$T$2,$A7,"L",,"USD","H")</f>
        <v>0.88080000000000003</v>
      </c>
      <c r="X7" s="41" cm="1">
        <f t="array" ref="X7">_xll.ciqfunctions.udf.CIQ(R$3,$N$1,$T$2,$A7,"L",,"USD","H")</f>
        <v>-10.0624</v>
      </c>
      <c r="Y7" s="41" cm="1">
        <f t="array" ref="Y7">_xll.ciqfunctions.udf.CIQ(S$3,$N$1,$T$2,$A7,"L",,"USD","H")</f>
        <v>5.1569000000000003</v>
      </c>
      <c r="Z7" s="38" cm="1">
        <f t="array" ref="Z7">_xll.ciqfunctions.udf.CIQ(B$3,$Z$1,$B$2,$A7,"L",,"USD","H")</f>
        <v>2306</v>
      </c>
      <c r="AA7" s="38" cm="1">
        <f t="array" ref="AA7">_xll.ciqfunctions.udf.CIQ(C$3,$Z$1,$B$2,$A7,"L",,"USD","H")</f>
        <v>7610</v>
      </c>
      <c r="AB7" s="38" cm="1">
        <f t="array" ref="AB7">_xll.ciqfunctions.udf.CIQ(D$3,$Z$1,$B$2,$A7,"L",,"USD","H")</f>
        <v>3239</v>
      </c>
      <c r="AC7" s="38" cm="1">
        <f t="array" ref="AC7">_xll.ciqfunctions.udf.CIQ(E$3,$Z$1,$B$2,$A7,"L",,"USD","H")</f>
        <v>1251</v>
      </c>
      <c r="AD7" s="38" cm="1">
        <f t="array" ref="AD7">_xll.ciqfunctions.udf.CIQ(F$3,$Z$1,$B$2,$A7,"L",,"USD","H")</f>
        <v>-1959</v>
      </c>
      <c r="AE7" s="38" cm="1">
        <f t="array" ref="AE7">_xll.ciqfunctions.udf.CIQ(G$3,$Z$1,$B$2,$A7,"L",,"USD","H")</f>
        <v>639</v>
      </c>
      <c r="AF7" s="40" cm="1">
        <f t="array" ref="AF7">_xll.ciqfunctions.udf.CIQ(B$3,$Z$1,$H$2,$A7,"L",,"USD","H")</f>
        <v>9245</v>
      </c>
      <c r="AG7" s="40" cm="1">
        <f t="array" ref="AG7">_xll.ciqfunctions.udf.CIQ(C$3,$Z$1,$H$2,$A7,"L",,"USD","H")</f>
        <v>33680</v>
      </c>
      <c r="AH7" s="40" cm="1">
        <f t="array" ref="AH7">_xll.ciqfunctions.udf.CIQ(D$3,$Z$1,$H$2,$A7,"L",,"USD","H")</f>
        <v>17661</v>
      </c>
      <c r="AI7" s="40" cm="1">
        <f t="array" ref="AI7">_xll.ciqfunctions.udf.CIQ(E$3,$Z$1,$H$2,$A7,"L",,"USD","H")</f>
        <v>6403</v>
      </c>
      <c r="AJ7" s="40" cm="1">
        <f t="array" ref="AJ7">_xll.ciqfunctions.udf.CIQ(F$3,$Z$1,$H$2,$A7,"L",,"USD","H")</f>
        <v>381</v>
      </c>
      <c r="AK7" s="40" cm="1">
        <f t="array" ref="AK7">_xll.ciqfunctions.udf.CIQ(G$3,$Z$1,$H$2,$A7,"L",,"USD","H")</f>
        <v>2891</v>
      </c>
      <c r="AL7" s="13" cm="1">
        <f t="array" ref="AL7">_xll.ciqfunctions.udf.CIQ(B$3,$AL$1,$AL$2,$A7,"L",,"USD","H")</f>
        <v>-23.3123</v>
      </c>
      <c r="AM7" s="13" cm="1">
        <f t="array" ref="AM7">_xll.ciqfunctions.udf.CIQ(C$3,$AL$1,$AL$2,$A7,"L",,"USD","H")</f>
        <v>-0.26219999999999999</v>
      </c>
      <c r="AN7" s="13" cm="1">
        <f t="array" ref="AN7">_xll.ciqfunctions.udf.CIQ(D$3,$AL$1,$AL$2,$A7,"L",,"USD","H")</f>
        <v>43.381999999999998</v>
      </c>
      <c r="AO7" s="13" cm="1">
        <f t="array" ref="AO7">_xll.ciqfunctions.udf.CIQ(E$3,$AL$1,$AL$2,$A7,"L",,"USD","H")</f>
        <v>-37.072499999999998</v>
      </c>
      <c r="AP7" s="13" t="str" cm="1">
        <f t="array" ref="AP7">_xll.ciqfunctions.udf.CIQ(F$3,$AL$1,$AL$2,$A7,"L",,"USD","H")</f>
        <v>NM</v>
      </c>
      <c r="AQ7" s="13" cm="1">
        <f t="array" ref="AQ7">_xll.ciqfunctions.udf.CIQ(G$3,$AL$1,$AL$2,$A7,"L",,"USD","H")</f>
        <v>-44.531300000000002</v>
      </c>
      <c r="AR7" s="41" cm="1">
        <f t="array" ref="AR7">_xll.ciqfunctions.udf.CIQ(B$3,$AL$1,$AR$2,$A7,"L",,"USD","H")</f>
        <v>-15.6248</v>
      </c>
      <c r="AS7" s="41" cm="1">
        <f t="array" ref="AS7">_xll.ciqfunctions.udf.CIQ(C$3,$AL$1,$AR$2,$A7,"L",,"USD","H")</f>
        <v>-6.4705000000000004</v>
      </c>
      <c r="AT7" s="41" cm="1">
        <f t="array" ref="AT7">_xll.ciqfunctions.udf.CIQ(D$3,$AL$1,$AR$2,$A7,"L",,"USD","H")</f>
        <v>-17.3523</v>
      </c>
      <c r="AU7" s="41" cm="1">
        <f t="array" ref="AU7">_xll.ciqfunctions.udf.CIQ(E$3,$AL$1,$AR$2,$A7,"L",,"USD","H")</f>
        <v>-15.6835</v>
      </c>
      <c r="AV7" s="41" cm="1">
        <f t="array" ref="AV7">_xll.ciqfunctions.udf.CIQ(F$3,$AL$1,$AR$2,$A7,"L",,"USD","H")</f>
        <v>-97.499899999999997</v>
      </c>
      <c r="AW7" s="41" cm="1">
        <f t="array" ref="AW7">_xll.ciqfunctions.udf.CIQ(G$3,$AL$1,$AR$2,$A7,"L",,"USD","H")</f>
        <v>-22.844999999999999</v>
      </c>
      <c r="AX7" s="38" cm="1">
        <f t="array" ref="AX7">_xll.ciqfunctions.udf.CIQ(B$3,$AX$1,$AX$2,$A7,"L",,"USD","H")</f>
        <v>6524</v>
      </c>
      <c r="AY7" s="38" cm="1">
        <f t="array" ref="AY7">_xll.ciqfunctions.udf.CIQ(C$3,$AX$1,$AX$2,$A7,"L",,"USD","H")</f>
        <v>15648</v>
      </c>
      <c r="AZ7" s="38" cm="1">
        <f t="array" ref="AZ7">_xll.ciqfunctions.udf.CIQ(D$3,$AX$1,$AX$2,$A7,"L",,"USD","H")</f>
        <v>10074</v>
      </c>
      <c r="BA7" s="38" cm="1">
        <f t="array" ref="BA7">_xll.ciqfunctions.udf.CIQ(E$3,$AX$1,$AX$2,$A7,"L",,"USD","H")</f>
        <v>2910</v>
      </c>
      <c r="BB7" s="38" cm="1">
        <f t="array" ref="BB7">_xll.ciqfunctions.udf.CIQ(F$3,$AX$1,$AX$2,$A7,"L",,"USD","H")</f>
        <v>1263</v>
      </c>
      <c r="BC7" s="38" cm="1">
        <f t="array" ref="BC7">_xll.ciqfunctions.udf.CIQ(G$3,$AX$1,$AX$2,$A7,"L",,"USD","H")</f>
        <v>1939</v>
      </c>
      <c r="BD7" s="40" cm="1">
        <f t="array" ref="BD7">_xll.ciqfunctions.udf.CIQ(B$3,$AX$1,$BD$2,$A7,"L",,"USD","H")</f>
        <v>24308</v>
      </c>
      <c r="BE7" s="40" cm="1">
        <f t="array" ref="BE7">_xll.ciqfunctions.udf.CIQ(C$3,$AX$1,$BD$2,$A7,"L",,"USD","H")</f>
        <v>64294</v>
      </c>
      <c r="BF7" s="40" cm="1">
        <f t="array" ref="BF7">_xll.ciqfunctions.udf.CIQ(D$3,$AX$1,$BD$2,$A7,"L",,"USD","H")</f>
        <v>40081</v>
      </c>
      <c r="BG7" s="40" cm="1">
        <f t="array" ref="BG7">_xll.ciqfunctions.udf.CIQ(E$3,$AX$1,$BD$2,$A7,"L",,"USD","H")</f>
        <v>12565</v>
      </c>
      <c r="BH7" s="40" cm="1">
        <f t="array" ref="BH7">_xll.ciqfunctions.udf.CIQ(F$3,$AX$1,$BD$2,$A7,"L",,"USD","H")</f>
        <v>26961</v>
      </c>
      <c r="BI7" s="40" cm="1">
        <f t="array" ref="BI7">_xll.ciqfunctions.udf.CIQ(G$3,$AX$1,$BD$2,$A7,"L",,"USD","H")</f>
        <v>7389</v>
      </c>
      <c r="BJ7" s="43">
        <f t="shared" si="1"/>
        <v>-2.071450015010512E-2</v>
      </c>
      <c r="BK7" s="43">
        <f t="shared" si="2"/>
        <v>-0.12819655691124854</v>
      </c>
      <c r="BL7" s="43">
        <f t="shared" si="3"/>
        <v>0.12735004476275735</v>
      </c>
      <c r="BM7" s="43">
        <f t="shared" si="4"/>
        <v>-0.17164816396242533</v>
      </c>
      <c r="BN7" s="43">
        <f t="shared" si="5"/>
        <v>-0.78932443703085908</v>
      </c>
      <c r="BO7" s="43">
        <f t="shared" si="6"/>
        <v>-0.10727440147329648</v>
      </c>
      <c r="BP7" s="42">
        <f t="shared" si="7"/>
        <v>-1.7977618874479906E-2</v>
      </c>
      <c r="BQ7" s="42">
        <f t="shared" si="8"/>
        <v>-3.1074808608113846E-2</v>
      </c>
      <c r="BR7" s="42">
        <f t="shared" si="9"/>
        <v>-4.9695331578822555E-2</v>
      </c>
      <c r="BS7" s="42">
        <f t="shared" si="10"/>
        <v>-4.825026511134678E-2</v>
      </c>
      <c r="BT7" s="42">
        <f t="shared" si="11"/>
        <v>-0.3894424566329997</v>
      </c>
      <c r="BU7" s="42">
        <f t="shared" si="12"/>
        <v>-1.2693746659540373E-2</v>
      </c>
      <c r="BV7" s="68" cm="1">
        <f t="array" ref="BV7">_xll.ciqfunctions.udf.CIQ(B$3,$BV$1,$BV$2,$A7,"L",,"USD","H")/100</f>
        <v>7.1192000000000005E-2</v>
      </c>
      <c r="BW7" s="68" cm="1">
        <f t="array" ref="BW7">_xll.ciqfunctions.udf.CIQ(C$3,$BV$1,$BV$2,$A7,"L",,"USD","H")/100</f>
        <v>4.0620000000000003E-2</v>
      </c>
      <c r="BX7" s="68" cm="1">
        <f t="array" ref="BX7">_xll.ciqfunctions.udf.CIQ(D$3,$BV$1,$BV$2,$A7,"L",,"USD","H")/100</f>
        <v>7.7000000000000002E-3</v>
      </c>
      <c r="BY7" s="68" cm="1">
        <f t="array" ref="BY7">_xll.ciqfunctions.udf.CIQ(E$3,$BV$1,$BV$2,$A7,"L",,"USD","H")/100</f>
        <v>8.6240000000000011E-2</v>
      </c>
      <c r="BZ7" s="68" cm="1">
        <f t="array" ref="BZ7">_xll.ciqfunctions.udf.CIQ(F$3,$BV$1,$BV$2,$A7,"L",,"USD","H")/100</f>
        <v>-5.2535999999999999E-2</v>
      </c>
      <c r="CA7" s="68" cm="1">
        <f t="array" ref="CA7">_xll.ciqfunctions.udf.CIQ(G$3,$BV$1,$BV$2,$A7,"L",,"USD","H")/100</f>
        <v>8.3171999999999996E-2</v>
      </c>
      <c r="CB7" s="68" cm="1">
        <f t="array" ref="CB7">_xll.ciqfunctions.udf.CIQ(B$3,$BV$1,$CB$2,$A7,"L",,"USD","H")/100</f>
        <v>7.0401999999999992E-2</v>
      </c>
      <c r="CC7" s="68" cm="1">
        <f t="array" ref="CC7">_xll.ciqfunctions.udf.CIQ(C$3,$BV$1,$CB$2,$A7,"L",,"USD","H")/100</f>
        <v>5.8621999999999994E-2</v>
      </c>
      <c r="CD7" s="68" cm="1">
        <f t="array" ref="CD7">_xll.ciqfunctions.udf.CIQ(D$3,$BV$1,$CB$2,$A7,"L",,"USD","H")/100</f>
        <v>3.1609999999999999E-2</v>
      </c>
      <c r="CE7" s="68" cm="1">
        <f t="array" ref="CE7">_xll.ciqfunctions.udf.CIQ(E$3,$BV$1,$CB$2,$A7,"L",,"USD","H")/100</f>
        <v>0.12687900000000002</v>
      </c>
      <c r="CF7" s="68" cm="1">
        <f t="array" ref="CF7">_xll.ciqfunctions.udf.CIQ(F$3,$BV$1,$CB$2,$A7,"L",,"USD","H")/100</f>
        <v>-3.0975000000000003E-2</v>
      </c>
      <c r="CG7" s="68" cm="1">
        <f t="array" ref="CG7">_xll.ciqfunctions.udf.CIQ(G$3,$BV$1,$CB$2,$A7,"L",,"USD","H")/100</f>
        <v>9.1607999999999995E-2</v>
      </c>
    </row>
    <row r="8" spans="1:85" x14ac:dyDescent="0.45">
      <c r="A8" s="3">
        <f>EDATE(A4,-12)</f>
        <v>45565</v>
      </c>
      <c r="B8" s="14" cm="1">
        <f t="array" ref="B8">_xll.ciqfunctions.udf.CIQ(B$3,$B$1,$B$2,$A8,"L",,"USD","H")</f>
        <v>13482</v>
      </c>
      <c r="C8" s="38" cm="1">
        <f t="array" ref="C8">_xll.ciqfunctions.udf.CIQ(C$3,$B$1,$B$2,$A8,"L",,"USD","H")</f>
        <v>87792</v>
      </c>
      <c r="D8" s="38" cm="1">
        <f t="array" ref="D8">_xll.ciqfunctions.udf.CIQ(D$3,$B$1,$B$2,$A8,"L",,"USD","H")</f>
        <v>49416</v>
      </c>
      <c r="E8" s="38" cm="1">
        <f t="array" ref="E8">_xll.ciqfunctions.udf.CIQ(E$3,$B$1,$B$2,$A8,"L",,"USD","H")</f>
        <v>5893</v>
      </c>
      <c r="F8" s="38" cm="1">
        <f t="array" ref="F8">_xll.ciqfunctions.udf.CIQ(F$3,$B$1,$B$2,$A8,"L",,"USD","H")</f>
        <v>47223</v>
      </c>
      <c r="G8" s="38" cm="1">
        <f t="array" ref="G8">_xll.ciqfunctions.udf.CIQ(G$3,$B$1,$B$2,$A8,"L",,"USD","H")</f>
        <v>3797</v>
      </c>
      <c r="H8" s="40" cm="1">
        <f t="array" ref="H8">_xll.ciqfunctions.udf.CIQ(B$3,$B$1,$H$2,$A8,"L",,"USD","H")</f>
        <v>56924</v>
      </c>
      <c r="I8" s="40" cm="1">
        <f t="array" ref="I8">_xll.ciqfunctions.udf.CIQ(C$3,$B$1,$H$2,$A8,"L",,"USD","H")</f>
        <v>341845</v>
      </c>
      <c r="J8" s="40" cm="1">
        <f t="array" ref="J8">_xll.ciqfunctions.udf.CIQ(D$3,$B$1,$H$2,$A8,"L",,"USD","H")</f>
        <v>191689</v>
      </c>
      <c r="K8" s="40" cm="1">
        <f t="array" ref="K8">_xll.ciqfunctions.udf.CIQ(E$3,$B$1,$H$2,$A8,"L",,"USD","H")</f>
        <v>23864</v>
      </c>
      <c r="L8" s="40" cm="1">
        <f t="array" ref="L8">_xll.ciqfunctions.udf.CIQ(F$3,$B$1,$H$2,$A8,"L",,"USD","H")</f>
        <v>193929</v>
      </c>
      <c r="M8" s="40" cm="1">
        <f t="array" ref="M8">_xll.ciqfunctions.udf.CIQ(G$3,$B$1,$H$2,$A8,"L",,"USD","H")</f>
        <v>14529</v>
      </c>
      <c r="N8" s="13" cm="1">
        <f t="array" ref="N8">_xll.ciqfunctions.udf.CIQ(B$3,$N$1,$B$2,$A8,"L",,"USD","H")</f>
        <v>-7.8973000000000004</v>
      </c>
      <c r="O8" s="13" cm="1">
        <f t="array" ref="O8">_xll.ciqfunctions.udf.CIQ(C$3,$N$1,$B$2,$A8,"L",,"USD","H")</f>
        <v>-0.87849999999999995</v>
      </c>
      <c r="P8" s="13" cm="1">
        <f t="array" ref="P8">_xll.ciqfunctions.udf.CIQ(D$3,$N$1,$B$2,$A8,"L",,"USD","H")</f>
        <v>-6.3647999999999998</v>
      </c>
      <c r="Q8" s="13" cm="1">
        <f t="array" ref="Q8">_xll.ciqfunctions.udf.CIQ(E$3,$N$1,$B$2,$A8,"L",,"USD","H")</f>
        <v>-3.9289999999999998</v>
      </c>
      <c r="R8" s="13" cm="1">
        <f t="array" ref="R8">_xll.ciqfunctions.udf.CIQ(F$3,$N$1,$B$2,$A8,"L",,"USD","H")</f>
        <v>-11.273400000000001</v>
      </c>
      <c r="S8" s="13" cm="1">
        <f t="array" ref="S8">_xll.ciqfunctions.udf.CIQ(G$3,$N$1,$B$2,$A8,"L",,"USD","H")</f>
        <v>-5.7816999999999998</v>
      </c>
      <c r="T8" s="41" cm="1">
        <f t="array" ref="T8">_xll.ciqfunctions.udf.CIQ(N$3,$N$1,$T$2,$A8,"L",,"USD","H")</f>
        <v>-7.9481000000000002</v>
      </c>
      <c r="U8" s="41" cm="1">
        <f t="array" ref="U8">_xll.ciqfunctions.udf.CIQ(O$3,$N$1,$T$2,$A8,"L",,"USD","H")</f>
        <v>-1.4285000000000001</v>
      </c>
      <c r="V8" s="41" cm="1">
        <f t="array" ref="V8">_xll.ciqfunctions.udf.CIQ(P$3,$N$1,$T$2,$A8,"L",,"USD","H")</f>
        <v>-5.6021999999999998</v>
      </c>
      <c r="W8" s="41" cm="1">
        <f t="array" ref="W8">_xll.ciqfunctions.udf.CIQ(Q$3,$N$1,$T$2,$A8,"L",,"USD","H")</f>
        <v>0.57740000000000002</v>
      </c>
      <c r="X8" s="41" cm="1">
        <f t="array" ref="X8">_xll.ciqfunctions.udf.CIQ(R$3,$N$1,$T$2,$A8,"L",,"USD","H")</f>
        <v>-14.339</v>
      </c>
      <c r="Y8" s="41" cm="1">
        <f t="array" ref="Y8">_xll.ciqfunctions.udf.CIQ(S$3,$N$1,$T$2,$A8,"L",,"USD","H")</f>
        <v>-2.6859000000000002</v>
      </c>
      <c r="Z8" s="38" cm="1">
        <f t="array" ref="Z8">_xll.ciqfunctions.udf.CIQ(B$3,$Z$1,$B$2,$A8,"L",,"USD","H")</f>
        <v>2059</v>
      </c>
      <c r="AA8" s="38" cm="1">
        <f t="array" ref="AA8">_xll.ciqfunctions.udf.CIQ(C$3,$Z$1,$B$2,$A8,"L",,"USD","H")</f>
        <v>8610</v>
      </c>
      <c r="AB8" s="38" cm="1">
        <f t="array" ref="AB8">_xll.ciqfunctions.udf.CIQ(D$3,$Z$1,$B$2,$A8,"L",,"USD","H")</f>
        <v>4487</v>
      </c>
      <c r="AC8" s="38" cm="1">
        <f t="array" ref="AC8">_xll.ciqfunctions.udf.CIQ(E$3,$Z$1,$B$2,$A8,"L",,"USD","H")</f>
        <v>1673</v>
      </c>
      <c r="AD8" s="38" cm="1">
        <f t="array" ref="AD8">_xll.ciqfunctions.udf.CIQ(F$3,$Z$1,$B$2,$A8,"L",,"USD","H")</f>
        <v>206</v>
      </c>
      <c r="AE8" s="38" cm="1">
        <f t="array" ref="AE8">_xll.ciqfunctions.udf.CIQ(G$3,$Z$1,$B$2,$A8,"L",,"USD","H")</f>
        <v>812</v>
      </c>
      <c r="AF8" s="40" cm="1">
        <f t="array" ref="AF8">_xll.ciqfunctions.udf.CIQ(B$3,$Z$1,$H$2,$A8,"L",,"USD","H")</f>
        <v>9946</v>
      </c>
      <c r="AG8" s="40" cm="1">
        <f t="array" ref="AG8">_xll.ciqfunctions.udf.CIQ(C$3,$Z$1,$H$2,$A8,"L",,"USD","H")</f>
        <v>33700</v>
      </c>
      <c r="AH8" s="40" cm="1">
        <f t="array" ref="AH8">_xll.ciqfunctions.udf.CIQ(D$3,$Z$1,$H$2,$A8,"L",,"USD","H")</f>
        <v>16681</v>
      </c>
      <c r="AI8" s="40" cm="1">
        <f t="array" ref="AI8">_xll.ciqfunctions.udf.CIQ(E$3,$Z$1,$H$2,$A8,"L",,"USD","H")</f>
        <v>7140</v>
      </c>
      <c r="AJ8" s="40" cm="1">
        <f t="array" ref="AJ8">_xll.ciqfunctions.udf.CIQ(F$3,$Z$1,$H$2,$A8,"L",,"USD","H")</f>
        <v>2711</v>
      </c>
      <c r="AK8" s="40" cm="1">
        <f t="array" ref="AK8">_xll.ciqfunctions.udf.CIQ(G$3,$Z$1,$H$2,$A8,"L",,"USD","H")</f>
        <v>3404</v>
      </c>
      <c r="AL8" s="13" cm="1">
        <f t="array" ref="AL8">_xll.ciqfunctions.udf.CIQ(B$3,$AL$1,$AL$2,$A8,"L",,"USD","H")</f>
        <v>-26.411799999999999</v>
      </c>
      <c r="AM8" s="13" cm="1">
        <f t="array" ref="AM8">_xll.ciqfunctions.udf.CIQ(C$3,$AL$1,$AL$2,$A8,"L",,"USD","H")</f>
        <v>-5.0716999999999999</v>
      </c>
      <c r="AN8" s="13" cm="1">
        <f t="array" ref="AN8">_xll.ciqfunctions.udf.CIQ(D$3,$AL$1,$AL$2,$A8,"L",,"USD","H")</f>
        <v>-31.244299999999999</v>
      </c>
      <c r="AO8" s="13" cm="1">
        <f t="array" ref="AO8">_xll.ciqfunctions.udf.CIQ(E$3,$AL$1,$AL$2,$A8,"L",,"USD","H")</f>
        <v>-17.586300000000001</v>
      </c>
      <c r="AP8" s="13" cm="1">
        <f t="array" ref="AP8">_xll.ciqfunctions.udf.CIQ(F$3,$AL$1,$AL$2,$A8,"L",,"USD","H")</f>
        <v>-95.759600000000006</v>
      </c>
      <c r="AQ8" s="13" cm="1">
        <f t="array" ref="AQ8">_xll.ciqfunctions.udf.CIQ(G$3,$AL$1,$AL$2,$A8,"L",,"USD","H")</f>
        <v>-10.769299999999999</v>
      </c>
      <c r="AR8" s="41" cm="1">
        <f t="array" ref="AR8">_xll.ciqfunctions.udf.CIQ(B$3,$AL$1,$AR$2,$A8,"L",,"USD","H")</f>
        <v>-11.188499999999999</v>
      </c>
      <c r="AS8" s="41" cm="1">
        <f t="array" ref="AS8">_xll.ciqfunctions.udf.CIQ(C$3,$AL$1,$AR$2,$A8,"L",,"USD","H")</f>
        <v>-18.064699999999998</v>
      </c>
      <c r="AT8" s="41" cm="1">
        <f t="array" ref="AT8">_xll.ciqfunctions.udf.CIQ(D$3,$AL$1,$AR$2,$A8,"L",,"USD","H")</f>
        <v>-34.4893</v>
      </c>
      <c r="AU8" s="41" cm="1">
        <f t="array" ref="AU8">_xll.ciqfunctions.udf.CIQ(E$3,$AL$1,$AR$2,$A8,"L",,"USD","H")</f>
        <v>-9.4253999999999998</v>
      </c>
      <c r="AV8" s="41" cm="1">
        <f t="array" ref="AV8">_xll.ciqfunctions.udf.CIQ(F$3,$AL$1,$AR$2,$A8,"L",,"USD","H")</f>
        <v>-89.439499999999995</v>
      </c>
      <c r="AW8" s="41" cm="1">
        <f t="array" ref="AW8">_xll.ciqfunctions.udf.CIQ(G$3,$AL$1,$AR$2,$A8,"L",,"USD","H")</f>
        <v>-10.326700000000001</v>
      </c>
      <c r="AX8" s="38" cm="1">
        <f t="array" ref="AX8">_xll.ciqfunctions.udf.CIQ(B$3,$AX$1,$AX$2,$A8,"L",,"USD","H")</f>
        <v>5663</v>
      </c>
      <c r="AY8" s="38" cm="1">
        <f t="array" ref="AY8">_xll.ciqfunctions.udf.CIQ(C$3,$AX$1,$AX$2,$A8,"L",,"USD","H")</f>
        <v>17267</v>
      </c>
      <c r="AZ8" s="38" cm="1">
        <f t="array" ref="AZ8">_xll.ciqfunctions.udf.CIQ(D$3,$AX$1,$AX$2,$A8,"L",,"USD","H")</f>
        <v>9606</v>
      </c>
      <c r="BA8" s="38" cm="1">
        <f t="array" ref="BA8">_xll.ciqfunctions.udf.CIQ(E$3,$AX$1,$AX$2,$A8,"L",,"USD","H")</f>
        <v>3142</v>
      </c>
      <c r="BB8" s="38" cm="1">
        <f t="array" ref="BB8">_xll.ciqfunctions.udf.CIQ(F$3,$AX$1,$AX$2,$A8,"L",,"USD","H")</f>
        <v>8130</v>
      </c>
      <c r="BC8" s="38" cm="1">
        <f t="array" ref="BC8">_xll.ciqfunctions.udf.CIQ(G$3,$AX$1,$AX$2,$A8,"L",,"USD","H")</f>
        <v>1946</v>
      </c>
      <c r="BD8" s="40" cm="1">
        <f t="array" ref="BD8">_xll.ciqfunctions.udf.CIQ(B$3,$AX$1,$BD$2,$A8,"L",,"USD","H")</f>
        <v>24446</v>
      </c>
      <c r="BE8" s="40" cm="1">
        <f t="array" ref="BE8">_xll.ciqfunctions.udf.CIQ(C$3,$AX$1,$BD$2,$A8,"L",,"USD","H")</f>
        <v>66595</v>
      </c>
      <c r="BF8" s="40" cm="1">
        <f t="array" ref="BF8">_xll.ciqfunctions.udf.CIQ(D$3,$AX$1,$BD$2,$A8,"L",,"USD","H")</f>
        <v>38943</v>
      </c>
      <c r="BG8" s="40" cm="1">
        <f t="array" ref="BG8">_xll.ciqfunctions.udf.CIQ(E$3,$AX$1,$BD$2,$A8,"L",,"USD","H")</f>
        <v>13168</v>
      </c>
      <c r="BH8" s="40" cm="1">
        <f t="array" ref="BH8">_xll.ciqfunctions.udf.CIQ(F$3,$AX$1,$BD$2,$A8,"L",,"USD","H")</f>
        <v>31693</v>
      </c>
      <c r="BI8" s="40" cm="1">
        <f t="array" ref="BI8">_xll.ciqfunctions.udf.CIQ(G$3,$AX$1,$BD$2,$A8,"L",,"USD","H")</f>
        <v>7612</v>
      </c>
      <c r="BJ8" s="43">
        <f t="shared" si="1"/>
        <v>-9.1885824246311754E-2</v>
      </c>
      <c r="BK8" s="43">
        <f t="shared" si="2"/>
        <v>7.2950972472503484E-2</v>
      </c>
      <c r="BL8" s="43">
        <f t="shared" si="3"/>
        <v>-0.16931857488758217</v>
      </c>
      <c r="BM8" s="43">
        <f t="shared" si="4"/>
        <v>-9.5567069660333903E-2</v>
      </c>
      <c r="BN8" s="43">
        <f t="shared" si="5"/>
        <v>-0.36345129971813339</v>
      </c>
      <c r="BO8" s="43">
        <f t="shared" si="6"/>
        <v>7.8116343490304718E-2</v>
      </c>
      <c r="BP8" s="42">
        <f t="shared" si="7"/>
        <v>-4.0656149438819567E-2</v>
      </c>
      <c r="BQ8" s="42">
        <f t="shared" si="8"/>
        <v>0.12802141030201408</v>
      </c>
      <c r="BR8" s="42">
        <f t="shared" si="9"/>
        <v>-0.15888032138923092</v>
      </c>
      <c r="BS8" s="42">
        <f t="shared" si="10"/>
        <v>-2.9194927749926269E-2</v>
      </c>
      <c r="BT8" s="42">
        <f t="shared" si="11"/>
        <v>-0.47139569017279337</v>
      </c>
      <c r="BU8" s="42">
        <f t="shared" si="12"/>
        <v>1.3446944481427137E-2</v>
      </c>
      <c r="BV8" s="68" cm="1">
        <f t="array" ref="BV8">_xll.ciqfunctions.udf.CIQ(B$3,$BV$1,$BV$2,$A8,"L",,"USD","H")/100</f>
        <v>6.7447999999999994E-2</v>
      </c>
      <c r="BW8" s="68" cm="1">
        <f t="array" ref="BW8">_xll.ciqfunctions.udf.CIQ(C$3,$BV$1,$BV$2,$A8,"L",,"USD","H")/100</f>
        <v>5.4760000000000003E-2</v>
      </c>
      <c r="BX8" s="68" cm="1">
        <f t="array" ref="BX8">_xll.ciqfunctions.udf.CIQ(D$3,$BV$1,$BV$2,$A8,"L",,"USD","H")/100</f>
        <v>3.3936000000000001E-2</v>
      </c>
      <c r="BY8" s="68" cm="1">
        <f t="array" ref="BY8">_xll.ciqfunctions.udf.CIQ(E$3,$BV$1,$BV$2,$A8,"L",,"USD","H")/100</f>
        <v>0.13625199999999998</v>
      </c>
      <c r="BZ8" s="68" cm="1">
        <f t="array" ref="BZ8">_xll.ciqfunctions.udf.CIQ(F$3,$BV$1,$BV$2,$A8,"L",,"USD","H")/100</f>
        <v>-2.9451999999999999E-2</v>
      </c>
      <c r="CA8" s="68" cm="1">
        <f t="array" ref="CA8">_xll.ciqfunctions.udf.CIQ(G$3,$BV$1,$BV$2,$A8,"L",,"USD","H")/100</f>
        <v>0.10051600000000001</v>
      </c>
      <c r="CB8" s="68" cm="1">
        <f t="array" ref="CB8">_xll.ciqfunctions.udf.CIQ(B$3,$BV$1,$CB$2,$A8,"L",,"USD","H")/100</f>
        <v>8.576700000000001E-2</v>
      </c>
      <c r="CC8" s="68" cm="1">
        <f t="array" ref="CC8">_xll.ciqfunctions.udf.CIQ(C$3,$BV$1,$CB$2,$A8,"L",,"USD","H")/100</f>
        <v>6.1746999999999996E-2</v>
      </c>
      <c r="CD8" s="68" cm="1">
        <f t="array" ref="CD8">_xll.ciqfunctions.udf.CIQ(D$3,$BV$1,$CB$2,$A8,"L",,"USD","H")/100</f>
        <v>2.6823E-2</v>
      </c>
      <c r="CE8" s="68" cm="1">
        <f t="array" ref="CE8">_xll.ciqfunctions.udf.CIQ(E$3,$BV$1,$CB$2,$A8,"L",,"USD","H")/100</f>
        <v>0.11076000000000001</v>
      </c>
      <c r="CF8" s="68" cm="1">
        <f t="array" ref="CF8">_xll.ciqfunctions.udf.CIQ(F$3,$BV$1,$CB$2,$A8,"L",,"USD","H")/100</f>
        <v>-1.5098E-2</v>
      </c>
      <c r="CG8" s="68" cm="1">
        <f t="array" ref="CG8">_xll.ciqfunctions.udf.CIQ(G$3,$BV$1,$CB$2,$A8,"L",,"USD","H")/100</f>
        <v>0.10102800000000001</v>
      </c>
    </row>
    <row r="9" spans="1:85" x14ac:dyDescent="0.45">
      <c r="A9" s="3">
        <f t="shared" ref="A9:A67" si="13">EDATE(A5,-12)</f>
        <v>45473</v>
      </c>
      <c r="B9" s="14" cm="1">
        <f t="array" ref="B9">_xll.ciqfunctions.udf.CIQ(B$3,$B$1,$B$2,$A9,"L",,"USD","H")</f>
        <v>14023</v>
      </c>
      <c r="C9" s="38" cm="1">
        <f t="array" ref="C9">_xll.ciqfunctions.udf.CIQ(C$3,$B$1,$B$2,$A9,"L",,"USD","H")</f>
        <v>89986</v>
      </c>
      <c r="D9" s="38" cm="1">
        <f t="array" ref="D9">_xll.ciqfunctions.udf.CIQ(D$3,$B$1,$B$2,$A9,"L",,"USD","H")</f>
        <v>49778</v>
      </c>
      <c r="E9" s="38" cm="1">
        <f t="array" ref="E9">_xll.ciqfunctions.udf.CIQ(E$3,$B$1,$B$2,$A9,"L",,"USD","H")</f>
        <v>6052</v>
      </c>
      <c r="F9" s="38" cm="1">
        <f t="array" ref="F9">_xll.ciqfunctions.udf.CIQ(F$3,$B$1,$B$2,$A9,"L",,"USD","H")</f>
        <v>47610</v>
      </c>
      <c r="G9" s="38" cm="1">
        <f t="array" ref="G9">_xll.ciqfunctions.udf.CIQ(G$3,$B$1,$B$2,$A9,"L",,"USD","H")</f>
        <v>3715</v>
      </c>
      <c r="H9" s="40" cm="1">
        <f t="array" ref="H9">_xll.ciqfunctions.udf.CIQ(B$3,$B$1,$H$2,$A9,"L",,"USD","H")</f>
        <v>58080</v>
      </c>
      <c r="I9" s="40" cm="1">
        <f t="array" ref="I9">_xll.ciqfunctions.udf.CIQ(C$3,$B$1,$H$2,$A9,"L",,"USD","H")</f>
        <v>342623</v>
      </c>
      <c r="J9" s="40" cm="1">
        <f t="array" ref="J9">_xll.ciqfunctions.udf.CIQ(D$3,$B$1,$H$2,$A9,"L",,"USD","H")</f>
        <v>195048</v>
      </c>
      <c r="K9" s="40" cm="1">
        <f t="array" ref="K9">_xll.ciqfunctions.udf.CIQ(E$3,$B$1,$H$2,$A9,"L",,"USD","H")</f>
        <v>24105</v>
      </c>
      <c r="L9" s="40" cm="1">
        <f t="array" ref="L9">_xll.ciqfunctions.udf.CIQ(F$3,$B$1,$H$2,$A9,"L",,"USD","H")</f>
        <v>199929</v>
      </c>
      <c r="M9" s="40" cm="1">
        <f t="array" ref="M9">_xll.ciqfunctions.udf.CIQ(G$3,$B$1,$H$2,$A9,"L",,"USD","H")</f>
        <v>14762</v>
      </c>
      <c r="N9" s="13" cm="1">
        <f t="array" ref="N9">_xll.ciqfunctions.udf.CIQ(B$3,$N$1,$B$2,$A9,"L",,"USD","H")</f>
        <v>9.8721999999999994</v>
      </c>
      <c r="O9" s="13" cm="1">
        <f t="array" ref="O9">_xll.ciqfunctions.udf.CIQ(C$3,$N$1,$B$2,$A9,"L",,"USD","H")</f>
        <v>12.123699999999999</v>
      </c>
      <c r="P9" s="13" cm="1">
        <f t="array" ref="P9">_xll.ciqfunctions.udf.CIQ(D$3,$N$1,$B$2,$A9,"L",,"USD","H")</f>
        <v>4.7229999999999999</v>
      </c>
      <c r="Q9" s="13" cm="1">
        <f t="array" ref="Q9">_xll.ciqfunctions.udf.CIQ(E$3,$N$1,$B$2,$A9,"L",,"USD","H")</f>
        <v>10.4178</v>
      </c>
      <c r="R9" s="13" cm="1">
        <f t="array" ref="R9">_xll.ciqfunctions.udf.CIQ(F$3,$N$1,$B$2,$A9,"L",,"USD","H")</f>
        <v>-2.3584999999999998</v>
      </c>
      <c r="S9" s="13" cm="1">
        <f t="array" ref="S9">_xll.ciqfunctions.udf.CIQ(G$3,$N$1,$B$2,$A9,"L",,"USD","H")</f>
        <v>11.2608</v>
      </c>
      <c r="T9" s="41" cm="1">
        <f t="array" ref="T9">_xll.ciqfunctions.udf.CIQ(N$3,$N$1,$T$2,$A9,"L",,"USD","H")</f>
        <v>-15.550800000000001</v>
      </c>
      <c r="U9" s="41" cm="1">
        <f t="array" ref="U9">_xll.ciqfunctions.udf.CIQ(O$3,$N$1,$T$2,$A9,"L",,"USD","H")</f>
        <v>-6.3019999999999996</v>
      </c>
      <c r="V9" s="41" cm="1">
        <f t="array" ref="V9">_xll.ciqfunctions.udf.CIQ(P$3,$N$1,$T$2,$A9,"L",,"USD","H")</f>
        <v>-9.0830000000000002</v>
      </c>
      <c r="W9" s="41" cm="1">
        <f t="array" ref="W9">_xll.ciqfunctions.udf.CIQ(Q$3,$N$1,$T$2,$A9,"L",,"USD","H")</f>
        <v>-4.4401000000000002</v>
      </c>
      <c r="X9" s="41" cm="1">
        <f t="array" ref="X9">_xll.ciqfunctions.udf.CIQ(R$3,$N$1,$T$2,$A9,"L",,"USD","H")</f>
        <v>-12.134600000000001</v>
      </c>
      <c r="Y9" s="41" cm="1">
        <f t="array" ref="Y9">_xll.ciqfunctions.udf.CIQ(S$3,$N$1,$T$2,$A9,"L",,"USD","H")</f>
        <v>-8.2194000000000003</v>
      </c>
      <c r="Z9" s="38" cm="1">
        <f t="array" ref="Z9">_xll.ciqfunctions.udf.CIQ(B$3,$Z$1,$B$2,$A9,"L",,"USD","H")</f>
        <v>2329</v>
      </c>
      <c r="AA9" s="38" cm="1">
        <f t="array" ref="AA9">_xll.ciqfunctions.udf.CIQ(C$3,$Z$1,$B$2,$A9,"L",,"USD","H")</f>
        <v>9240</v>
      </c>
      <c r="AB9" s="38" cm="1">
        <f t="array" ref="AB9">_xll.ciqfunctions.udf.CIQ(D$3,$Z$1,$B$2,$A9,"L",,"USD","H")</f>
        <v>4434</v>
      </c>
      <c r="AC9" s="38" cm="1">
        <f t="array" ref="AC9">_xll.ciqfunctions.udf.CIQ(E$3,$Z$1,$B$2,$A9,"L",,"USD","H")</f>
        <v>1690</v>
      </c>
      <c r="AD9" s="38" cm="1">
        <f t="array" ref="AD9">_xll.ciqfunctions.udf.CIQ(F$3,$Z$1,$B$2,$A9,"L",,"USD","H")</f>
        <v>-129</v>
      </c>
      <c r="AE9" s="38" cm="1">
        <f t="array" ref="AE9">_xll.ciqfunctions.udf.CIQ(G$3,$Z$1,$B$2,$A9,"L",,"USD","H")</f>
        <v>844</v>
      </c>
      <c r="AF9" s="40" cm="1">
        <f t="array" ref="AF9">_xll.ciqfunctions.udf.CIQ(B$3,$Z$1,$H$2,$A9,"L",,"USD","H")</f>
        <v>10685</v>
      </c>
      <c r="AG9" s="40" cm="1">
        <f t="array" ref="AG9">_xll.ciqfunctions.udf.CIQ(C$3,$Z$1,$H$2,$A9,"L",,"USD","H")</f>
        <v>34160</v>
      </c>
      <c r="AH9" s="40" cm="1">
        <f t="array" ref="AH9">_xll.ciqfunctions.udf.CIQ(D$3,$Z$1,$H$2,$A9,"L",,"USD","H")</f>
        <v>18720</v>
      </c>
      <c r="AI9" s="40" cm="1">
        <f t="array" ref="AI9">_xll.ciqfunctions.udf.CIQ(E$3,$Z$1,$H$2,$A9,"L",,"USD","H")</f>
        <v>7497</v>
      </c>
      <c r="AJ9" s="40" cm="1">
        <f t="array" ref="AJ9">_xll.ciqfunctions.udf.CIQ(F$3,$Z$1,$H$2,$A9,"L",,"USD","H")</f>
        <v>7363</v>
      </c>
      <c r="AK9" s="40" cm="1">
        <f t="array" ref="AK9">_xll.ciqfunctions.udf.CIQ(G$3,$Z$1,$H$2,$A9,"L",,"USD","H")</f>
        <v>3502</v>
      </c>
      <c r="AL9" s="13" cm="1">
        <f t="array" ref="AL9">_xll.ciqfunctions.udf.CIQ(B$3,$AL$1,$AL$2,$A9,"L",,"USD","H")</f>
        <v>4.3457999999999997</v>
      </c>
      <c r="AM9" s="13" cm="1">
        <f t="array" ref="AM9">_xll.ciqfunctions.udf.CIQ(C$3,$AL$1,$AL$2,$A9,"L",,"USD","H")</f>
        <v>17.258800000000001</v>
      </c>
      <c r="AN9" s="13" cm="1">
        <f t="array" ref="AN9">_xll.ciqfunctions.udf.CIQ(D$3,$AL$1,$AL$2,$A9,"L",,"USD","H")</f>
        <v>-26.222999999999999</v>
      </c>
      <c r="AO9" s="13" cm="1">
        <f t="array" ref="AO9">_xll.ciqfunctions.udf.CIQ(E$3,$AL$1,$AL$2,$A9,"L",,"USD","H")</f>
        <v>8.8216000000000001</v>
      </c>
      <c r="AP9" s="13" t="str" cm="1">
        <f t="array" ref="AP9">_xll.ciqfunctions.udf.CIQ(F$3,$AL$1,$AL$2,$A9,"L",,"USD","H")</f>
        <v>NM</v>
      </c>
      <c r="AQ9" s="13" cm="1">
        <f t="array" ref="AQ9">_xll.ciqfunctions.udf.CIQ(G$3,$AL$1,$AL$2,$A9,"L",,"USD","H")</f>
        <v>22.3188</v>
      </c>
      <c r="AR9" s="41" cm="1">
        <f t="array" ref="AR9">_xll.ciqfunctions.udf.CIQ(B$3,$AL$1,$AR$2,$A9,"L",,"USD","H")</f>
        <v>-17.350000000000001</v>
      </c>
      <c r="AS9" s="41" cm="1">
        <f t="array" ref="AS9">_xll.ciqfunctions.udf.CIQ(C$3,$AL$1,$AR$2,$A9,"L",,"USD","H")</f>
        <v>-33.952100000000002</v>
      </c>
      <c r="AT9" s="41" cm="1">
        <f t="array" ref="AT9">_xll.ciqfunctions.udf.CIQ(D$3,$AL$1,$AR$2,$A9,"L",,"USD","H")</f>
        <v>-37.947499999999998</v>
      </c>
      <c r="AU9" s="41" cm="1">
        <f t="array" ref="AU9">_xll.ciqfunctions.udf.CIQ(E$3,$AL$1,$AR$2,$A9,"L",,"USD","H")</f>
        <v>-13.8969</v>
      </c>
      <c r="AV9" s="41" cm="1">
        <f t="array" ref="AV9">_xll.ciqfunctions.udf.CIQ(F$3,$AL$1,$AR$2,$A9,"L",,"USD","H")</f>
        <v>-60.520200000000003</v>
      </c>
      <c r="AW9" s="41" cm="1">
        <f t="array" ref="AW9">_xll.ciqfunctions.udf.CIQ(G$3,$AL$1,$AR$2,$A9,"L",,"USD","H")</f>
        <v>-26.7211</v>
      </c>
      <c r="AX9" s="38" cm="1">
        <f t="array" ref="AX9">_xll.ciqfunctions.udf.CIQ(B$3,$AX$1,$AX$2,$A9,"L",,"USD","H")</f>
        <v>6125</v>
      </c>
      <c r="AY9" s="38" cm="1">
        <f t="array" ref="AY9">_xll.ciqfunctions.udf.CIQ(C$3,$AX$1,$AX$2,$A9,"L",,"USD","H")</f>
        <v>16649</v>
      </c>
      <c r="AZ9" s="38" cm="1">
        <f t="array" ref="AZ9">_xll.ciqfunctions.udf.CIQ(D$3,$AX$1,$AX$2,$A9,"L",,"USD","H")</f>
        <v>9758</v>
      </c>
      <c r="BA9" s="38" cm="1">
        <f t="array" ref="BA9">_xll.ciqfunctions.udf.CIQ(E$3,$AX$1,$AX$2,$A9,"L",,"USD","H")</f>
        <v>3175</v>
      </c>
      <c r="BB9" s="38" cm="1">
        <f t="array" ref="BB9">_xll.ciqfunctions.udf.CIQ(F$3,$AX$1,$AX$2,$A9,"L",,"USD","H")</f>
        <v>7848</v>
      </c>
      <c r="BC9" s="38" cm="1">
        <f t="array" ref="BC9">_xll.ciqfunctions.udf.CIQ(G$3,$AX$1,$AX$2,$A9,"L",,"USD","H")</f>
        <v>1927</v>
      </c>
      <c r="BD9" s="40" cm="1">
        <f t="array" ref="BD9">_xll.ciqfunctions.udf.CIQ(B$3,$AX$1,$BD$2,$A9,"L",,"USD","H")</f>
        <v>25019</v>
      </c>
      <c r="BE9" s="40" cm="1">
        <f t="array" ref="BE9">_xll.ciqfunctions.udf.CIQ(C$3,$AX$1,$BD$2,$A9,"L",,"USD","H")</f>
        <v>65421</v>
      </c>
      <c r="BF9" s="40" cm="1">
        <f t="array" ref="BF9">_xll.ciqfunctions.udf.CIQ(D$3,$AX$1,$BD$2,$A9,"L",,"USD","H")</f>
        <v>40901</v>
      </c>
      <c r="BG9" s="40" cm="1">
        <f t="array" ref="BG9">_xll.ciqfunctions.udf.CIQ(E$3,$AX$1,$BD$2,$A9,"L",,"USD","H")</f>
        <v>13500</v>
      </c>
      <c r="BH9" s="40" cm="1">
        <f t="array" ref="BH9">_xll.ciqfunctions.udf.CIQ(F$3,$AX$1,$BD$2,$A9,"L",,"USD","H")</f>
        <v>36335</v>
      </c>
      <c r="BI9" s="40" cm="1">
        <f t="array" ref="BI9">_xll.ciqfunctions.udf.CIQ(G$3,$AX$1,$BD$2,$A9,"L",,"USD","H")</f>
        <v>7471</v>
      </c>
      <c r="BJ9" s="43">
        <f t="shared" si="1"/>
        <v>0.1357315038012239</v>
      </c>
      <c r="BK9" s="43">
        <f t="shared" si="2"/>
        <v>0.23426495663132929</v>
      </c>
      <c r="BL9" s="43">
        <f t="shared" si="3"/>
        <v>-3.4339435922810524E-2</v>
      </c>
      <c r="BM9" s="43">
        <f t="shared" si="4"/>
        <v>0.10243055555555558</v>
      </c>
      <c r="BN9" s="43">
        <f t="shared" si="5"/>
        <v>-0.17666806546370117</v>
      </c>
      <c r="BO9" s="43">
        <f t="shared" si="6"/>
        <v>0.20739348370927324</v>
      </c>
      <c r="BP9" s="42">
        <f t="shared" si="7"/>
        <v>-0.12609591672779352</v>
      </c>
      <c r="BQ9" s="42">
        <f t="shared" si="8"/>
        <v>-0.14959248137893377</v>
      </c>
      <c r="BR9" s="42">
        <f t="shared" si="9"/>
        <v>-0.20523482890620448</v>
      </c>
      <c r="BS9" s="42">
        <f t="shared" si="10"/>
        <v>-0.70631743821789073</v>
      </c>
      <c r="BT9" s="42">
        <f t="shared" si="11"/>
        <v>-0.2887901505216387</v>
      </c>
      <c r="BU9" s="42">
        <f t="shared" si="12"/>
        <v>-0.15352368003625649</v>
      </c>
      <c r="BV9" s="68" cm="1">
        <f t="array" ref="BV9">_xll.ciqfunctions.udf.CIQ(B$3,$BV$1,$BV$2,$A9,"L",,"USD","H")/100</f>
        <v>8.3271999999999999E-2</v>
      </c>
      <c r="BW9" s="68" cm="1">
        <f t="array" ref="BW9">_xll.ciqfunctions.udf.CIQ(C$3,$BV$1,$BV$2,$A9,"L",,"USD","H")/100</f>
        <v>6.9183999999999996E-2</v>
      </c>
      <c r="BX9" s="68" cm="1">
        <f t="array" ref="BX9">_xll.ciqfunctions.udf.CIQ(D$3,$BV$1,$BV$2,$A9,"L",,"USD","H")/100</f>
        <v>3.1739999999999997E-2</v>
      </c>
      <c r="BY9" s="68" cm="1">
        <f t="array" ref="BY9">_xll.ciqfunctions.udf.CIQ(E$3,$BV$1,$BV$2,$A9,"L",,"USD","H")/100</f>
        <v>0.14183599999999999</v>
      </c>
      <c r="BZ9" s="68" cm="1">
        <f t="array" ref="BZ9">_xll.ciqfunctions.udf.CIQ(F$3,$BV$1,$BV$2,$A9,"L",,"USD","H")/100</f>
        <v>-3.4760000000000004E-3</v>
      </c>
      <c r="CA9" s="68" cm="1">
        <f t="array" ref="CA9">_xll.ciqfunctions.udf.CIQ(G$3,$BV$1,$BV$2,$A9,"L",,"USD","H")/100</f>
        <v>0.13053599999999999</v>
      </c>
      <c r="CB9" s="68" cm="1">
        <f t="array" ref="CB9">_xll.ciqfunctions.udf.CIQ(B$3,$BV$1,$CB$2,$A9,"L",,"USD","H")/100</f>
        <v>9.2387999999999998E-2</v>
      </c>
      <c r="CC9" s="68" cm="1">
        <f t="array" ref="CC9">_xll.ciqfunctions.udf.CIQ(C$3,$BV$1,$CB$2,$A9,"L",,"USD","H")/100</f>
        <v>6.5376000000000004E-2</v>
      </c>
      <c r="CD9" s="68" cm="1">
        <f t="array" ref="CD9">_xll.ciqfunctions.udf.CIQ(D$3,$BV$1,$CB$2,$A9,"L",,"USD","H")/100</f>
        <v>3.8862000000000001E-2</v>
      </c>
      <c r="CE9" s="68" cm="1">
        <f t="array" ref="CE9">_xll.ciqfunctions.udf.CIQ(E$3,$BV$1,$CB$2,$A9,"L",,"USD","H")/100</f>
        <v>0.118309</v>
      </c>
      <c r="CF9" s="68" cm="1">
        <f t="array" ref="CF9">_xll.ciqfunctions.udf.CIQ(F$3,$BV$1,$CB$2,$A9,"L",,"USD","H")/100</f>
        <v>1.7363E-2</v>
      </c>
      <c r="CG9" s="68" cm="1">
        <f t="array" ref="CG9">_xll.ciqfunctions.udf.CIQ(G$3,$BV$1,$CB$2,$A9,"L",,"USD","H")/100</f>
        <v>0.11746600000000001</v>
      </c>
    </row>
    <row r="10" spans="1:85" x14ac:dyDescent="0.45">
      <c r="A10" s="3">
        <f t="shared" si="13"/>
        <v>45382</v>
      </c>
      <c r="B10" s="14" cm="1">
        <f t="array" ref="B10">_xll.ciqfunctions.udf.CIQ(B$3,$B$1,$B$2,$A10,"L",,"USD","H")</f>
        <v>14269</v>
      </c>
      <c r="C10" s="38" cm="1">
        <f t="array" ref="C10">_xll.ciqfunctions.udf.CIQ(C$3,$B$1,$B$2,$A10,"L",,"USD","H")</f>
        <v>80411</v>
      </c>
      <c r="D10" s="38" cm="1">
        <f t="array" ref="D10">_xll.ciqfunctions.udf.CIQ(D$3,$B$1,$B$2,$A10,"L",,"USD","H")</f>
        <v>47215</v>
      </c>
      <c r="E10" s="38" cm="1">
        <f t="array" ref="E10">_xll.ciqfunctions.udf.CIQ(E$3,$B$1,$B$2,$A10,"L",,"USD","H")</f>
        <v>5860</v>
      </c>
      <c r="F10" s="38" cm="1">
        <f t="array" ref="F10">_xll.ciqfunctions.udf.CIQ(F$3,$B$1,$B$2,$A10,"L",,"USD","H")</f>
        <v>48436</v>
      </c>
      <c r="G10" s="38" cm="1">
        <f t="array" ref="G10">_xll.ciqfunctions.udf.CIQ(G$3,$B$1,$B$2,$A10,"L",,"USD","H")</f>
        <v>3378</v>
      </c>
      <c r="H10" s="40" cm="1">
        <f t="array" ref="H10">_xll.ciqfunctions.udf.CIQ(B$3,$B$1,$H$2,$A10,"L",,"USD","H")</f>
        <v>56820</v>
      </c>
      <c r="I10" s="40" cm="1">
        <f t="array" ref="I10">_xll.ciqfunctions.udf.CIQ(C$3,$B$1,$H$2,$A10,"L",,"USD","H")</f>
        <v>332893</v>
      </c>
      <c r="J10" s="40" cm="1">
        <f t="array" ref="J10">_xll.ciqfunctions.udf.CIQ(D$3,$B$1,$H$2,$A10,"L",,"USD","H")</f>
        <v>192803</v>
      </c>
      <c r="K10" s="40" cm="1">
        <f t="array" ref="K10">_xll.ciqfunctions.udf.CIQ(E$3,$B$1,$H$2,$A10,"L",,"USD","H")</f>
        <v>23534</v>
      </c>
      <c r="L10" s="40" cm="1">
        <f t="array" ref="L10">_xll.ciqfunctions.udf.CIQ(F$3,$B$1,$H$2,$A10,"L",,"USD","H")</f>
        <v>201079</v>
      </c>
      <c r="M10" s="40" cm="1">
        <f t="array" ref="M10">_xll.ciqfunctions.udf.CIQ(G$3,$B$1,$H$2,$A10,"L",,"USD","H")</f>
        <v>14386</v>
      </c>
      <c r="N10" s="13" cm="1">
        <f t="array" ref="N10">_xll.ciqfunctions.udf.CIQ(B$3,$N$1,$B$2,$A10,"L",,"USD","H")</f>
        <v>-6.7995000000000001</v>
      </c>
      <c r="O10" s="13" cm="1">
        <f t="array" ref="O10">_xll.ciqfunctions.udf.CIQ(C$3,$N$1,$B$2,$A10,"L",,"USD","H")</f>
        <v>-4.4808000000000003</v>
      </c>
      <c r="P10" s="13" cm="1">
        <f t="array" ref="P10">_xll.ciqfunctions.udf.CIQ(D$3,$N$1,$B$2,$A10,"L",,"USD","H")</f>
        <v>-4.0560999999999998</v>
      </c>
      <c r="Q10" s="13" cm="1">
        <f t="array" ref="Q10">_xll.ciqfunctions.udf.CIQ(E$3,$N$1,$B$2,$A10,"L",,"USD","H")</f>
        <v>4.6615000000000002</v>
      </c>
      <c r="R10" s="13" cm="1">
        <f t="array" ref="R10">_xll.ciqfunctions.udf.CIQ(F$3,$N$1,$B$2,$A10,"L",,"USD","H")</f>
        <v>-13.053800000000001</v>
      </c>
      <c r="S10" s="13" cm="1">
        <f t="array" ref="S10">_xll.ciqfunctions.udf.CIQ(G$3,$N$1,$B$2,$A10,"L",,"USD","H")</f>
        <v>-1.1992</v>
      </c>
      <c r="T10" s="41" cm="1">
        <f t="array" ref="T10">_xll.ciqfunctions.udf.CIQ(N$3,$N$1,$T$2,$A10,"L",,"USD","H")</f>
        <v>-26.869800000000001</v>
      </c>
      <c r="U10" s="41" cm="1">
        <f t="array" ref="U10">_xll.ciqfunctions.udf.CIQ(O$3,$N$1,$T$2,$A10,"L",,"USD","H")</f>
        <v>-16.2332</v>
      </c>
      <c r="V10" s="41" cm="1">
        <f t="array" ref="V10">_xll.ciqfunctions.udf.CIQ(P$3,$N$1,$T$2,$A10,"L",,"USD","H")</f>
        <v>-17.360499999999998</v>
      </c>
      <c r="W10" s="41" cm="1">
        <f t="array" ref="W10">_xll.ciqfunctions.udf.CIQ(Q$3,$N$1,$T$2,$A10,"L",,"USD","H")</f>
        <v>-17.2242</v>
      </c>
      <c r="X10" s="41" cm="1">
        <f t="array" ref="X10">_xll.ciqfunctions.udf.CIQ(R$3,$N$1,$T$2,$A10,"L",,"USD","H")</f>
        <v>-18.267900000000001</v>
      </c>
      <c r="Y10" s="41" cm="1">
        <f t="array" ref="Y10">_xll.ciqfunctions.udf.CIQ(S$3,$N$1,$T$2,$A10,"L",,"USD","H")</f>
        <v>-21.340699999999998</v>
      </c>
      <c r="Z10" s="38" cm="1">
        <f t="array" ref="Z10">_xll.ciqfunctions.udf.CIQ(B$3,$Z$1,$B$2,$A10,"L",,"USD","H")</f>
        <v>2551</v>
      </c>
      <c r="AA10" s="38" cm="1">
        <f t="array" ref="AA10">_xll.ciqfunctions.udf.CIQ(C$3,$Z$1,$B$2,$A10,"L",,"USD","H")</f>
        <v>8220</v>
      </c>
      <c r="AB10" s="38" cm="1">
        <f t="array" ref="AB10">_xll.ciqfunctions.udf.CIQ(D$3,$Z$1,$B$2,$A10,"L",,"USD","H")</f>
        <v>5501</v>
      </c>
      <c r="AC10" s="38" cm="1">
        <f t="array" ref="AC10">_xll.ciqfunctions.udf.CIQ(E$3,$Z$1,$B$2,$A10,"L",,"USD","H")</f>
        <v>1789</v>
      </c>
      <c r="AD10" s="38" cm="1">
        <f t="array" ref="AD10">_xll.ciqfunctions.udf.CIQ(F$3,$Z$1,$B$2,$A10,"L",,"USD","H")</f>
        <v>2263</v>
      </c>
      <c r="AE10" s="38" cm="1">
        <f t="array" ref="AE10">_xll.ciqfunctions.udf.CIQ(G$3,$Z$1,$B$2,$A10,"L",,"USD","H")</f>
        <v>596</v>
      </c>
      <c r="AF10" s="40" cm="1">
        <f t="array" ref="AF10">_xll.ciqfunctions.udf.CIQ(B$3,$Z$1,$H$2,$A10,"L",,"USD","H")</f>
        <v>10588</v>
      </c>
      <c r="AG10" s="40" cm="1">
        <f t="array" ref="AG10">_xll.ciqfunctions.udf.CIQ(C$3,$Z$1,$H$2,$A10,"L",,"USD","H")</f>
        <v>32800</v>
      </c>
      <c r="AH10" s="40" cm="1">
        <f t="array" ref="AH10">_xll.ciqfunctions.udf.CIQ(D$3,$Z$1,$H$2,$A10,"L",,"USD","H")</f>
        <v>20296</v>
      </c>
      <c r="AI10" s="40" cm="1">
        <f t="array" ref="AI10">_xll.ciqfunctions.udf.CIQ(E$3,$Z$1,$H$2,$A10,"L",,"USD","H")</f>
        <v>7360</v>
      </c>
      <c r="AJ10" s="40" cm="1">
        <f t="array" ref="AJ10">_xll.ciqfunctions.udf.CIQ(F$3,$Z$1,$H$2,$A10,"L",,"USD","H")</f>
        <v>9284</v>
      </c>
      <c r="AK10" s="40" cm="1">
        <f t="array" ref="AK10">_xll.ciqfunctions.udf.CIQ(G$3,$Z$1,$H$2,$A10,"L",,"USD","H")</f>
        <v>3348</v>
      </c>
      <c r="AL10" s="13" cm="1">
        <f t="array" ref="AL10">_xll.ciqfunctions.udf.CIQ(B$3,$AL$1,$AL$2,$A10,"L",,"USD","H")</f>
        <v>-12.637</v>
      </c>
      <c r="AM10" s="13" cm="1">
        <f t="array" ref="AM10">_xll.ciqfunctions.udf.CIQ(C$3,$AL$1,$AL$2,$A10,"L",,"USD","H")</f>
        <v>-28.084</v>
      </c>
      <c r="AN10" s="13" cm="1">
        <f t="array" ref="AN10">_xll.ciqfunctions.udf.CIQ(D$3,$AL$1,$AL$2,$A10,"L",,"USD","H")</f>
        <v>-16.321899999999999</v>
      </c>
      <c r="AO10" s="13" cm="1">
        <f t="array" ref="AO10">_xll.ciqfunctions.udf.CIQ(E$3,$AL$1,$AL$2,$A10,"L",,"USD","H")</f>
        <v>-11.567</v>
      </c>
      <c r="AP10" s="13" cm="1">
        <f t="array" ref="AP10">_xll.ciqfunctions.udf.CIQ(F$3,$AL$1,$AL$2,$A10,"L",,"USD","H")</f>
        <v>-72.462900000000005</v>
      </c>
      <c r="AQ10" s="13" cm="1">
        <f t="array" ref="AQ10">_xll.ciqfunctions.udf.CIQ(G$3,$AL$1,$AL$2,$A10,"L",,"USD","H")</f>
        <v>-40.1006</v>
      </c>
      <c r="AR10" s="41" cm="1">
        <f t="array" ref="AR10">_xll.ciqfunctions.udf.CIQ(B$3,$AL$1,$AR$2,$A10,"L",,"USD","H")</f>
        <v>-33.160800000000002</v>
      </c>
      <c r="AS10" s="41" cm="1">
        <f t="array" ref="AS10">_xll.ciqfunctions.udf.CIQ(C$3,$AL$1,$AR$2,$A10,"L",,"USD","H")</f>
        <v>-46.831000000000003</v>
      </c>
      <c r="AT10" s="41" cm="1">
        <f t="array" ref="AT10">_xll.ciqfunctions.udf.CIQ(D$3,$AL$1,$AR$2,$A10,"L",,"USD","H")</f>
        <v>-43.275599999999997</v>
      </c>
      <c r="AU10" s="41" cm="1">
        <f t="array" ref="AU10">_xll.ciqfunctions.udf.CIQ(E$3,$AL$1,$AR$2,$A10,"L",,"USD","H")</f>
        <v>-21.6355</v>
      </c>
      <c r="AV10" s="41" cm="1">
        <f t="array" ref="AV10">_xll.ciqfunctions.udf.CIQ(F$3,$AL$1,$AR$2,$A10,"L",,"USD","H")</f>
        <v>-64.449600000000004</v>
      </c>
      <c r="AW10" s="41" cm="1">
        <f t="array" ref="AW10">_xll.ciqfunctions.udf.CIQ(G$3,$AL$1,$AR$2,$A10,"L",,"USD","H")</f>
        <v>-44.3947</v>
      </c>
      <c r="AX10" s="38" cm="1">
        <f t="array" ref="AX10">_xll.ciqfunctions.udf.CIQ(B$3,$AX$1,$AX$2,$A10,"L",,"USD","H")</f>
        <v>5996</v>
      </c>
      <c r="AY10" s="38" cm="1">
        <f t="array" ref="AY10">_xll.ciqfunctions.udf.CIQ(C$3,$AX$1,$AX$2,$A10,"L",,"USD","H")</f>
        <v>14730</v>
      </c>
      <c r="AZ10" s="38" cm="1">
        <f t="array" ref="AZ10">_xll.ciqfunctions.udf.CIQ(D$3,$AX$1,$AX$2,$A10,"L",,"USD","H")</f>
        <v>10643</v>
      </c>
      <c r="BA10" s="38" cm="1">
        <f t="array" ref="BA10">_xll.ciqfunctions.udf.CIQ(E$3,$AX$1,$AX$2,$A10,"L",,"USD","H")</f>
        <v>3338</v>
      </c>
      <c r="BB10" s="38" cm="1">
        <f t="array" ref="BB10">_xll.ciqfunctions.udf.CIQ(F$3,$AX$1,$AX$2,$A10,"L",,"USD","H")</f>
        <v>9720</v>
      </c>
      <c r="BC10" s="38" cm="1">
        <f t="array" ref="BC10">_xll.ciqfunctions.udf.CIQ(G$3,$AX$1,$AX$2,$A10,"L",,"USD","H")</f>
        <v>1567</v>
      </c>
      <c r="BD10" s="40" cm="1">
        <f t="array" ref="BD10">_xll.ciqfunctions.udf.CIQ(B$3,$AX$1,$BD$2,$A10,"L",,"USD","H")</f>
        <v>24287</v>
      </c>
      <c r="BE10" s="40" cm="1">
        <f t="array" ref="BE10">_xll.ciqfunctions.udf.CIQ(C$3,$AX$1,$BD$2,$A10,"L",,"USD","H")</f>
        <v>62261</v>
      </c>
      <c r="BF10" s="40" cm="1">
        <f t="array" ref="BF10">_xll.ciqfunctions.udf.CIQ(D$3,$AX$1,$BD$2,$A10,"L",,"USD","H")</f>
        <v>41248</v>
      </c>
      <c r="BG10" s="40" cm="1">
        <f t="array" ref="BG10">_xll.ciqfunctions.udf.CIQ(E$3,$AX$1,$BD$2,$A10,"L",,"USD","H")</f>
        <v>13205</v>
      </c>
      <c r="BH10" s="40" cm="1">
        <f t="array" ref="BH10">_xll.ciqfunctions.udf.CIQ(F$3,$AX$1,$BD$2,$A10,"L",,"USD","H")</f>
        <v>38019</v>
      </c>
      <c r="BI10" s="40" cm="1">
        <f t="array" ref="BI10">_xll.ciqfunctions.udf.CIQ(G$3,$AX$1,$BD$2,$A10,"L",,"USD","H")</f>
        <v>7140</v>
      </c>
      <c r="BJ10" s="43">
        <f t="shared" si="1"/>
        <v>-7.2113896626431417E-2</v>
      </c>
      <c r="BK10" s="43">
        <f t="shared" si="2"/>
        <v>-0.21752988047808763</v>
      </c>
      <c r="BL10" s="43">
        <f t="shared" si="3"/>
        <v>-8.0279986173522278E-2</v>
      </c>
      <c r="BM10" s="43">
        <f t="shared" si="4"/>
        <v>8.9955022488763525E-4</v>
      </c>
      <c r="BN10" s="43">
        <f t="shared" si="5"/>
        <v>-0.38709880824768272</v>
      </c>
      <c r="BO10" s="43">
        <f t="shared" si="6"/>
        <v>-0.18001046572475143</v>
      </c>
      <c r="BP10" s="42">
        <f t="shared" si="7"/>
        <v>-0.25593578628105762</v>
      </c>
      <c r="BQ10" s="42">
        <f t="shared" si="8"/>
        <v>-0.33715532843606943</v>
      </c>
      <c r="BR10" s="42">
        <f t="shared" si="9"/>
        <v>-0.29761945305316218</v>
      </c>
      <c r="BS10" s="42">
        <f t="shared" si="10"/>
        <v>-0.71269119470855724</v>
      </c>
      <c r="BT10" s="42">
        <f t="shared" si="11"/>
        <v>-0.35090145461995492</v>
      </c>
      <c r="BU10" s="42">
        <f t="shared" si="12"/>
        <v>-0.30921052631578949</v>
      </c>
      <c r="BV10" s="68" cm="1">
        <f t="array" ref="BV10">_xll.ciqfunctions.udf.CIQ(B$3,$BV$1,$BV$2,$A10,"L",,"USD","H")/100</f>
        <v>9.5243999999999995E-2</v>
      </c>
      <c r="BW10" s="68" cm="1">
        <f t="array" ref="BW10">_xll.ciqfunctions.udf.CIQ(C$3,$BV$1,$BV$2,$A10,"L",,"USD","H")/100</f>
        <v>6.8704000000000001E-2</v>
      </c>
      <c r="BX10" s="68" cm="1">
        <f t="array" ref="BX10">_xll.ciqfunctions.udf.CIQ(D$3,$BV$1,$BV$2,$A10,"L",,"USD","H")/100</f>
        <v>5.3792E-2</v>
      </c>
      <c r="BY10" s="68" cm="1">
        <f t="array" ref="BY10">_xll.ciqfunctions.udf.CIQ(E$3,$BV$1,$BV$2,$A10,"L",,"USD","H")/100</f>
        <v>0.15406400000000001</v>
      </c>
      <c r="BZ10" s="68" cm="1">
        <f t="array" ref="BZ10">_xll.ciqfunctions.udf.CIQ(F$3,$BV$1,$BV$2,$A10,"L",,"USD","H")/100</f>
        <v>2.8063999999999999E-2</v>
      </c>
      <c r="CA10" s="68" cm="1">
        <f t="array" ref="CA10">_xll.ciqfunctions.udf.CIQ(G$3,$BV$1,$BV$2,$A10,"L",,"USD","H")/100</f>
        <v>6.3311999999999993E-2</v>
      </c>
      <c r="CB10" s="68" cm="1">
        <f t="array" ref="CB10">_xll.ciqfunctions.udf.CIQ(B$3,$BV$1,$CB$2,$A10,"L",,"USD","H")/100</f>
        <v>8.4308999999999995E-2</v>
      </c>
      <c r="CC10" s="68" cm="1">
        <f t="array" ref="CC10">_xll.ciqfunctions.udf.CIQ(C$3,$BV$1,$CB$2,$A10,"L",,"USD","H")/100</f>
        <v>7.0963999999999999E-2</v>
      </c>
      <c r="CD10" s="68" cm="1">
        <f t="array" ref="CD10">_xll.ciqfunctions.udf.CIQ(D$3,$BV$1,$CB$2,$A10,"L",,"USD","H")/100</f>
        <v>4.8015000000000002E-2</v>
      </c>
      <c r="CE10" s="68" cm="1">
        <f t="array" ref="CE10">_xll.ciqfunctions.udf.CIQ(E$3,$BV$1,$CB$2,$A10,"L",,"USD","H")/100</f>
        <v>0.14482200000000001</v>
      </c>
      <c r="CF10" s="68" cm="1">
        <f t="array" ref="CF10">_xll.ciqfunctions.udf.CIQ(F$3,$BV$1,$CB$2,$A10,"L",,"USD","H")/100</f>
        <v>3.0259000000000001E-2</v>
      </c>
      <c r="CG10" s="68" cm="1">
        <f t="array" ref="CG10">_xll.ciqfunctions.udf.CIQ(G$3,$BV$1,$CB$2,$A10,"L",,"USD","H")/100</f>
        <v>9.7575000000000009E-2</v>
      </c>
    </row>
    <row r="11" spans="1:85" x14ac:dyDescent="0.45">
      <c r="A11" s="3">
        <f t="shared" si="13"/>
        <v>45291</v>
      </c>
      <c r="B11" s="14" cm="1">
        <f t="array" ref="B11">_xll.ciqfunctions.udf.CIQ(B$3,$B$1,$B$2,$A11,"L",,"USD","H")</f>
        <v>15150</v>
      </c>
      <c r="C11" s="38" cm="1">
        <f t="array" ref="C11">_xll.ciqfunctions.udf.CIQ(C$3,$B$1,$B$2,$A11,"L",,"USD","H")</f>
        <v>83656</v>
      </c>
      <c r="D11" s="38" cm="1">
        <f t="array" ref="D11">_xll.ciqfunctions.udf.CIQ(D$3,$B$1,$B$2,$A11,"L",,"USD","H")</f>
        <v>45280</v>
      </c>
      <c r="E11" s="38" cm="1">
        <f t="array" ref="E11">_xll.ciqfunctions.udf.CIQ(E$3,$B$1,$B$2,$A11,"L",,"USD","H")</f>
        <v>6059</v>
      </c>
      <c r="F11" s="38" cm="1">
        <f t="array" ref="F11">_xll.ciqfunctions.udf.CIQ(F$3,$B$1,$B$2,$A11,"L",,"USD","H")</f>
        <v>50660</v>
      </c>
      <c r="G11" s="38" cm="1">
        <f t="array" ref="G11">_xll.ciqfunctions.udf.CIQ(G$3,$B$1,$B$2,$A11,"L",,"USD","H")</f>
        <v>3639</v>
      </c>
      <c r="H11" s="40" cm="1">
        <f t="array" ref="H11">_xll.ciqfunctions.udf.CIQ(B$3,$B$1,$H$2,$A11,"L",,"USD","H")</f>
        <v>57861</v>
      </c>
      <c r="I11" s="40" cm="1">
        <f t="array" ref="I11">_xll.ciqfunctions.udf.CIQ(C$3,$B$1,$H$2,$A11,"L",,"USD","H")</f>
        <v>336665</v>
      </c>
      <c r="J11" s="40" cm="1">
        <f t="array" ref="J11">_xll.ciqfunctions.udf.CIQ(D$3,$B$1,$H$2,$A11,"L",,"USD","H")</f>
        <v>194799</v>
      </c>
      <c r="K11" s="40" cm="1">
        <f t="array" ref="K11">_xll.ciqfunctions.udf.CIQ(E$3,$B$1,$H$2,$A11,"L",,"USD","H")</f>
        <v>23273</v>
      </c>
      <c r="L11" s="40" cm="1">
        <f t="array" ref="L11">_xll.ciqfunctions.udf.CIQ(F$3,$B$1,$H$2,$A11,"L",,"USD","H")</f>
        <v>208351</v>
      </c>
      <c r="M11" s="40" cm="1">
        <f t="array" ref="M11">_xll.ciqfunctions.udf.CIQ(G$3,$B$1,$H$2,$A11,"L",,"USD","H")</f>
        <v>14427</v>
      </c>
      <c r="N11" s="13" cm="1">
        <f t="array" ref="N11">_xll.ciqfunctions.udf.CIQ(B$3,$N$1,$B$2,$A11,"L",,"USD","H")</f>
        <v>-20.796800000000001</v>
      </c>
      <c r="O11" s="13" cm="1">
        <f t="array" ref="O11">_xll.ciqfunctions.udf.CIQ(C$3,$N$1,$B$2,$A11,"L",,"USD","H")</f>
        <v>-10.805</v>
      </c>
      <c r="P11" s="13" cm="1">
        <f t="array" ref="P11">_xll.ciqfunctions.udf.CIQ(D$3,$N$1,$B$2,$A11,"L",,"USD","H")</f>
        <v>-15.437200000000001</v>
      </c>
      <c r="Q11" s="13" cm="1">
        <f t="array" ref="Q11">_xll.ciqfunctions.udf.CIQ(E$3,$N$1,$B$2,$A11,"L",,"USD","H")</f>
        <v>-6.9706999999999999</v>
      </c>
      <c r="R11" s="13" cm="1">
        <f t="array" ref="R11">_xll.ciqfunctions.udf.CIQ(F$3,$N$1,$B$2,$A11,"L",,"USD","H")</f>
        <v>-26.2591</v>
      </c>
      <c r="S11" s="13" cm="1">
        <f t="array" ref="S11">_xll.ciqfunctions.udf.CIQ(G$3,$N$1,$B$2,$A11,"L",,"USD","H")</f>
        <v>-12.1439</v>
      </c>
      <c r="T11" s="41" cm="1">
        <f t="array" ref="T11">_xll.ciqfunctions.udf.CIQ(N$3,$N$1,$T$2,$A11,"L",,"USD","H")</f>
        <v>-28.189900000000002</v>
      </c>
      <c r="U11" s="41" cm="1">
        <f t="array" ref="U11">_xll.ciqfunctions.udf.CIQ(O$3,$N$1,$T$2,$A11,"L",,"USD","H")</f>
        <v>-15.9886</v>
      </c>
      <c r="V11" s="41" cm="1">
        <f t="array" ref="V11">_xll.ciqfunctions.udf.CIQ(P$3,$N$1,$T$2,$A11,"L",,"USD","H")</f>
        <v>-17.428699999999999</v>
      </c>
      <c r="W11" s="41" cm="1">
        <f t="array" ref="W11">_xll.ciqfunctions.udf.CIQ(Q$3,$N$1,$T$2,$A11,"L",,"USD","H")</f>
        <v>-21.401599999999998</v>
      </c>
      <c r="X11" s="41" cm="1">
        <f t="array" ref="X11">_xll.ciqfunctions.udf.CIQ(R$3,$N$1,$T$2,$A11,"L",,"USD","H")</f>
        <v>-12.8483</v>
      </c>
      <c r="Y11" s="41" cm="1">
        <f t="array" ref="Y11">_xll.ciqfunctions.udf.CIQ(S$3,$N$1,$T$2,$A11,"L",,"USD","H")</f>
        <v>-27.235600000000002</v>
      </c>
      <c r="Z11" s="38" cm="1">
        <f t="array" ref="Z11">_xll.ciqfunctions.udf.CIQ(B$3,$Z$1,$B$2,$A11,"L",,"USD","H")</f>
        <v>3007</v>
      </c>
      <c r="AA11" s="38" cm="1">
        <f t="array" ref="AA11">_xll.ciqfunctions.udf.CIQ(C$3,$Z$1,$B$2,$A11,"L",,"USD","H")</f>
        <v>7630</v>
      </c>
      <c r="AB11" s="38" cm="1">
        <f t="array" ref="AB11">_xll.ciqfunctions.udf.CIQ(D$3,$Z$1,$B$2,$A11,"L",,"USD","H")</f>
        <v>2259</v>
      </c>
      <c r="AC11" s="38" cm="1">
        <f t="array" ref="AC11">_xll.ciqfunctions.udf.CIQ(E$3,$Z$1,$B$2,$A11,"L",,"USD","H")</f>
        <v>1988</v>
      </c>
      <c r="AD11" s="38" cm="1">
        <f t="array" ref="AD11">_xll.ciqfunctions.udf.CIQ(F$3,$Z$1,$B$2,$A11,"L",,"USD","H")</f>
        <v>371</v>
      </c>
      <c r="AE11" s="38" cm="1">
        <f t="array" ref="AE11">_xll.ciqfunctions.udf.CIQ(G$3,$Z$1,$B$2,$A11,"L",,"USD","H")</f>
        <v>1152</v>
      </c>
      <c r="AF11" s="40" cm="1">
        <f t="array" ref="AF11">_xll.ciqfunctions.udf.CIQ(B$3,$Z$1,$H$2,$A11,"L",,"USD","H")</f>
        <v>10957</v>
      </c>
      <c r="AG11" s="40" cm="1">
        <f t="array" ref="AG11">_xll.ciqfunctions.udf.CIQ(C$3,$Z$1,$H$2,$A11,"L",,"USD","H")</f>
        <v>36010</v>
      </c>
      <c r="AH11" s="40" cm="1">
        <f t="array" ref="AH11">_xll.ciqfunctions.udf.CIQ(D$3,$Z$1,$H$2,$A11,"L",,"USD","H")</f>
        <v>21369</v>
      </c>
      <c r="AI11" s="40" cm="1">
        <f t="array" ref="AI11">_xll.ciqfunctions.udf.CIQ(E$3,$Z$1,$H$2,$A11,"L",,"USD","H")</f>
        <v>7594</v>
      </c>
      <c r="AJ11" s="40" cm="1">
        <f t="array" ref="AJ11">_xll.ciqfunctions.udf.CIQ(F$3,$Z$1,$H$2,$A11,"L",,"USD","H")</f>
        <v>15239</v>
      </c>
      <c r="AK11" s="40" cm="1">
        <f t="array" ref="AK11">_xll.ciqfunctions.udf.CIQ(G$3,$Z$1,$H$2,$A11,"L",,"USD","H")</f>
        <v>3747</v>
      </c>
      <c r="AL11" s="13" cm="1">
        <f t="array" ref="AL11">_xll.ciqfunctions.udf.CIQ(B$3,$AL$1,$AL$2,$A11,"L",,"USD","H")</f>
        <v>-7.4485000000000001</v>
      </c>
      <c r="AM11" s="13" cm="1">
        <f t="array" ref="AM11">_xll.ciqfunctions.udf.CIQ(C$3,$AL$1,$AL$2,$A11,"L",,"USD","H")</f>
        <v>-40.1569</v>
      </c>
      <c r="AN11" s="13" cm="1">
        <f t="array" ref="AN11">_xll.ciqfunctions.udf.CIQ(D$3,$AL$1,$AL$2,$A11,"L",,"USD","H")</f>
        <v>-64.441999999999993</v>
      </c>
      <c r="AO11" s="13" cm="1">
        <f t="array" ref="AO11">_xll.ciqfunctions.udf.CIQ(E$3,$AL$1,$AL$2,$A11,"L",,"USD","H")</f>
        <v>-12.6922</v>
      </c>
      <c r="AP11" s="13" cm="1">
        <f t="array" ref="AP11">_xll.ciqfunctions.udf.CIQ(F$3,$AL$1,$AL$2,$A11,"L",,"USD","H")</f>
        <v>-96.565799999999996</v>
      </c>
      <c r="AQ11" s="13" cm="1">
        <f t="array" ref="AQ11">_xll.ciqfunctions.udf.CIQ(G$3,$AL$1,$AL$2,$A11,"L",,"USD","H")</f>
        <v>-4.08</v>
      </c>
      <c r="AR11" s="41" cm="1">
        <f t="array" ref="AR11">_xll.ciqfunctions.udf.CIQ(B$3,$AL$1,$AR$2,$A11,"L",,"USD","H")</f>
        <v>-41.343699999999998</v>
      </c>
      <c r="AS11" s="41" cm="1">
        <f t="array" ref="AS11">_xll.ciqfunctions.udf.CIQ(C$3,$AL$1,$AR$2,$A11,"L",,"USD","H")</f>
        <v>-35.396500000000003</v>
      </c>
      <c r="AT11" s="41" cm="1">
        <f t="array" ref="AT11">_xll.ciqfunctions.udf.CIQ(D$3,$AL$1,$AR$2,$A11,"L",,"USD","H")</f>
        <v>-39.746299999999998</v>
      </c>
      <c r="AU11" s="41" cm="1">
        <f t="array" ref="AU11">_xll.ciqfunctions.udf.CIQ(E$3,$AL$1,$AR$2,$A11,"L",,"USD","H")</f>
        <v>-2.1265999999999998</v>
      </c>
      <c r="AV11" s="41" t="str" cm="1">
        <f t="array" ref="AV11">_xll.ciqfunctions.udf.CIQ(F$3,$AL$1,$AR$2,$A11,"L",,"USD","H")</f>
        <v>NM</v>
      </c>
      <c r="AW11" s="41" cm="1">
        <f t="array" ref="AW11">_xll.ciqfunctions.udf.CIQ(G$3,$AL$1,$AR$2,$A11,"L",,"USD","H")</f>
        <v>-37.705800000000004</v>
      </c>
      <c r="AX11" s="38" cm="1">
        <f t="array" ref="AX11">_xll.ciqfunctions.udf.CIQ(B$3,$AX$1,$AX$2,$A11,"L",,"USD","H")</f>
        <v>6662</v>
      </c>
      <c r="AY11" s="38" cm="1">
        <f t="array" ref="AY11">_xll.ciqfunctions.udf.CIQ(C$3,$AX$1,$AX$2,$A11,"L",,"USD","H")</f>
        <v>17949</v>
      </c>
      <c r="AZ11" s="38" cm="1">
        <f t="array" ref="AZ11">_xll.ciqfunctions.udf.CIQ(D$3,$AX$1,$AX$2,$A11,"L",,"USD","H")</f>
        <v>8936</v>
      </c>
      <c r="BA11" s="38" cm="1">
        <f t="array" ref="BA11">_xll.ciqfunctions.udf.CIQ(E$3,$AX$1,$AX$2,$A11,"L",,"USD","H")</f>
        <v>3513</v>
      </c>
      <c r="BB11" s="38" cm="1">
        <f t="array" ref="BB11">_xll.ciqfunctions.udf.CIQ(F$3,$AX$1,$AX$2,$A11,"L",,"USD","H")</f>
        <v>5995</v>
      </c>
      <c r="BC11" s="38" cm="1">
        <f t="array" ref="BC11">_xll.ciqfunctions.udf.CIQ(G$3,$AX$1,$AX$2,$A11,"L",,"USD","H")</f>
        <v>2172</v>
      </c>
      <c r="BD11" s="40" cm="1">
        <f t="array" ref="BD11">_xll.ciqfunctions.udf.CIQ(B$3,$AX$1,$BD$2,$A11,"L",,"USD","H")</f>
        <v>24753</v>
      </c>
      <c r="BE11" s="40" cm="1">
        <f t="array" ref="BE11">_xll.ciqfunctions.udf.CIQ(C$3,$AX$1,$BD$2,$A11,"L",,"USD","H")</f>
        <v>66356</v>
      </c>
      <c r="BF11" s="40" cm="1">
        <f t="array" ref="BF11">_xll.ciqfunctions.udf.CIQ(D$3,$AX$1,$BD$2,$A11,"L",,"USD","H")</f>
        <v>42177</v>
      </c>
      <c r="BG11" s="40" cm="1">
        <f t="array" ref="BG11">_xll.ciqfunctions.udf.CIQ(E$3,$AX$1,$BD$2,$A11,"L",,"USD","H")</f>
        <v>13202</v>
      </c>
      <c r="BH11" s="40" cm="1">
        <f t="array" ref="BH11">_xll.ciqfunctions.udf.CIQ(F$3,$AX$1,$BD$2,$A11,"L",,"USD","H")</f>
        <v>44158</v>
      </c>
      <c r="BI11" s="40" cm="1">
        <f t="array" ref="BI11">_xll.ciqfunctions.udf.CIQ(G$3,$AX$1,$BD$2,$A11,"L",,"USD","H")</f>
        <v>7484</v>
      </c>
      <c r="BJ11" s="43">
        <f t="shared" si="1"/>
        <v>-9.8633473143011741E-2</v>
      </c>
      <c r="BK11" s="43">
        <f t="shared" si="2"/>
        <v>-1.3908979637253793E-3</v>
      </c>
      <c r="BL11" s="43">
        <f t="shared" si="3"/>
        <v>-0.31566855567468222</v>
      </c>
      <c r="BM11" s="43">
        <f t="shared" si="4"/>
        <v>-9.3419354838709667E-2</v>
      </c>
      <c r="BN11" s="43">
        <f t="shared" si="5"/>
        <v>-0.7249116688845042</v>
      </c>
      <c r="BO11" s="43">
        <f t="shared" si="6"/>
        <v>-1.2278308321964526E-2</v>
      </c>
      <c r="BP11" s="42">
        <f t="shared" si="7"/>
        <v>-0.29106999656318022</v>
      </c>
      <c r="BQ11" s="42">
        <f t="shared" si="8"/>
        <v>-0.25981616990897738</v>
      </c>
      <c r="BR11" s="42">
        <f t="shared" si="9"/>
        <v>-0.26581022507702756</v>
      </c>
      <c r="BS11" s="42">
        <f t="shared" si="10"/>
        <v>-0.71271271271271264</v>
      </c>
      <c r="BT11" s="42">
        <f t="shared" si="11"/>
        <v>-0.20506219733928599</v>
      </c>
      <c r="BU11" s="42">
        <f t="shared" si="12"/>
        <v>-0.27255054432348369</v>
      </c>
      <c r="BV11" s="68" cm="1">
        <f t="array" ref="BV11">_xll.ciqfunctions.udf.CIQ(B$3,$BV$1,$BV$2,$A11,"L",,"USD","H")/100</f>
        <v>9.4252000000000002E-2</v>
      </c>
      <c r="BW11" s="68" cm="1">
        <f t="array" ref="BW11">_xll.ciqfunctions.udf.CIQ(C$3,$BV$1,$BV$2,$A11,"L",,"USD","H")/100</f>
        <v>5.9576000000000004E-2</v>
      </c>
      <c r="BX11" s="68" cm="1">
        <f t="array" ref="BX11">_xll.ciqfunctions.udf.CIQ(D$3,$BV$1,$BV$2,$A11,"L",,"USD","H")/100</f>
        <v>-1.1736E-2</v>
      </c>
      <c r="BY11" s="68" cm="1">
        <f t="array" ref="BY11">_xll.ciqfunctions.udf.CIQ(E$3,$BV$1,$BV$2,$A11,"L",,"USD","H")/100</f>
        <v>7.1999999999999998E-3</v>
      </c>
      <c r="BZ11" s="68" cm="1">
        <f t="array" ref="BZ11">_xll.ciqfunctions.udf.CIQ(F$3,$BV$1,$BV$2,$A11,"L",,"USD","H")/100</f>
        <v>1.0027999999999999E-2</v>
      </c>
      <c r="CA11" s="68" cm="1">
        <f t="array" ref="CA11">_xll.ciqfunctions.udf.CIQ(G$3,$BV$1,$BV$2,$A11,"L",,"USD","H")/100</f>
        <v>0.14371600000000001</v>
      </c>
      <c r="CB11" s="68" cm="1">
        <f t="array" ref="CB11">_xll.ciqfunctions.udf.CIQ(B$3,$BV$1,$CB$2,$A11,"L",,"USD","H")/100</f>
        <v>8.0145999999999995E-2</v>
      </c>
      <c r="CC11" s="68" cm="1">
        <f t="array" ref="CC11">_xll.ciqfunctions.udf.CIQ(C$3,$BV$1,$CB$2,$A11,"L",,"USD","H")/100</f>
        <v>8.2682000000000005E-2</v>
      </c>
      <c r="CD11" s="68" cm="1">
        <f t="array" ref="CD11">_xll.ciqfunctions.udf.CIQ(D$3,$BV$1,$CB$2,$A11,"L",,"USD","H")/100</f>
        <v>5.3421999999999997E-2</v>
      </c>
      <c r="CE11" s="68" cm="1">
        <f t="array" ref="CE11">_xll.ciqfunctions.udf.CIQ(E$3,$BV$1,$CB$2,$A11,"L",,"USD","H")/100</f>
        <v>0.13227</v>
      </c>
      <c r="CF11" s="68" cm="1">
        <f t="array" ref="CF11">_xll.ciqfunctions.udf.CIQ(F$3,$BV$1,$CB$2,$A11,"L",,"USD","H")/100</f>
        <v>7.2669999999999998E-2</v>
      </c>
      <c r="CG11" s="68" cm="1">
        <f t="array" ref="CG11">_xll.ciqfunctions.udf.CIQ(G$3,$BV$1,$CB$2,$A11,"L",,"USD","H")/100</f>
        <v>0.10290300000000001</v>
      </c>
    </row>
    <row r="12" spans="1:85" x14ac:dyDescent="0.45">
      <c r="A12" s="3">
        <f>EDATE(A8,-12)</f>
        <v>45199</v>
      </c>
      <c r="B12" s="14" cm="1">
        <f t="array" ref="B12">_xll.ciqfunctions.udf.CIQ(B$3,$B$1,$B$2,$A12,"L",,"USD","H")</f>
        <v>14638</v>
      </c>
      <c r="C12" s="38" cm="1">
        <f t="array" ref="C12">_xll.ciqfunctions.udf.CIQ(C$3,$B$1,$B$2,$A12,"L",,"USD","H")</f>
        <v>88570</v>
      </c>
      <c r="D12" s="38" cm="1">
        <f t="array" ref="D12">_xll.ciqfunctions.udf.CIQ(D$3,$B$1,$B$2,$A12,"L",,"USD","H")</f>
        <v>52775</v>
      </c>
      <c r="E12" s="38" cm="1">
        <f t="array" ref="E12">_xll.ciqfunctions.udf.CIQ(E$3,$B$1,$B$2,$A12,"L",,"USD","H")</f>
        <v>6134</v>
      </c>
      <c r="F12" s="38" cm="1">
        <f t="array" ref="F12">_xll.ciqfunctions.udf.CIQ(F$3,$B$1,$B$2,$A12,"L",,"USD","H")</f>
        <v>53223</v>
      </c>
      <c r="G12" s="38" cm="1">
        <f t="array" ref="G12">_xll.ciqfunctions.udf.CIQ(G$3,$B$1,$B$2,$A12,"L",,"USD","H")</f>
        <v>4030</v>
      </c>
      <c r="H12" s="40" cm="1">
        <f t="array" ref="H12">_xll.ciqfunctions.udf.CIQ(B$3,$B$1,$H$2,$A12,"L",,"USD","H")</f>
        <v>61839</v>
      </c>
      <c r="I12" s="40" cm="1">
        <f t="array" ref="I12">_xll.ciqfunctions.udf.CIQ(C$3,$B$1,$H$2,$A12,"L",,"USD","H")</f>
        <v>346799</v>
      </c>
      <c r="J12" s="40" cm="1">
        <f t="array" ref="J12">_xll.ciqfunctions.udf.CIQ(D$3,$B$1,$H$2,$A12,"L",,"USD","H")</f>
        <v>203065</v>
      </c>
      <c r="K12" s="40" cm="1">
        <f t="array" ref="K12">_xll.ciqfunctions.udf.CIQ(E$3,$B$1,$H$2,$A12,"L",,"USD","H")</f>
        <v>23727</v>
      </c>
      <c r="L12" s="40" cm="1">
        <f t="array" ref="L12">_xll.ciqfunctions.udf.CIQ(F$3,$B$1,$H$2,$A12,"L",,"USD","H")</f>
        <v>226391</v>
      </c>
      <c r="M12" s="40" cm="1">
        <f t="array" ref="M12">_xll.ciqfunctions.udf.CIQ(G$3,$B$1,$H$2,$A12,"L",,"USD","H")</f>
        <v>14930</v>
      </c>
      <c r="N12" s="13" cm="1">
        <f t="array" ref="N12">_xll.ciqfunctions.udf.CIQ(B$3,$N$1,$B$2,$A12,"L",,"USD","H")</f>
        <v>-32.149900000000002</v>
      </c>
      <c r="O12" s="13" cm="1">
        <f t="array" ref="O12">_xll.ciqfunctions.udf.CIQ(C$3,$N$1,$B$2,$A12,"L",,"USD","H")</f>
        <v>-17.561800000000002</v>
      </c>
      <c r="P12" s="13" cm="1">
        <f t="array" ref="P12">_xll.ciqfunctions.udf.CIQ(D$3,$N$1,$B$2,$A12,"L",,"USD","H")</f>
        <v>-17.8523</v>
      </c>
      <c r="Q12" s="13" cm="1">
        <f t="array" ref="Q12">_xll.ciqfunctions.udf.CIQ(E$3,$N$1,$B$2,$A12,"L",,"USD","H")</f>
        <v>-19.6279</v>
      </c>
      <c r="R12" s="13" cm="1">
        <f t="array" ref="R12">_xll.ciqfunctions.udf.CIQ(F$3,$N$1,$B$2,$A12,"L",,"USD","H")</f>
        <v>-2.1133000000000002</v>
      </c>
      <c r="S12" s="13" cm="1">
        <f t="array" ref="S12">_xll.ciqfunctions.udf.CIQ(G$3,$N$1,$B$2,$A12,"L",,"USD","H")</f>
        <v>-22.260899999999999</v>
      </c>
      <c r="T12" s="41">
        <v>4.9569999999999999</v>
      </c>
      <c r="U12" s="41" cm="1">
        <f t="array" ref="U12">_xll.ciqfunctions.udf.CIQ(O$3,$N$1,$T$2,$A12,"L",,"USD","H")</f>
        <v>-11.140599999999999</v>
      </c>
      <c r="V12" s="41" cm="1">
        <f t="array" ref="V12">_xll.ciqfunctions.udf.CIQ(P$3,$N$1,$T$2,$A12,"L",,"USD","H")</f>
        <v>-10.816000000000001</v>
      </c>
      <c r="W12" s="41" cm="1">
        <f t="array" ref="W12">_xll.ciqfunctions.udf.CIQ(Q$3,$N$1,$T$2,$A12,"L",,"USD","H")</f>
        <v>-18.278600000000001</v>
      </c>
      <c r="X12" s="41" cm="1">
        <f t="array" ref="X12">_xll.ciqfunctions.udf.CIQ(R$3,$N$1,$T$2,$A12,"L",,"USD","H")</f>
        <v>2.4996</v>
      </c>
      <c r="Y12" s="41" cm="1">
        <f t="array" ref="Y12">_xll.ciqfunctions.udf.CIQ(S$3,$N$1,$T$2,$A12,"L",,"USD","H")</f>
        <v>-20.521699999999999</v>
      </c>
      <c r="Z12" s="38" cm="1">
        <f t="array" ref="Z12">_xll.ciqfunctions.udf.CIQ(B$3,$Z$1,$B$2,$A12,"L",,"USD","H")</f>
        <v>2798</v>
      </c>
      <c r="AA12" s="38" cm="1">
        <f t="array" ref="AA12">_xll.ciqfunctions.udf.CIQ(C$3,$Z$1,$B$2,$A12,"L",,"USD","H")</f>
        <v>9070</v>
      </c>
      <c r="AB12" s="38" cm="1">
        <f t="array" ref="AB12">_xll.ciqfunctions.udf.CIQ(D$3,$Z$1,$B$2,$A12,"L",,"USD","H")</f>
        <v>6526</v>
      </c>
      <c r="AC12" s="38" cm="1">
        <f t="array" ref="AC12">_xll.ciqfunctions.udf.CIQ(E$3,$Z$1,$B$2,$A12,"L",,"USD","H")</f>
        <v>2030</v>
      </c>
      <c r="AD12" s="38" cm="1">
        <f t="array" ref="AD12">_xll.ciqfunctions.udf.CIQ(F$3,$Z$1,$B$2,$A12,"L",,"USD","H")</f>
        <v>4858</v>
      </c>
      <c r="AE12" s="38" cm="1">
        <f t="array" ref="AE12">_xll.ciqfunctions.udf.CIQ(G$3,$Z$1,$B$2,$A12,"L",,"USD","H")</f>
        <v>910</v>
      </c>
      <c r="AF12" s="40" cm="1">
        <f t="array" ref="AF12">_xll.ciqfunctions.udf.CIQ(B$3,$Z$1,$H$2,$A12,"L",,"USD","H")</f>
        <v>11199</v>
      </c>
      <c r="AG12" s="40" cm="1">
        <f t="array" ref="AG12">_xll.ciqfunctions.udf.CIQ(C$3,$Z$1,$H$2,$A12,"L",,"USD","H")</f>
        <v>41130</v>
      </c>
      <c r="AH12" s="40" cm="1">
        <f t="array" ref="AH12">_xll.ciqfunctions.udf.CIQ(D$3,$Z$1,$H$2,$A12,"L",,"USD","H")</f>
        <v>25463</v>
      </c>
      <c r="AI12" s="40" cm="1">
        <f t="array" ref="AI12">_xll.ciqfunctions.udf.CIQ(E$3,$Z$1,$H$2,$A12,"L",,"USD","H")</f>
        <v>7883</v>
      </c>
      <c r="AJ12" s="40" cm="1">
        <f t="array" ref="AJ12">_xll.ciqfunctions.udf.CIQ(F$3,$Z$1,$H$2,$A12,"L",,"USD","H")</f>
        <v>25671</v>
      </c>
      <c r="AK12" s="40" cm="1">
        <f t="array" ref="AK12">_xll.ciqfunctions.udf.CIQ(G$3,$Z$1,$H$2,$A12,"L",,"USD","H")</f>
        <v>3796</v>
      </c>
      <c r="AL12" s="13" cm="1">
        <f t="array" ref="AL12">_xll.ciqfunctions.udf.CIQ(B$3,$AL$1,$AL$2,$A12,"L",,"USD","H")</f>
        <v>-38.193100000000001</v>
      </c>
      <c r="AM12" s="13" cm="1">
        <f t="array" ref="AM12">_xll.ciqfunctions.udf.CIQ(C$3,$AL$1,$AL$2,$A12,"L",,"USD","H")</f>
        <v>-53.8658</v>
      </c>
      <c r="AN12" s="13" cm="1">
        <f t="array" ref="AN12">_xll.ciqfunctions.udf.CIQ(D$3,$AL$1,$AL$2,$A12,"L",,"USD","H")</f>
        <v>-41.893000000000001</v>
      </c>
      <c r="AO12" s="13" cm="1">
        <f t="array" ref="AO12">_xll.ciqfunctions.udf.CIQ(E$3,$AL$1,$AL$2,$A12,"L",,"USD","H")</f>
        <v>-28.8718</v>
      </c>
      <c r="AP12" s="13" t="str" cm="1">
        <f t="array" ref="AP12">_xll.ciqfunctions.udf.CIQ(F$3,$AL$1,$AL$2,$A12,"L",,"USD","H")</f>
        <v>NM</v>
      </c>
      <c r="AQ12" s="13" cm="1">
        <f t="array" ref="AQ12">_xll.ciqfunctions.udf.CIQ(G$3,$AL$1,$AL$2,$A12,"L",,"USD","H")</f>
        <v>-51.928199999999997</v>
      </c>
      <c r="AR12" s="41" cm="1">
        <f t="array" ref="AR12">_xll.ciqfunctions.udf.CIQ(B$3,$AL$1,$AR$2,$A12,"L",,"USD","H")</f>
        <v>-37.983199999999997</v>
      </c>
      <c r="AS12" s="41" cm="1">
        <f t="array" ref="AS12">_xll.ciqfunctions.udf.CIQ(C$3,$AL$1,$AR$2,$A12,"L",,"USD","H")</f>
        <v>-20.6904</v>
      </c>
      <c r="AT12" s="41" cm="1">
        <f t="array" ref="AT12">_xll.ciqfunctions.udf.CIQ(D$3,$AL$1,$AR$2,$A12,"L",,"USD","H")</f>
        <v>-25.474900000000002</v>
      </c>
      <c r="AU12" s="41" cm="1">
        <f t="array" ref="AU12">_xll.ciqfunctions.udf.CIQ(E$3,$AL$1,$AR$2,$A12,"L",,"USD","H")</f>
        <v>5.5711000000000004</v>
      </c>
      <c r="AV12" s="41" t="str" cm="1">
        <f t="array" ref="AV12">_xll.ciqfunctions.udf.CIQ(F$3,$AL$1,$AR$2,$A12,"L",,"USD","H")</f>
        <v>NM</v>
      </c>
      <c r="AW12" s="41" cm="1">
        <f t="array" ref="AW12">_xll.ciqfunctions.udf.CIQ(G$3,$AL$1,$AR$2,$A12,"L",,"USD","H")</f>
        <v>-39.936799999999998</v>
      </c>
      <c r="AX12" s="38" cm="1">
        <f t="array" ref="AX12">_xll.ciqfunctions.udf.CIQ(B$3,$AX$1,$AX$2,$A12,"L",,"USD","H")</f>
        <v>6236</v>
      </c>
      <c r="AY12" s="38" cm="1">
        <f t="array" ref="AY12">_xll.ciqfunctions.udf.CIQ(C$3,$AX$1,$AX$2,$A12,"L",,"USD","H")</f>
        <v>16093</v>
      </c>
      <c r="AZ12" s="38" cm="1">
        <f t="array" ref="AZ12">_xll.ciqfunctions.udf.CIQ(D$3,$AX$1,$AX$2,$A12,"L",,"USD","H")</f>
        <v>11564</v>
      </c>
      <c r="BA12" s="38" cm="1">
        <f t="array" ref="BA12">_xll.ciqfunctions.udf.CIQ(E$3,$AX$1,$AX$2,$A12,"L",,"USD","H")</f>
        <v>3474</v>
      </c>
      <c r="BB12" s="38" cm="1">
        <f t="array" ref="BB12">_xll.ciqfunctions.udf.CIQ(F$3,$AX$1,$AX$2,$A12,"L",,"USD","H")</f>
        <v>12772</v>
      </c>
      <c r="BC12" s="38" cm="1">
        <f t="array" ref="BC12">_xll.ciqfunctions.udf.CIQ(G$3,$AX$1,$AX$2,$A12,"L",,"USD","H")</f>
        <v>1805</v>
      </c>
      <c r="BD12" s="40" cm="1">
        <f t="array" ref="BD12">_xll.ciqfunctions.udf.CIQ(B$3,$AX$1,$BD$2,$A12,"L",,"USD","H")</f>
        <v>25482</v>
      </c>
      <c r="BE12" s="40" cm="1">
        <f t="array" ref="BE12">_xll.ciqfunctions.udf.CIQ(C$3,$AX$1,$BD$2,$A12,"L",,"USD","H")</f>
        <v>59037</v>
      </c>
      <c r="BF12" s="40" cm="1">
        <f t="array" ref="BF12">_xll.ciqfunctions.udf.CIQ(D$3,$AX$1,$BD$2,$A12,"L",,"USD","H")</f>
        <v>46299</v>
      </c>
      <c r="BG12" s="40" cm="1">
        <f t="array" ref="BG12">_xll.ciqfunctions.udf.CIQ(E$3,$AX$1,$BD$2,$A12,"L",,"USD","H")</f>
        <v>13564</v>
      </c>
      <c r="BH12" s="40" cm="1">
        <f t="array" ref="BH12">_xll.ciqfunctions.udf.CIQ(F$3,$AX$1,$BD$2,$A12,"L",,"USD","H")</f>
        <v>59956</v>
      </c>
      <c r="BI12" s="40" cm="1">
        <f t="array" ref="BI12">_xll.ciqfunctions.udf.CIQ(G$3,$AX$1,$BD$2,$A12,"L",,"USD","H")</f>
        <v>7511</v>
      </c>
      <c r="BJ12" s="43">
        <f t="shared" si="1"/>
        <v>-0.33539379729297669</v>
      </c>
      <c r="BK12" s="43">
        <f t="shared" si="2"/>
        <v>-0.52646755921730182</v>
      </c>
      <c r="BL12" s="43">
        <f t="shared" si="3"/>
        <v>-0.30870396939263511</v>
      </c>
      <c r="BM12" s="43">
        <f t="shared" si="4"/>
        <v>-0.25848452508004272</v>
      </c>
      <c r="BN12" s="43">
        <f t="shared" si="5"/>
        <v>2.2706786171574902</v>
      </c>
      <c r="BO12" s="43">
        <f t="shared" si="6"/>
        <v>-0.42147435897435892</v>
      </c>
      <c r="BP12" s="42">
        <f t="shared" si="7"/>
        <v>-0.25848974247053691</v>
      </c>
      <c r="BQ12" s="42">
        <f t="shared" si="8"/>
        <v>-0.37955713429949656</v>
      </c>
      <c r="BR12" s="42">
        <f t="shared" si="9"/>
        <v>-0.14785025399396301</v>
      </c>
      <c r="BS12" s="42">
        <f t="shared" si="10"/>
        <v>-0.70479030186954539</v>
      </c>
      <c r="BT12" s="42">
        <f t="shared" si="11"/>
        <v>0.5741440873766015</v>
      </c>
      <c r="BU12" s="42">
        <f t="shared" si="12"/>
        <v>-0.27646662171274439</v>
      </c>
      <c r="BV12" s="68" cm="1">
        <f t="array" ref="BV12">_xll.ciqfunctions.udf.CIQ(B$3,$BV$1,$BV$2,$A12,"L",,"USD","H")/100</f>
        <v>8.9368000000000003E-2</v>
      </c>
      <c r="BW12" s="68" cm="1">
        <f t="array" ref="BW12">_xll.ciqfunctions.udf.CIQ(C$3,$BV$1,$BV$2,$A12,"L",,"USD","H")/100</f>
        <v>8.6983999999999992E-2</v>
      </c>
      <c r="BX12" s="68" cm="1">
        <f t="array" ref="BX12">_xll.ciqfunctions.udf.CIQ(D$3,$BV$1,$BV$2,$A12,"L",,"USD","H")/100</f>
        <v>7.9951999999999995E-2</v>
      </c>
      <c r="BY12" s="68" cm="1">
        <f t="array" ref="BY12">_xll.ciqfunctions.udf.CIQ(E$3,$BV$1,$BV$2,$A12,"L",,"USD","H")/100</f>
        <v>0.16344400000000001</v>
      </c>
      <c r="BZ12" s="68" cm="1">
        <f t="array" ref="BZ12">_xll.ciqfunctions.udf.CIQ(F$3,$BV$1,$BV$2,$A12,"L",,"USD","H")/100</f>
        <v>9.831200000000001E-2</v>
      </c>
      <c r="CA12" s="68" cm="1">
        <f t="array" ref="CA12">_xll.ciqfunctions.udf.CIQ(G$3,$BV$1,$BV$2,$A12,"L",,"USD","H")/100</f>
        <v>0.13234799999999999</v>
      </c>
      <c r="CB12" s="68" cm="1">
        <f t="array" ref="CB12">_xll.ciqfunctions.udf.CIQ(B$3,$BV$1,$CB$2,$A12,"L",,"USD","H")/100</f>
        <v>6.9763000000000006E-2</v>
      </c>
      <c r="CC12" s="68" cm="1">
        <f t="array" ref="CC12">_xll.ciqfunctions.udf.CIQ(C$3,$BV$1,$CB$2,$A12,"L",,"USD","H")/100</f>
        <v>0.107791</v>
      </c>
      <c r="CD12" s="68" cm="1">
        <f t="array" ref="CD12">_xll.ciqfunctions.udf.CIQ(D$3,$BV$1,$CB$2,$A12,"L",,"USD","H")/100</f>
        <v>7.6865000000000003E-2</v>
      </c>
      <c r="CE12" s="68" cm="1">
        <f t="array" ref="CE12">_xll.ciqfunctions.udf.CIQ(E$3,$BV$1,$CB$2,$A12,"L",,"USD","H")/100</f>
        <v>0.25816600000000001</v>
      </c>
      <c r="CF12" s="68" cm="1">
        <f t="array" ref="CF12">_xll.ciqfunctions.udf.CIQ(F$3,$BV$1,$CB$2,$A12,"L",,"USD","H")/100</f>
        <v>0.15262700000000001</v>
      </c>
      <c r="CG12" s="68" cm="1">
        <f t="array" ref="CG12">_xll.ciqfunctions.udf.CIQ(G$3,$BV$1,$CB$2,$A12,"L",,"USD","H")/100</f>
        <v>8.6158999999999999E-2</v>
      </c>
    </row>
    <row r="13" spans="1:85" x14ac:dyDescent="0.45">
      <c r="A13" s="3">
        <f t="shared" si="13"/>
        <v>45107</v>
      </c>
      <c r="B13" s="14" cm="1">
        <f t="array" ref="B13">_xll.ciqfunctions.udf.CIQ(B$3,$B$1,$B$2,$A13,"L",,"USD","H")</f>
        <v>12763</v>
      </c>
      <c r="C13" s="38" cm="1">
        <f t="array" ref="C13">_xll.ciqfunctions.udf.CIQ(C$3,$B$1,$B$2,$A13,"L",,"USD","H")</f>
        <v>80256</v>
      </c>
      <c r="D13" s="38" cm="1">
        <f t="array" ref="D13">_xll.ciqfunctions.udf.CIQ(D$3,$B$1,$B$2,$A13,"L",,"USD","H")</f>
        <v>47533</v>
      </c>
      <c r="E13" s="38" cm="1">
        <f t="array" ref="E13">_xll.ciqfunctions.udf.CIQ(E$3,$B$1,$B$2,$A13,"L",,"USD","H")</f>
        <v>5481</v>
      </c>
      <c r="F13" s="38" cm="1">
        <f t="array" ref="F13">_xll.ciqfunctions.udf.CIQ(F$3,$B$1,$B$2,$A13,"L",,"USD","H")</f>
        <v>48760</v>
      </c>
      <c r="G13" s="38" cm="1">
        <f t="array" ref="G13">_xll.ciqfunctions.udf.CIQ(G$3,$B$1,$B$2,$A13,"L",,"USD","H")</f>
        <v>3339</v>
      </c>
      <c r="H13" s="40" cm="1">
        <f t="array" ref="H13">_xll.ciqfunctions.udf.CIQ(B$3,$B$1,$H$2,$A13,"L",,"USD","H")</f>
        <v>68775</v>
      </c>
      <c r="I13" s="40" cm="1">
        <f t="array" ref="I13">_xll.ciqfunctions.udf.CIQ(C$3,$B$1,$H$2,$A13,"L",,"USD","H")</f>
        <v>365667</v>
      </c>
      <c r="J13" s="40" cm="1">
        <f t="array" ref="J13">_xll.ciqfunctions.udf.CIQ(D$3,$B$1,$H$2,$A13,"L",,"USD","H")</f>
        <v>214534</v>
      </c>
      <c r="K13" s="40" cm="1">
        <f t="array" ref="K13">_xll.ciqfunctions.udf.CIQ(E$3,$B$1,$H$2,$A13,"L",,"USD","H")</f>
        <v>25225</v>
      </c>
      <c r="L13" s="40" cm="1">
        <f t="array" ref="L13">_xll.ciqfunctions.udf.CIQ(F$3,$B$1,$H$2,$A13,"L",,"USD","H")</f>
        <v>227540</v>
      </c>
      <c r="M13" s="40" cm="1">
        <f t="array" ref="M13">_xll.ciqfunctions.udf.CIQ(G$3,$B$1,$H$2,$A13,"L",,"USD","H")</f>
        <v>16084</v>
      </c>
      <c r="N13" s="13" cm="1">
        <f t="array" ref="N13">_xll.ciqfunctions.udf.CIQ(B$3,$N$1,$B$2,$A13,"L",,"USD","H")</f>
        <v>-41.143700000000003</v>
      </c>
      <c r="O13" s="13" cm="1">
        <f t="array" ref="O13">_xll.ciqfunctions.udf.CIQ(C$3,$N$1,$B$2,$A13,"L",,"USD","H")</f>
        <v>-28.3384</v>
      </c>
      <c r="P13" s="13" cm="1">
        <f t="array" ref="P13">_xll.ciqfunctions.udf.CIQ(D$3,$N$1,$B$2,$A13,"L",,"USD","H")</f>
        <v>-28.311599999999999</v>
      </c>
      <c r="Q13" s="13" cm="1">
        <f t="array" ref="Q13">_xll.ciqfunctions.udf.CIQ(E$3,$N$1,$B$2,$A13,"L",,"USD","H")</f>
        <v>-36.905799999999999</v>
      </c>
      <c r="R13" s="13" cm="1">
        <f t="array" ref="R13">_xll.ciqfunctions.udf.CIQ(F$3,$N$1,$B$2,$A13,"L",,"USD","H")</f>
        <v>-27.485800000000001</v>
      </c>
      <c r="S13" s="13" cm="1">
        <f t="array" ref="S13">_xll.ciqfunctions.udf.CIQ(G$3,$N$1,$B$2,$A13,"L",,"USD","H")</f>
        <v>-39.772799999999997</v>
      </c>
      <c r="T13" s="41">
        <v>5.0890000000000004</v>
      </c>
      <c r="U13" s="41" cm="1">
        <f t="array" ref="U13">_xll.ciqfunctions.udf.CIQ(O$3,$N$1,$T$2,$A13,"L",,"USD","H")</f>
        <v>3.0175000000000001</v>
      </c>
      <c r="V13" s="41" cm="1">
        <f t="array" ref="V13">_xll.ciqfunctions.udf.CIQ(P$3,$N$1,$T$2,$A13,"L",,"USD","H")</f>
        <v>4.1426999999999996</v>
      </c>
      <c r="W13" s="41" cm="1">
        <f t="array" ref="W13">_xll.ciqfunctions.udf.CIQ(Q$3,$N$1,$T$2,$A13,"L",,"USD","H")</f>
        <v>-5.3826000000000001</v>
      </c>
      <c r="X13" s="41" cm="1">
        <f t="array" ref="X13">_xll.ciqfunctions.udf.CIQ(R$3,$N$1,$T$2,$A13,"L",,"USD","H")</f>
        <v>12.4665</v>
      </c>
      <c r="Y13" s="41" cm="1">
        <f t="array" ref="Y13">_xll.ciqfunctions.udf.CIQ(S$3,$N$1,$T$2,$A13,"L",,"USD","H")</f>
        <v>-7.5739000000000001</v>
      </c>
      <c r="Z13" s="38" cm="1">
        <f t="array" ref="Z13">_xll.ciqfunctions.udf.CIQ(B$3,$Z$1,$B$2,$A13,"L",,"USD","H")</f>
        <v>2232</v>
      </c>
      <c r="AA13" s="38" cm="1">
        <f t="array" ref="AA13">_xll.ciqfunctions.udf.CIQ(C$3,$Z$1,$B$2,$A13,"L",,"USD","H")</f>
        <v>7880</v>
      </c>
      <c r="AB13" s="38" cm="1">
        <f t="array" ref="AB13">_xll.ciqfunctions.udf.CIQ(D$3,$Z$1,$B$2,$A13,"L",,"USD","H")</f>
        <v>6010</v>
      </c>
      <c r="AC13" s="38" cm="1">
        <f t="array" ref="AC13">_xll.ciqfunctions.udf.CIQ(E$3,$Z$1,$B$2,$A13,"L",,"USD","H")</f>
        <v>1553</v>
      </c>
      <c r="AD13" s="38" cm="1">
        <f t="array" ref="AD13">_xll.ciqfunctions.udf.CIQ(F$3,$Z$1,$B$2,$A13,"L",,"USD","H")</f>
        <v>1792</v>
      </c>
      <c r="AE13" s="38" cm="1">
        <f t="array" ref="AE13">_xll.ciqfunctions.udf.CIQ(G$3,$Z$1,$B$2,$A13,"L",,"USD","H")</f>
        <v>690</v>
      </c>
      <c r="AF13" s="40" cm="1">
        <f t="array" ref="AF13">_xll.ciqfunctions.udf.CIQ(B$3,$Z$1,$H$2,$A13,"L",,"USD","H")</f>
        <v>12928</v>
      </c>
      <c r="AG13" s="40" cm="1">
        <f t="array" ref="AG13">_xll.ciqfunctions.udf.CIQ(C$3,$Z$1,$H$2,$A13,"L",,"USD","H")</f>
        <v>51720</v>
      </c>
      <c r="AH13" s="40" cm="1">
        <f t="array" ref="AH13">_xll.ciqfunctions.udf.CIQ(D$3,$Z$1,$H$2,$A13,"L",,"USD","H")</f>
        <v>30168</v>
      </c>
      <c r="AI13" s="40" cm="1">
        <f t="array" ref="AI13">_xll.ciqfunctions.udf.CIQ(E$3,$Z$1,$H$2,$A13,"L",,"USD","H")</f>
        <v>8707</v>
      </c>
      <c r="AJ13" s="40" cm="1">
        <f t="array" ref="AJ13">_xll.ciqfunctions.udf.CIQ(F$3,$Z$1,$H$2,$A13,"L",,"USD","H")</f>
        <v>18650</v>
      </c>
      <c r="AK13" s="40" cm="1">
        <f t="array" ref="AK13">_xll.ciqfunctions.udf.CIQ(G$3,$Z$1,$H$2,$A13,"L",,"USD","H")</f>
        <v>4779</v>
      </c>
      <c r="AL13" s="13" cm="1">
        <f t="array" ref="AL13">_xll.ciqfunctions.udf.CIQ(B$3,$AL$1,$AL$2,$A13,"L",,"USD","H")</f>
        <v>-56.618099999999998</v>
      </c>
      <c r="AM13" s="13" cm="1">
        <f t="array" ref="AM13">_xll.ciqfunctions.udf.CIQ(C$3,$AL$1,$AL$2,$A13,"L",,"USD","H")</f>
        <v>-55.854399999999998</v>
      </c>
      <c r="AN13" s="13" cm="1">
        <f t="array" ref="AN13">_xll.ciqfunctions.udf.CIQ(D$3,$AL$1,$AL$2,$A13,"L",,"USD","H")</f>
        <v>-48.287799999999997</v>
      </c>
      <c r="AO13" s="13" cm="1">
        <f t="array" ref="AO13">_xll.ciqfunctions.udf.CIQ(E$3,$AL$1,$AL$2,$A13,"L",,"USD","H")</f>
        <v>-30.607700000000001</v>
      </c>
      <c r="AP13" s="13" cm="1">
        <f t="array" ref="AP13">_xll.ciqfunctions.udf.CIQ(F$3,$AL$1,$AL$2,$A13,"L",,"USD","H")</f>
        <v>-80.6417</v>
      </c>
      <c r="AQ13" s="13" cm="1">
        <f t="array" ref="AQ13">_xll.ciqfunctions.udf.CIQ(G$3,$AL$1,$AL$2,$A13,"L",,"USD","H")</f>
        <v>-64.285799999999995</v>
      </c>
      <c r="AR13" s="41" cm="1">
        <f t="array" ref="AR13">_xll.ciqfunctions.udf.CIQ(B$3,$AL$1,$AR$2,$A13,"L",,"USD","H")</f>
        <v>-18.742999999999999</v>
      </c>
      <c r="AS13" s="41" cm="1">
        <f t="array" ref="AS13">_xll.ciqfunctions.udf.CIQ(C$3,$AL$1,$AR$2,$A13,"L",,"USD","H")</f>
        <v>32.785600000000002</v>
      </c>
      <c r="AT13" s="41" cm="1">
        <f t="array" ref="AT13">_xll.ciqfunctions.udf.CIQ(D$3,$AL$1,$AR$2,$A13,"L",,"USD","H")</f>
        <v>3.8592</v>
      </c>
      <c r="AU13" s="41" cm="1">
        <f t="array" ref="AU13">_xll.ciqfunctions.udf.CIQ(E$3,$AL$1,$AR$2,$A13,"L",,"USD","H")</f>
        <v>52.540199999999999</v>
      </c>
      <c r="AV13" s="41" t="str" cm="1">
        <f t="array" ref="AV13">_xll.ciqfunctions.udf.CIQ(F$3,$AL$1,$AR$2,$A13,"L",,"USD","H")</f>
        <v>NM</v>
      </c>
      <c r="AW13" s="41" cm="1">
        <f t="array" ref="AW13">_xll.ciqfunctions.udf.CIQ(G$3,$AL$1,$AR$2,$A13,"L",,"USD","H")</f>
        <v>-9.2308000000000003</v>
      </c>
      <c r="AX13" s="38" cm="1">
        <f t="array" ref="AX13">_xll.ciqfunctions.udf.CIQ(B$3,$AX$1,$AX$2,$A13,"L",,"USD","H")</f>
        <v>5393</v>
      </c>
      <c r="AY13" s="38" cm="1">
        <f t="array" ref="AY13">_xll.ciqfunctions.udf.CIQ(C$3,$AX$1,$AX$2,$A13,"L",,"USD","H")</f>
        <v>13489</v>
      </c>
      <c r="AZ13" s="38" cm="1">
        <f t="array" ref="AZ13">_xll.ciqfunctions.udf.CIQ(D$3,$AX$1,$AX$2,$A13,"L",,"USD","H")</f>
        <v>10105</v>
      </c>
      <c r="BA13" s="38" cm="1">
        <f t="array" ref="BA13">_xll.ciqfunctions.udf.CIQ(E$3,$AX$1,$AX$2,$A13,"L",,"USD","H")</f>
        <v>2880</v>
      </c>
      <c r="BB13" s="38" cm="1">
        <f t="array" ref="BB13">_xll.ciqfunctions.udf.CIQ(F$3,$AX$1,$AX$2,$A13,"L",,"USD","H")</f>
        <v>9532</v>
      </c>
      <c r="BC13" s="38" cm="1">
        <f t="array" ref="BC13">_xll.ciqfunctions.udf.CIQ(G$3,$AX$1,$AX$2,$A13,"L",,"USD","H")</f>
        <v>1596</v>
      </c>
      <c r="BD13" s="40" cm="1">
        <f t="array" ref="BD13">_xll.ciqfunctions.udf.CIQ(B$3,$AX$1,$BD$2,$A13,"L",,"USD","H")</f>
        <v>28629</v>
      </c>
      <c r="BE13" s="40" cm="1">
        <f t="array" ref="BE13">_xll.ciqfunctions.udf.CIQ(C$3,$AX$1,$BD$2,$A13,"L",,"USD","H")</f>
        <v>76929</v>
      </c>
      <c r="BF13" s="40" cm="1">
        <f t="array" ref="BF13">_xll.ciqfunctions.udf.CIQ(D$3,$AX$1,$BD$2,$A13,"L",,"USD","H")</f>
        <v>51463</v>
      </c>
      <c r="BG13" s="40">
        <f>_xll.ciqfunctions.udf.CIQ("COP", "IQ_PRICEDATE", "11/7/2025")</f>
        <v>45968</v>
      </c>
      <c r="BH13" s="40" cm="1">
        <f t="array" ref="BH13">_xll.ciqfunctions.udf.CIQ(F$3,$AX$1,$BD$2,$A13,"L",,"USD","H")</f>
        <v>51089</v>
      </c>
      <c r="BI13" s="40" cm="1">
        <f t="array" ref="BI13">_xll.ciqfunctions.udf.CIQ(G$3,$AX$1,$BD$2,$A13,"L",,"USD","H")</f>
        <v>8826</v>
      </c>
      <c r="BJ13" s="43">
        <f t="shared" si="1"/>
        <v>-0.42658160552897395</v>
      </c>
      <c r="BK13" s="43">
        <f t="shared" si="2"/>
        <v>-0.47898802626496717</v>
      </c>
      <c r="BL13" s="43">
        <f t="shared" si="3"/>
        <v>-0.41818286503915247</v>
      </c>
      <c r="BM13" s="43">
        <f t="shared" si="4"/>
        <v>-0.24369747899159666</v>
      </c>
      <c r="BN13" s="43">
        <f t="shared" si="5"/>
        <v>-0.4397884219806053</v>
      </c>
      <c r="BO13" s="43">
        <f t="shared" si="6"/>
        <v>-0.48615582743077912</v>
      </c>
      <c r="BP13" s="42">
        <f t="shared" si="7"/>
        <v>-5.5553722825190555E-2</v>
      </c>
      <c r="BQ13" s="42">
        <f t="shared" si="8"/>
        <v>3.5272110674489987E-2</v>
      </c>
      <c r="BR13" s="42">
        <f t="shared" si="9"/>
        <v>7.3577269692923997E-2</v>
      </c>
      <c r="BS13" s="42">
        <f t="shared" si="10"/>
        <v>6.0949063996518227E-4</v>
      </c>
      <c r="BT13" s="42">
        <f t="shared" si="11"/>
        <v>0.38512634204533125</v>
      </c>
      <c r="BU13" s="42">
        <f t="shared" si="12"/>
        <v>-9.9831744251261956E-3</v>
      </c>
      <c r="BV13" s="68" cm="1">
        <f t="array" ref="BV13">_xll.ciqfunctions.udf.CIQ(B$3,$BV$1,$BV$2,$A13,"L",,"USD","H")/100</f>
        <v>5.4976000000000004E-2</v>
      </c>
      <c r="BW13" s="68" cm="1">
        <f t="array" ref="BW13">_xll.ciqfunctions.udf.CIQ(C$3,$BV$1,$BV$2,$A13,"L",,"USD","H")/100</f>
        <v>6.7351999999999995E-2</v>
      </c>
      <c r="BX13" s="68" cm="1">
        <f t="array" ref="BX13">_xll.ciqfunctions.udf.CIQ(D$3,$BV$1,$BV$2,$A13,"L",,"USD","H")/100</f>
        <v>7.0064000000000001E-2</v>
      </c>
      <c r="BY13" s="68" cm="1">
        <f t="array" ref="BY13">_xll.ciqfunctions.udf.CIQ(E$3,$BV$1,$BV$2,$A13,"L",,"USD","H")/100</f>
        <v>0.20697199999999999</v>
      </c>
      <c r="BZ13" s="68" cm="1">
        <f t="array" ref="BZ13">_xll.ciqfunctions.udf.CIQ(F$3,$BV$1,$BV$2,$A13,"L",,"USD","H")/100</f>
        <v>4.9316000000000006E-2</v>
      </c>
      <c r="CA13" s="68" cm="1">
        <f t="array" ref="CA13">_xll.ciqfunctions.udf.CIQ(G$3,$BV$1,$BV$2,$A13,"L",,"USD","H")/100</f>
        <v>5.1108000000000001E-2</v>
      </c>
      <c r="CB13" s="68" cm="1">
        <f t="array" ref="CB13">_xll.ciqfunctions.udf.CIQ(B$3,$BV$1,$CB$2,$A13,"L",,"USD","H")/100</f>
        <v>9.4793000000000002E-2</v>
      </c>
      <c r="CC13" s="68" cm="1">
        <f t="array" ref="CC13">_xll.ciqfunctions.udf.CIQ(C$3,$BV$1,$CB$2,$A13,"L",,"USD","H")/100</f>
        <v>0.15349099999999999</v>
      </c>
      <c r="CD13" s="68" cm="1">
        <f t="array" ref="CD13">_xll.ciqfunctions.udf.CIQ(D$3,$BV$1,$CB$2,$A13,"L",,"USD","H")/100</f>
        <v>0.10528999999999999</v>
      </c>
      <c r="CE13" s="68" cm="1">
        <f t="array" ref="CE13">_xll.ciqfunctions.udf.CIQ(E$3,$BV$1,$CB$2,$A13,"L",,"USD","H")/100</f>
        <v>0.30011199999999999</v>
      </c>
      <c r="CF13" s="68" cm="1">
        <f t="array" ref="CF13">_xll.ciqfunctions.udf.CIQ(F$3,$BV$1,$CB$2,$A13,"L",,"USD","H")/100</f>
        <v>0.12916</v>
      </c>
      <c r="CG13" s="68" cm="1">
        <f t="array" ref="CG13">_xll.ciqfunctions.udf.CIQ(G$3,$BV$1,$CB$2,$A13,"L",,"USD","H")/100</f>
        <v>0.105513</v>
      </c>
    </row>
    <row r="14" spans="1:85" x14ac:dyDescent="0.45">
      <c r="A14" s="3">
        <f t="shared" si="13"/>
        <v>45016</v>
      </c>
      <c r="B14" s="14" cm="1">
        <f t="array" ref="B14">_xll.ciqfunctions.udf.CIQ(B$3,$B$1,$B$2,$A14,"L",,"USD","H")</f>
        <v>15310</v>
      </c>
      <c r="C14" s="38" cm="1">
        <f t="array" ref="C14">_xll.ciqfunctions.udf.CIQ(C$3,$B$1,$B$2,$A14,"L",,"USD","H")</f>
        <v>84183</v>
      </c>
      <c r="D14" s="38" cm="1">
        <f t="array" ref="D14">_xll.ciqfunctions.udf.CIQ(D$3,$B$1,$B$2,$A14,"L",,"USD","H")</f>
        <v>49211</v>
      </c>
      <c r="E14" s="38" cm="1">
        <f t="array" ref="E14">_xll.ciqfunctions.udf.CIQ(E$3,$B$1,$B$2,$A14,"L",,"USD","H")</f>
        <v>5599</v>
      </c>
      <c r="F14" s="38" cm="1">
        <f t="array" ref="F14">_xll.ciqfunctions.udf.CIQ(F$3,$B$1,$B$2,$A14,"L",,"USD","H")</f>
        <v>55708</v>
      </c>
      <c r="G14" s="38" cm="1">
        <f t="array" ref="G14">_xll.ciqfunctions.udf.CIQ(G$3,$B$1,$B$2,$A14,"L",,"USD","H")</f>
        <v>3419</v>
      </c>
      <c r="H14" s="40" cm="1">
        <f t="array" ref="H14">_xll.ciqfunctions.udf.CIQ(B$3,$B$1,$H$2,$A14,"L",,"USD","H")</f>
        <v>77697</v>
      </c>
      <c r="I14" s="40" cm="1">
        <f t="array" ref="I14">_xll.ciqfunctions.udf.CIQ(C$3,$B$1,$H$2,$A14,"L",,"USD","H")</f>
        <v>397404</v>
      </c>
      <c r="J14" s="40" cm="1">
        <f t="array" ref="J14">_xll.ciqfunctions.udf.CIQ(D$3,$B$1,$H$2,$A14,"L",,"USD","H")</f>
        <v>233306</v>
      </c>
      <c r="K14" s="40" cm="1">
        <f t="array" ref="K14">_xll.ciqfunctions.udf.CIQ(E$3,$B$1,$H$2,$A14,"L",,"USD","H")</f>
        <v>28431</v>
      </c>
      <c r="L14" s="40" cm="1">
        <f t="array" ref="L14">_xll.ciqfunctions.udf.CIQ(F$3,$B$1,$H$2,$A14,"L",,"USD","H")</f>
        <v>246022</v>
      </c>
      <c r="M14" s="40" cm="1">
        <f t="array" ref="M14">_xll.ciqfunctions.udf.CIQ(G$3,$B$1,$H$2,$A14,"L",,"USD","H")</f>
        <v>18289</v>
      </c>
      <c r="N14" s="13" cm="1">
        <f t="array" ref="N14">_xll.ciqfunctions.udf.CIQ(B$3,$N$1,$B$2,$A14,"L",,"USD","H")</f>
        <v>-15.823700000000001</v>
      </c>
      <c r="O14" s="13" cm="1">
        <f t="array" ref="O14">_xll.ciqfunctions.udf.CIQ(C$3,$N$1,$B$2,$A14,"L",,"USD","H")</f>
        <v>-4.2961999999999998</v>
      </c>
      <c r="P14" s="13" cm="1">
        <f t="array" ref="P14">_xll.ciqfunctions.udf.CIQ(D$3,$N$1,$B$2,$A14,"L",,"USD","H")</f>
        <v>-5.0366</v>
      </c>
      <c r="Q14" s="13" cm="1">
        <f t="array" ref="Q14">_xll.ciqfunctions.udf.CIQ(E$3,$N$1,$B$2,$A14,"L",,"USD","H")</f>
        <v>-17.394600000000001</v>
      </c>
      <c r="R14" s="13" cm="1">
        <f t="array" ref="R14">_xll.ciqfunctions.udf.CIQ(F$3,$N$1,$B$2,$A14,"L",,"USD","H")</f>
        <v>14.265700000000001</v>
      </c>
      <c r="S14" s="13" cm="1">
        <f t="array" ref="S14">_xll.ciqfunctions.udf.CIQ(G$3,$N$1,$B$2,$A14,"L",,"USD","H")</f>
        <v>-14.5891</v>
      </c>
      <c r="T14" s="41">
        <v>5.1224999999999996</v>
      </c>
      <c r="U14" s="41" cm="1">
        <f t="array" ref="U14">_xll.ciqfunctions.udf.CIQ(O$3,$N$1,$T$2,$A14,"L",,"USD","H")</f>
        <v>28.497800000000002</v>
      </c>
      <c r="V14" s="41" cm="1">
        <f t="array" ref="V14">_xll.ciqfunctions.udf.CIQ(P$3,$N$1,$T$2,$A14,"L",,"USD","H")</f>
        <v>32.701900000000002</v>
      </c>
      <c r="W14" s="41" cm="1">
        <f t="array" ref="W14">_xll.ciqfunctions.udf.CIQ(Q$3,$N$1,$T$2,$A14,"L",,"USD","H")</f>
        <v>26.427399999999999</v>
      </c>
      <c r="X14" s="41" cm="1">
        <f t="array" ref="X14">_xll.ciqfunctions.udf.CIQ(R$3,$N$1,$T$2,$A14,"L",,"USD","H")</f>
        <v>43.664099999999998</v>
      </c>
      <c r="Y14" s="41" cm="1">
        <f t="array" ref="Y14">_xll.ciqfunctions.udf.CIQ(S$3,$N$1,$T$2,$A14,"L",,"USD","H")</f>
        <v>23.557600000000001</v>
      </c>
      <c r="Z14" s="38" cm="1">
        <f t="array" ref="Z14">_xll.ciqfunctions.udf.CIQ(B$3,$Z$1,$B$2,$A14,"L",,"USD","H")</f>
        <v>2920</v>
      </c>
      <c r="AA14" s="38" cm="1">
        <f t="array" ref="AA14">_xll.ciqfunctions.udf.CIQ(C$3,$Z$1,$B$2,$A14,"L",,"USD","H")</f>
        <v>11430</v>
      </c>
      <c r="AB14" s="38" cm="1">
        <f t="array" ref="AB14">_xll.ciqfunctions.udf.CIQ(D$3,$Z$1,$B$2,$A14,"L",,"USD","H")</f>
        <v>6574</v>
      </c>
      <c r="AC14" s="38" cm="1">
        <f t="array" ref="AC14">_xll.ciqfunctions.udf.CIQ(E$3,$Z$1,$B$2,$A14,"L",,"USD","H")</f>
        <v>2023</v>
      </c>
      <c r="AD14" s="38" cm="1">
        <f t="array" ref="AD14">_xll.ciqfunctions.udf.CIQ(F$3,$Z$1,$B$2,$A14,"L",,"USD","H")</f>
        <v>8218</v>
      </c>
      <c r="AE14" s="38" cm="1">
        <f t="array" ref="AE14">_xll.ciqfunctions.udf.CIQ(G$3,$Z$1,$B$2,$A14,"L",,"USD","H")</f>
        <v>995</v>
      </c>
      <c r="AF14" s="40" cm="1">
        <f t="array" ref="AF14">_xll.ciqfunctions.udf.CIQ(B$3,$Z$1,$H$2,$A14,"L",,"USD","H")</f>
        <v>15841</v>
      </c>
      <c r="AG14" s="40" cm="1">
        <f t="array" ref="AG14">_xll.ciqfunctions.udf.CIQ(C$3,$Z$1,$H$2,$A14,"L",,"USD","H")</f>
        <v>61690</v>
      </c>
      <c r="AH14" s="40" cm="1">
        <f t="array" ref="AH14">_xll.ciqfunctions.udf.CIQ(D$3,$Z$1,$H$2,$A14,"L",,"USD","H")</f>
        <v>35780</v>
      </c>
      <c r="AI14" s="40" cm="1">
        <f t="array" ref="AI14">_xll.ciqfunctions.udf.CIQ(E$3,$Z$1,$H$2,$A14,"L",,"USD","H")</f>
        <v>9392</v>
      </c>
      <c r="AJ14" s="40" cm="1">
        <f t="array" ref="AJ14">_xll.ciqfunctions.udf.CIQ(F$3,$Z$1,$H$2,$A14,"L",,"USD","H")</f>
        <v>26115</v>
      </c>
      <c r="AK14" s="40" cm="1">
        <f t="array" ref="AK14">_xll.ciqfunctions.udf.CIQ(G$3,$Z$1,$H$2,$A14,"L",,"USD","H")</f>
        <v>6021</v>
      </c>
      <c r="AL14" s="13" cm="1">
        <f t="array" ref="AL14">_xll.ciqfunctions.udf.CIQ(B$3,$AL$1,$AL$2,$A14,"L",,"USD","H")</f>
        <v>-49.296799999999998</v>
      </c>
      <c r="AM14" s="13" cm="1">
        <f t="array" ref="AM14">_xll.ciqfunctions.udf.CIQ(C$3,$AL$1,$AL$2,$A14,"L",,"USD","H")</f>
        <v>108.5766</v>
      </c>
      <c r="AN14" s="13" cm="1">
        <f t="array" ref="AN14">_xll.ciqfunctions.udf.CIQ(D$3,$AL$1,$AL$2,$A14,"L",,"USD","H")</f>
        <v>5.0327000000000002</v>
      </c>
      <c r="AO14" s="13" cm="1">
        <f t="array" ref="AO14">_xll.ciqfunctions.udf.CIQ(E$3,$AL$1,$AL$2,$A14,"L",,"USD","H")</f>
        <v>418.71789999999999</v>
      </c>
      <c r="AP14" s="13" t="str" cm="1">
        <f t="array" ref="AP14">_xll.ciqfunctions.udf.CIQ(F$3,$AL$1,$AL$2,$A14,"L",,"USD","H")</f>
        <v>NM</v>
      </c>
      <c r="AQ14" s="13" cm="1">
        <f t="array" ref="AQ14">_xll.ciqfunctions.udf.CIQ(G$3,$AL$1,$AL$2,$A14,"L",,"USD","H")</f>
        <v>0.60660000000000003</v>
      </c>
      <c r="AR14" s="41" cm="1">
        <f t="array" ref="AR14">_xll.ciqfunctions.udf.CIQ(B$3,$AL$1,$AR$2,$A14,"L",,"USD","H")</f>
        <v>23.218699999999998</v>
      </c>
      <c r="AS14" s="41" cm="1">
        <f t="array" ref="AS14">_xll.ciqfunctions.udf.CIQ(C$3,$AL$1,$AR$2,$A14,"L",,"USD","H")</f>
        <v>139.2012</v>
      </c>
      <c r="AT14" s="41" cm="1">
        <f t="array" ref="AT14">_xll.ciqfunctions.udf.CIQ(D$3,$AL$1,$AR$2,$A14,"L",,"USD","H")</f>
        <v>74.477000000000004</v>
      </c>
      <c r="AU14" s="41" cm="1">
        <f t="array" ref="AU14">_xll.ciqfunctions.udf.CIQ(E$3,$AL$1,$AR$2,$A14,"L",,"USD","H")</f>
        <v>114.5761</v>
      </c>
      <c r="AV14" s="41" t="str" cm="1">
        <f t="array" ref="AV14">_xll.ciqfunctions.udf.CIQ(F$3,$AL$1,$AR$2,$A14,"L",,"USD","H")</f>
        <v>NM</v>
      </c>
      <c r="AW14" s="41" cm="1">
        <f t="array" ref="AW14">_xll.ciqfunctions.udf.CIQ(G$3,$AL$1,$AR$2,$A14,"L",,"USD","H")</f>
        <v>67.762600000000006</v>
      </c>
      <c r="AX14" s="38" cm="1">
        <f t="array" ref="AX14">_xll.ciqfunctions.udf.CIQ(B$3,$AX$1,$AX$2,$A14,"L",,"USD","H")</f>
        <v>6462</v>
      </c>
      <c r="AY14" s="38" cm="1">
        <f t="array" ref="AY14">_xll.ciqfunctions.udf.CIQ(C$3,$AX$1,$AX$2,$A14,"L",,"USD","H")</f>
        <v>18825</v>
      </c>
      <c r="AZ14" s="38" cm="1">
        <f t="array" ref="AZ14">_xll.ciqfunctions.udf.CIQ(D$3,$AX$1,$AX$2,$A14,"L",,"USD","H")</f>
        <v>11572</v>
      </c>
      <c r="BA14" s="38" cm="1">
        <f t="array" ref="BA14">_xll.ciqfunctions.udf.CIQ(E$3,$AX$1,$AX$2,$A14,"L",,"USD","H")</f>
        <v>3335</v>
      </c>
      <c r="BB14" s="38" cm="1">
        <f t="array" ref="BB14">_xll.ciqfunctions.udf.CIQ(F$3,$AX$1,$AX$2,$A14,"L",,"USD","H")</f>
        <v>15859</v>
      </c>
      <c r="BC14" s="38" cm="1">
        <f t="array" ref="BC14">_xll.ciqfunctions.udf.CIQ(G$3,$AX$1,$AX$2,$A14,"L",,"USD","H")</f>
        <v>1911</v>
      </c>
      <c r="BD14" s="40" cm="1">
        <f t="array" ref="BD14">_xll.ciqfunctions.udf.CIQ(B$3,$AX$1,$BD$2,$A14,"L",,"USD","H")</f>
        <v>32641</v>
      </c>
      <c r="BE14" s="40" cm="1">
        <f t="array" ref="BE14">_xll.ciqfunctions.udf.CIQ(C$3,$AX$1,$BD$2,$A14,"L",,"USD","H")</f>
        <v>93930</v>
      </c>
      <c r="BF14" s="40" cm="1">
        <f t="array" ref="BF14">_xll.ciqfunctions.udf.CIQ(D$3,$AX$1,$BD$2,$A14,"L",,"USD","H")</f>
        <v>58726</v>
      </c>
      <c r="BG14" s="40">
        <f>_xll.ciqfunctions.udf.CIQ("COP", "IQ_PRICEDATE", "10/31/2025")</f>
        <v>45961</v>
      </c>
      <c r="BH14" s="40" cm="1">
        <f t="array" ref="BH14">_xll.ciqfunctions.udf.CIQ(F$3,$AX$1,$BD$2,$A14,"L",,"USD","H")</f>
        <v>58572</v>
      </c>
      <c r="BI14" s="40" cm="1">
        <f t="array" ref="BI14">_xll.ciqfunctions.udf.CIQ(G$3,$AX$1,$BD$2,$A14,"L",,"USD","H")</f>
        <v>10336</v>
      </c>
      <c r="BJ14" s="43">
        <f t="shared" si="1"/>
        <v>-0.26038686047842508</v>
      </c>
      <c r="BK14" s="43">
        <f t="shared" si="2"/>
        <v>0.24759758764663009</v>
      </c>
      <c r="BL14" s="43">
        <f t="shared" si="3"/>
        <v>0.12425920528514522</v>
      </c>
      <c r="BM14" s="43">
        <f t="shared" si="4"/>
        <v>1.3436401967673928</v>
      </c>
      <c r="BN14" s="43">
        <f t="shared" si="5"/>
        <v>0.45937241188920575</v>
      </c>
      <c r="BO14" s="43">
        <f t="shared" si="6"/>
        <v>3.6896364622897471E-2</v>
      </c>
      <c r="BP14" s="42">
        <f t="shared" si="7"/>
        <v>0.27658492706011195</v>
      </c>
      <c r="BQ14" s="42">
        <f t="shared" si="8"/>
        <v>0.74283328694684103</v>
      </c>
      <c r="BR14" s="42">
        <f t="shared" si="9"/>
        <v>0.53507946465913836</v>
      </c>
      <c r="BS14" s="42">
        <f t="shared" si="10"/>
        <v>6.0958352382822767E-4</v>
      </c>
      <c r="BT14" s="42">
        <f t="shared" si="11"/>
        <v>1.3169303797468355</v>
      </c>
      <c r="BU14" s="42">
        <f t="shared" si="12"/>
        <v>0.54892851790798747</v>
      </c>
      <c r="BV14" s="68" cm="1">
        <f t="array" ref="BV14">_xll.ciqfunctions.udf.CIQ(B$3,$BV$1,$BV$2,$A14,"L",,"USD","H")/100</f>
        <v>8.8424000000000003E-2</v>
      </c>
      <c r="BW14" s="68" cm="1">
        <f t="array" ref="BW14">_xll.ciqfunctions.udf.CIQ(C$3,$BV$1,$BV$2,$A14,"L",,"USD","H")/100</f>
        <v>0.123752</v>
      </c>
      <c r="BX14" s="68" cm="1">
        <f t="array" ref="BX14">_xll.ciqfunctions.udf.CIQ(D$3,$BV$1,$BV$2,$A14,"L",,"USD","H")/100</f>
        <v>8.0096000000000001E-2</v>
      </c>
      <c r="BY14" s="68" cm="1">
        <f t="array" ref="BY14">_xll.ciqfunctions.udf.CIQ(E$3,$BV$1,$BV$2,$A14,"L",,"USD","H")/100</f>
        <v>0.12670799999999999</v>
      </c>
      <c r="BZ14" s="68" cm="1">
        <f t="array" ref="BZ14">_xll.ciqfunctions.udf.CIQ(F$3,$BV$1,$BV$2,$A14,"L",,"USD","H")/100</f>
        <v>0.198964</v>
      </c>
      <c r="CA14" s="68" cm="1">
        <f t="array" ref="CA14">_xll.ciqfunctions.udf.CIQ(G$3,$BV$1,$BV$2,$A14,"L",,"USD","H")/100</f>
        <v>8.9123999999999995E-2</v>
      </c>
      <c r="CB14" s="68" cm="1">
        <f t="array" ref="CB14">_xll.ciqfunctions.udf.CIQ(B$3,$BV$1,$CB$2,$A14,"L",,"USD","H")/100</f>
        <v>0.14344400000000002</v>
      </c>
      <c r="CC14" s="68" cm="1">
        <f t="array" ref="CC14">_xll.ciqfunctions.udf.CIQ(C$3,$BV$1,$CB$2,$A14,"L",,"USD","H")/100</f>
        <v>0.19822299999999998</v>
      </c>
      <c r="CD14" s="68" cm="1">
        <f t="array" ref="CD14">_xll.ciqfunctions.udf.CIQ(D$3,$BV$1,$CB$2,$A14,"L",,"USD","H")/100</f>
        <v>0.13719900000000002</v>
      </c>
      <c r="CE14" s="68" cm="1">
        <f t="array" ref="CE14">_xll.ciqfunctions.udf.CIQ(E$3,$BV$1,$CB$2,$A14,"L",,"USD","H")/100</f>
        <v>0.280053</v>
      </c>
      <c r="CF14" s="68" cm="1">
        <f t="array" ref="CF14">_xll.ciqfunctions.udf.CIQ(F$3,$BV$1,$CB$2,$A14,"L",,"USD","H")/100</f>
        <v>0.14824699999999999</v>
      </c>
      <c r="CG14" s="68" cm="1">
        <f t="array" ref="CG14">_xll.ciqfunctions.udf.CIQ(G$3,$BV$1,$CB$2,$A14,"L",,"USD","H")/100</f>
        <v>0.15967700000000001</v>
      </c>
    </row>
    <row r="15" spans="1:85" x14ac:dyDescent="0.45">
      <c r="A15" s="3">
        <f t="shared" si="13"/>
        <v>44926</v>
      </c>
      <c r="B15" s="14" cm="1">
        <f t="array" ref="B15">_xll.ciqfunctions.udf.CIQ(B$3,$B$1,$B$2,$A15,"L",,"USD","H")</f>
        <v>19128</v>
      </c>
      <c r="C15" s="38" cm="1">
        <f t="array" ref="C15">_xll.ciqfunctions.udf.CIQ(C$3,$B$1,$B$2,$A15,"L",,"USD","H")</f>
        <v>93790</v>
      </c>
      <c r="D15" s="38" cm="1">
        <f t="array" ref="D15">_xll.ciqfunctions.udf.CIQ(D$3,$B$1,$B$2,$A15,"L",,"USD","H")</f>
        <v>53546</v>
      </c>
      <c r="E15" s="38" cm="1">
        <f t="array" ref="E15">_xll.ciqfunctions.udf.CIQ(E$3,$B$1,$B$2,$A15,"L",,"USD","H")</f>
        <v>6513</v>
      </c>
      <c r="F15" s="38" cm="1">
        <f t="array" ref="F15">_xll.ciqfunctions.udf.CIQ(F$3,$B$1,$B$2,$A15,"L",,"USD","H")</f>
        <v>68700</v>
      </c>
      <c r="G15" s="38" cm="1">
        <f t="array" ref="G15">_xll.ciqfunctions.udf.CIQ(G$3,$B$1,$B$2,$A15,"L",,"USD","H")</f>
        <v>4142</v>
      </c>
      <c r="H15" s="40" cm="1">
        <f t="array" ref="H15">_xll.ciqfunctions.udf.CIQ(B$3,$B$1,$H$2,$A15,"L",,"USD","H")</f>
        <v>80575</v>
      </c>
      <c r="I15" s="40" cm="1">
        <f t="array" ref="I15">_xll.ciqfunctions.udf.CIQ(C$3,$B$1,$H$2,$A15,"L",,"USD","H")</f>
        <v>400737</v>
      </c>
      <c r="J15" s="40" cm="1">
        <f t="array" ref="J15">_xll.ciqfunctions.udf.CIQ(D$3,$B$1,$H$2,$A15,"L",,"USD","H")</f>
        <v>235916</v>
      </c>
      <c r="K15" s="40" cm="1">
        <f t="array" ref="K15">_xll.ciqfunctions.udf.CIQ(E$3,$B$1,$H$2,$A15,"L",,"USD","H")</f>
        <v>29610</v>
      </c>
      <c r="L15" s="40" cm="1">
        <f t="array" ref="L15">_xll.ciqfunctions.udf.CIQ(F$3,$B$1,$H$2,$A15,"L",,"USD","H")</f>
        <v>239067</v>
      </c>
      <c r="M15" s="40" cm="1">
        <f t="array" ref="M15">_xll.ciqfunctions.udf.CIQ(G$3,$B$1,$H$2,$A15,"L",,"USD","H")</f>
        <v>19827</v>
      </c>
      <c r="N15" s="13" cm="1">
        <f t="array" ref="N15">_xll.ciqfunctions.udf.CIQ(B$3,$N$1,$B$2,$A15,"L",,"USD","H")</f>
        <v>23.7898</v>
      </c>
      <c r="O15" s="13" cm="1">
        <f t="array" ref="O15">_xll.ciqfunctions.udf.CIQ(C$3,$N$1,$B$2,$A15,"L",,"USD","H")</f>
        <v>13.156700000000001</v>
      </c>
      <c r="P15" s="13" cm="1">
        <f t="array" ref="P15">_xll.ciqfunctions.udf.CIQ(D$3,$N$1,$B$2,$A15,"L",,"USD","H")</f>
        <v>18.145700000000001</v>
      </c>
      <c r="Q15" s="13" cm="1">
        <f t="array" ref="Q15">_xll.ciqfunctions.udf.CIQ(E$3,$N$1,$B$2,$A15,"L",,"USD","H")</f>
        <v>9.7018000000000004</v>
      </c>
      <c r="R15" s="13" cm="1">
        <f t="array" ref="R15">_xll.ciqfunctions.udf.CIQ(F$3,$N$1,$B$2,$A15,"L",,"USD","H")</f>
        <v>36.031500000000001</v>
      </c>
      <c r="S15" s="13" cm="1">
        <f t="array" ref="S15">_xll.ciqfunctions.udf.CIQ(G$3,$N$1,$B$2,$A15,"L",,"USD","H")</f>
        <v>2.1705999999999999</v>
      </c>
      <c r="T15" s="41">
        <v>4.9695</v>
      </c>
      <c r="U15" s="41" cm="1">
        <f t="array" ref="U15">_xll.ciqfunctions.udf.CIQ(O$3,$N$1,$T$2,$A15,"L",,"USD","H")</f>
        <v>44.597299999999997</v>
      </c>
      <c r="V15" s="41" cm="1">
        <f t="array" ref="V15">_xll.ciqfunctions.udf.CIQ(P$3,$N$1,$T$2,$A15,"L",,"USD","H")</f>
        <v>52.138100000000001</v>
      </c>
      <c r="W15" s="41" cm="1">
        <f t="array" ref="W15">_xll.ciqfunctions.udf.CIQ(Q$3,$N$1,$T$2,$A15,"L",,"USD","H")</f>
        <v>49.719299999999997</v>
      </c>
      <c r="X15" s="41" cm="1">
        <f t="array" ref="X15">_xll.ciqfunctions.udf.CIQ(R$3,$N$1,$T$2,$A15,"L",,"USD","H")</f>
        <v>52.825800000000001</v>
      </c>
      <c r="Y15" s="41" cm="1">
        <f t="array" ref="Y15">_xll.ciqfunctions.udf.CIQ(S$3,$N$1,$T$2,$A15,"L",,"USD","H")</f>
        <v>44.196300000000001</v>
      </c>
      <c r="Z15" s="38" cm="1">
        <f t="array" ref="Z15">_xll.ciqfunctions.udf.CIQ(B$3,$Z$1,$B$2,$A15,"L",,"USD","H")</f>
        <v>3249</v>
      </c>
      <c r="AA15" s="38" cm="1">
        <f t="array" ref="AA15">_xll.ciqfunctions.udf.CIQ(C$3,$Z$1,$B$2,$A15,"L",,"USD","H")</f>
        <v>12750</v>
      </c>
      <c r="AB15" s="38" cm="1">
        <f t="array" ref="AB15">_xll.ciqfunctions.udf.CIQ(D$3,$Z$1,$B$2,$A15,"L",,"USD","H")</f>
        <v>6353</v>
      </c>
      <c r="AC15" s="38" cm="1">
        <f t="array" ref="AC15">_xll.ciqfunctions.udf.CIQ(E$3,$Z$1,$B$2,$A15,"L",,"USD","H")</f>
        <v>2277</v>
      </c>
      <c r="AD15" s="38" cm="1">
        <f t="array" ref="AD15">_xll.ciqfunctions.udf.CIQ(F$3,$Z$1,$B$2,$A15,"L",,"USD","H")</f>
        <v>10803</v>
      </c>
      <c r="AE15" s="38" cm="1">
        <f t="array" ref="AE15">_xll.ciqfunctions.udf.CIQ(G$3,$Z$1,$B$2,$A15,"L",,"USD","H")</f>
        <v>1201</v>
      </c>
      <c r="AF15" s="40" cm="1">
        <f t="array" ref="AF15">_xll.ciqfunctions.udf.CIQ(B$3,$Z$1,$H$2,$A15,"L",,"USD","H")</f>
        <v>18680</v>
      </c>
      <c r="AG15" s="40" cm="1">
        <f t="array" ref="AG15">_xll.ciqfunctions.udf.CIQ(C$3,$Z$1,$H$2,$A15,"L",,"USD","H")</f>
        <v>55740</v>
      </c>
      <c r="AH15" s="40" cm="1">
        <f t="array" ref="AH15">_xll.ciqfunctions.udf.CIQ(D$3,$Z$1,$H$2,$A15,"L",,"USD","H")</f>
        <v>35465</v>
      </c>
      <c r="AI15" s="40" cm="1">
        <f t="array" ref="AI15">_xll.ciqfunctions.udf.CIQ(E$3,$Z$1,$H$2,$A15,"L",,"USD","H")</f>
        <v>7759</v>
      </c>
      <c r="AJ15" s="40" cm="1">
        <f t="array" ref="AJ15">_xll.ciqfunctions.udf.CIQ(F$3,$Z$1,$H$2,$A15,"L",,"USD","H")</f>
        <v>-2487</v>
      </c>
      <c r="AK15" s="40" cm="1">
        <f t="array" ref="AK15">_xll.ciqfunctions.udf.CIQ(G$3,$Z$1,$H$2,$A15,"L",,"USD","H")</f>
        <v>6015</v>
      </c>
      <c r="AL15" s="13" cm="1">
        <f t="array" ref="AL15">_xll.ciqfunctions.udf.CIQ(B$3,$AL$1,$AL$2,$A15,"L",,"USD","H")</f>
        <v>23.677099999999999</v>
      </c>
      <c r="AM15" s="13" cm="1">
        <f t="array" ref="AM15">_xll.ciqfunctions.udf.CIQ(C$3,$AL$1,$AL$2,$A15,"L",,"USD","H")</f>
        <v>43.742899999999999</v>
      </c>
      <c r="AN15" s="13" cm="1">
        <f t="array" ref="AN15">_xll.ciqfunctions.udf.CIQ(D$3,$AL$1,$AL$2,$A15,"L",,"USD","H")</f>
        <v>25.677499999999998</v>
      </c>
      <c r="AO15" s="13" cm="1">
        <f t="array" ref="AO15">_xll.ciqfunctions.udf.CIQ(E$3,$AL$1,$AL$2,$A15,"L",,"USD","H")</f>
        <v>14.7103</v>
      </c>
      <c r="AP15" s="13" cm="1">
        <f t="array" ref="AP15">_xll.ciqfunctions.udf.CIQ(F$3,$AL$1,$AL$2,$A15,"L",,"USD","H")</f>
        <v>364.44529999999997</v>
      </c>
      <c r="AQ15" s="13" cm="1">
        <f t="array" ref="AQ15">_xll.ciqfunctions.udf.CIQ(G$3,$AL$1,$AL$2,$A15,"L",,"USD","H")</f>
        <v>-20.252400000000002</v>
      </c>
      <c r="AR15" s="41" cm="1">
        <f t="array" ref="AR15">_xll.ciqfunctions.udf.CIQ(B$3,$AL$1,$AR$2,$A15,"L",,"USD","H")</f>
        <v>131.2167</v>
      </c>
      <c r="AS15" s="41" cm="1">
        <f t="array" ref="AS15">_xll.ciqfunctions.udf.CIQ(C$3,$AL$1,$AR$2,$A15,"L",,"USD","H")</f>
        <v>141.92699999999999</v>
      </c>
      <c r="AT15" s="41" cm="1">
        <f t="array" ref="AT15">_xll.ciqfunctions.udf.CIQ(D$3,$AL$1,$AR$2,$A15,"L",,"USD","H")</f>
        <v>126.976</v>
      </c>
      <c r="AU15" s="41" cm="1">
        <f t="array" ref="AU15">_xll.ciqfunctions.udf.CIQ(E$3,$AL$1,$AR$2,$A15,"L",,"USD","H")</f>
        <v>66.359300000000005</v>
      </c>
      <c r="AV15" s="41" t="str" cm="1">
        <f t="array" ref="AV15">_xll.ciqfunctions.udf.CIQ(F$3,$AL$1,$AR$2,$A15,"L",,"USD","H")</f>
        <v>NM</v>
      </c>
      <c r="AW15" s="41" cm="1">
        <f t="array" ref="AW15">_xll.ciqfunctions.udf.CIQ(G$3,$AL$1,$AR$2,$A15,"L",,"USD","H")</f>
        <v>113.82859999999999</v>
      </c>
      <c r="AX15" s="38" cm="1">
        <f t="array" ref="AX15">_xll.ciqfunctions.udf.CIQ(B$3,$AX$1,$AX$2,$A15,"L",,"USD","H")</f>
        <v>7391</v>
      </c>
      <c r="AY15" s="38" cm="1">
        <f t="array" ref="AY15">_xll.ciqfunctions.udf.CIQ(C$3,$AX$1,$AX$2,$A15,"L",,"USD","H")</f>
        <v>17974</v>
      </c>
      <c r="AZ15" s="38" cm="1">
        <f t="array" ref="AZ15">_xll.ciqfunctions.udf.CIQ(D$3,$AX$1,$AX$2,$A15,"L",,"USD","H")</f>
        <v>13058</v>
      </c>
      <c r="BA15" s="38" cm="1">
        <f t="array" ref="BA15">_xll.ciqfunctions.udf.CIQ(E$3,$AX$1,$AX$2,$A15,"L",,"USD","H")</f>
        <v>3875</v>
      </c>
      <c r="BB15" s="38" cm="1">
        <f t="array" ref="BB15">_xll.ciqfunctions.udf.CIQ(F$3,$AX$1,$AX$2,$A15,"L",,"USD","H")</f>
        <v>21793</v>
      </c>
      <c r="BC15" s="38" cm="1">
        <f t="array" ref="BC15">_xll.ciqfunctions.udf.CIQ(G$3,$AX$1,$AX$2,$A15,"L",,"USD","H")</f>
        <v>2199</v>
      </c>
      <c r="BD15" s="40" cm="1">
        <f t="array" ref="BD15">_xll.ciqfunctions.udf.CIQ(B$3,$AX$1,$BD$2,$A15,"L",,"USD","H")</f>
        <v>34916</v>
      </c>
      <c r="BE15" s="40" cm="1">
        <f t="array" ref="BE15">_xll.ciqfunctions.udf.CIQ(C$3,$AX$1,$BD$2,$A15,"L",,"USD","H")</f>
        <v>89648</v>
      </c>
      <c r="BF15" s="40" cm="1">
        <f t="array" ref="BF15">_xll.ciqfunctions.udf.CIQ(D$3,$AX$1,$BD$2,$A15,"L",,"USD","H")</f>
        <v>57447</v>
      </c>
      <c r="BG15" s="40">
        <f>_xll.ciqfunctions.udf.CIQ("COP", "IQ_PRICEDATE", "10/24/2025")</f>
        <v>45954</v>
      </c>
      <c r="BH15" s="40" cm="1">
        <f t="array" ref="BH15">_xll.ciqfunctions.udf.CIQ(F$3,$AX$1,$BD$2,$A15,"L",,"USD","H")</f>
        <v>55549</v>
      </c>
      <c r="BI15" s="40" cm="1">
        <f t="array" ref="BI15">_xll.ciqfunctions.udf.CIQ(G$3,$AX$1,$BD$2,$A15,"L",,"USD","H")</f>
        <v>10288</v>
      </c>
      <c r="BJ15" s="43">
        <f t="shared" si="1"/>
        <v>8.0555555555555491E-2</v>
      </c>
      <c r="BK15" s="43">
        <f t="shared" si="2"/>
        <v>0.15299249470780674</v>
      </c>
      <c r="BL15" s="43">
        <f t="shared" si="3"/>
        <v>0.31328572865332394</v>
      </c>
      <c r="BM15" s="43">
        <f t="shared" si="4"/>
        <v>5.8743169398907114E-2</v>
      </c>
      <c r="BN15" s="43">
        <f t="shared" si="5"/>
        <v>1.0298994038748135</v>
      </c>
      <c r="BO15" s="43">
        <f t="shared" si="6"/>
        <v>-4.8875432525951612E-2</v>
      </c>
      <c r="BP15" s="42">
        <f t="shared" si="7"/>
        <v>0.72220578080299891</v>
      </c>
      <c r="BQ15" s="42">
        <f t="shared" si="8"/>
        <v>1.0242052023121389</v>
      </c>
      <c r="BR15" s="42">
        <f t="shared" si="9"/>
        <v>0.70810537583254041</v>
      </c>
      <c r="BS15" s="42">
        <f t="shared" si="10"/>
        <v>6.0967643600573496E-4</v>
      </c>
      <c r="BT15" s="42">
        <f t="shared" si="11"/>
        <v>1.2080054058351219</v>
      </c>
      <c r="BU15" s="42">
        <f t="shared" si="12"/>
        <v>0.86952571324731975</v>
      </c>
      <c r="BV15" s="68" cm="1">
        <f t="array" ref="BV15">_xll.ciqfunctions.udf.CIQ(B$3,$BV$1,$BV$2,$A15,"L",,"USD","H")/100</f>
        <v>5.2363999999999994E-2</v>
      </c>
      <c r="BW15" s="68" cm="1">
        <f t="array" ref="BW15">_xll.ciqfunctions.udf.CIQ(C$3,$BV$1,$BV$2,$A15,"L",,"USD","H")/100</f>
        <v>0.14730000000000001</v>
      </c>
      <c r="BX15" s="68" cm="1">
        <f t="array" ref="BX15">_xll.ciqfunctions.udf.CIQ(D$3,$BV$1,$BV$2,$A15,"L",,"USD","H")/100</f>
        <v>7.8511999999999998E-2</v>
      </c>
      <c r="BY15" s="68" cm="1">
        <f t="array" ref="BY15">_xll.ciqfunctions.udf.CIQ(E$3,$BV$1,$BV$2,$A15,"L",,"USD","H")/100</f>
        <v>0.30408000000000002</v>
      </c>
      <c r="BZ15" s="68" cm="1">
        <f t="array" ref="BZ15">_xll.ciqfunctions.udf.CIQ(F$3,$BV$1,$BV$2,$A15,"L",,"USD","H")/100</f>
        <v>0.32456800000000002</v>
      </c>
      <c r="CA15" s="68" cm="1">
        <f t="array" ref="CA15">_xll.ciqfunctions.udf.CIQ(G$3,$BV$1,$BV$2,$A15,"L",,"USD","H")/100</f>
        <v>7.2936000000000001E-2</v>
      </c>
      <c r="CB15" s="68" cm="1">
        <f t="array" ref="CB15">_xll.ciqfunctions.udf.CIQ(B$3,$BV$1,$CB$2,$A15,"L",,"USD","H")/100</f>
        <v>0.19747199999999998</v>
      </c>
      <c r="CC15" s="68" cm="1">
        <f t="array" ref="CC15">_xll.ciqfunctions.udf.CIQ(C$3,$BV$1,$CB$2,$A15,"L",,"USD","H")/100</f>
        <v>0.170678</v>
      </c>
      <c r="CD15" s="68" cm="1">
        <f t="array" ref="CD15">_xll.ciqfunctions.udf.CIQ(D$3,$BV$1,$CB$2,$A15,"L",,"USD","H")/100</f>
        <v>0.135184</v>
      </c>
      <c r="CE15" s="68" cm="1">
        <f t="array" ref="CE15">_xll.ciqfunctions.udf.CIQ(E$3,$BV$1,$CB$2,$A15,"L",,"USD","H")/100</f>
        <v>8.8773000000000005E-2</v>
      </c>
      <c r="CF15" s="68" cm="1">
        <f t="array" ref="CF15">_xll.ciqfunctions.udf.CIQ(F$3,$BV$1,$CB$2,$A15,"L",,"USD","H")/100</f>
        <v>-4.5830000000000003E-2</v>
      </c>
      <c r="CG15" s="68" cm="1">
        <f t="array" ref="CG15">_xll.ciqfunctions.udf.CIQ(G$3,$BV$1,$CB$2,$A15,"L",,"USD","H")/100</f>
        <v>0.15427299999999999</v>
      </c>
    </row>
    <row r="16" spans="1:85" x14ac:dyDescent="0.45">
      <c r="A16" s="3">
        <f>EDATE(A12,-12)</f>
        <v>44834</v>
      </c>
      <c r="B16" s="14" cm="1">
        <f t="array" ref="B16">_xll.ciqfunctions.udf.CIQ(B$3,$B$1,$B$2,$A16,"L",,"USD","H")</f>
        <v>21574</v>
      </c>
      <c r="C16" s="38" cm="1">
        <f t="array" ref="C16">_xll.ciqfunctions.udf.CIQ(C$3,$B$1,$B$2,$A16,"L",,"USD","H")</f>
        <v>107438</v>
      </c>
      <c r="D16" s="38" cm="1">
        <f t="array" ref="D16">_xll.ciqfunctions.udf.CIQ(D$3,$B$1,$B$2,$A16,"L",,"USD","H")</f>
        <v>64244</v>
      </c>
      <c r="E16" s="38" cm="1">
        <f t="array" ref="E16">_xll.ciqfunctions.udf.CIQ(E$3,$B$1,$B$2,$A16,"L",,"USD","H")</f>
        <v>7632</v>
      </c>
      <c r="F16" s="38" cm="1">
        <f t="array" ref="F16">_xll.ciqfunctions.udf.CIQ(F$3,$B$1,$B$2,$A16,"L",,"USD","H")</f>
        <v>54372</v>
      </c>
      <c r="G16" s="38" cm="1">
        <f t="array" ref="G16">_xll.ciqfunctions.udf.CIQ(G$3,$B$1,$B$2,$A16,"L",,"USD","H")</f>
        <v>5184</v>
      </c>
      <c r="H16" s="40" cm="1">
        <f t="array" ref="H16">_xll.ciqfunctions.udf.CIQ(B$3,$B$1,$H$2,$A16,"L",,"USD","H")</f>
        <v>76899</v>
      </c>
      <c r="I16" s="40" cm="1">
        <f t="array" ref="I16">_xll.ciqfunctions.udf.CIQ(C$3,$B$1,$H$2,$A16,"L",,"USD","H")</f>
        <v>390278</v>
      </c>
      <c r="J16" s="40" cm="1">
        <f t="array" ref="J16">_xll.ciqfunctions.udf.CIQ(D$3,$B$1,$H$2,$A16,"L",,"USD","H")</f>
        <v>227692</v>
      </c>
      <c r="K16" s="40" cm="1">
        <f t="array" ref="K16">_xll.ciqfunctions.udf.CIQ(E$3,$B$1,$H$2,$A16,"L",,"USD","H")</f>
        <v>29034</v>
      </c>
      <c r="L16" s="40" cm="1">
        <f t="array" ref="L16">_xll.ciqfunctions.udf.CIQ(F$3,$B$1,$H$2,$A16,"L",,"USD","H")</f>
        <v>220870</v>
      </c>
      <c r="M16" s="40" cm="1">
        <f t="array" ref="M16">_xll.ciqfunctions.udf.CIQ(G$3,$B$1,$H$2,$A16,"L",,"USD","H")</f>
        <v>18785</v>
      </c>
      <c r="N16" s="13" cm="1">
        <f t="array" ref="N16">_xll.ciqfunctions.udf.CIQ(B$3,$N$1,$B$2,$A16,"L",,"USD","H")</f>
        <v>86.545599999999993</v>
      </c>
      <c r="O16" s="13" cm="1">
        <f t="array" ref="O16">_xll.ciqfunctions.udf.CIQ(C$3,$N$1,$B$2,$A16,"L",,"USD","H")</f>
        <v>48.979399999999998</v>
      </c>
      <c r="P16" s="13" cm="1">
        <f t="array" ref="P16">_xll.ciqfunctions.udf.CIQ(D$3,$N$1,$B$2,$A16,"L",,"USD","H")</f>
        <v>50.977600000000002</v>
      </c>
      <c r="Q16" s="13" cm="1">
        <f t="array" ref="Q16">_xll.ciqfunctions.udf.CIQ(E$3,$N$1,$B$2,$A16,"L",,"USD","H")</f>
        <v>45.150199999999998</v>
      </c>
      <c r="R16" s="13" cm="1">
        <f t="array" ref="R16">_xll.ciqfunctions.udf.CIQ(F$3,$N$1,$B$2,$A16,"L",,"USD","H")</f>
        <v>51.792200000000001</v>
      </c>
      <c r="S16" s="13" cm="1">
        <f t="array" ref="S16">_xll.ciqfunctions.udf.CIQ(G$3,$N$1,$B$2,$A16,"L",,"USD","H")</f>
        <v>36.385100000000001</v>
      </c>
      <c r="T16" s="94">
        <v>45968</v>
      </c>
      <c r="U16" s="41" cm="1">
        <f t="array" ref="U16">_xll.ciqfunctions.udf.CIQ(O$3,$N$1,$T$2,$A16,"L",,"USD","H")</f>
        <v>61.072800000000001</v>
      </c>
      <c r="V16" s="41" cm="1">
        <f t="array" ref="V16">_xll.ciqfunctions.udf.CIQ(P$3,$N$1,$T$2,$A16,"L",,"USD","H")</f>
        <v>69.671199999999999</v>
      </c>
      <c r="W16" s="41" cm="1">
        <f t="array" ref="W16">_xll.ciqfunctions.udf.CIQ(Q$3,$N$1,$T$2,$A16,"L",,"USD","H")</f>
        <v>73.430400000000006</v>
      </c>
      <c r="X16" s="41" cm="1">
        <f t="array" ref="X16">_xll.ciqfunctions.udf.CIQ(R$3,$N$1,$T$2,$A16,"L",,"USD","H")</f>
        <v>64.982200000000006</v>
      </c>
      <c r="Y16" s="41" cm="1">
        <f t="array" ref="Y16">_xll.ciqfunctions.udf.CIQ(S$3,$N$1,$T$2,$A16,"L",,"USD","H")</f>
        <v>80.399500000000003</v>
      </c>
      <c r="Z16" s="38" cm="1">
        <f t="array" ref="Z16">_xll.ciqfunctions.udf.CIQ(B$3,$Z$1,$B$2,$A16,"L",,"USD","H")</f>
        <v>4527</v>
      </c>
      <c r="AA16" s="38" cm="1">
        <f t="array" ref="AA16">_xll.ciqfunctions.udf.CIQ(C$3,$Z$1,$B$2,$A16,"L",,"USD","H")</f>
        <v>19660</v>
      </c>
      <c r="AB16" s="38" cm="1">
        <f t="array" ref="AB16">_xll.ciqfunctions.udf.CIQ(D$3,$Z$1,$B$2,$A16,"L",,"USD","H")</f>
        <v>11231</v>
      </c>
      <c r="AC16" s="38" cm="1">
        <f t="array" ref="AC16">_xll.ciqfunctions.udf.CIQ(E$3,$Z$1,$B$2,$A16,"L",,"USD","H")</f>
        <v>2854</v>
      </c>
      <c r="AD16" s="38" cm="1">
        <f t="array" ref="AD16">_xll.ciqfunctions.udf.CIQ(F$3,$Z$1,$B$2,$A16,"L",,"USD","H")</f>
        <v>-2163</v>
      </c>
      <c r="AE16" s="38" cm="1">
        <f t="array" ref="AE16">_xll.ciqfunctions.udf.CIQ(G$3,$Z$1,$B$2,$A16,"L",,"USD","H")</f>
        <v>1893</v>
      </c>
      <c r="AF16" s="40" cm="1">
        <f t="array" ref="AF16">_xll.ciqfunctions.udf.CIQ(B$3,$Z$1,$H$2,$A16,"L",,"USD","H")</f>
        <v>18058</v>
      </c>
      <c r="AG16" s="40" cm="1">
        <f t="array" ref="AG16">_xll.ciqfunctions.udf.CIQ(C$3,$Z$1,$H$2,$A16,"L",,"USD","H")</f>
        <v>51860</v>
      </c>
      <c r="AH16" s="40" cm="1">
        <f t="array" ref="AH16">_xll.ciqfunctions.udf.CIQ(D$3,$Z$1,$H$2,$A16,"L",,"USD","H")</f>
        <v>34167</v>
      </c>
      <c r="AI16" s="40" cm="1">
        <f t="array" ref="AI16">_xll.ciqfunctions.udf.CIQ(E$3,$Z$1,$H$2,$A16,"L",,"USD","H")</f>
        <v>7467</v>
      </c>
      <c r="AJ16" s="40" cm="1">
        <f t="array" ref="AJ16">_xll.ciqfunctions.udf.CIQ(F$3,$Z$1,$H$2,$A16,"L",,"USD","H")</f>
        <v>-10964</v>
      </c>
      <c r="AK16" s="40" cm="1">
        <f t="array" ref="AK16">_xll.ciqfunctions.udf.CIQ(G$3,$Z$1,$H$2,$A16,"L",,"USD","H")</f>
        <v>6320</v>
      </c>
      <c r="AL16" s="13" cm="1">
        <f t="array" ref="AL16">_xll.ciqfunctions.udf.CIQ(B$3,$AL$1,$AL$2,$A16,"L",,"USD","H")</f>
        <v>90.29</v>
      </c>
      <c r="AM16" s="13" cm="1">
        <f t="array" ref="AM16">_xll.ciqfunctions.udf.CIQ(C$3,$AL$1,$AL$2,$A16,"L",,"USD","H")</f>
        <v>191.25919999999999</v>
      </c>
      <c r="AN16" s="13" cm="1">
        <f t="array" ref="AN16">_xll.ciqfunctions.udf.CIQ(D$3,$AL$1,$AL$2,$A16,"L",,"USD","H")</f>
        <v>83.783299999999997</v>
      </c>
      <c r="AO16" s="13" cm="1">
        <f t="array" ref="AO16">_xll.ciqfunctions.udf.CIQ(E$3,$AL$1,$AL$2,$A16,"L",,"USD","H")</f>
        <v>160.63919999999999</v>
      </c>
      <c r="AP16" s="13" t="str" cm="1">
        <f t="array" ref="AP16">_xll.ciqfunctions.udf.CIQ(F$3,$AL$1,$AL$2,$A16,"L",,"USD","H")</f>
        <v>NM</v>
      </c>
      <c r="AQ16" s="13" cm="1">
        <f t="array" ref="AQ16">_xll.ciqfunctions.udf.CIQ(G$3,$AL$1,$AL$2,$A16,"L",,"USD","H")</f>
        <v>125.89490000000001</v>
      </c>
      <c r="AR16" s="41" cm="1">
        <f t="array" ref="AR16">_xll.ciqfunctions.udf.CIQ(B$3,$AL$1,$AR$2,$A16,"L",,"USD","H")</f>
        <v>285.85469999999998</v>
      </c>
      <c r="AS16" s="41" t="str" cm="1">
        <f t="array" ref="AS16">_xll.ciqfunctions.udf.CIQ(C$3,$AL$1,$AR$2,$A16,"L",,"USD","H")</f>
        <v>NM</v>
      </c>
      <c r="AT16" s="41" cm="1">
        <f t="array" ref="AT16">_xll.ciqfunctions.udf.CIQ(D$3,$AL$1,$AR$2,$A16,"L",,"USD","H")</f>
        <v>244.9469</v>
      </c>
      <c r="AU16" s="41" cm="1">
        <f t="array" ref="AU16">_xll.ciqfunctions.udf.CIQ(E$3,$AL$1,$AR$2,$A16,"L",,"USD","H")</f>
        <v>147.5795</v>
      </c>
      <c r="AV16" s="41" t="str" cm="1">
        <f t="array" ref="AV16">_xll.ciqfunctions.udf.CIQ(F$3,$AL$1,$AR$2,$A16,"L",,"USD","H")</f>
        <v>NM</v>
      </c>
      <c r="AW16" s="41" cm="1">
        <f t="array" ref="AW16">_xll.ciqfunctions.udf.CIQ(G$3,$AL$1,$AR$2,$A16,"L",,"USD","H")</f>
        <v>424.48129999999998</v>
      </c>
      <c r="AX16" s="38" cm="1">
        <f t="array" ref="AX16">_xll.ciqfunctions.udf.CIQ(B$3,$AX$1,$AX$2,$A16,"L",,"USD","H")</f>
        <v>9383</v>
      </c>
      <c r="AY16" s="38" cm="1">
        <f t="array" ref="AY16">_xll.ciqfunctions.udf.CIQ(C$3,$AX$1,$AX$2,$A16,"L",,"USD","H")</f>
        <v>33985</v>
      </c>
      <c r="AZ16" s="38" cm="1">
        <f t="array" ref="AZ16">_xll.ciqfunctions.udf.CIQ(D$3,$AX$1,$AX$2,$A16,"L",,"USD","H")</f>
        <v>16728</v>
      </c>
      <c r="BA16" s="38" cm="1">
        <f t="array" ref="BA16">_xll.ciqfunctions.udf.CIQ(E$3,$AX$1,$AX$2,$A16,"L",,"USD","H")</f>
        <v>4685</v>
      </c>
      <c r="BB16" s="38" cm="1">
        <f t="array" ref="BB16">_xll.ciqfunctions.udf.CIQ(F$3,$AX$1,$AX$2,$A16,"L",,"USD","H")</f>
        <v>3905</v>
      </c>
      <c r="BC16" s="38" cm="1">
        <f t="array" ref="BC16">_xll.ciqfunctions.udf.CIQ(G$3,$AX$1,$AX$2,$A16,"L",,"USD","H")</f>
        <v>3120</v>
      </c>
      <c r="BD16" s="40" cm="1">
        <f t="array" ref="BD16">_xll.ciqfunctions.udf.CIQ(B$3,$AX$1,$BD$2,$A16,"L",,"USD","H")</f>
        <v>34365</v>
      </c>
      <c r="BE16" s="40" cm="1">
        <f t="array" ref="BE16">_xll.ciqfunctions.udf.CIQ(C$3,$AX$1,$BD$2,$A16,"L",,"USD","H")</f>
        <v>95153</v>
      </c>
      <c r="BF16" s="40" cm="1">
        <f t="array" ref="BF16">_xll.ciqfunctions.udf.CIQ(D$3,$AX$1,$BD$2,$A16,"L",,"USD","H")</f>
        <v>54332</v>
      </c>
      <c r="BG16" s="40">
        <f>_xll.ciqfunctions.udf.CIQ("COP", "IQ_PRICEDATE", "10/17/2025")</f>
        <v>45947</v>
      </c>
      <c r="BH16" s="40" cm="1">
        <f t="array" ref="BH16">_xll.ciqfunctions.udf.CIQ(F$3,$AX$1,$BD$2,$A16,"L",,"USD","H")</f>
        <v>38088</v>
      </c>
      <c r="BI16" s="40" cm="1">
        <f t="array" ref="BI16">_xll.ciqfunctions.udf.CIQ(G$3,$AX$1,$BD$2,$A16,"L",,"USD","H")</f>
        <v>10381</v>
      </c>
      <c r="BJ16" s="43">
        <f t="shared" si="1"/>
        <v>0.76008253610954801</v>
      </c>
      <c r="BK16" s="43">
        <f t="shared" si="2"/>
        <v>1.5863774733637745</v>
      </c>
      <c r="BL16" s="43">
        <f t="shared" si="3"/>
        <v>0.61358155686312332</v>
      </c>
      <c r="BM16" s="43">
        <f t="shared" si="4"/>
        <v>0.8898749495764422</v>
      </c>
      <c r="BN16" s="43">
        <f t="shared" si="5"/>
        <v>0.44576082932247307</v>
      </c>
      <c r="BO16" s="43">
        <f t="shared" si="6"/>
        <v>0.88633615477629979</v>
      </c>
      <c r="BP16" s="42">
        <f t="shared" si="7"/>
        <v>1.356026326614562</v>
      </c>
      <c r="BQ16" s="42">
        <f t="shared" si="8"/>
        <v>1.7439801597600715</v>
      </c>
      <c r="BR16" s="42">
        <f t="shared" si="9"/>
        <v>0.96250677262055273</v>
      </c>
      <c r="BS16" s="42">
        <f t="shared" si="10"/>
        <v>6.0976937651080476E-4</v>
      </c>
      <c r="BT16" s="42">
        <f t="shared" si="11"/>
        <v>1.1172939018288957</v>
      </c>
      <c r="BU16" s="42">
        <f t="shared" si="12"/>
        <v>1.9600798403193611</v>
      </c>
      <c r="BV16" s="68" cm="1">
        <f t="array" ref="BV16">_xll.ciqfunctions.udf.CIQ(B$3,$BV$1,$BV$2,$A16,"L",,"USD","H")/100</f>
        <v>0.18274399999999999</v>
      </c>
      <c r="BW16" s="68" cm="1">
        <f t="array" ref="BW16">_xll.ciqfunctions.udf.CIQ(C$3,$BV$1,$BV$2,$A16,"L",,"USD","H")/100</f>
        <v>0.27199200000000001</v>
      </c>
      <c r="BX16" s="68" cm="1">
        <f t="array" ref="BX16">_xll.ciqfunctions.udf.CIQ(D$3,$BV$1,$BV$2,$A16,"L",,"USD","H")/100</f>
        <v>0.18651599999999999</v>
      </c>
      <c r="BY16" s="68" cm="1">
        <f t="array" ref="BY16">_xll.ciqfunctions.udf.CIQ(E$3,$BV$1,$BV$2,$A16,"L",,"USD","H")/100</f>
        <v>0.21723199999999998</v>
      </c>
      <c r="BZ16" s="68" cm="1">
        <f t="array" ref="BZ16">_xll.ciqfunctions.udf.CIQ(F$3,$BV$1,$BV$2,$A16,"L",,"USD","H")/100</f>
        <v>-9.7764000000000004E-2</v>
      </c>
      <c r="CA16" s="68" cm="1">
        <f t="array" ref="CA16">_xll.ciqfunctions.udf.CIQ(G$3,$BV$1,$BV$2,$A16,"L",,"USD","H")/100</f>
        <v>0.20418</v>
      </c>
      <c r="CB16" s="68" cm="1">
        <f t="array" ref="CB16">_xll.ciqfunctions.udf.CIQ(B$3,$BV$1,$CB$2,$A16,"L",,"USD","H")/100</f>
        <v>0.217419</v>
      </c>
      <c r="CC16" s="68" cm="1">
        <f t="array" ref="CC16">_xll.ciqfunctions.udf.CIQ(C$3,$BV$1,$CB$2,$A16,"L",,"USD","H")/100</f>
        <v>0.15964700000000001</v>
      </c>
      <c r="CD16" s="68" cm="1">
        <f t="array" ref="CD16">_xll.ciqfunctions.udf.CIQ(D$3,$BV$1,$CB$2,$A16,"L",,"USD","H")/100</f>
        <v>0.13066</v>
      </c>
      <c r="CE16" s="68" cm="1">
        <f t="array" ref="CE16">_xll.ciqfunctions.udf.CIQ(E$3,$BV$1,$CB$2,$A16,"L",,"USD","H")/100</f>
        <v>0.141847</v>
      </c>
      <c r="CF16" s="68" cm="1">
        <f t="array" ref="CF16">_xll.ciqfunctions.udf.CIQ(F$3,$BV$1,$CB$2,$A16,"L",,"USD","H")/100</f>
        <v>-0.10599600000000001</v>
      </c>
      <c r="CG16" s="68" cm="1">
        <f t="array" ref="CG16">_xll.ciqfunctions.udf.CIQ(G$3,$BV$1,$CB$2,$A16,"L",,"USD","H")/100</f>
        <v>0.19428799999999999</v>
      </c>
    </row>
    <row r="17" spans="1:85" x14ac:dyDescent="0.45">
      <c r="A17" s="3">
        <f t="shared" si="13"/>
        <v>44742</v>
      </c>
      <c r="B17" s="14" cm="1">
        <f t="array" ref="B17">_xll.ciqfunctions.udf.CIQ(B$3,$B$1,$B$2,$A17,"L",,"USD","H")</f>
        <v>21685</v>
      </c>
      <c r="C17" s="38" cm="1">
        <f t="array" ref="C17">_xll.ciqfunctions.udf.CIQ(C$3,$B$1,$B$2,$A17,"L",,"USD","H")</f>
        <v>111993</v>
      </c>
      <c r="D17" s="38" cm="1">
        <f t="array" ref="D17">_xll.ciqfunctions.udf.CIQ(D$3,$B$1,$B$2,$A17,"L",,"USD","H")</f>
        <v>66305</v>
      </c>
      <c r="E17" s="38" cm="1">
        <f t="array" ref="E17">_xll.ciqfunctions.udf.CIQ(E$3,$B$1,$B$2,$A17,"L",,"USD","H")</f>
        <v>8687</v>
      </c>
      <c r="F17" s="38" cm="1">
        <f t="array" ref="F17">_xll.ciqfunctions.udf.CIQ(F$3,$B$1,$B$2,$A17,"L",,"USD","H")</f>
        <v>67242</v>
      </c>
      <c r="G17" s="38" cm="1">
        <f t="array" ref="G17">_xll.ciqfunctions.udf.CIQ(G$3,$B$1,$B$2,$A17,"L",,"USD","H")</f>
        <v>5544</v>
      </c>
      <c r="H17" s="40" cm="1">
        <f t="array" ref="H17">_xll.ciqfunctions.udf.CIQ(B$3,$B$1,$H$2,$A17,"L",,"USD","H")</f>
        <v>66890</v>
      </c>
      <c r="I17" s="40" cm="1">
        <f t="array" ref="I17">_xll.ciqfunctions.udf.CIQ(C$3,$B$1,$H$2,$A17,"L",,"USD","H")</f>
        <v>354956</v>
      </c>
      <c r="J17" s="40" cm="1">
        <f t="array" ref="J17">_xll.ciqfunctions.udf.CIQ(D$3,$B$1,$H$2,$A17,"L",,"USD","H")</f>
        <v>206000</v>
      </c>
      <c r="K17" s="40" cm="1">
        <f t="array" ref="K17">_xll.ciqfunctions.udf.CIQ(E$3,$B$1,$H$2,$A17,"L",,"USD","H")</f>
        <v>26660</v>
      </c>
      <c r="L17" s="40" cm="1">
        <f t="array" ref="L17">_xll.ciqfunctions.udf.CIQ(F$3,$B$1,$H$2,$A17,"L",,"USD","H")</f>
        <v>202318</v>
      </c>
      <c r="M17" s="40" cm="1">
        <f t="array" ref="M17">_xll.ciqfunctions.udf.CIQ(G$3,$B$1,$H$2,$A17,"L",,"USD","H")</f>
        <v>17402</v>
      </c>
      <c r="N17" s="13" cm="1">
        <f t="array" ref="N17">_xll.ciqfunctions.udf.CIQ(B$3,$N$1,$B$2,$A17,"L",,"USD","H")</f>
        <v>123.67189999999999</v>
      </c>
      <c r="O17" s="13" cm="1">
        <f t="array" ref="O17">_xll.ciqfunctions.udf.CIQ(C$3,$N$1,$B$2,$A17,"L",,"USD","H")</f>
        <v>68.903199999999998</v>
      </c>
      <c r="P17" s="13" cm="1">
        <f t="array" ref="P17">_xll.ciqfunctions.udf.CIQ(D$3,$N$1,$B$2,$A17,"L",,"USD","H")</f>
        <v>83.5839</v>
      </c>
      <c r="Q17" s="13" cm="1">
        <f t="array" ref="Q17">_xll.ciqfunctions.udf.CIQ(E$3,$N$1,$B$2,$A17,"L",,"USD","H")</f>
        <v>92.403099999999995</v>
      </c>
      <c r="R17" s="13" cm="1">
        <f t="array" ref="R17">_xll.ciqfunctions.udf.CIQ(F$3,$N$1,$B$2,$A17,"L",,"USD","H")</f>
        <v>85.895099999999999</v>
      </c>
      <c r="S17" s="13" cm="1">
        <f t="array" ref="S17">_xll.ciqfunctions.udf.CIQ(G$3,$N$1,$B$2,$A17,"L",,"USD","H")</f>
        <v>88.315200000000004</v>
      </c>
      <c r="T17" s="94">
        <v>45961</v>
      </c>
      <c r="U17" s="41" cm="1">
        <f t="array" ref="U17">_xll.ciqfunctions.udf.CIQ(O$3,$N$1,$T$2,$A17,"L",,"USD","H")</f>
        <v>64.423500000000004</v>
      </c>
      <c r="V17" s="41" cm="1">
        <f t="array" ref="V17">_xll.ciqfunctions.udf.CIQ(P$3,$N$1,$T$2,$A17,"L",,"USD","H")</f>
        <v>78.137500000000003</v>
      </c>
      <c r="W17" s="41" cm="1">
        <f t="array" ref="W17">_xll.ciqfunctions.udf.CIQ(Q$3,$N$1,$T$2,$A17,"L",,"USD","H")</f>
        <v>93.132400000000004</v>
      </c>
      <c r="X17" s="41" cm="1">
        <f t="array" ref="X17">_xll.ciqfunctions.udf.CIQ(R$3,$N$1,$T$2,$A17,"L",,"USD","H")</f>
        <v>62.861499999999999</v>
      </c>
      <c r="Y17" s="41" cm="1">
        <f t="array" ref="Y17">_xll.ciqfunctions.udf.CIQ(S$3,$N$1,$T$2,$A17,"L",,"USD","H")</f>
        <v>124.0793</v>
      </c>
      <c r="Z17" s="38" cm="1">
        <f t="array" ref="Z17">_xll.ciqfunctions.udf.CIQ(B$3,$Z$1,$B$2,$A17,"L",,"USD","H")</f>
        <v>5145</v>
      </c>
      <c r="AA17" s="38" cm="1">
        <f t="array" ref="AA17">_xll.ciqfunctions.udf.CIQ(C$3,$Z$1,$B$2,$A17,"L",,"USD","H")</f>
        <v>17850</v>
      </c>
      <c r="AB17" s="38" cm="1">
        <f t="array" ref="AB17">_xll.ciqfunctions.udf.CIQ(D$3,$Z$1,$B$2,$A17,"L",,"USD","H")</f>
        <v>11622</v>
      </c>
      <c r="AC17" s="38" cm="1">
        <f t="array" ref="AC17">_xll.ciqfunctions.udf.CIQ(E$3,$Z$1,$B$2,$A17,"L",,"USD","H")</f>
        <v>2238</v>
      </c>
      <c r="AD17" s="38" cm="1">
        <f t="array" ref="AD17">_xll.ciqfunctions.udf.CIQ(F$3,$Z$1,$B$2,$A17,"L",,"USD","H")</f>
        <v>9257</v>
      </c>
      <c r="AE17" s="38" cm="1">
        <f t="array" ref="AE17">_xll.ciqfunctions.udf.CIQ(G$3,$Z$1,$B$2,$A17,"L",,"USD","H")</f>
        <v>1932</v>
      </c>
      <c r="AF17" s="40" cm="1">
        <f t="array" ref="AF17">_xll.ciqfunctions.udf.CIQ(B$3,$Z$1,$H$2,$A17,"L",,"USD","H")</f>
        <v>15910</v>
      </c>
      <c r="AG17" s="40" cm="1">
        <f t="array" ref="AG17">_xll.ciqfunctions.udf.CIQ(C$3,$Z$1,$H$2,$A17,"L",,"USD","H")</f>
        <v>38950</v>
      </c>
      <c r="AH17" s="40" cm="1">
        <f t="array" ref="AH17">_xll.ciqfunctions.udf.CIQ(D$3,$Z$1,$H$2,$A17,"L",,"USD","H")</f>
        <v>29047</v>
      </c>
      <c r="AI17" s="40" cm="1">
        <f t="array" ref="AI17">_xll.ciqfunctions.udf.CIQ(E$3,$Z$1,$H$2,$A17,"L",,"USD","H")</f>
        <v>5708</v>
      </c>
      <c r="AJ17" s="40" cm="1">
        <f t="array" ref="AJ17">_xll.ciqfunctions.udf.CIQ(F$3,$Z$1,$H$2,$A17,"L",,"USD","H")</f>
        <v>-11345</v>
      </c>
      <c r="AK17" s="40" cm="1">
        <f t="array" ref="AK17">_xll.ciqfunctions.udf.CIQ(G$3,$Z$1,$H$2,$A17,"L",,"USD","H")</f>
        <v>5265</v>
      </c>
      <c r="AL17" s="13" cm="1">
        <f t="array" ref="AL17">_xll.ciqfunctions.udf.CIQ(B$3,$AL$1,$AL$2,$A17,"L",,"USD","H")</f>
        <v>146.05449999999999</v>
      </c>
      <c r="AM17" s="13" cm="1">
        <f t="array" ref="AM17">_xll.ciqfunctions.udf.CIQ(C$3,$AL$1,$AL$2,$A17,"L",,"USD","H")</f>
        <v>280.59699999999998</v>
      </c>
      <c r="AN17" s="13" cm="1">
        <f t="array" ref="AN17">_xll.ciqfunctions.udf.CIQ(D$3,$AL$1,$AL$2,$A17,"L",,"USD","H")</f>
        <v>277.09269999999998</v>
      </c>
      <c r="AO17" s="13" cm="1">
        <f t="array" ref="AO17">_xll.ciqfunctions.udf.CIQ(E$3,$AL$1,$AL$2,$A17,"L",,"USD","H")</f>
        <v>146.7475</v>
      </c>
      <c r="AP17" s="13" cm="1">
        <f t="array" ref="AP17">_xll.ciqfunctions.udf.CIQ(F$3,$AL$1,$AL$2,$A17,"L",,"USD","H")</f>
        <v>197.0795</v>
      </c>
      <c r="AQ17" s="13" cm="1">
        <f t="array" ref="AQ17">_xll.ciqfunctions.udf.CIQ(G$3,$AL$1,$AL$2,$A17,"L",,"USD","H")</f>
        <v>654.6875</v>
      </c>
      <c r="AR17" s="41" cm="1">
        <f t="array" ref="AR17">_xll.ciqfunctions.udf.CIQ(B$3,$AL$1,$AR$2,$A17,"L",,"USD","H")</f>
        <v>759.53530000000001</v>
      </c>
      <c r="AS17" s="41" t="str" cm="1">
        <f t="array" ref="AS17">_xll.ciqfunctions.udf.CIQ(C$3,$AL$1,$AR$2,$A17,"L",,"USD","H")</f>
        <v>NM</v>
      </c>
      <c r="AT17" s="41" cm="1">
        <f t="array" ref="AT17">_xll.ciqfunctions.udf.CIQ(D$3,$AL$1,$AR$2,$A17,"L",,"USD","H")</f>
        <v>709.78530000000001</v>
      </c>
      <c r="AU17" s="41" cm="1">
        <f t="array" ref="AU17">_xll.ciqfunctions.udf.CIQ(E$3,$AL$1,$AR$2,$A17,"L",,"USD","H")</f>
        <v>203.77860000000001</v>
      </c>
      <c r="AV17" s="41" t="str" cm="1">
        <f t="array" ref="AV17">_xll.ciqfunctions.udf.CIQ(F$3,$AL$1,$AR$2,$A17,"L",,"USD","H")</f>
        <v>NM</v>
      </c>
      <c r="AW17" s="41" cm="1">
        <f t="array" ref="AW17">_xll.ciqfunctions.udf.CIQ(G$3,$AL$1,$AR$2,$A17,"L",,"USD","H")</f>
        <v>1814.5454</v>
      </c>
      <c r="AX17" s="38" cm="1">
        <f t="array" ref="AX17">_xll.ciqfunctions.udf.CIQ(B$3,$AX$1,$AX$2,$A17,"L",,"USD","H")</f>
        <v>9405</v>
      </c>
      <c r="AY17" s="38" cm="1">
        <f t="array" ref="AY17">_xll.ciqfunctions.udf.CIQ(C$3,$AX$1,$AX$2,$A17,"L",,"USD","H")</f>
        <v>25890</v>
      </c>
      <c r="AZ17" s="38" cm="1">
        <f t="array" ref="AZ17">_xll.ciqfunctions.udf.CIQ(D$3,$AX$1,$AX$2,$A17,"L",,"USD","H")</f>
        <v>17368</v>
      </c>
      <c r="BA17" s="38" cm="1">
        <f t="array" ref="BA17">_xll.ciqfunctions.udf.CIQ(E$3,$AX$1,$AX$2,$A17,"L",,"USD","H")</f>
        <v>3808</v>
      </c>
      <c r="BB17" s="38" cm="1">
        <f t="array" ref="BB17">_xll.ciqfunctions.udf.CIQ(F$3,$AX$1,$AX$2,$A17,"L",,"USD","H")</f>
        <v>17015</v>
      </c>
      <c r="BC17" s="38" cm="1">
        <f t="array" ref="BC17">_xll.ciqfunctions.udf.CIQ(G$3,$AX$1,$AX$2,$A17,"L",,"USD","H")</f>
        <v>3106</v>
      </c>
      <c r="BD17" s="40" cm="1">
        <f t="array" ref="BD17">_xll.ciqfunctions.udf.CIQ(B$3,$AX$1,$BD$2,$A17,"L",,"USD","H")</f>
        <v>30313</v>
      </c>
      <c r="BE17" s="40" cm="1">
        <f t="array" ref="BE17">_xll.ciqfunctions.udf.CIQ(C$3,$AX$1,$BD$2,$A17,"L",,"USD","H")</f>
        <v>74308</v>
      </c>
      <c r="BF17" s="40" cm="1">
        <f t="array" ref="BF17">_xll.ciqfunctions.udf.CIQ(D$3,$AX$1,$BD$2,$A17,"L",,"USD","H")</f>
        <v>47936</v>
      </c>
      <c r="BG17" s="40">
        <f>_xll.ciqfunctions.udf.CIQ("COP", "IQ_PRICEDATE", "10/10/2025")</f>
        <v>45940</v>
      </c>
      <c r="BH17" s="40" cm="1">
        <f t="array" ref="BH17">_xll.ciqfunctions.udf.CIQ(F$3,$AX$1,$BD$2,$A17,"L",,"USD","H")</f>
        <v>36884</v>
      </c>
      <c r="BI17" s="40" cm="1">
        <f t="array" ref="BI17">_xll.ciqfunctions.udf.CIQ(G$3,$AX$1,$BD$2,$A17,"L",,"USD","H")</f>
        <v>8915</v>
      </c>
      <c r="BJ17" s="43">
        <f t="shared" si="1"/>
        <v>1.0178073374812273</v>
      </c>
      <c r="BK17" s="43">
        <f t="shared" si="2"/>
        <v>1.5692170288776421</v>
      </c>
      <c r="BL17" s="43">
        <f t="shared" si="3"/>
        <v>1.2706236109295332</v>
      </c>
      <c r="BM17" s="43">
        <f t="shared" si="4"/>
        <v>0.83253128007699706</v>
      </c>
      <c r="BN17" s="43">
        <f t="shared" si="5"/>
        <v>2.1445204213638882</v>
      </c>
      <c r="BO17" s="43">
        <f t="shared" si="6"/>
        <v>2.5949074074074074</v>
      </c>
      <c r="BP17" s="42">
        <f t="shared" si="7"/>
        <v>1.9172360696756807</v>
      </c>
      <c r="BQ17" s="42">
        <f t="shared" si="8"/>
        <v>1.9856959177113467</v>
      </c>
      <c r="BR17" s="42">
        <f t="shared" si="9"/>
        <v>1.2781104457751162</v>
      </c>
      <c r="BS17" s="42">
        <f t="shared" si="10"/>
        <v>6.0986234535631567E-4</v>
      </c>
      <c r="BT17" s="42">
        <f t="shared" si="11"/>
        <v>0.83520748333167472</v>
      </c>
      <c r="BU17" s="42">
        <f t="shared" si="12"/>
        <v>3.2594362159579555</v>
      </c>
      <c r="BV17" s="68" cm="1">
        <f t="array" ref="BV17">_xll.ciqfunctions.udf.CIQ(B$3,$BV$1,$BV$2,$A17,"L",,"USD","H")/100</f>
        <v>0.24608799999999997</v>
      </c>
      <c r="BW17" s="68" cm="1">
        <f t="array" ref="BW17">_xll.ciqfunctions.udf.CIQ(C$3,$BV$1,$BV$2,$A17,"L",,"USD","H")/100</f>
        <v>0.24806799999999998</v>
      </c>
      <c r="BX17" s="68" cm="1">
        <f t="array" ref="BX17">_xll.ciqfunctions.udf.CIQ(D$3,$BV$1,$BV$2,$A17,"L",,"USD","H")/100</f>
        <v>0.198324</v>
      </c>
      <c r="BY17" s="68" cm="1">
        <f t="array" ref="BY17">_xll.ciqfunctions.udf.CIQ(E$3,$BV$1,$BV$2,$A17,"L",,"USD","H")/100</f>
        <v>0.11042</v>
      </c>
      <c r="BZ17" s="68" cm="1">
        <f t="array" ref="BZ17">_xll.ciqfunctions.udf.CIQ(F$3,$BV$1,$BV$2,$A17,"L",,"USD","H")/100</f>
        <v>0.22600799999999999</v>
      </c>
      <c r="CA17" s="68" cm="1">
        <f t="array" ref="CA17">_xll.ciqfunctions.udf.CIQ(G$3,$BV$1,$BV$2,$A17,"L",,"USD","H")/100</f>
        <v>0.26592399999999999</v>
      </c>
      <c r="CB17" s="68" cm="1">
        <f t="array" ref="CB17">_xll.ciqfunctions.udf.CIQ(B$3,$BV$1,$CB$2,$A17,"L",,"USD","H")/100</f>
        <v>0.195802</v>
      </c>
      <c r="CC17" s="68" cm="1">
        <f t="array" ref="CC17">_xll.ciqfunctions.udf.CIQ(C$3,$BV$1,$CB$2,$A17,"L",,"USD","H")/100</f>
        <v>0.10481699999999999</v>
      </c>
      <c r="CD17" s="68" cm="1">
        <f t="array" ref="CD17">_xll.ciqfunctions.udf.CIQ(D$3,$BV$1,$CB$2,$A17,"L",,"USD","H")/100</f>
        <v>0.102855</v>
      </c>
      <c r="CE17" s="68" cm="1">
        <f t="array" ref="CE17">_xll.ciqfunctions.udf.CIQ(E$3,$BV$1,$CB$2,$A17,"L",,"USD","H")/100</f>
        <v>0.10119099999999999</v>
      </c>
      <c r="CF17" s="68" cm="1">
        <f t="array" ref="CF17">_xll.ciqfunctions.udf.CIQ(F$3,$BV$1,$CB$2,$A17,"L",,"USD","H")/100</f>
        <v>-0.10007400000000001</v>
      </c>
      <c r="CG17" s="68" cm="1">
        <f t="array" ref="CG17">_xll.ciqfunctions.udf.CIQ(G$3,$BV$1,$CB$2,$A17,"L",,"USD","H")/100</f>
        <v>0.178648</v>
      </c>
    </row>
    <row r="18" spans="1:85" x14ac:dyDescent="0.45">
      <c r="A18" s="3">
        <f t="shared" si="13"/>
        <v>44651</v>
      </c>
      <c r="B18" s="14" cm="1">
        <f t="array" ref="B18">_xll.ciqfunctions.udf.CIQ(B$3,$B$1,$B$2,$A18,"L",,"USD","H")</f>
        <v>18188</v>
      </c>
      <c r="C18" s="38" cm="1">
        <f t="array" ref="C18">_xll.ciqfunctions.udf.CIQ(C$3,$B$1,$B$2,$A18,"L",,"USD","H")</f>
        <v>87962</v>
      </c>
      <c r="D18" s="38" cm="1">
        <f t="array" ref="D18">_xll.ciqfunctions.udf.CIQ(D$3,$B$1,$B$2,$A18,"L",,"USD","H")</f>
        <v>51821</v>
      </c>
      <c r="E18" s="38" cm="1">
        <f t="array" ref="E18">_xll.ciqfunctions.udf.CIQ(E$3,$B$1,$B$2,$A18,"L",,"USD","H")</f>
        <v>6778</v>
      </c>
      <c r="F18" s="38" cm="1">
        <f t="array" ref="F18">_xll.ciqfunctions.udf.CIQ(F$3,$B$1,$B$2,$A18,"L",,"USD","H")</f>
        <v>48753</v>
      </c>
      <c r="G18" s="38" cm="1">
        <f t="array" ref="G18">_xll.ciqfunctions.udf.CIQ(G$3,$B$1,$B$2,$A18,"L",,"USD","H")</f>
        <v>4003</v>
      </c>
      <c r="H18" s="40" cm="1">
        <f t="array" ref="H18">_xll.ciqfunctions.udf.CIQ(B$3,$B$1,$H$2,$A18,"L",,"USD","H")</f>
        <v>54900</v>
      </c>
      <c r="I18" s="40" cm="1">
        <f t="array" ref="I18">_xll.ciqfunctions.udf.CIQ(C$3,$B$1,$H$2,$A18,"L",,"USD","H")</f>
        <v>309269</v>
      </c>
      <c r="J18" s="40" cm="1">
        <f t="array" ref="J18">_xll.ciqfunctions.udf.CIQ(D$3,$B$1,$H$2,$A18,"L",,"USD","H")</f>
        <v>175812</v>
      </c>
      <c r="K18" s="40" cm="1">
        <f t="array" ref="K18">_xll.ciqfunctions.udf.CIQ(E$3,$B$1,$H$2,$A18,"L",,"USD","H")</f>
        <v>22488</v>
      </c>
      <c r="L18" s="40" cm="1">
        <f t="array" ref="L18">_xll.ciqfunctions.udf.CIQ(F$3,$B$1,$H$2,$A18,"L",,"USD","H")</f>
        <v>171248</v>
      </c>
      <c r="M18" s="40" cm="1">
        <f t="array" ref="M18">_xll.ciqfunctions.udf.CIQ(G$3,$B$1,$H$2,$A18,"L",,"USD","H")</f>
        <v>14802</v>
      </c>
      <c r="N18" s="13" cm="1">
        <f t="array" ref="N18">_xll.ciqfunctions.udf.CIQ(B$3,$N$1,$B$2,$A18,"L",,"USD","H")</f>
        <v>82.830699999999993</v>
      </c>
      <c r="O18" s="13" cm="1">
        <f t="array" ref="O18">_xll.ciqfunctions.udf.CIQ(C$3,$N$1,$B$2,$A18,"L",,"USD","H")</f>
        <v>52.515799999999999</v>
      </c>
      <c r="P18" s="13" cm="1">
        <f t="array" ref="P18">_xll.ciqfunctions.udf.CIQ(D$3,$N$1,$B$2,$A18,"L",,"USD","H")</f>
        <v>66.755600000000001</v>
      </c>
      <c r="Q18" s="13" cm="1">
        <f t="array" ref="Q18">_xll.ciqfunctions.udf.CIQ(E$3,$N$1,$B$2,$A18,"L",,"USD","H")</f>
        <v>66.6584</v>
      </c>
      <c r="R18" s="13" cm="1">
        <f t="array" ref="R18">_xll.ciqfunctions.udf.CIQ(F$3,$N$1,$B$2,$A18,"L",,"USD","H")</f>
        <v>42.174300000000002</v>
      </c>
      <c r="S18" s="13" cm="1">
        <f t="array" ref="S18">_xll.ciqfunctions.udf.CIQ(G$3,$N$1,$B$2,$A18,"L",,"USD","H")</f>
        <v>72.691900000000004</v>
      </c>
      <c r="T18" s="94">
        <v>45954</v>
      </c>
      <c r="U18" s="41" cm="1">
        <f t="array" ref="U18">_xll.ciqfunctions.udf.CIQ(O$3,$N$1,$T$2,$A18,"L",,"USD","H")</f>
        <v>69.858000000000004</v>
      </c>
      <c r="V18" s="41" cm="1">
        <f t="array" ref="V18">_xll.ciqfunctions.udf.CIQ(P$3,$N$1,$T$2,$A18,"L",,"USD","H")</f>
        <v>84.192700000000002</v>
      </c>
      <c r="W18" s="41" cm="1">
        <f t="array" ref="W18">_xll.ciqfunctions.udf.CIQ(Q$3,$N$1,$T$2,$A18,"L",,"USD","H")</f>
        <v>114.0694</v>
      </c>
      <c r="X18" s="41" cm="1">
        <f t="array" ref="X18">_xll.ciqfunctions.udf.CIQ(R$3,$N$1,$T$2,$A18,"L",,"USD","H")</f>
        <v>56.830500000000001</v>
      </c>
      <c r="Y18" s="41" cm="1">
        <f t="array" ref="Y18">_xll.ciqfunctions.udf.CIQ(S$3,$N$1,$T$2,$A18,"L",,"USD","H")</f>
        <v>167.4254</v>
      </c>
      <c r="Z18" s="38" cm="1">
        <f t="array" ref="Z18">_xll.ciqfunctions.udf.CIQ(B$3,$Z$1,$B$2,$A18,"L",,"USD","H")</f>
        <v>5759</v>
      </c>
      <c r="AA18" s="38" cm="1">
        <f t="array" ref="AA18">_xll.ciqfunctions.udf.CIQ(C$3,$Z$1,$B$2,$A18,"L",,"USD","H")</f>
        <v>5480</v>
      </c>
      <c r="AB18" s="38" cm="1">
        <f t="array" ref="AB18">_xll.ciqfunctions.udf.CIQ(D$3,$Z$1,$B$2,$A18,"L",,"USD","H")</f>
        <v>6259</v>
      </c>
      <c r="AC18" s="38" cm="1">
        <f t="array" ref="AC18">_xll.ciqfunctions.udf.CIQ(E$3,$Z$1,$B$2,$A18,"L",,"USD","H")</f>
        <v>390</v>
      </c>
      <c r="AD18" s="38" cm="1">
        <f t="array" ref="AD18">_xll.ciqfunctions.udf.CIQ(F$3,$Z$1,$B$2,$A18,"L",,"USD","H")</f>
        <v>-20384</v>
      </c>
      <c r="AE18" s="38" cm="1">
        <f t="array" ref="AE18">_xll.ciqfunctions.udf.CIQ(G$3,$Z$1,$B$2,$A18,"L",,"USD","H")</f>
        <v>989</v>
      </c>
      <c r="AF18" s="40" cm="1">
        <f t="array" ref="AF18">_xll.ciqfunctions.udf.CIQ(B$3,$Z$1,$H$2,$A18,"L",,"USD","H")</f>
        <v>12856</v>
      </c>
      <c r="AG18" s="40" cm="1">
        <f t="array" ref="AG18">_xll.ciqfunctions.udf.CIQ(C$3,$Z$1,$H$2,$A18,"L",,"USD","H")</f>
        <v>25790</v>
      </c>
      <c r="AH18" s="40" cm="1">
        <f t="array" ref="AH18">_xll.ciqfunctions.udf.CIQ(D$3,$Z$1,$H$2,$A18,"L",,"USD","H")</f>
        <v>20507</v>
      </c>
      <c r="AI18" s="40" cm="1">
        <f t="array" ref="AI18">_xll.ciqfunctions.udf.CIQ(E$3,$Z$1,$H$2,$A18,"L",,"USD","H")</f>
        <v>4377</v>
      </c>
      <c r="AJ18" s="40" cm="1">
        <f t="array" ref="AJ18">_xll.ciqfunctions.udf.CIQ(F$3,$Z$1,$H$2,$A18,"L",,"USD","H")</f>
        <v>-17486</v>
      </c>
      <c r="AK18" s="40" cm="1">
        <f t="array" ref="AK18">_xll.ciqfunctions.udf.CIQ(G$3,$Z$1,$H$2,$A18,"L",,"USD","H")</f>
        <v>3589</v>
      </c>
      <c r="AL18" s="13" cm="1">
        <f t="array" ref="AL18">_xll.ciqfunctions.udf.CIQ(B$3,$AL$1,$AL$2,$A18,"L",,"USD","H")</f>
        <v>486.45620000000002</v>
      </c>
      <c r="AM18" s="13" cm="1">
        <f t="array" ref="AM18">_xll.ciqfunctions.udf.CIQ(C$3,$AL$1,$AL$2,$A18,"L",,"USD","H")</f>
        <v>100.73260000000001</v>
      </c>
      <c r="AN18" s="13" cm="1">
        <f t="array" ref="AN18">_xll.ciqfunctions.udf.CIQ(D$3,$AL$1,$AL$2,$A18,"L",,"USD","H")</f>
        <v>354.53879999999998</v>
      </c>
      <c r="AO18" s="13" cm="1">
        <f t="array" ref="AO18">_xll.ciqfunctions.udf.CIQ(E$3,$AL$1,$AL$2,$A18,"L",,"USD","H")</f>
        <v>-42.393000000000001</v>
      </c>
      <c r="AP18" s="13" t="str" cm="1">
        <f t="array" ref="AP18">_xll.ciqfunctions.udf.CIQ(F$3,$AL$1,$AL$2,$A18,"L",,"USD","H")</f>
        <v>NM</v>
      </c>
      <c r="AQ18" s="13" cm="1">
        <f t="array" ref="AQ18">_xll.ciqfunctions.udf.CIQ(G$3,$AL$1,$AL$2,$A18,"L",,"USD","H")</f>
        <v>364.31920000000002</v>
      </c>
      <c r="AR18" s="41" cm="1">
        <f t="array" ref="AR18">_xll.ciqfunctions.udf.CIQ(B$3,$AL$1,$AR$2,$A18,"L",,"USD","H")</f>
        <v>64180</v>
      </c>
      <c r="AS18" s="41" t="str" cm="1">
        <f t="array" ref="AS18">_xll.ciqfunctions.udf.CIQ(C$3,$AL$1,$AR$2,$A18,"L",,"USD","H")</f>
        <v>NM</v>
      </c>
      <c r="AT18" s="41" t="str" cm="1">
        <f t="array" ref="AT18">_xll.ciqfunctions.udf.CIQ(D$3,$AL$1,$AR$2,$A18,"L",,"USD","H")</f>
        <v>NM</v>
      </c>
      <c r="AU18" s="41" cm="1">
        <f t="array" ref="AU18">_xll.ciqfunctions.udf.CIQ(E$3,$AL$1,$AR$2,$A18,"L",,"USD","H")</f>
        <v>6959.6773999999996</v>
      </c>
      <c r="AV18" s="41" t="str" cm="1">
        <f t="array" ref="AV18">_xll.ciqfunctions.udf.CIQ(F$3,$AL$1,$AR$2,$A18,"L",,"USD","H")</f>
        <v>NM</v>
      </c>
      <c r="AW18" s="41" t="str" cm="1">
        <f t="array" ref="AW18">_xll.ciqfunctions.udf.CIQ(G$3,$AL$1,$AR$2,$A18,"L",,"USD","H")</f>
        <v>NM</v>
      </c>
      <c r="AX18" s="38" cm="1">
        <f t="array" ref="AX18">_xll.ciqfunctions.udf.CIQ(B$3,$AX$1,$AX$2,$A18,"L",,"USD","H")</f>
        <v>8737</v>
      </c>
      <c r="AY18" s="38" cm="1">
        <f t="array" ref="AY18">_xll.ciqfunctions.udf.CIQ(C$3,$AX$1,$AX$2,$A18,"L",,"USD","H")</f>
        <v>15089</v>
      </c>
      <c r="AZ18" s="38" cm="1">
        <f t="array" ref="AZ18">_xll.ciqfunctions.udf.CIQ(D$3,$AX$1,$AX$2,$A18,"L",,"USD","H")</f>
        <v>10293</v>
      </c>
      <c r="BA18" s="38" cm="1">
        <f t="array" ref="BA18">_xll.ciqfunctions.udf.CIQ(E$3,$AX$1,$AX$2,$A18,"L",,"USD","H")</f>
        <v>1423</v>
      </c>
      <c r="BB18" s="38" cm="1">
        <f t="array" ref="BB18">_xll.ciqfunctions.udf.CIQ(F$3,$AX$1,$AX$2,$A18,"L",,"USD","H")</f>
        <v>10867</v>
      </c>
      <c r="BC18" s="38" cm="1">
        <f t="array" ref="BC18">_xll.ciqfunctions.udf.CIQ(G$3,$AX$1,$AX$2,$A18,"L",,"USD","H")</f>
        <v>1843</v>
      </c>
      <c r="BD18" s="40" cm="1">
        <f t="array" ref="BD18">_xll.ciqfunctions.udf.CIQ(B$3,$AX$1,$BD$2,$A18,"L",,"USD","H")</f>
        <v>25569</v>
      </c>
      <c r="BE18" s="40" cm="1">
        <f t="array" ref="BE18">_xll.ciqfunctions.udf.CIQ(C$3,$AX$1,$BD$2,$A18,"L",,"USD","H")</f>
        <v>53895</v>
      </c>
      <c r="BF18" s="40" cm="1">
        <f t="array" ref="BF18">_xll.ciqfunctions.udf.CIQ(D$3,$AX$1,$BD$2,$A18,"L",,"USD","H")</f>
        <v>38256</v>
      </c>
      <c r="BG18" s="40">
        <f>_xll.ciqfunctions.udf.CIQ("COP", "IQ_PRICEDATE", "10/3/2025")</f>
        <v>45933</v>
      </c>
      <c r="BH18" s="40" cm="1">
        <f t="array" ref="BH18">_xll.ciqfunctions.udf.CIQ(F$3,$AX$1,$BD$2,$A18,"L",,"USD","H")</f>
        <v>25280</v>
      </c>
      <c r="BI18" s="40" cm="1">
        <f t="array" ref="BI18">_xll.ciqfunctions.udf.CIQ(G$3,$AX$1,$BD$2,$A18,"L",,"USD","H")</f>
        <v>6673</v>
      </c>
      <c r="BJ18" s="43">
        <f t="shared" si="1"/>
        <v>1.6767769607843137</v>
      </c>
      <c r="BK18" s="43">
        <f t="shared" si="2"/>
        <v>1.0443029399810322</v>
      </c>
      <c r="BL18" s="43">
        <f t="shared" si="3"/>
        <v>0.81566413829599571</v>
      </c>
      <c r="BM18" s="43">
        <f t="shared" si="4"/>
        <v>-0.24388947927736448</v>
      </c>
      <c r="BN18" s="43">
        <f t="shared" si="5"/>
        <v>0.19181838122395267</v>
      </c>
      <c r="BO18" s="43">
        <f t="shared" si="6"/>
        <v>1.722304283604136</v>
      </c>
      <c r="BP18" s="42">
        <f t="shared" si="7"/>
        <v>3.3125316242199361</v>
      </c>
      <c r="BQ18" s="42">
        <f t="shared" si="8"/>
        <v>1.8497779187817258</v>
      </c>
      <c r="BR18" s="42">
        <f t="shared" si="9"/>
        <v>2.168198757763975</v>
      </c>
      <c r="BS18" s="42">
        <f t="shared" si="10"/>
        <v>6.0995534255536832E-4</v>
      </c>
      <c r="BT18" s="42">
        <f t="shared" si="11"/>
        <v>0.2847486913655537</v>
      </c>
      <c r="BU18" s="42">
        <f t="shared" si="12"/>
        <v>6.2140540540540536</v>
      </c>
      <c r="BV18" s="68" cm="1">
        <f t="array" ref="BV18">_xll.ciqfunctions.udf.CIQ(B$3,$BV$1,$BV$2,$A18,"L",,"USD","H")/100</f>
        <v>0.2923</v>
      </c>
      <c r="BW18" s="68" cm="1">
        <f t="array" ref="BW18">_xll.ciqfunctions.udf.CIQ(C$3,$BV$1,$BV$2,$A18,"L",,"USD","H")/100</f>
        <v>3.0388000000000002E-2</v>
      </c>
      <c r="BX18" s="68" cm="1">
        <f t="array" ref="BX18">_xll.ciqfunctions.udf.CIQ(D$3,$BV$1,$BV$2,$A18,"L",,"USD","H")/100</f>
        <v>8.0012000000000014E-2</v>
      </c>
      <c r="BY18" s="68" cm="1">
        <f t="array" ref="BY18">_xll.ciqfunctions.udf.CIQ(E$3,$BV$1,$BV$2,$A18,"L",,"USD","H")/100</f>
        <v>-9.2156000000000002E-2</v>
      </c>
      <c r="BZ18" s="68" cm="1">
        <f t="array" ref="BZ18">_xll.ciqfunctions.udf.CIQ(F$3,$BV$1,$BV$2,$A18,"L",,"USD","H")/100</f>
        <v>-0.55752400000000002</v>
      </c>
      <c r="CA18" s="68" cm="1">
        <f t="array" ref="CA18">_xll.ciqfunctions.udf.CIQ(G$3,$BV$1,$BV$2,$A18,"L",,"USD","H")/100</f>
        <v>7.9656000000000005E-2</v>
      </c>
      <c r="CB18" s="68" cm="1">
        <f t="array" ref="CB18">_xll.ciqfunctions.udf.CIQ(B$3,$BV$1,$CB$2,$A18,"L",,"USD","H")/100</f>
        <v>0.15587199999999998</v>
      </c>
      <c r="CC18" s="68" cm="1">
        <f t="array" ref="CC18">_xll.ciqfunctions.udf.CIQ(C$3,$BV$1,$CB$2,$A18,"L",,"USD","H")/100</f>
        <v>4.7957E-2</v>
      </c>
      <c r="CD18" s="68" cm="1">
        <f t="array" ref="CD18">_xll.ciqfunctions.udf.CIQ(D$3,$BV$1,$CB$2,$A18,"L",,"USD","H")/100</f>
        <v>5.6649999999999999E-2</v>
      </c>
      <c r="CE18" s="68" cm="1">
        <f t="array" ref="CE18">_xll.ciqfunctions.udf.CIQ(E$3,$BV$1,$CB$2,$A18,"L",,"USD","H")/100</f>
        <v>9.9649000000000001E-2</v>
      </c>
      <c r="CF18" s="68" cm="1">
        <f t="array" ref="CF18">_xll.ciqfunctions.udf.CIQ(F$3,$BV$1,$CB$2,$A18,"L",,"USD","H")/100</f>
        <v>-0.13911199999999999</v>
      </c>
      <c r="CG18" s="68" cm="1">
        <f t="array" ref="CG18">_xll.ciqfunctions.udf.CIQ(G$3,$BV$1,$CB$2,$A18,"L",,"USD","H")/100</f>
        <v>0.11233499999999999</v>
      </c>
    </row>
    <row r="19" spans="1:85" x14ac:dyDescent="0.45">
      <c r="A19" s="3">
        <f t="shared" si="13"/>
        <v>44561</v>
      </c>
      <c r="B19" s="14" cm="1">
        <f t="array" ref="B19">_xll.ciqfunctions.udf.CIQ(B$3,$B$1,$B$2,$A19,"L",,"USD","H")</f>
        <v>15452</v>
      </c>
      <c r="C19" s="38" cm="1">
        <f t="array" ref="C19">_xll.ciqfunctions.udf.CIQ(C$3,$B$1,$B$2,$A19,"L",,"USD","H")</f>
        <v>82885</v>
      </c>
      <c r="D19" s="38" cm="1">
        <f t="array" ref="D19">_xll.ciqfunctions.udf.CIQ(D$3,$B$1,$B$2,$A19,"L",,"USD","H")</f>
        <v>45322</v>
      </c>
      <c r="E19" s="38" cm="1">
        <f t="array" ref="E19">_xll.ciqfunctions.udf.CIQ(E$3,$B$1,$B$2,$A19,"L",,"USD","H")</f>
        <v>5937</v>
      </c>
      <c r="F19" s="38" cm="1">
        <f t="array" ref="F19">_xll.ciqfunctions.udf.CIQ(F$3,$B$1,$B$2,$A19,"L",,"USD","H")</f>
        <v>50503</v>
      </c>
      <c r="G19" s="38" cm="1">
        <f t="array" ref="G19">_xll.ciqfunctions.udf.CIQ(G$3,$B$1,$B$2,$A19,"L",,"USD","H")</f>
        <v>4054</v>
      </c>
      <c r="H19" s="40" cm="1">
        <f t="array" ref="H19">_xll.ciqfunctions.udf.CIQ(B$3,$B$1,$H$2,$A19,"L",,"USD","H")</f>
        <v>46660</v>
      </c>
      <c r="I19" s="40" cm="1">
        <f t="array" ref="I19">_xll.ciqfunctions.udf.CIQ(C$3,$B$1,$H$2,$A19,"L",,"USD","H")</f>
        <v>277140</v>
      </c>
      <c r="J19" s="40" cm="1">
        <f t="array" ref="J19">_xll.ciqfunctions.udf.CIQ(D$3,$B$1,$H$2,$A19,"L",,"USD","H")</f>
        <v>155067</v>
      </c>
      <c r="K19" s="40" cm="1">
        <f t="array" ref="K19">_xll.ciqfunctions.udf.CIQ(E$3,$B$1,$H$2,$A19,"L",,"USD","H")</f>
        <v>19777</v>
      </c>
      <c r="L19" s="40" cm="1">
        <f t="array" ref="L19">_xll.ciqfunctions.udf.CIQ(F$3,$B$1,$H$2,$A19,"L",,"USD","H")</f>
        <v>156431</v>
      </c>
      <c r="M19" s="40" cm="1">
        <f t="array" ref="M19">_xll.ciqfunctions.udf.CIQ(G$3,$B$1,$H$2,$A19,"L",,"USD","H")</f>
        <v>13750</v>
      </c>
      <c r="N19" s="13" cm="1">
        <f t="array" ref="N19">_xll.ciqfunctions.udf.CIQ(B$3,$N$1,$B$2,$A19,"L",,"USD","H")</f>
        <v>177.06649999999999</v>
      </c>
      <c r="O19" s="13" cm="1">
        <f t="array" ref="O19">_xll.ciqfunctions.udf.CIQ(C$3,$N$1,$B$2,$A19,"L",,"USD","H")</f>
        <v>79.393100000000004</v>
      </c>
      <c r="P19" s="13" cm="1">
        <f t="array" ref="P19">_xll.ciqfunctions.udf.CIQ(D$3,$N$1,$B$2,$A19,"L",,"USD","H")</f>
        <v>85.358400000000003</v>
      </c>
      <c r="Q19" s="13" cm="1">
        <f t="array" ref="Q19">_xll.ciqfunctions.udf.CIQ(E$3,$N$1,$B$2,$A19,"L",,"USD","H")</f>
        <v>104.65349999999999</v>
      </c>
      <c r="R19" s="13" cm="1">
        <f t="array" ref="R19">_xll.ciqfunctions.udf.CIQ(F$3,$N$1,$B$2,$A19,"L",,"USD","H")</f>
        <v>83.034899999999993</v>
      </c>
      <c r="S19" s="13" cm="1">
        <f t="array" ref="S19">_xll.ciqfunctions.udf.CIQ(G$3,$N$1,$B$2,$A19,"L",,"USD","H")</f>
        <v>200.2962</v>
      </c>
      <c r="T19" s="94">
        <v>45947</v>
      </c>
      <c r="U19" s="41" cm="1">
        <f t="array" ref="U19">_xll.ciqfunctions.udf.CIQ(O$3,$N$1,$T$2,$A19,"L",,"USD","H")</f>
        <v>54.151600000000002</v>
      </c>
      <c r="V19" s="41" cm="1">
        <f t="array" ref="V19">_xll.ciqfunctions.udf.CIQ(P$3,$N$1,$T$2,$A19,"L",,"USD","H")</f>
        <v>64.956100000000006</v>
      </c>
      <c r="W19" s="41" cm="1">
        <f t="array" ref="W19">_xll.ciqfunctions.udf.CIQ(Q$3,$N$1,$T$2,$A19,"L",,"USD","H")</f>
        <v>99.0839</v>
      </c>
      <c r="X19" s="41" cm="1">
        <f t="array" ref="X19">_xll.ciqfunctions.udf.CIQ(R$3,$N$1,$T$2,$A19,"L",,"USD","H")</f>
        <v>48.034399999999998</v>
      </c>
      <c r="Y19" s="41" cm="1">
        <f t="array" ref="Y19">_xll.ciqfunctions.udf.CIQ(S$3,$N$1,$T$2,$A19,"L",,"USD","H")</f>
        <v>194.24350000000001</v>
      </c>
      <c r="Z19" s="38" cm="1">
        <f t="array" ref="Z19">_xll.ciqfunctions.udf.CIQ(B$3,$Z$1,$B$2,$A19,"L",,"USD","H")</f>
        <v>2627</v>
      </c>
      <c r="AA19" s="38" cm="1">
        <f t="array" ref="AA19">_xll.ciqfunctions.udf.CIQ(C$3,$Z$1,$B$2,$A19,"L",,"USD","H")</f>
        <v>8870</v>
      </c>
      <c r="AB19" s="38" cm="1">
        <f t="array" ref="AB19">_xll.ciqfunctions.udf.CIQ(D$3,$Z$1,$B$2,$A19,"L",,"USD","H")</f>
        <v>5055</v>
      </c>
      <c r="AC19" s="38" cm="1">
        <f t="array" ref="AC19">_xll.ciqfunctions.udf.CIQ(E$3,$Z$1,$B$2,$A19,"L",,"USD","H")</f>
        <v>1985</v>
      </c>
      <c r="AD19" s="38" cm="1">
        <f t="array" ref="AD19">_xll.ciqfunctions.udf.CIQ(F$3,$Z$1,$B$2,$A19,"L",,"USD","H")</f>
        <v>2326</v>
      </c>
      <c r="AE19" s="38" cm="1">
        <f t="array" ref="AE19">_xll.ciqfunctions.udf.CIQ(G$3,$Z$1,$B$2,$A19,"L",,"USD","H")</f>
        <v>1506</v>
      </c>
      <c r="AF19" s="40" cm="1">
        <f t="array" ref="AF19">_xll.ciqfunctions.udf.CIQ(B$3,$Z$1,$H$2,$A19,"L",,"USD","H")</f>
        <v>8079</v>
      </c>
      <c r="AG19" s="40" cm="1">
        <f t="array" ref="AG19">_xll.ciqfunctions.udf.CIQ(C$3,$Z$1,$H$2,$A19,"L",,"USD","H")</f>
        <v>23040</v>
      </c>
      <c r="AH19" s="40" cm="1">
        <f t="array" ref="AH19">_xll.ciqfunctions.udf.CIQ(D$3,$Z$1,$H$2,$A19,"L",,"USD","H")</f>
        <v>15625</v>
      </c>
      <c r="AI19" s="40" cm="1">
        <f t="array" ref="AI19">_xll.ciqfunctions.udf.CIQ(E$3,$Z$1,$H$2,$A19,"L",,"USD","H")</f>
        <v>4664</v>
      </c>
      <c r="AJ19" s="40" cm="1">
        <f t="array" ref="AJ19">_xll.ciqfunctions.udf.CIQ(F$3,$Z$1,$H$2,$A19,"L",,"USD","H")</f>
        <v>7565</v>
      </c>
      <c r="AK19" s="40" cm="1">
        <f t="array" ref="AK19">_xll.ciqfunctions.udf.CIQ(G$3,$Z$1,$H$2,$A19,"L",,"USD","H")</f>
        <v>2813</v>
      </c>
      <c r="AL19" s="13" t="str" cm="1">
        <f t="array" ref="AL19">_xll.ciqfunctions.udf.CIQ(B$3,$AL$1,$AL$2,$A19,"L",,"USD","H")</f>
        <v>NM</v>
      </c>
      <c r="AM19" s="13" t="str" cm="1">
        <f t="array" ref="AM19">_xll.ciqfunctions.udf.CIQ(C$3,$AL$1,$AL$2,$A19,"L",,"USD","H")</f>
        <v>NM</v>
      </c>
      <c r="AN19" s="13" t="str" cm="1">
        <f t="array" ref="AN19">_xll.ciqfunctions.udf.CIQ(D$3,$AL$1,$AL$2,$A19,"L",,"USD","H")</f>
        <v>NM</v>
      </c>
      <c r="AO19" s="13" cm="1">
        <f t="array" ref="AO19">_xll.ciqfunctions.udf.CIQ(E$3,$AL$1,$AL$2,$A19,"L",,"USD","H")</f>
        <v>489.02069999999998</v>
      </c>
      <c r="AP19" s="13" cm="1">
        <f t="array" ref="AP19">_xll.ciqfunctions.udf.CIQ(F$3,$AL$1,$AL$2,$A19,"L",,"USD","H")</f>
        <v>71.281199999999998</v>
      </c>
      <c r="AQ19" s="13" t="str" cm="1">
        <f t="array" ref="AQ19">_xll.ciqfunctions.udf.CIQ(G$3,$AL$1,$AL$2,$A19,"L",,"USD","H")</f>
        <v>NM</v>
      </c>
      <c r="AR19" s="41" t="str" cm="1">
        <f t="array" ref="AR19">_xll.ciqfunctions.udf.CIQ(B$3,$AL$1,$AR$2,$A19,"L",,"USD","H")</f>
        <v>NM</v>
      </c>
      <c r="AS19" s="41" t="str" cm="1">
        <f t="array" ref="AS19">_xll.ciqfunctions.udf.CIQ(C$3,$AL$1,$AR$2,$A19,"L",,"USD","H")</f>
        <v>NM</v>
      </c>
      <c r="AT19" s="41" t="str" cm="1">
        <f t="array" ref="AT19">_xll.ciqfunctions.udf.CIQ(D$3,$AL$1,$AR$2,$A19,"L",,"USD","H")</f>
        <v>NM</v>
      </c>
      <c r="AU19" s="41" t="str" cm="1">
        <f t="array" ref="AU19">_xll.ciqfunctions.udf.CIQ(E$3,$AL$1,$AR$2,$A19,"L",,"USD","H")</f>
        <v>NM</v>
      </c>
      <c r="AV19" s="41" t="str" cm="1">
        <f t="array" ref="AV19">_xll.ciqfunctions.udf.CIQ(F$3,$AL$1,$AR$2,$A19,"L",,"USD","H")</f>
        <v>NM</v>
      </c>
      <c r="AW19" s="41" t="str" cm="1">
        <f t="array" ref="AW19">_xll.ciqfunctions.udf.CIQ(G$3,$AL$1,$AR$2,$A19,"L",,"USD","H")</f>
        <v>NM</v>
      </c>
      <c r="AX19" s="38" cm="1">
        <f t="array" ref="AX19">_xll.ciqfunctions.udf.CIQ(B$3,$AX$1,$AX$2,$A19,"L",,"USD","H")</f>
        <v>6840</v>
      </c>
      <c r="AY19" s="38" cm="1">
        <f t="array" ref="AY19">_xll.ciqfunctions.udf.CIQ(C$3,$AX$1,$AX$2,$A19,"L",,"USD","H")</f>
        <v>15589</v>
      </c>
      <c r="AZ19" s="38" cm="1">
        <f t="array" ref="AZ19">_xll.ciqfunctions.udf.CIQ(D$3,$AX$1,$AX$2,$A19,"L",,"USD","H")</f>
        <v>9943</v>
      </c>
      <c r="BA19" s="38" cm="1">
        <f t="array" ref="BA19">_xll.ciqfunctions.udf.CIQ(E$3,$AX$1,$AX$2,$A19,"L",,"USD","H")</f>
        <v>3660</v>
      </c>
      <c r="BB19" s="38" cm="1">
        <f t="array" ref="BB19">_xll.ciqfunctions.udf.CIQ(F$3,$AX$1,$AX$2,$A19,"L",,"USD","H")</f>
        <v>10736</v>
      </c>
      <c r="BC19" s="38" cm="1">
        <f t="array" ref="BC19">_xll.ciqfunctions.udf.CIQ(G$3,$AX$1,$AX$2,$A19,"L",,"USD","H")</f>
        <v>2312</v>
      </c>
      <c r="BD19" s="40" cm="1">
        <f t="array" ref="BD19">_xll.ciqfunctions.udf.CIQ(B$3,$AX$1,$BD$2,$A19,"L",,"USD","H")</f>
        <v>20274</v>
      </c>
      <c r="BE19" s="40" cm="1">
        <f t="array" ref="BE19">_xll.ciqfunctions.udf.CIQ(C$3,$AX$1,$BD$2,$A19,"L",,"USD","H")</f>
        <v>44288</v>
      </c>
      <c r="BF19" s="40" cm="1">
        <f t="array" ref="BF19">_xll.ciqfunctions.udf.CIQ(D$3,$AX$1,$BD$2,$A19,"L",,"USD","H")</f>
        <v>33632</v>
      </c>
      <c r="BG19" s="40">
        <f>_xll.ciqfunctions.udf.CIQ("COP", "IQ_PRICEDATE", "9/26/2025")</f>
        <v>45926</v>
      </c>
      <c r="BH19" s="40" cm="1">
        <f t="array" ref="BH19">_xll.ciqfunctions.udf.CIQ(F$3,$AX$1,$BD$2,$A19,"L",,"USD","H")</f>
        <v>25158</v>
      </c>
      <c r="BI19" s="40" cm="1">
        <f t="array" ref="BI19">_xll.ciqfunctions.udf.CIQ(G$3,$AX$1,$BD$2,$A19,"L",,"USD","H")</f>
        <v>5503</v>
      </c>
      <c r="BJ19" s="43">
        <f t="shared" si="1"/>
        <v>4.1428571428571432</v>
      </c>
      <c r="BK19" s="43">
        <f t="shared" si="2"/>
        <v>2.8217700416768814</v>
      </c>
      <c r="BL19" s="43">
        <f t="shared" si="3"/>
        <v>1.4882382382382384</v>
      </c>
      <c r="BM19" s="43">
        <f t="shared" si="4"/>
        <v>1.4286662242866623</v>
      </c>
      <c r="BN19" s="43">
        <f t="shared" si="5"/>
        <v>13.144927536231885</v>
      </c>
      <c r="BO19" s="43">
        <f t="shared" si="6"/>
        <v>-0.26015999999999995</v>
      </c>
      <c r="BP19" s="42">
        <f t="shared" si="7"/>
        <v>3.2237499999999999</v>
      </c>
      <c r="BQ19" s="42">
        <f t="shared" si="8"/>
        <v>1.6027268453220498</v>
      </c>
      <c r="BR19" s="42">
        <f t="shared" si="9"/>
        <v>1.5612672302185668</v>
      </c>
      <c r="BS19" s="42">
        <f t="shared" si="10"/>
        <v>6.1004836812061924E-4</v>
      </c>
      <c r="BT19" s="42">
        <f t="shared" si="11"/>
        <v>0.74212312166747463</v>
      </c>
      <c r="BU19" s="42">
        <f t="shared" si="12"/>
        <v>2.9504666188083273</v>
      </c>
      <c r="BV19" s="68" cm="1">
        <f t="array" ref="BV19">_xll.ciqfunctions.udf.CIQ(B$3,$BV$1,$BV$2,$A19,"L",,"USD","H")/100</f>
        <v>0.12438399999999999</v>
      </c>
      <c r="BW19" s="68" cm="1">
        <f t="array" ref="BW19">_xll.ciqfunctions.udf.CIQ(C$3,$BV$1,$BV$2,$A19,"L",,"USD","H")/100</f>
        <v>9.0223999999999999E-2</v>
      </c>
      <c r="BX19" s="68" cm="1">
        <f t="array" ref="BX19">_xll.ciqfunctions.udf.CIQ(D$3,$BV$1,$BV$2,$A19,"L",,"USD","H")/100</f>
        <v>5.7047999999999995E-2</v>
      </c>
      <c r="BY19" s="68" cm="1">
        <f t="array" ref="BY19">_xll.ciqfunctions.udf.CIQ(E$3,$BV$1,$BV$2,$A19,"L",,"USD","H")/100</f>
        <v>0.28758</v>
      </c>
      <c r="BZ19" s="68" cm="1">
        <f t="array" ref="BZ19">_xll.ciqfunctions.udf.CIQ(F$3,$BV$1,$BV$2,$A19,"L",,"USD","H")/100</f>
        <v>5.7908000000000001E-2</v>
      </c>
      <c r="CA19" s="68" cm="1">
        <f t="array" ref="CA19">_xll.ciqfunctions.udf.CIQ(G$3,$BV$1,$BV$2,$A19,"L",,"USD","H")/100</f>
        <v>0.23802800000000002</v>
      </c>
      <c r="CB19" s="68" cm="1">
        <f t="array" ref="CB19">_xll.ciqfunctions.udf.CIQ(B$3,$BV$1,$CB$2,$A19,"L",,"USD","H")/100</f>
        <v>0.102133</v>
      </c>
      <c r="CC19" s="68" cm="1">
        <f t="array" ref="CC19">_xll.ciqfunctions.udf.CIQ(C$3,$BV$1,$CB$2,$A19,"L",,"USD","H")/100</f>
        <v>3.4847999999999997E-2</v>
      </c>
      <c r="CD19" s="68" cm="1">
        <f t="array" ref="CD19">_xll.ciqfunctions.udf.CIQ(D$3,$BV$1,$CB$2,$A19,"L",,"USD","H")/100</f>
        <v>3.0615999999999997E-2</v>
      </c>
      <c r="CE19" s="68" cm="1">
        <f t="array" ref="CE19">_xll.ciqfunctions.udf.CIQ(E$3,$BV$1,$CB$2,$A19,"L",,"USD","H")/100</f>
        <v>0.13539799999999999</v>
      </c>
      <c r="CF19" s="68" cm="1">
        <f t="array" ref="CF19">_xll.ciqfunctions.udf.CIQ(F$3,$BV$1,$CB$2,$A19,"L",,"USD","H")/100</f>
        <v>1.9900999999999999E-2</v>
      </c>
      <c r="CG19" s="68" cm="1">
        <f t="array" ref="CG19">_xll.ciqfunctions.udf.CIQ(G$3,$BV$1,$CB$2,$A19,"L",,"USD","H")/100</f>
        <v>0.126248</v>
      </c>
    </row>
    <row r="20" spans="1:85" x14ac:dyDescent="0.45">
      <c r="A20" s="3">
        <f>EDATE(A16,-12)</f>
        <v>44469</v>
      </c>
      <c r="B20" s="14" cm="1">
        <f t="array" ref="B20">_xll.ciqfunctions.udf.CIQ(B$3,$B$1,$B$2,$A20,"L",,"USD","H")</f>
        <v>11565</v>
      </c>
      <c r="C20" s="38" cm="1">
        <f t="array" ref="C20">_xll.ciqfunctions.udf.CIQ(C$3,$B$1,$B$2,$A20,"L",,"USD","H")</f>
        <v>72116</v>
      </c>
      <c r="D20" s="38" cm="1">
        <f t="array" ref="D20">_xll.ciqfunctions.udf.CIQ(D$3,$B$1,$B$2,$A20,"L",,"USD","H")</f>
        <v>42552</v>
      </c>
      <c r="E20" s="38" cm="1">
        <f t="array" ref="E20">_xll.ciqfunctions.udf.CIQ(E$3,$B$1,$B$2,$A20,"L",,"USD","H")</f>
        <v>5258</v>
      </c>
      <c r="F20" s="38" cm="1">
        <f t="array" ref="F20">_xll.ciqfunctions.udf.CIQ(F$3,$B$1,$B$2,$A20,"L",,"USD","H")</f>
        <v>35820</v>
      </c>
      <c r="G20" s="38" cm="1">
        <f t="array" ref="G20">_xll.ciqfunctions.udf.CIQ(G$3,$B$1,$B$2,$A20,"L",,"USD","H")</f>
        <v>3801</v>
      </c>
      <c r="H20" s="40" cm="1">
        <f t="array" ref="H20">_xll.ciqfunctions.udf.CIQ(B$3,$B$1,$H$2,$A20,"L",,"USD","H")</f>
        <v>36785</v>
      </c>
      <c r="I20" s="40" cm="1">
        <f t="array" ref="I20">_xll.ciqfunctions.udf.CIQ(C$3,$B$1,$H$2,$A20,"L",,"USD","H")</f>
        <v>242299</v>
      </c>
      <c r="J20" s="40" cm="1">
        <f t="array" ref="J20">_xll.ciqfunctions.udf.CIQ(D$3,$B$1,$H$2,$A20,"L",,"USD","H")</f>
        <v>134196</v>
      </c>
      <c r="K20" s="40" cm="1">
        <f t="array" ref="K20">_xll.ciqfunctions.udf.CIQ(E$3,$B$1,$H$2,$A20,"L",,"USD","H")</f>
        <v>16741</v>
      </c>
      <c r="L20" s="40" cm="1">
        <f t="array" ref="L20">_xll.ciqfunctions.udf.CIQ(F$3,$B$1,$H$2,$A20,"L",,"USD","H")</f>
        <v>133875</v>
      </c>
      <c r="M20" s="40" cm="1">
        <f t="array" ref="M20">_xll.ciqfunctions.udf.CIQ(G$3,$B$1,$H$2,$A20,"L",,"USD","H")</f>
        <v>10413</v>
      </c>
      <c r="N20" s="13" cm="1">
        <f t="array" ref="N20">_xll.ciqfunctions.udf.CIQ(B$3,$N$1,$B$2,$A20,"L",,"USD","H")</f>
        <v>161.59229999999999</v>
      </c>
      <c r="O20" s="13" cm="1">
        <f t="array" ref="O20">_xll.ciqfunctions.udf.CIQ(C$3,$N$1,$B$2,$A20,"L",,"USD","H")</f>
        <v>57.816800000000001</v>
      </c>
      <c r="P20" s="13" cm="1">
        <f t="array" ref="P20">_xll.ciqfunctions.udf.CIQ(D$3,$N$1,$B$2,$A20,"L",,"USD","H")</f>
        <v>77.322100000000006</v>
      </c>
      <c r="Q20" s="13" cm="1">
        <f t="array" ref="Q20">_xll.ciqfunctions.udf.CIQ(E$3,$N$1,$B$2,$A20,"L",,"USD","H")</f>
        <v>126.5402</v>
      </c>
      <c r="R20" s="13" cm="1">
        <f t="array" ref="R20">_xll.ciqfunctions.udf.CIQ(F$3,$N$1,$B$2,$A20,"L",,"USD","H")</f>
        <v>36.863799999999998</v>
      </c>
      <c r="S20" s="13" cm="1">
        <f t="array" ref="S20">_xll.ciqfunctions.udf.CIQ(G$3,$N$1,$B$2,$A20,"L",,"USD","H")</f>
        <v>229.376</v>
      </c>
      <c r="T20" s="94">
        <v>45940</v>
      </c>
      <c r="U20" s="41" cm="1">
        <f t="array" ref="U20">_xll.ciqfunctions.udf.CIQ(O$3,$N$1,$T$2,$A20,"L",,"USD","H")</f>
        <v>23.6995</v>
      </c>
      <c r="V20" s="41" cm="1">
        <f t="array" ref="V20">_xll.ciqfunctions.udf.CIQ(P$3,$N$1,$T$2,$A20,"L",,"USD","H")</f>
        <v>39.191499999999998</v>
      </c>
      <c r="W20" s="41" cm="1">
        <f t="array" ref="W20">_xll.ciqfunctions.udf.CIQ(Q$3,$N$1,$T$2,$A20,"L",,"USD","H")</f>
        <v>48.207700000000003</v>
      </c>
      <c r="X20" s="41" cm="1">
        <f t="array" ref="X20">_xll.ciqfunctions.udf.CIQ(R$3,$N$1,$T$2,$A20,"L",,"USD","H")</f>
        <v>-10.227</v>
      </c>
      <c r="Y20" s="41" cm="1">
        <f t="array" ref="Y20">_xll.ciqfunctions.udf.CIQ(S$3,$N$1,$T$2,$A20,"L",,"USD","H")</f>
        <v>117.4357</v>
      </c>
      <c r="Z20" s="38" cm="1">
        <f t="array" ref="Z20">_xll.ciqfunctions.udf.CIQ(B$3,$Z$1,$B$2,$A20,"L",,"USD","H")</f>
        <v>2379</v>
      </c>
      <c r="AA20" s="38" cm="1">
        <f t="array" ref="AA20">_xll.ciqfunctions.udf.CIQ(C$3,$Z$1,$B$2,$A20,"L",,"USD","H")</f>
        <v>6750</v>
      </c>
      <c r="AB20" s="38" cm="1">
        <f t="array" ref="AB20">_xll.ciqfunctions.udf.CIQ(D$3,$Z$1,$B$2,$A20,"L",,"USD","H")</f>
        <v>6111</v>
      </c>
      <c r="AC20" s="38" cm="1">
        <f t="array" ref="AC20">_xll.ciqfunctions.udf.CIQ(E$3,$Z$1,$B$2,$A20,"L",,"USD","H")</f>
        <v>1095</v>
      </c>
      <c r="AD20" s="38" cm="1">
        <f t="array" ref="AD20">_xll.ciqfunctions.udf.CIQ(F$3,$Z$1,$B$2,$A20,"L",,"USD","H")</f>
        <v>-2544</v>
      </c>
      <c r="AE20" s="38" cm="1">
        <f t="array" ref="AE20">_xll.ciqfunctions.udf.CIQ(G$3,$Z$1,$B$2,$A20,"L",,"USD","H")</f>
        <v>838</v>
      </c>
      <c r="AF20" s="40" cm="1">
        <f t="array" ref="AF20">_xll.ciqfunctions.udf.CIQ(B$3,$Z$1,$H$2,$A20,"L",,"USD","H")</f>
        <v>4680</v>
      </c>
      <c r="AG20" s="40" cm="1">
        <f t="array" ref="AG20">_xll.ciqfunctions.udf.CIQ(C$3,$Z$1,$H$2,$A20,"L",,"USD","H")</f>
        <v>-5900</v>
      </c>
      <c r="AH20" s="40" cm="1">
        <f t="array" ref="AH20">_xll.ciqfunctions.udf.CIQ(D$3,$Z$1,$H$2,$A20,"L",,"USD","H")</f>
        <v>9905</v>
      </c>
      <c r="AI20" s="40" cm="1">
        <f t="array" ref="AI20">_xll.ciqfunctions.udf.CIQ(E$3,$Z$1,$H$2,$A20,"L",,"USD","H")</f>
        <v>3016</v>
      </c>
      <c r="AJ20" s="40" cm="1">
        <f t="array" ref="AJ20">_xll.ciqfunctions.udf.CIQ(F$3,$Z$1,$H$2,$A20,"L",,"USD","H")</f>
        <v>6597</v>
      </c>
      <c r="AK20" s="40" cm="1">
        <f t="array" ref="AK20">_xll.ciqfunctions.udf.CIQ(G$3,$Z$1,$H$2,$A20,"L",,"USD","H")</f>
        <v>1205</v>
      </c>
      <c r="AL20" s="13" t="str" cm="1">
        <f t="array" ref="AL20">_xll.ciqfunctions.udf.CIQ(B$3,$AL$1,$AL$2,$A20,"L",,"USD","H")</f>
        <v>NM</v>
      </c>
      <c r="AM20" s="13" t="str" cm="1">
        <f t="array" ref="AM20">_xll.ciqfunctions.udf.CIQ(C$3,$AL$1,$AL$2,$A20,"L",,"USD","H")</f>
        <v>NM</v>
      </c>
      <c r="AN20" s="13" t="str" cm="1">
        <f t="array" ref="AN20">_xll.ciqfunctions.udf.CIQ(D$3,$AL$1,$AL$2,$A20,"L",,"USD","H")</f>
        <v>NM</v>
      </c>
      <c r="AO20" s="13" t="str" cm="1">
        <f t="array" ref="AO20">_xll.ciqfunctions.udf.CIQ(E$3,$AL$1,$AL$2,$A20,"L",,"USD","H")</f>
        <v>NM</v>
      </c>
      <c r="AP20" s="13" t="str" cm="1">
        <f t="array" ref="AP20">_xll.ciqfunctions.udf.CIQ(F$3,$AL$1,$AL$2,$A20,"L",,"USD","H")</f>
        <v>NM</v>
      </c>
      <c r="AQ20" s="13" t="str" cm="1">
        <f t="array" ref="AQ20">_xll.ciqfunctions.udf.CIQ(G$3,$AL$1,$AL$2,$A20,"L",,"USD","H")</f>
        <v>NM</v>
      </c>
      <c r="AR20" s="41" t="str" cm="1">
        <f t="array" ref="AR20">_xll.ciqfunctions.udf.CIQ(B$3,$AL$1,$AR$2,$A20,"L",,"USD","H")</f>
        <v>NM</v>
      </c>
      <c r="AS20" s="41" t="str" cm="1">
        <f t="array" ref="AS20">_xll.ciqfunctions.udf.CIQ(C$3,$AL$1,$AR$2,$A20,"L",,"USD","H")</f>
        <v>NM</v>
      </c>
      <c r="AT20" s="41" t="str" cm="1">
        <f t="array" ref="AT20">_xll.ciqfunctions.udf.CIQ(D$3,$AL$1,$AR$2,$A20,"L",,"USD","H")</f>
        <v>NM</v>
      </c>
      <c r="AU20" s="41" t="str" cm="1">
        <f t="array" ref="AU20">_xll.ciqfunctions.udf.CIQ(E$3,$AL$1,$AR$2,$A20,"L",,"USD","H")</f>
        <v>NM</v>
      </c>
      <c r="AV20" s="41" t="str" cm="1">
        <f t="array" ref="AV20">_xll.ciqfunctions.udf.CIQ(F$3,$AL$1,$AR$2,$A20,"L",,"USD","H")</f>
        <v>NM</v>
      </c>
      <c r="AW20" s="41" t="str" cm="1">
        <f t="array" ref="AW20">_xll.ciqfunctions.udf.CIQ(G$3,$AL$1,$AR$2,$A20,"L",,"USD","H")</f>
        <v>NM</v>
      </c>
      <c r="AX20" s="38" cm="1">
        <f t="array" ref="AX20">_xll.ciqfunctions.udf.CIQ(B$3,$AX$1,$AX$2,$A20,"L",,"USD","H")</f>
        <v>5331</v>
      </c>
      <c r="AY20" s="38" cm="1">
        <f t="array" ref="AY20">_xll.ciqfunctions.udf.CIQ(C$3,$AX$1,$AX$2,$A20,"L",,"USD","H")</f>
        <v>13140</v>
      </c>
      <c r="AZ20" s="38" cm="1">
        <f t="array" ref="AZ20">_xll.ciqfunctions.udf.CIQ(D$3,$AX$1,$AX$2,$A20,"L",,"USD","H")</f>
        <v>10367</v>
      </c>
      <c r="BA20" s="38" cm="1">
        <f t="array" ref="BA20">_xll.ciqfunctions.udf.CIQ(E$3,$AX$1,$AX$2,$A20,"L",,"USD","H")</f>
        <v>2479</v>
      </c>
      <c r="BB20" s="38" cm="1">
        <f t="array" ref="BB20">_xll.ciqfunctions.udf.CIQ(F$3,$AX$1,$AX$2,$A20,"L",,"USD","H")</f>
        <v>2701</v>
      </c>
      <c r="BC20" s="38" cm="1">
        <f t="array" ref="BC20">_xll.ciqfunctions.udf.CIQ(G$3,$AX$1,$AX$2,$A20,"L",,"USD","H")</f>
        <v>1654</v>
      </c>
      <c r="BD20" s="40" cm="1">
        <f t="array" ref="BD20">_xll.ciqfunctions.udf.CIQ(B$3,$AX$1,$BD$2,$A20,"L",,"USD","H")</f>
        <v>14586</v>
      </c>
      <c r="BE20" s="40" cm="1">
        <f t="array" ref="BE20">_xll.ciqfunctions.udf.CIQ(C$3,$AX$1,$BD$2,$A20,"L",,"USD","H")</f>
        <v>34677</v>
      </c>
      <c r="BF20" s="40" cm="1">
        <f t="array" ref="BF20">_xll.ciqfunctions.udf.CIQ(D$3,$AX$1,$BD$2,$A20,"L",,"USD","H")</f>
        <v>27685</v>
      </c>
      <c r="BG20" s="40">
        <f>_xll.ciqfunctions.udf.CIQ("COP", "IQ_PRICEDATE", "9/19/2025")</f>
        <v>45919</v>
      </c>
      <c r="BH20" s="40" cm="1">
        <f t="array" ref="BH20">_xll.ciqfunctions.udf.CIQ(F$3,$AX$1,$BD$2,$A20,"L",,"USD","H")</f>
        <v>17989</v>
      </c>
      <c r="BI20" s="40" cm="1">
        <f t="array" ref="BI20">_xll.ciqfunctions.udf.CIQ(G$3,$AX$1,$BD$2,$A20,"L",,"USD","H")</f>
        <v>3507</v>
      </c>
      <c r="BJ20" s="43">
        <f t="shared" si="1"/>
        <v>3.692781690140845</v>
      </c>
      <c r="BK20" s="43">
        <f t="shared" si="2"/>
        <v>2.9212175470008952</v>
      </c>
      <c r="BL20" s="43">
        <f t="shared" si="3"/>
        <v>1.8102466793168879</v>
      </c>
      <c r="BM20" s="43">
        <f t="shared" si="4"/>
        <v>1.5556701030927833</v>
      </c>
      <c r="BN20" s="43">
        <f t="shared" si="5"/>
        <v>-0.43846153846153846</v>
      </c>
      <c r="BO20" s="43">
        <f t="shared" si="6"/>
        <v>5.8916666666666666</v>
      </c>
      <c r="BP20" s="42">
        <f t="shared" si="7"/>
        <v>1.227550397067807</v>
      </c>
      <c r="BQ20" s="42">
        <f t="shared" si="8"/>
        <v>0.81099853770628783</v>
      </c>
      <c r="BR20" s="42">
        <f t="shared" si="9"/>
        <v>0.75655098026774947</v>
      </c>
      <c r="BS20" s="42">
        <f t="shared" si="10"/>
        <v>6.1014142206539113E-4</v>
      </c>
      <c r="BT20" s="42">
        <f t="shared" si="11"/>
        <v>1.5352486312581126E-2</v>
      </c>
      <c r="BU20" s="42">
        <f t="shared" si="12"/>
        <v>1.299672131147541</v>
      </c>
      <c r="BV20" s="68" cm="1">
        <f t="array" ref="BV20">_xll.ciqfunctions.udf.CIQ(B$3,$BV$1,$BV$2,$A20,"L",,"USD","H")/100</f>
        <v>0.11243600000000001</v>
      </c>
      <c r="BW20" s="68" cm="1">
        <f t="array" ref="BW20">_xll.ciqfunctions.udf.CIQ(C$3,$BV$1,$BV$2,$A20,"L",,"USD","H")/100</f>
        <v>5.3832000000000005E-2</v>
      </c>
      <c r="BX20" s="68" cm="1">
        <f t="array" ref="BX20">_xll.ciqfunctions.udf.CIQ(D$3,$BV$1,$BV$2,$A20,"L",,"USD","H")/100</f>
        <v>8.0684000000000006E-2</v>
      </c>
      <c r="BY20" s="68" cm="1">
        <f t="array" ref="BY20">_xll.ciqfunctions.udf.CIQ(E$3,$BV$1,$BV$2,$A20,"L",,"USD","H")/100</f>
        <v>4.1203999999999998E-2</v>
      </c>
      <c r="BZ20" s="68" cm="1">
        <f t="array" ref="BZ20">_xll.ciqfunctions.udf.CIQ(F$3,$BV$1,$BV$2,$A20,"L",,"USD","H")/100</f>
        <v>-8.7975999999999999E-2</v>
      </c>
      <c r="CA20" s="68" cm="1">
        <f t="array" ref="CA20">_xll.ciqfunctions.udf.CIQ(G$3,$BV$1,$BV$2,$A20,"L",,"USD","H")/100</f>
        <v>0.130664</v>
      </c>
      <c r="CB20" s="68" cm="1">
        <f t="array" ref="CB20">_xll.ciqfunctions.udf.CIQ(B$3,$BV$1,$CB$2,$A20,"L",,"USD","H")/100</f>
        <v>4.4854999999999999E-2</v>
      </c>
      <c r="CC20" s="68" cm="1">
        <f t="array" ref="CC20">_xll.ciqfunctions.udf.CIQ(C$3,$BV$1,$CB$2,$A20,"L",,"USD","H")/100</f>
        <v>-8.7014999999999995E-2</v>
      </c>
      <c r="CD20" s="68" cm="1">
        <f t="array" ref="CD20">_xll.ciqfunctions.udf.CIQ(D$3,$BV$1,$CB$2,$A20,"L",,"USD","H")/100</f>
        <v>-1.0090000000000001E-3</v>
      </c>
      <c r="CE20" s="68" cm="1">
        <f t="array" ref="CE20">_xll.ciqfunctions.udf.CIQ(E$3,$BV$1,$CB$2,$A20,"L",,"USD","H")/100</f>
        <v>5.7007000000000002E-2</v>
      </c>
      <c r="CF20" s="68" cm="1">
        <f t="array" ref="CF20">_xll.ciqfunctions.udf.CIQ(F$3,$BV$1,$CB$2,$A20,"L",,"USD","H")/100</f>
        <v>1.4206000000000002E-2</v>
      </c>
      <c r="CG20" s="68" cm="1">
        <f t="array" ref="CG20">_xll.ciqfunctions.udf.CIQ(G$3,$BV$1,$CB$2,$A20,"L",,"USD","H")/100</f>
        <v>3.4245999999999999E-2</v>
      </c>
    </row>
    <row r="21" spans="1:85" x14ac:dyDescent="0.45">
      <c r="A21" s="3">
        <f t="shared" si="13"/>
        <v>44377</v>
      </c>
      <c r="B21" s="14" cm="1">
        <f t="array" ref="B21">_xll.ciqfunctions.udf.CIQ(B$3,$B$1,$B$2,$A21,"L",,"USD","H")</f>
        <v>9695</v>
      </c>
      <c r="C21" s="38" cm="1">
        <f t="array" ref="C21">_xll.ciqfunctions.udf.CIQ(C$3,$B$1,$B$2,$A21,"L",,"USD","H")</f>
        <v>66306</v>
      </c>
      <c r="D21" s="38" cm="1">
        <f t="array" ref="D21">_xll.ciqfunctions.udf.CIQ(D$3,$B$1,$B$2,$A21,"L",,"USD","H")</f>
        <v>36117</v>
      </c>
      <c r="E21" s="38" cm="1">
        <f t="array" ref="E21">_xll.ciqfunctions.udf.CIQ(E$3,$B$1,$B$2,$A21,"L",,"USD","H")</f>
        <v>4515</v>
      </c>
      <c r="F21" s="38" cm="1">
        <f t="array" ref="F21">_xll.ciqfunctions.udf.CIQ(F$3,$B$1,$B$2,$A21,"L",,"USD","H")</f>
        <v>36172</v>
      </c>
      <c r="G21" s="38" cm="1">
        <f t="array" ref="G21">_xll.ciqfunctions.udf.CIQ(G$3,$B$1,$B$2,$A21,"L",,"USD","H")</f>
        <v>2944</v>
      </c>
      <c r="H21" s="40" cm="1">
        <f t="array" ref="H21">_xll.ciqfunctions.udf.CIQ(B$3,$B$1,$H$2,$A21,"L",,"USD","H")</f>
        <v>29641</v>
      </c>
      <c r="I21" s="40" cm="1">
        <f t="array" ref="I21">_xll.ciqfunctions.udf.CIQ(C$3,$B$1,$H$2,$A21,"L",,"USD","H")</f>
        <v>215879</v>
      </c>
      <c r="J21" s="40" cm="1">
        <f t="array" ref="J21">_xll.ciqfunctions.udf.CIQ(D$3,$B$1,$H$2,$A21,"L",,"USD","H")</f>
        <v>115641</v>
      </c>
      <c r="K21" s="40" cm="1">
        <f t="array" ref="K21">_xll.ciqfunctions.udf.CIQ(E$3,$B$1,$H$2,$A21,"L",,"USD","H")</f>
        <v>13804</v>
      </c>
      <c r="L21" s="40" cm="1">
        <f t="array" ref="L21">_xll.ciqfunctions.udf.CIQ(F$3,$B$1,$H$2,$A21,"L",,"USD","H")</f>
        <v>124227</v>
      </c>
      <c r="M21" s="40" cm="1">
        <f t="array" ref="M21">_xll.ciqfunctions.udf.CIQ(G$3,$B$1,$H$2,$A21,"L",,"USD","H")</f>
        <v>7766</v>
      </c>
      <c r="N21" s="13" cm="1">
        <f t="array" ref="N21">_xll.ciqfunctions.udf.CIQ(B$3,$N$1,$B$2,$A21,"L",,"USD","H")</f>
        <v>243.06440000000001</v>
      </c>
      <c r="O21" s="13" cm="1">
        <f t="array" ref="O21">_xll.ciqfunctions.udf.CIQ(C$3,$N$1,$B$2,$A21,"L",,"USD","H")</f>
        <v>104.0059</v>
      </c>
      <c r="P21" s="13" cm="1">
        <f t="array" ref="P21">_xll.ciqfunctions.udf.CIQ(D$3,$N$1,$B$2,$A21,"L",,"USD","H")</f>
        <v>126.7801</v>
      </c>
      <c r="Q21" s="13" cm="1">
        <f t="array" ref="Q21">_xll.ciqfunctions.udf.CIQ(E$3,$N$1,$B$2,$A21,"L",,"USD","H")</f>
        <v>271.29930000000002</v>
      </c>
      <c r="R21" s="13" cm="1">
        <f t="array" ref="R21">_xll.ciqfunctions.udf.CIQ(F$3,$N$1,$B$2,$A21,"L",,"USD","H")</f>
        <v>71.123000000000005</v>
      </c>
      <c r="S21" s="13" cm="1">
        <f t="array" ref="S21">_xll.ciqfunctions.udf.CIQ(G$3,$N$1,$B$2,$A21,"L",,"USD","H")</f>
        <v>312.90320000000003</v>
      </c>
      <c r="T21" s="94">
        <v>45933</v>
      </c>
      <c r="U21" s="41" cm="1">
        <f t="array" ref="U21">_xll.ciqfunctions.udf.CIQ(O$3,$N$1,$T$2,$A21,"L",,"USD","H")</f>
        <v>0.86199999999999999</v>
      </c>
      <c r="V21" s="41" cm="1">
        <f t="array" ref="V21">_xll.ciqfunctions.udf.CIQ(P$3,$N$1,$T$2,$A21,"L",,"USD","H")</f>
        <v>7.8811</v>
      </c>
      <c r="W21" s="41" cm="1">
        <f t="array" ref="W21">_xll.ciqfunctions.udf.CIQ(Q$3,$N$1,$T$2,$A21,"L",,"USD","H")</f>
        <v>4.6334999999999997</v>
      </c>
      <c r="X21" s="41" cm="1">
        <f t="array" ref="X21">_xll.ciqfunctions.udf.CIQ(R$3,$N$1,$T$2,$A21,"L",,"USD","H")</f>
        <v>-34.927399999999999</v>
      </c>
      <c r="Y21" s="41" cm="1">
        <f t="array" ref="Y21">_xll.ciqfunctions.udf.CIQ(S$3,$N$1,$T$2,$A21,"L",,"USD","H")</f>
        <v>49.461100000000002</v>
      </c>
      <c r="Z21" s="38" cm="1">
        <f t="array" ref="Z21">_xll.ciqfunctions.udf.CIQ(B$3,$Z$1,$B$2,$A21,"L",,"USD","H")</f>
        <v>2091</v>
      </c>
      <c r="AA21" s="38" cm="1">
        <f t="array" ref="AA21">_xll.ciqfunctions.udf.CIQ(C$3,$Z$1,$B$2,$A21,"L",,"USD","H")</f>
        <v>4690</v>
      </c>
      <c r="AB21" s="38" cm="1">
        <f t="array" ref="AB21">_xll.ciqfunctions.udf.CIQ(D$3,$Z$1,$B$2,$A21,"L",,"USD","H")</f>
        <v>3082</v>
      </c>
      <c r="AC21" s="38" cm="1">
        <f t="array" ref="AC21">_xll.ciqfunctions.udf.CIQ(E$3,$Z$1,$B$2,$A21,"L",,"USD","H")</f>
        <v>907</v>
      </c>
      <c r="AD21" s="38" cm="1">
        <f t="array" ref="AD21">_xll.ciqfunctions.udf.CIQ(F$3,$Z$1,$B$2,$A21,"L",,"USD","H")</f>
        <v>3116</v>
      </c>
      <c r="AE21" s="38" cm="1">
        <f t="array" ref="AE21">_xll.ciqfunctions.udf.CIQ(G$3,$Z$1,$B$2,$A21,"L",,"USD","H")</f>
        <v>256</v>
      </c>
      <c r="AF21" s="40" cm="1">
        <f t="array" ref="AF21">_xll.ciqfunctions.udf.CIQ(B$3,$Z$1,$H$2,$A21,"L",,"USD","H")</f>
        <v>1851</v>
      </c>
      <c r="AG21" s="40" cm="1">
        <f t="array" ref="AG21">_xll.ciqfunctions.udf.CIQ(C$3,$Z$1,$H$2,$A21,"L",,"USD","H")</f>
        <v>-13330</v>
      </c>
      <c r="AH21" s="40" cm="1">
        <f t="array" ref="AH21">_xll.ciqfunctions.udf.CIQ(D$3,$Z$1,$H$2,$A21,"L",,"USD","H")</f>
        <v>3587</v>
      </c>
      <c r="AI21" s="40" cm="1">
        <f t="array" ref="AI21">_xll.ciqfunctions.udf.CIQ(E$3,$Z$1,$H$2,$A21,"L",,"USD","H")</f>
        <v>1879</v>
      </c>
      <c r="AJ21" s="40" cm="1">
        <f t="array" ref="AJ21">_xll.ciqfunctions.udf.CIQ(F$3,$Z$1,$H$2,$A21,"L",,"USD","H")</f>
        <v>8691</v>
      </c>
      <c r="AK21" s="40" cm="1">
        <f t="array" ref="AK21">_xll.ciqfunctions.udf.CIQ(G$3,$Z$1,$H$2,$A21,"L",,"USD","H")</f>
        <v>275</v>
      </c>
      <c r="AL21" s="13" cm="1">
        <f t="array" ref="AL21">_xll.ciqfunctions.udf.CIQ(B$3,$AL$1,$AL$2,$A21,"L",,"USD","H")</f>
        <v>704.23069999999996</v>
      </c>
      <c r="AM21" s="13" t="str" cm="1">
        <f t="array" ref="AM21">_xll.ciqfunctions.udf.CIQ(C$3,$AL$1,$AL$2,$A21,"L",,"USD","H")</f>
        <v>NM</v>
      </c>
      <c r="AN21" s="13" t="str" cm="1">
        <f t="array" ref="AN21">_xll.ciqfunctions.udf.CIQ(D$3,$AL$1,$AL$2,$A21,"L",,"USD","H")</f>
        <v>NM</v>
      </c>
      <c r="AO21" s="13" t="str" cm="1">
        <f t="array" ref="AO21">_xll.ciqfunctions.udf.CIQ(E$3,$AL$1,$AL$2,$A21,"L",,"USD","H")</f>
        <v>NM</v>
      </c>
      <c r="AP21" s="13" t="str" cm="1">
        <f t="array" ref="AP21">_xll.ciqfunctions.udf.CIQ(F$3,$AL$1,$AL$2,$A21,"L",,"USD","H")</f>
        <v>NM</v>
      </c>
      <c r="AQ21" s="13" t="str" cm="1">
        <f t="array" ref="AQ21">_xll.ciqfunctions.udf.CIQ(G$3,$AL$1,$AL$2,$A21,"L",,"USD","H")</f>
        <v>NM</v>
      </c>
      <c r="AR21" s="41" cm="1">
        <f t="array" ref="AR21">_xll.ciqfunctions.udf.CIQ(B$3,$AL$1,$AR$2,$A21,"L",,"USD","H")</f>
        <v>-19.416699999999999</v>
      </c>
      <c r="AS21" s="41" t="str" cm="1">
        <f t="array" ref="AS21">_xll.ciqfunctions.udf.CIQ(C$3,$AL$1,$AR$2,$A21,"L",,"USD","H")</f>
        <v>NM</v>
      </c>
      <c r="AT21" s="41" t="str" cm="1">
        <f t="array" ref="AT21">_xll.ciqfunctions.udf.CIQ(D$3,$AL$1,$AR$2,$A21,"L",,"USD","H")</f>
        <v>NM</v>
      </c>
      <c r="AU21" s="41" cm="1">
        <f t="array" ref="AU21">_xll.ciqfunctions.udf.CIQ(E$3,$AL$1,$AR$2,$A21,"L",,"USD","H")</f>
        <v>434.34870000000001</v>
      </c>
      <c r="AV21" s="41" t="str" cm="1">
        <f t="array" ref="AV21">_xll.ciqfunctions.udf.CIQ(F$3,$AL$1,$AR$2,$A21,"L",,"USD","H")</f>
        <v>NM</v>
      </c>
      <c r="AW21" s="41" t="str" cm="1">
        <f t="array" ref="AW21">_xll.ciqfunctions.udf.CIQ(G$3,$AL$1,$AR$2,$A21,"L",,"USD","H")</f>
        <v>NM</v>
      </c>
      <c r="AX21" s="38" cm="1">
        <f t="array" ref="AX21">_xll.ciqfunctions.udf.CIQ(B$3,$AX$1,$AX$2,$A21,"L",,"USD","H")</f>
        <v>4661</v>
      </c>
      <c r="AY21" s="38" cm="1">
        <f t="array" ref="AY21">_xll.ciqfunctions.udf.CIQ(C$3,$AX$1,$AX$2,$A21,"L",,"USD","H")</f>
        <v>10077</v>
      </c>
      <c r="AZ21" s="38" cm="1">
        <f t="array" ref="AZ21">_xll.ciqfunctions.udf.CIQ(D$3,$AX$1,$AX$2,$A21,"L",,"USD","H")</f>
        <v>7649</v>
      </c>
      <c r="BA21" s="38" cm="1">
        <f t="array" ref="BA21">_xll.ciqfunctions.udf.CIQ(E$3,$AX$1,$AX$2,$A21,"L",,"USD","H")</f>
        <v>2078</v>
      </c>
      <c r="BB21" s="38" cm="1">
        <f t="array" ref="BB21">_xll.ciqfunctions.udf.CIQ(F$3,$AX$1,$AX$2,$A21,"L",,"USD","H")</f>
        <v>5411</v>
      </c>
      <c r="BC21" s="38" cm="1">
        <f t="array" ref="BC21">_xll.ciqfunctions.udf.CIQ(G$3,$AX$1,$AX$2,$A21,"L",,"USD","H")</f>
        <v>864</v>
      </c>
      <c r="BD21" s="40" cm="1">
        <f t="array" ref="BD21">_xll.ciqfunctions.udf.CIQ(B$3,$AX$1,$BD$2,$A21,"L",,"USD","H")</f>
        <v>10391</v>
      </c>
      <c r="BE21" s="40" cm="1">
        <f t="array" ref="BE21">_xll.ciqfunctions.udf.CIQ(C$3,$AX$1,$BD$2,$A21,"L",,"USD","H")</f>
        <v>24888</v>
      </c>
      <c r="BF21" s="40" cm="1">
        <f t="array" ref="BF21">_xll.ciqfunctions.udf.CIQ(D$3,$AX$1,$BD$2,$A21,"L",,"USD","H")</f>
        <v>21042</v>
      </c>
      <c r="BG21" s="40">
        <f>_xll.ciqfunctions.udf.CIQ("COP", "IQ_PRICEDATE", "9/12/2025")</f>
        <v>45912</v>
      </c>
      <c r="BH21" s="40" cm="1">
        <f t="array" ref="BH21">_xll.ciqfunctions.udf.CIQ(F$3,$AX$1,$BD$2,$A21,"L",,"USD","H")</f>
        <v>20098</v>
      </c>
      <c r="BI21" s="40" cm="1">
        <f t="array" ref="BI21">_xll.ciqfunctions.udf.CIQ(G$3,$AX$1,$BD$2,$A21,"L",,"USD","H")</f>
        <v>2093</v>
      </c>
      <c r="BJ21" s="43">
        <f t="shared" si="1"/>
        <v>22.422110552763819</v>
      </c>
      <c r="BK21" s="43">
        <f t="shared" si="2"/>
        <v>1.457205559619605</v>
      </c>
      <c r="BL21" s="43">
        <f t="shared" si="3"/>
        <v>-6.9804534792806878</v>
      </c>
      <c r="BM21" s="43">
        <f t="shared" si="4"/>
        <v>-24.348314606741575</v>
      </c>
      <c r="BN21" s="43">
        <f t="shared" si="5"/>
        <v>8.4368737474949995E-2</v>
      </c>
      <c r="BO21" s="43">
        <f t="shared" si="6"/>
        <v>-3.8421052631578947</v>
      </c>
      <c r="BP21" s="42">
        <f t="shared" si="7"/>
        <v>0.19519208649643427</v>
      </c>
      <c r="BQ21" s="42">
        <f t="shared" si="8"/>
        <v>1.8872559053506377E-2</v>
      </c>
      <c r="BR21" s="42">
        <f t="shared" si="9"/>
        <v>8.789163478440698E-2</v>
      </c>
      <c r="BS21" s="42">
        <f t="shared" si="10"/>
        <v>6.1023450440234051E-4</v>
      </c>
      <c r="BT21" s="42">
        <f t="shared" si="11"/>
        <v>-2.3989898989899006E-2</v>
      </c>
      <c r="BU21" s="42">
        <f t="shared" si="12"/>
        <v>7.7200205867215654E-2</v>
      </c>
      <c r="BV21" s="68" cm="1">
        <f t="array" ref="BV21">_xll.ciqfunctions.udf.CIQ(B$3,$BV$1,$BV$2,$A21,"L",,"USD","H")/100</f>
        <v>9.4640000000000002E-2</v>
      </c>
      <c r="BW21" s="68" cm="1">
        <f t="array" ref="BW21">_xll.ciqfunctions.udf.CIQ(C$3,$BV$1,$BV$2,$A21,"L",,"USD","H")/100</f>
        <v>1.7088000000000002E-2</v>
      </c>
      <c r="BX21" s="68" cm="1">
        <f t="array" ref="BX21">_xll.ciqfunctions.udf.CIQ(D$3,$BV$1,$BV$2,$A21,"L",,"USD","H")/100</f>
        <v>1.146E-2</v>
      </c>
      <c r="BY21" s="68" cm="1">
        <f t="array" ref="BY21">_xll.ciqfunctions.udf.CIQ(E$3,$BV$1,$BV$2,$A21,"L",,"USD","H")/100</f>
        <v>0.101936</v>
      </c>
      <c r="BZ21" s="68" cm="1">
        <f t="array" ref="BZ21">_xll.ciqfunctions.udf.CIQ(F$3,$BV$1,$BV$2,$A21,"L",,"USD","H")/100</f>
        <v>4.8891999999999998E-2</v>
      </c>
      <c r="CA21" s="68" cm="1">
        <f t="array" ref="CA21">_xll.ciqfunctions.udf.CIQ(G$3,$BV$1,$BV$2,$A21,"L",,"USD","H")/100</f>
        <v>6.8840000000000004E-3</v>
      </c>
      <c r="CB21" s="68" cm="1">
        <f t="array" ref="CB21">_xll.ciqfunctions.udf.CIQ(B$3,$BV$1,$CB$2,$A21,"L",,"USD","H")/100</f>
        <v>-4.2959999999999995E-3</v>
      </c>
      <c r="CC21" s="68" cm="1">
        <f t="array" ref="CC21">_xll.ciqfunctions.udf.CIQ(C$3,$BV$1,$CB$2,$A21,"L",,"USD","H")/100</f>
        <v>-0.11681800000000001</v>
      </c>
      <c r="CD21" s="68" cm="1">
        <f t="array" ref="CD21">_xll.ciqfunctions.udf.CIQ(D$3,$BV$1,$CB$2,$A21,"L",,"USD","H")/100</f>
        <v>-3.6533999999999997E-2</v>
      </c>
      <c r="CE21" s="68" cm="1">
        <f t="array" ref="CE21">_xll.ciqfunctions.udf.CIQ(E$3,$BV$1,$CB$2,$A21,"L",,"USD","H")/100</f>
        <v>3.7397E-2</v>
      </c>
      <c r="CF21" s="68" cm="1">
        <f t="array" ref="CF21">_xll.ciqfunctions.udf.CIQ(F$3,$BV$1,$CB$2,$A21,"L",,"USD","H")/100</f>
        <v>5.1355000000000005E-2</v>
      </c>
      <c r="CG21" s="68" cm="1">
        <f t="array" ref="CG21">_xll.ciqfunctions.udf.CIQ(G$3,$BV$1,$CB$2,$A21,"L",,"USD","H")/100</f>
        <v>-2.0748000000000003E-2</v>
      </c>
    </row>
    <row r="22" spans="1:85" x14ac:dyDescent="0.45">
      <c r="A22" s="3">
        <f t="shared" si="13"/>
        <v>44286</v>
      </c>
      <c r="B22" s="14" cm="1">
        <f t="array" ref="B22">_xll.ciqfunctions.udf.CIQ(B$3,$B$1,$B$2,$A22,"L",,"USD","H")</f>
        <v>9948</v>
      </c>
      <c r="C22" s="38" cm="1">
        <f t="array" ref="C22">_xll.ciqfunctions.udf.CIQ(C$3,$B$1,$B$2,$A22,"L",,"USD","H")</f>
        <v>57674</v>
      </c>
      <c r="D22" s="38" cm="1">
        <f t="array" ref="D22">_xll.ciqfunctions.udf.CIQ(D$3,$B$1,$B$2,$A22,"L",,"USD","H")</f>
        <v>31076</v>
      </c>
      <c r="E22" s="38" cm="1">
        <f t="array" ref="E22">_xll.ciqfunctions.udf.CIQ(E$3,$B$1,$B$2,$A22,"L",,"USD","H")</f>
        <v>4067</v>
      </c>
      <c r="F22" s="38" cm="1">
        <f t="array" ref="F22">_xll.ciqfunctions.udf.CIQ(F$3,$B$1,$B$2,$A22,"L",,"USD","H")</f>
        <v>34291</v>
      </c>
      <c r="G22" s="38" cm="1">
        <f t="array" ref="G22">_xll.ciqfunctions.udf.CIQ(G$3,$B$1,$B$2,$A22,"L",,"USD","H")</f>
        <v>2318</v>
      </c>
      <c r="H22" s="40" cm="1">
        <f t="array" ref="H22">_xll.ciqfunctions.udf.CIQ(B$3,$B$1,$H$2,$A22,"L",,"USD","H")</f>
        <v>22772</v>
      </c>
      <c r="I22" s="40" cm="1">
        <f t="array" ref="I22">_xll.ciqfunctions.udf.CIQ(C$3,$B$1,$H$2,$A22,"L",,"USD","H")</f>
        <v>182075</v>
      </c>
      <c r="J22" s="40" cm="1">
        <f t="array" ref="J22">_xll.ciqfunctions.udf.CIQ(D$3,$B$1,$H$2,$A22,"L",,"USD","H")</f>
        <v>95450</v>
      </c>
      <c r="K22" s="40" cm="1">
        <f t="array" ref="K22">_xll.ciqfunctions.udf.CIQ(E$3,$B$1,$H$2,$A22,"L",,"USD","H")</f>
        <v>10505</v>
      </c>
      <c r="L22" s="40" cm="1">
        <f t="array" ref="L22">_xll.ciqfunctions.udf.CIQ(F$3,$B$1,$H$2,$A22,"L",,"USD","H")</f>
        <v>109193</v>
      </c>
      <c r="M22" s="40" cm="1">
        <f t="array" ref="M22">_xll.ciqfunctions.udf.CIQ(G$3,$B$1,$H$2,$A22,"L",,"USD","H")</f>
        <v>5535</v>
      </c>
      <c r="N22" s="13" cm="1">
        <f t="array" ref="N22">_xll.ciqfunctions.udf.CIQ(B$3,$N$1,$B$2,$A22,"L",,"USD","H")</f>
        <v>55.631999999999998</v>
      </c>
      <c r="O22" s="13" cm="1">
        <f t="array" ref="O22">_xll.ciqfunctions.udf.CIQ(C$3,$N$1,$B$2,$A22,"L",,"USD","H")</f>
        <v>4.1365999999999996</v>
      </c>
      <c r="P22" s="13" cm="1">
        <f t="array" ref="P22">_xll.ciqfunctions.udf.CIQ(D$3,$N$1,$B$2,$A22,"L",,"USD","H")</f>
        <v>4.6153000000000004</v>
      </c>
      <c r="Q22" s="13" cm="1">
        <f t="array" ref="Q22">_xll.ciqfunctions.udf.CIQ(E$3,$N$1,$B$2,$A22,"L",,"USD","H")</f>
        <v>16.332899999999999</v>
      </c>
      <c r="R22" s="13" cm="1">
        <f t="array" ref="R22">_xll.ciqfunctions.udf.CIQ(F$3,$N$1,$B$2,$A22,"L",,"USD","H")</f>
        <v>11.4429</v>
      </c>
      <c r="S22" s="13" cm="1">
        <f t="array" ref="S22">_xll.ciqfunctions.udf.CIQ(G$3,$N$1,$B$2,$A22,"L",,"USD","H")</f>
        <v>80.248800000000003</v>
      </c>
      <c r="T22" s="94">
        <v>45926</v>
      </c>
      <c r="U22" s="41" cm="1">
        <f t="array" ref="U22">_xll.ciqfunctions.udf.CIQ(O$3,$N$1,$T$2,$A22,"L",,"USD","H")</f>
        <v>-26.954999999999998</v>
      </c>
      <c r="V22" s="41" cm="1">
        <f t="array" ref="V22">_xll.ciqfunctions.udf.CIQ(P$3,$N$1,$T$2,$A22,"L",,"USD","H")</f>
        <v>-25.190100000000001</v>
      </c>
      <c r="W22" s="41" cm="1">
        <f t="array" ref="W22">_xll.ciqfunctions.udf.CIQ(Q$3,$N$1,$T$2,$A22,"L",,"USD","H")</f>
        <v>-36.290999999999997</v>
      </c>
      <c r="X22" s="41" cm="1">
        <f t="array" ref="X22">_xll.ciqfunctions.udf.CIQ(R$3,$N$1,$T$2,$A22,"L",,"USD","H")</f>
        <v>-54.892400000000002</v>
      </c>
      <c r="Y22" s="41" cm="1">
        <f t="array" ref="Y22">_xll.ciqfunctions.udf.CIQ(S$3,$N$1,$T$2,$A22,"L",,"USD","H")</f>
        <v>-9.0387000000000004</v>
      </c>
      <c r="Z22" s="38" cm="1">
        <f t="array" ref="Z22">_xll.ciqfunctions.udf.CIQ(B$3,$Z$1,$B$2,$A22,"L",,"USD","H")</f>
        <v>982</v>
      </c>
      <c r="AA22" s="38" cm="1">
        <f t="array" ref="AA22">_xll.ciqfunctions.udf.CIQ(C$3,$Z$1,$B$2,$A22,"L",,"USD","H")</f>
        <v>2730</v>
      </c>
      <c r="AB22" s="38" cm="1">
        <f t="array" ref="AB22">_xll.ciqfunctions.udf.CIQ(D$3,$Z$1,$B$2,$A22,"L",,"USD","H")</f>
        <v>1377</v>
      </c>
      <c r="AC22" s="38" cm="1">
        <f t="array" ref="AC22">_xll.ciqfunctions.udf.CIQ(E$3,$Z$1,$B$2,$A22,"L",,"USD","H")</f>
        <v>677</v>
      </c>
      <c r="AD22" s="38" cm="1">
        <f t="array" ref="AD22">_xll.ciqfunctions.udf.CIQ(F$3,$Z$1,$B$2,$A22,"L",,"USD","H")</f>
        <v>4667</v>
      </c>
      <c r="AE22" s="38" cm="1">
        <f t="array" ref="AE22">_xll.ciqfunctions.udf.CIQ(G$3,$Z$1,$B$2,$A22,"L",,"USD","H")</f>
        <v>213</v>
      </c>
      <c r="AF22" s="40" cm="1">
        <f t="array" ref="AF22">_xll.ciqfunctions.udf.CIQ(B$3,$Z$1,$H$2,$A22,"L",,"USD","H")</f>
        <v>20</v>
      </c>
      <c r="AG22" s="40" cm="1">
        <f t="array" ref="AG22">_xll.ciqfunctions.udf.CIQ(C$3,$Z$1,$H$2,$A22,"L",,"USD","H")</f>
        <v>-19100</v>
      </c>
      <c r="AH22" s="40" cm="1">
        <f t="array" ref="AH22">_xll.ciqfunctions.udf.CIQ(D$3,$Z$1,$H$2,$A22,"L",,"USD","H")</f>
        <v>-7765</v>
      </c>
      <c r="AI22" s="40" cm="1">
        <f t="array" ref="AI22">_xll.ciqfunctions.udf.CIQ(E$3,$Z$1,$H$2,$A22,"L",,"USD","H")</f>
        <v>62</v>
      </c>
      <c r="AJ22" s="40" cm="1">
        <f t="array" ref="AJ22">_xll.ciqfunctions.udf.CIQ(F$3,$Z$1,$H$2,$A22,"L",,"USD","H")</f>
        <v>-11273</v>
      </c>
      <c r="AK22" s="40" cm="1">
        <f t="array" ref="AK22">_xll.ciqfunctions.udf.CIQ(G$3,$Z$1,$H$2,$A22,"L",,"USD","H")</f>
        <v>-651</v>
      </c>
      <c r="AL22" s="13" t="str" cm="1">
        <f t="array" ref="AL22">_xll.ciqfunctions.udf.CIQ(B$3,$AL$1,$AL$2,$A22,"L",,"USD","H")</f>
        <v>NM</v>
      </c>
      <c r="AM22" s="13" t="str" cm="1">
        <f t="array" ref="AM22">_xll.ciqfunctions.udf.CIQ(C$3,$AL$1,$AL$2,$A22,"L",,"USD","H")</f>
        <v>NM</v>
      </c>
      <c r="AN22" s="13" cm="1">
        <f t="array" ref="AN22">_xll.ciqfunctions.udf.CIQ(D$3,$AL$1,$AL$2,$A22,"L",,"USD","H")</f>
        <v>-61.739400000000003</v>
      </c>
      <c r="AO22" s="13" cm="1">
        <f t="array" ref="AO22">_xll.ciqfunctions.udf.CIQ(E$3,$AL$1,$AL$2,$A22,"L",,"USD","H")</f>
        <v>6670</v>
      </c>
      <c r="AP22" s="13" t="str" cm="1">
        <f t="array" ref="AP22">_xll.ciqfunctions.udf.CIQ(F$3,$AL$1,$AL$2,$A22,"L",,"USD","H")</f>
        <v>NM</v>
      </c>
      <c r="AQ22" s="13" t="str" cm="1">
        <f t="array" ref="AQ22">_xll.ciqfunctions.udf.CIQ(G$3,$AL$1,$AL$2,$A22,"L",,"USD","H")</f>
        <v>NM</v>
      </c>
      <c r="AR22" s="41" cm="1">
        <f t="array" ref="AR22">_xll.ciqfunctions.udf.CIQ(B$3,$AL$1,$AR$2,$A22,"L",,"USD","H")</f>
        <v>-99.447100000000006</v>
      </c>
      <c r="AS22" s="41" t="str" cm="1">
        <f t="array" ref="AS22">_xll.ciqfunctions.udf.CIQ(C$3,$AL$1,$AR$2,$A22,"L",,"USD","H")</f>
        <v>NM</v>
      </c>
      <c r="AT22" s="41" t="str" cm="1">
        <f t="array" ref="AT22">_xll.ciqfunctions.udf.CIQ(D$3,$AL$1,$AR$2,$A22,"L",,"USD","H")</f>
        <v>NM</v>
      </c>
      <c r="AU22" s="41" cm="1">
        <f t="array" ref="AU22">_xll.ciqfunctions.udf.CIQ(E$3,$AL$1,$AR$2,$A22,"L",,"USD","H")</f>
        <v>-97.060900000000004</v>
      </c>
      <c r="AV22" s="41" t="str" cm="1">
        <f t="array" ref="AV22">_xll.ciqfunctions.udf.CIQ(F$3,$AL$1,$AR$2,$A22,"L",,"USD","H")</f>
        <v>NM</v>
      </c>
      <c r="AW22" s="41" t="str" cm="1">
        <f t="array" ref="AW22">_xll.ciqfunctions.udf.CIQ(G$3,$AL$1,$AR$2,$A22,"L",,"USD","H")</f>
        <v>NM</v>
      </c>
      <c r="AX22" s="38" cm="1">
        <f t="array" ref="AX22">_xll.ciqfunctions.udf.CIQ(B$3,$AX$1,$AX$2,$A22,"L",,"USD","H")</f>
        <v>3264</v>
      </c>
      <c r="AY22" s="38" cm="1">
        <f t="array" ref="AY22">_xll.ciqfunctions.udf.CIQ(C$3,$AX$1,$AX$2,$A22,"L",,"USD","H")</f>
        <v>7381</v>
      </c>
      <c r="AZ22" s="38" cm="1">
        <f t="array" ref="AZ22">_xll.ciqfunctions.udf.CIQ(D$3,$AX$1,$AX$2,$A22,"L",,"USD","H")</f>
        <v>5669</v>
      </c>
      <c r="BA22" s="38" cm="1">
        <f t="array" ref="BA22">_xll.ciqfunctions.udf.CIQ(E$3,$AX$1,$AX$2,$A22,"L",,"USD","H")</f>
        <v>1882</v>
      </c>
      <c r="BB22" s="38" cm="1">
        <f t="array" ref="BB22">_xll.ciqfunctions.udf.CIQ(F$3,$AX$1,$AX$2,$A22,"L",,"USD","H")</f>
        <v>9118</v>
      </c>
      <c r="BC22" s="38" cm="1">
        <f t="array" ref="BC22">_xll.ciqfunctions.udf.CIQ(G$3,$AX$1,$AX$2,$A22,"L",,"USD","H")</f>
        <v>677</v>
      </c>
      <c r="BD22" s="40" cm="1">
        <f t="array" ref="BD22">_xll.ciqfunctions.udf.CIQ(B$3,$AX$1,$BD$2,$A22,"L",,"USD","H")</f>
        <v>5929</v>
      </c>
      <c r="BE22" s="40" cm="1">
        <f t="array" ref="BE22">_xll.ciqfunctions.udf.CIQ(C$3,$AX$1,$BD$2,$A22,"L",,"USD","H")</f>
        <v>18912</v>
      </c>
      <c r="BF22" s="40" cm="1">
        <f t="array" ref="BF22">_xll.ciqfunctions.udf.CIQ(D$3,$AX$1,$BD$2,$A22,"L",,"USD","H")</f>
        <v>12075</v>
      </c>
      <c r="BG22" s="40">
        <f>_xll.ciqfunctions.udf.CIQ("COP", "IQ_PRICEDATE", "9/5/2025")</f>
        <v>45905</v>
      </c>
      <c r="BH22" s="40" cm="1">
        <f t="array" ref="BH22">_xll.ciqfunctions.udf.CIQ(F$3,$AX$1,$BD$2,$A22,"L",,"USD","H")</f>
        <v>19677</v>
      </c>
      <c r="BI22" s="40" cm="1">
        <f t="array" ref="BI22">_xll.ciqfunctions.udf.CIQ(G$3,$AX$1,$BD$2,$A22,"L",,"USD","H")</f>
        <v>925</v>
      </c>
      <c r="BJ22" s="43">
        <f t="shared" si="1"/>
        <v>0.55725190839694649</v>
      </c>
      <c r="BK22" s="43">
        <f t="shared" si="2"/>
        <v>0.46593843098311827</v>
      </c>
      <c r="BL22" s="43">
        <f t="shared" si="3"/>
        <v>-0.1662009118988087</v>
      </c>
      <c r="BM22" s="43">
        <f t="shared" si="4"/>
        <v>-0.28030592734225623</v>
      </c>
      <c r="BN22" s="43">
        <f t="shared" si="5"/>
        <v>4.4435820895522387</v>
      </c>
      <c r="BO22" s="43">
        <f t="shared" si="6"/>
        <v>-0.40873362445414851</v>
      </c>
      <c r="BP22" s="42">
        <f t="shared" si="7"/>
        <v>-0.50890416632154389</v>
      </c>
      <c r="BQ22" s="42">
        <f t="shared" si="8"/>
        <v>-0.33516135836321448</v>
      </c>
      <c r="BR22" s="42">
        <f t="shared" si="9"/>
        <v>-0.57717627284823869</v>
      </c>
      <c r="BS22" s="42">
        <f t="shared" si="10"/>
        <v>6.1032761514479006E-4</v>
      </c>
      <c r="BT22" s="42">
        <f t="shared" si="11"/>
        <v>-0.1797148574287144</v>
      </c>
      <c r="BU22" s="42">
        <f t="shared" si="12"/>
        <v>-0.68289338361330132</v>
      </c>
      <c r="BV22" s="68" cm="1">
        <f t="array" ref="BV22">_xll.ciqfunctions.udf.CIQ(B$3,$BV$1,$BV$2,$A22,"L",,"USD","H")/100</f>
        <v>2.8868000000000001E-2</v>
      </c>
      <c r="BW22" s="68" cm="1">
        <f t="array" ref="BW22">_xll.ciqfunctions.udf.CIQ(C$3,$BV$1,$BV$2,$A22,"L",,"USD","H")/100</f>
        <v>-1.7048000000000001E-2</v>
      </c>
      <c r="BX22" s="68" cm="1">
        <f t="array" ref="BX22">_xll.ciqfunctions.udf.CIQ(D$3,$BV$1,$BV$2,$A22,"L",,"USD","H")/100</f>
        <v>-2.4287999999999997E-2</v>
      </c>
      <c r="BY22" s="68" cm="1">
        <f t="array" ref="BY22">_xll.ciqfunctions.udf.CIQ(E$3,$BV$1,$BV$2,$A22,"L",,"USD","H")/100</f>
        <v>6.8848000000000006E-2</v>
      </c>
      <c r="BZ22" s="68" cm="1">
        <f t="array" ref="BZ22">_xll.ciqfunctions.udf.CIQ(F$3,$BV$1,$BV$2,$A22,"L",,"USD","H")/100</f>
        <v>8.649599999999999E-2</v>
      </c>
      <c r="CA22" s="68" cm="1">
        <f t="array" ref="CA22">_xll.ciqfunctions.udf.CIQ(G$3,$BV$1,$BV$2,$A22,"L",,"USD","H")/100</f>
        <v>3.3839999999999999E-3</v>
      </c>
      <c r="CB22" s="68" cm="1">
        <f t="array" ref="CB22">_xll.ciqfunctions.udf.CIQ(B$3,$BV$1,$CB$2,$A22,"L",,"USD","H")/100</f>
        <v>-3.5437999999999997E-2</v>
      </c>
      <c r="CC22" s="68" cm="1">
        <f t="array" ref="CC22">_xll.ciqfunctions.udf.CIQ(C$3,$BV$1,$CB$2,$A22,"L",,"USD","H")/100</f>
        <v>-0.14278000000000002</v>
      </c>
      <c r="CD22" s="68" cm="1">
        <f t="array" ref="CD22">_xll.ciqfunctions.udf.CIQ(D$3,$BV$1,$CB$2,$A22,"L",,"USD","H")/100</f>
        <v>-9.8313000000000011E-2</v>
      </c>
      <c r="CE22" s="68" cm="1">
        <f t="array" ref="CE22">_xll.ciqfunctions.udf.CIQ(E$3,$BV$1,$CB$2,$A22,"L",,"USD","H")/100</f>
        <v>-3.0499999999999999E-2</v>
      </c>
      <c r="CF22" s="68" cm="1">
        <f t="array" ref="CF22">_xll.ciqfunctions.udf.CIQ(F$3,$BV$1,$CB$2,$A22,"L",,"USD","H")/100</f>
        <v>-9.904099999999999E-2</v>
      </c>
      <c r="CG22" s="68" cm="1">
        <f t="array" ref="CG22">_xll.ciqfunctions.udf.CIQ(G$3,$BV$1,$CB$2,$A22,"L",,"USD","H")/100</f>
        <v>-7.9547999999999994E-2</v>
      </c>
    </row>
    <row r="23" spans="1:85" x14ac:dyDescent="0.45">
      <c r="A23" s="3">
        <f t="shared" si="13"/>
        <v>44196</v>
      </c>
      <c r="B23" s="14" cm="1">
        <f t="array" ref="B23">_xll.ciqfunctions.udf.CIQ(B$3,$B$1,$B$2,$A23,"L",,"USD","H")</f>
        <v>5577</v>
      </c>
      <c r="C23" s="38" cm="1">
        <f t="array" ref="C23">_xll.ciqfunctions.udf.CIQ(C$3,$B$1,$B$2,$A23,"L",,"USD","H")</f>
        <v>46203</v>
      </c>
      <c r="D23" s="38" cm="1">
        <f t="array" ref="D23">_xll.ciqfunctions.udf.CIQ(D$3,$B$1,$B$2,$A23,"L",,"USD","H")</f>
        <v>24451</v>
      </c>
      <c r="E23" s="38" cm="1">
        <f t="array" ref="E23">_xll.ciqfunctions.udf.CIQ(E$3,$B$1,$B$2,$A23,"L",,"USD","H")</f>
        <v>2901</v>
      </c>
      <c r="F23" s="38" cm="1">
        <f t="array" ref="F23">_xll.ciqfunctions.udf.CIQ(F$3,$B$1,$B$2,$A23,"L",,"USD","H")</f>
        <v>27592</v>
      </c>
      <c r="G23" s="38" cm="1">
        <f t="array" ref="G23">_xll.ciqfunctions.udf.CIQ(G$3,$B$1,$B$2,$A23,"L",,"USD","H")</f>
        <v>1350</v>
      </c>
      <c r="H23" s="40" cm="1">
        <f t="array" ref="H23">_xll.ciqfunctions.udf.CIQ(B$3,$B$1,$H$2,$A23,"L",,"USD","H")</f>
        <v>19216</v>
      </c>
      <c r="I23" s="40" cm="1">
        <f t="array" ref="I23">_xll.ciqfunctions.udf.CIQ(C$3,$B$1,$H$2,$A23,"L",,"USD","H")</f>
        <v>179784</v>
      </c>
      <c r="J23" s="40" cm="1">
        <f t="array" ref="J23">_xll.ciqfunctions.udf.CIQ(D$3,$B$1,$H$2,$A23,"L",,"USD","H")</f>
        <v>94005</v>
      </c>
      <c r="K23" s="40" cm="1">
        <f t="array" ref="K23">_xll.ciqfunctions.udf.CIQ(E$3,$B$1,$H$2,$A23,"L",,"USD","H")</f>
        <v>9934</v>
      </c>
      <c r="L23" s="40" cm="1">
        <f t="array" ref="L23">_xll.ciqfunctions.udf.CIQ(F$3,$B$1,$H$2,$A23,"L",,"USD","H")</f>
        <v>105672</v>
      </c>
      <c r="M23" s="40" cm="1">
        <f t="array" ref="M23">_xll.ciqfunctions.udf.CIQ(G$3,$B$1,$H$2,$A23,"L",,"USD","H")</f>
        <v>4673</v>
      </c>
      <c r="N23" s="13" cm="1">
        <f t="array" ref="N23">_xll.ciqfunctions.udf.CIQ(B$3,$N$1,$B$2,$A23,"L",,"USD","H")</f>
        <v>-28.828499999999998</v>
      </c>
      <c r="O23" s="13" cm="1">
        <f t="array" ref="O23">_xll.ciqfunctions.udf.CIQ(C$3,$N$1,$B$2,$A23,"L",,"USD","H")</f>
        <v>-25.833200000000001</v>
      </c>
      <c r="P23" s="13" cm="1">
        <f t="array" ref="P23">_xll.ciqfunctions.udf.CIQ(D$3,$N$1,$B$2,$A23,"L",,"USD","H")</f>
        <v>-8.7071000000000005</v>
      </c>
      <c r="Q23" s="13" cm="1">
        <f t="array" ref="Q23">_xll.ciqfunctions.udf.CIQ(E$3,$N$1,$B$2,$A23,"L",,"USD","H")</f>
        <v>-31.9435</v>
      </c>
      <c r="R23" s="13" cm="1">
        <f t="array" ref="R23">_xll.ciqfunctions.udf.CIQ(F$3,$N$1,$B$2,$A23,"L",,"USD","H")</f>
        <v>-61.163200000000003</v>
      </c>
      <c r="S23" s="13" cm="1">
        <f t="array" ref="S23">_xll.ciqfunctions.udf.CIQ(G$3,$N$1,$B$2,$A23,"L",,"USD","H")</f>
        <v>-17.4817</v>
      </c>
      <c r="T23" s="94">
        <v>45919</v>
      </c>
      <c r="U23" s="41" cm="1">
        <f t="array" ref="U23">_xll.ciqfunctions.udf.CIQ(O$3,$N$1,$T$2,$A23,"L",,"USD","H")</f>
        <v>-30.718299999999999</v>
      </c>
      <c r="V23" s="41" cm="1">
        <f t="array" ref="V23">_xll.ciqfunctions.udf.CIQ(P$3,$N$1,$T$2,$A23,"L",,"USD","H")</f>
        <v>-32.547699999999999</v>
      </c>
      <c r="W23" s="41" cm="1">
        <f t="array" ref="W23">_xll.ciqfunctions.udf.CIQ(Q$3,$N$1,$T$2,$A23,"L",,"USD","H")</f>
        <v>-41.824800000000003</v>
      </c>
      <c r="X23" s="41" cm="1">
        <f t="array" ref="X23">_xll.ciqfunctions.udf.CIQ(R$3,$N$1,$T$2,$A23,"L",,"USD","H")</f>
        <v>-33.165100000000002</v>
      </c>
      <c r="Y23" s="41" cm="1">
        <f t="array" ref="Y23">_xll.ciqfunctions.udf.CIQ(S$3,$N$1,$T$2,$A23,"L",,"USD","H")</f>
        <v>-29.982099999999999</v>
      </c>
      <c r="Z23" s="38" cm="1">
        <f t="array" ref="Z23">_xll.ciqfunctions.udf.CIQ(B$3,$Z$1,$B$2,$A23,"L",,"USD","H")</f>
        <v>-772</v>
      </c>
      <c r="AA23" s="38" cm="1">
        <f t="array" ref="AA23">_xll.ciqfunctions.udf.CIQ(C$3,$Z$1,$B$2,$A23,"L",,"USD","H")</f>
        <v>-20070</v>
      </c>
      <c r="AB23" s="38" cm="1">
        <f t="array" ref="AB23">_xll.ciqfunctions.udf.CIQ(D$3,$Z$1,$B$2,$A23,"L",,"USD","H")</f>
        <v>-665</v>
      </c>
      <c r="AC23" s="38" cm="1">
        <f t="array" ref="AC23">_xll.ciqfunctions.udf.CIQ(E$3,$Z$1,$B$2,$A23,"L",,"USD","H")</f>
        <v>337</v>
      </c>
      <c r="AD23" s="38" cm="1">
        <f t="array" ref="AD23">_xll.ciqfunctions.udf.CIQ(F$3,$Z$1,$B$2,$A23,"L",,"USD","H")</f>
        <v>1358</v>
      </c>
      <c r="AE23" s="38" cm="1">
        <f t="array" ref="AE23">_xll.ciqfunctions.udf.CIQ(G$3,$Z$1,$B$2,$A23,"L",,"USD","H")</f>
        <v>-102</v>
      </c>
      <c r="AF23" s="40" cm="1">
        <f t="array" ref="AF23">_xll.ciqfunctions.udf.CIQ(B$3,$Z$1,$H$2,$A23,"L",,"USD","H")</f>
        <v>-2701</v>
      </c>
      <c r="AG23" s="40" cm="1">
        <f t="array" ref="AG23">_xll.ciqfunctions.udf.CIQ(C$3,$Z$1,$H$2,$A23,"L",,"USD","H")</f>
        <v>-22440</v>
      </c>
      <c r="AH23" s="40" cm="1">
        <f t="array" ref="AH23">_xll.ciqfunctions.udf.CIQ(D$3,$Z$1,$H$2,$A23,"L",,"USD","H")</f>
        <v>-5543</v>
      </c>
      <c r="AI23" s="40" cm="1">
        <f t="array" ref="AI23">_xll.ciqfunctions.udf.CIQ(E$3,$Z$1,$H$2,$A23,"L",,"USD","H")</f>
        <v>-605</v>
      </c>
      <c r="AJ23" s="40" cm="1">
        <f t="array" ref="AJ23">_xll.ciqfunctions.udf.CIQ(F$3,$Z$1,$H$2,$A23,"L",,"USD","H")</f>
        <v>-20305</v>
      </c>
      <c r="AK23" s="40" cm="1">
        <f t="array" ref="AK23">_xll.ciqfunctions.udf.CIQ(G$3,$Z$1,$H$2,$A23,"L",,"USD","H")</f>
        <v>-2680</v>
      </c>
      <c r="AL23" s="13" t="str" cm="1">
        <f t="array" ref="AL23">_xll.ciqfunctions.udf.CIQ(B$3,$AL$1,$AL$2,$A23,"L",,"USD","H")</f>
        <v>NM</v>
      </c>
      <c r="AM23" s="13" t="str" cm="1">
        <f t="array" ref="AM23">_xll.ciqfunctions.udf.CIQ(C$3,$AL$1,$AL$2,$A23,"L",,"USD","H")</f>
        <v>NM</v>
      </c>
      <c r="AN23" s="13" t="str" cm="1">
        <f t="array" ref="AN23">_xll.ciqfunctions.udf.CIQ(D$3,$AL$1,$AL$2,$A23,"L",,"USD","H")</f>
        <v>NM</v>
      </c>
      <c r="AO23" s="13" cm="1">
        <f t="array" ref="AO23">_xll.ciqfunctions.udf.CIQ(E$3,$AL$1,$AL$2,$A23,"L",,"USD","H")</f>
        <v>-47.055999999999997</v>
      </c>
      <c r="AP23" s="13" cm="1">
        <f t="array" ref="AP23">_xll.ciqfunctions.udf.CIQ(F$3,$AL$1,$AL$2,$A23,"L",,"USD","H")</f>
        <v>7047.3684000000003</v>
      </c>
      <c r="AQ23" s="13" t="str" cm="1">
        <f t="array" ref="AQ23">_xll.ciqfunctions.udf.CIQ(G$3,$AL$1,$AL$2,$A23,"L",,"USD","H")</f>
        <v>NM</v>
      </c>
      <c r="AR23" s="41" t="str" cm="1">
        <f t="array" ref="AR23">_xll.ciqfunctions.udf.CIQ(B$3,$AL$1,$AR$2,$A23,"L",,"USD","H")</f>
        <v>NM</v>
      </c>
      <c r="AS23" s="41" t="str" cm="1">
        <f t="array" ref="AS23">_xll.ciqfunctions.udf.CIQ(C$3,$AL$1,$AR$2,$A23,"L",,"USD","H")</f>
        <v>NM</v>
      </c>
      <c r="AT23" s="41" t="str" cm="1">
        <f t="array" ref="AT23">_xll.ciqfunctions.udf.CIQ(D$3,$AL$1,$AR$2,$A23,"L",,"USD","H")</f>
        <v>NM</v>
      </c>
      <c r="AU23" s="41" t="str" cm="1">
        <f t="array" ref="AU23">_xll.ciqfunctions.udf.CIQ(E$3,$AL$1,$AR$2,$A23,"L",,"USD","H")</f>
        <v>NM</v>
      </c>
      <c r="AV23" s="41" t="str" cm="1">
        <f t="array" ref="AV23">_xll.ciqfunctions.udf.CIQ(F$3,$AL$1,$AR$2,$A23,"L",,"USD","H")</f>
        <v>NM</v>
      </c>
      <c r="AW23" s="41" t="str" cm="1">
        <f t="array" ref="AW23">_xll.ciqfunctions.udf.CIQ(G$3,$AL$1,$AR$2,$A23,"L",,"USD","H")</f>
        <v>NM</v>
      </c>
      <c r="AX23" s="38" cm="1">
        <f t="array" ref="AX23">_xll.ciqfunctions.udf.CIQ(B$3,$AX$1,$AX$2,$A23,"L",,"USD","H")</f>
        <v>1330</v>
      </c>
      <c r="AY23" s="38" cm="1">
        <f t="array" ref="AY23">_xll.ciqfunctions.udf.CIQ(C$3,$AX$1,$AX$2,$A23,"L",,"USD","H")</f>
        <v>4079</v>
      </c>
      <c r="AZ23" s="38" cm="1">
        <f t="array" ref="AZ23">_xll.ciqfunctions.udf.CIQ(D$3,$AX$1,$AX$2,$A23,"L",,"USD","H")</f>
        <v>3996</v>
      </c>
      <c r="BA23" s="38" cm="1">
        <f t="array" ref="BA23">_xll.ciqfunctions.udf.CIQ(E$3,$AX$1,$AX$2,$A23,"L",,"USD","H")</f>
        <v>1507</v>
      </c>
      <c r="BB23" s="38" cm="1">
        <f t="array" ref="BB23">_xll.ciqfunctions.udf.CIQ(F$3,$AX$1,$AX$2,$A23,"L",,"USD","H")</f>
        <v>759</v>
      </c>
      <c r="BC23" s="38" cm="1">
        <f t="array" ref="BC23">_xll.ciqfunctions.udf.CIQ(G$3,$AX$1,$AX$2,$A23,"L",,"USD","H")</f>
        <v>3125</v>
      </c>
      <c r="BD23" s="40" cm="1">
        <f t="array" ref="BD23">_xll.ciqfunctions.udf.CIQ(B$3,$AX$1,$BD$2,$A23,"L",,"USD","H")</f>
        <v>4800</v>
      </c>
      <c r="BE23" s="40" cm="1">
        <f t="array" ref="BE23">_xll.ciqfunctions.udf.CIQ(C$3,$AX$1,$BD$2,$A23,"L",,"USD","H")</f>
        <v>17016</v>
      </c>
      <c r="BF23" s="40" cm="1">
        <f t="array" ref="BF23">_xll.ciqfunctions.udf.CIQ(D$3,$AX$1,$BD$2,$A23,"L",,"USD","H")</f>
        <v>13131</v>
      </c>
      <c r="BG23" s="40">
        <f>_xll.ciqfunctions.udf.CIQ("COP", "IQ_PRICEDATE", "8/29/2025")</f>
        <v>45898</v>
      </c>
      <c r="BH23" s="40" cm="1">
        <f t="array" ref="BH23">_xll.ciqfunctions.udf.CIQ(F$3,$AX$1,$BD$2,$A23,"L",,"USD","H")</f>
        <v>14441</v>
      </c>
      <c r="BI23" s="40" cm="1">
        <f t="array" ref="BI23">_xll.ciqfunctions.udf.CIQ(G$3,$AX$1,$BD$2,$A23,"L",,"USD","H")</f>
        <v>1393</v>
      </c>
      <c r="BJ23" s="43">
        <f t="shared" si="1"/>
        <v>-0.57330766762913066</v>
      </c>
      <c r="BK23" s="43">
        <f t="shared" si="2"/>
        <v>-0.38762948506230299</v>
      </c>
      <c r="BL23" s="43">
        <f t="shared" si="3"/>
        <v>-0.39010989010989006</v>
      </c>
      <c r="BM23" s="43">
        <f t="shared" si="4"/>
        <v>-0.32144381626841823</v>
      </c>
      <c r="BN23" s="43">
        <f t="shared" si="5"/>
        <v>-0.87840435757769941</v>
      </c>
      <c r="BO23" s="43">
        <f t="shared" si="6"/>
        <v>6.038288288288288</v>
      </c>
      <c r="BP23" s="42">
        <f t="shared" si="7"/>
        <v>-0.65080750763858575</v>
      </c>
      <c r="BQ23" s="42">
        <f t="shared" si="8"/>
        <v>-0.50596637923525822</v>
      </c>
      <c r="BR23" s="42">
        <f t="shared" si="9"/>
        <v>-0.5475813120176406</v>
      </c>
      <c r="BS23" s="42">
        <f t="shared" si="10"/>
        <v>6.1042075430561837E-4</v>
      </c>
      <c r="BT23" s="42">
        <f t="shared" si="11"/>
        <v>-0.57617468376720571</v>
      </c>
      <c r="BU23" s="42">
        <f t="shared" si="12"/>
        <v>-0.18680677174547577</v>
      </c>
      <c r="BV23" s="68" cm="1">
        <f t="array" ref="BV23">_xll.ciqfunctions.udf.CIQ(B$3,$BV$1,$BV$2,$A23,"L",,"USD","H")/100</f>
        <v>-0.10727600000000001</v>
      </c>
      <c r="BW23" s="68" cm="1">
        <f t="array" ref="BW23">_xll.ciqfunctions.udf.CIQ(C$3,$BV$1,$BV$2,$A23,"L",,"USD","H")/100</f>
        <v>-0.38794400000000001</v>
      </c>
      <c r="BX23" s="68" cm="1">
        <f t="array" ref="BX23">_xll.ciqfunctions.udf.CIQ(D$3,$BV$1,$BV$2,$A23,"L",,"USD","H")/100</f>
        <v>-7.1996000000000004E-2</v>
      </c>
      <c r="BY23" s="68" cm="1">
        <f t="array" ref="BY23">_xll.ciqfunctions.udf.CIQ(E$3,$BV$1,$BV$2,$A23,"L",,"USD","H")/100</f>
        <v>1.7600000000000001E-2</v>
      </c>
      <c r="BZ23" s="68" cm="1">
        <f t="array" ref="BZ23">_xll.ciqfunctions.udf.CIQ(F$3,$BV$1,$BV$2,$A23,"L",,"USD","H")/100</f>
        <v>7.208E-3</v>
      </c>
      <c r="CA23" s="68" cm="1">
        <f t="array" ref="CA23">_xll.ciqfunctions.udf.CIQ(G$3,$BV$1,$BV$2,$A23,"L",,"USD","H")/100</f>
        <v>-7.4915999999999996E-2</v>
      </c>
      <c r="CB23" s="68" cm="1">
        <f t="array" ref="CB23">_xll.ciqfunctions.udf.CIQ(B$3,$BV$1,$CB$2,$A23,"L",,"USD","H")/100</f>
        <v>-9.3559000000000003E-2</v>
      </c>
      <c r="CC23" s="68" cm="1">
        <f t="array" ref="CC23">_xll.ciqfunctions.udf.CIQ(C$3,$BV$1,$CB$2,$A23,"L",,"USD","H")/100</f>
        <v>-0.152646</v>
      </c>
      <c r="CD23" s="68" cm="1">
        <f t="array" ref="CD23">_xll.ciqfunctions.udf.CIQ(D$3,$BV$1,$CB$2,$A23,"L",,"USD","H")/100</f>
        <v>-8.5116999999999998E-2</v>
      </c>
      <c r="CE23" s="68" cm="1">
        <f t="array" ref="CE23">_xll.ciqfunctions.udf.CIQ(E$3,$BV$1,$CB$2,$A23,"L",,"USD","H")/100</f>
        <v>-5.2167999999999999E-2</v>
      </c>
      <c r="CF23" s="68" cm="1">
        <f t="array" ref="CF23">_xll.ciqfunctions.udf.CIQ(F$3,$BV$1,$CB$2,$A23,"L",,"USD","H")/100</f>
        <v>-0.15417400000000001</v>
      </c>
      <c r="CG23" s="68" cm="1">
        <f t="array" ref="CG23">_xll.ciqfunctions.udf.CIQ(G$3,$BV$1,$CB$2,$A23,"L",,"USD","H")/100</f>
        <v>-0.31473299999999998</v>
      </c>
    </row>
    <row r="24" spans="1:85" x14ac:dyDescent="0.45">
      <c r="A24" s="3">
        <f>EDATE(A20,-12)</f>
        <v>44104</v>
      </c>
      <c r="B24" s="14" cm="1">
        <f t="array" ref="B24">_xll.ciqfunctions.udf.CIQ(B$3,$B$1,$B$2,$A24,"L",,"USD","H")</f>
        <v>4421</v>
      </c>
      <c r="C24" s="38" cm="1">
        <f t="array" ref="C24">_xll.ciqfunctions.udf.CIQ(C$3,$B$1,$B$2,$A24,"L",,"USD","H")</f>
        <v>45696</v>
      </c>
      <c r="D24" s="38" cm="1">
        <f t="array" ref="D24">_xll.ciqfunctions.udf.CIQ(D$3,$B$1,$B$2,$A24,"L",,"USD","H")</f>
        <v>23997</v>
      </c>
      <c r="E24" s="38" cm="1">
        <f t="array" ref="E24">_xll.ciqfunctions.udf.CIQ(E$3,$B$1,$B$2,$A24,"L",,"USD","H")</f>
        <v>2321</v>
      </c>
      <c r="F24" s="38" cm="1">
        <f t="array" ref="F24">_xll.ciqfunctions.udf.CIQ(F$3,$B$1,$B$2,$A24,"L",,"USD","H")</f>
        <v>26172</v>
      </c>
      <c r="G24" s="38" cm="1">
        <f t="array" ref="G24">_xll.ciqfunctions.udf.CIQ(G$3,$B$1,$B$2,$A24,"L",,"USD","H")</f>
        <v>1154</v>
      </c>
      <c r="H24" s="40" cm="1">
        <f t="array" ref="H24">_xll.ciqfunctions.udf.CIQ(B$3,$B$1,$H$2,$A24,"L",,"USD","H")</f>
        <v>21475</v>
      </c>
      <c r="I24" s="40" cm="1">
        <f t="array" ref="I24">_xll.ciqfunctions.udf.CIQ(C$3,$B$1,$H$2,$A24,"L",,"USD","H")</f>
        <v>195877</v>
      </c>
      <c r="J24" s="40" cm="1">
        <f t="array" ref="J24">_xll.ciqfunctions.udf.CIQ(D$3,$B$1,$H$2,$A24,"L",,"USD","H")</f>
        <v>96411</v>
      </c>
      <c r="K24" s="40" cm="1">
        <f t="array" ref="K24">_xll.ciqfunctions.udf.CIQ(E$3,$B$1,$H$2,$A24,"L",,"USD","H")</f>
        <v>11295.63</v>
      </c>
      <c r="L24" s="40" cm="1">
        <f t="array" ref="L24">_xll.ciqfunctions.udf.CIQ(F$3,$B$1,$H$2,$A24,"L",,"USD","H")</f>
        <v>149126</v>
      </c>
      <c r="M24" s="40" cm="1">
        <f t="array" ref="M24">_xll.ciqfunctions.udf.CIQ(G$3,$B$1,$H$2,$A24,"L",,"USD","H")</f>
        <v>4789</v>
      </c>
      <c r="N24" s="13" cm="1">
        <f t="array" ref="N24">_xll.ciqfunctions.udf.CIQ(B$3,$N$1,$B$2,$A24,"L",,"USD","H")</f>
        <v>-45.0535</v>
      </c>
      <c r="O24" s="13" cm="1">
        <f t="array" ref="O24">_xll.ciqfunctions.udf.CIQ(C$3,$N$1,$B$2,$A24,"L",,"USD","H")</f>
        <v>-28.435700000000001</v>
      </c>
      <c r="P24" s="13" cm="1">
        <f t="array" ref="P24">_xll.ciqfunctions.udf.CIQ(D$3,$N$1,$B$2,$A24,"L",,"USD","H")</f>
        <v>-31.0015</v>
      </c>
      <c r="Q24" s="13" cm="1">
        <f t="array" ref="Q24">_xll.ciqfunctions.udf.CIQ(E$3,$N$1,$B$2,$A24,"L",,"USD","H")</f>
        <v>-44.975000000000001</v>
      </c>
      <c r="R24" s="13" cm="1">
        <f t="array" ref="R24">_xll.ciqfunctions.udf.CIQ(F$3,$N$1,$B$2,$A24,"L",,"USD","H")</f>
        <v>-61.484099999999998</v>
      </c>
      <c r="S24" s="13" cm="1">
        <f t="array" ref="S24">_xll.ciqfunctions.udf.CIQ(G$3,$N$1,$B$2,$A24,"L",,"USD","H")</f>
        <v>-26.0731</v>
      </c>
      <c r="T24" s="94">
        <v>45912</v>
      </c>
      <c r="U24" s="41" cm="1">
        <f t="array" ref="U24">_xll.ciqfunctions.udf.CIQ(O$3,$N$1,$T$2,$A24,"L",,"USD","H")</f>
        <v>-25.1676</v>
      </c>
      <c r="V24" s="41" cm="1">
        <f t="array" ref="V24">_xll.ciqfunctions.udf.CIQ(P$3,$N$1,$T$2,$A24,"L",,"USD","H")</f>
        <v>-30.019400000000001</v>
      </c>
      <c r="W24" s="41" cm="1">
        <f t="array" ref="W24">_xll.ciqfunctions.udf.CIQ(Q$3,$N$1,$T$2,$A24,"L",,"USD","H")</f>
        <v>-34.235999999999997</v>
      </c>
      <c r="X24" s="41" cm="1">
        <f t="array" ref="X24">_xll.ciqfunctions.udf.CIQ(R$3,$N$1,$T$2,$A24,"L",,"USD","H")</f>
        <v>-47.051600000000001</v>
      </c>
      <c r="Y24" s="41" cm="1">
        <f t="array" ref="Y24">_xll.ciqfunctions.udf.CIQ(S$3,$N$1,$T$2,$A24,"L",,"USD","H")</f>
        <v>-37.635199999999998</v>
      </c>
      <c r="Z24" s="38" cm="1">
        <f t="array" ref="Z24">_xll.ciqfunctions.udf.CIQ(B$3,$Z$1,$B$2,$A24,"L",,"USD","H")</f>
        <v>-450</v>
      </c>
      <c r="AA24" s="38" cm="1">
        <f t="array" ref="AA24">_xll.ciqfunctions.udf.CIQ(C$3,$Z$1,$B$2,$A24,"L",,"USD","H")</f>
        <v>-680</v>
      </c>
      <c r="AB24" s="38" cm="1">
        <f t="array" ref="AB24">_xll.ciqfunctions.udf.CIQ(D$3,$Z$1,$B$2,$A24,"L",,"USD","H")</f>
        <v>-207</v>
      </c>
      <c r="AC24" s="38" cm="1">
        <f t="array" ref="AC24">_xll.ciqfunctions.udf.CIQ(E$3,$Z$1,$B$2,$A24,"L",,"USD","H")</f>
        <v>-42</v>
      </c>
      <c r="AD24" s="38" cm="1">
        <f t="array" ref="AD24">_xll.ciqfunctions.udf.CIQ(F$3,$Z$1,$B$2,$A24,"L",,"USD","H")</f>
        <v>-450</v>
      </c>
      <c r="AE24" s="38" cm="1">
        <f t="array" ref="AE24">_xll.ciqfunctions.udf.CIQ(G$3,$Z$1,$B$2,$A24,"L",,"USD","H")</f>
        <v>-92</v>
      </c>
      <c r="AF24" s="40" cm="1">
        <f t="array" ref="AF24">_xll.ciqfunctions.udf.CIQ(B$3,$Z$1,$H$2,$A24,"L",,"USD","H")</f>
        <v>-1209</v>
      </c>
      <c r="AG24" s="40" cm="1">
        <f t="array" ref="AG24">_xll.ciqfunctions.udf.CIQ(C$3,$Z$1,$H$2,$A24,"L",,"USD","H")</f>
        <v>3320</v>
      </c>
      <c r="AH24" s="40" cm="1">
        <f t="array" ref="AH24">_xll.ciqfunctions.udf.CIQ(D$3,$Z$1,$H$2,$A24,"L",,"USD","H")</f>
        <v>-11488</v>
      </c>
      <c r="AI24" s="40" cm="1">
        <f t="array" ref="AI24">_xll.ciqfunctions.udf.CIQ(E$3,$Z$1,$H$2,$A24,"L",,"USD","H")</f>
        <v>-305.47899999999998</v>
      </c>
      <c r="AJ24" s="40" cm="1">
        <f t="array" ref="AJ24">_xll.ciqfunctions.udf.CIQ(F$3,$Z$1,$H$2,$A24,"L",,"USD","H")</f>
        <v>-21644</v>
      </c>
      <c r="AK24" s="40" cm="1">
        <f t="array" ref="AK24">_xll.ciqfunctions.udf.CIQ(G$3,$Z$1,$H$2,$A24,"L",,"USD","H")</f>
        <v>-3220</v>
      </c>
      <c r="AL24" s="13" t="str" cm="1">
        <f t="array" ref="AL24">_xll.ciqfunctions.udf.CIQ(B$3,$AL$1,$AL$2,$A24,"L",,"USD","H")</f>
        <v>NM</v>
      </c>
      <c r="AM24" s="13" t="str" cm="1">
        <f t="array" ref="AM24">_xll.ciqfunctions.udf.CIQ(C$3,$AL$1,$AL$2,$A24,"L",,"USD","H")</f>
        <v>NM</v>
      </c>
      <c r="AN24" s="13" t="str" cm="1">
        <f t="array" ref="AN24">_xll.ciqfunctions.udf.CIQ(D$3,$AL$1,$AL$2,$A24,"L",,"USD","H")</f>
        <v>NM</v>
      </c>
      <c r="AO24" s="13" t="str" cm="1">
        <f t="array" ref="AO24">_xll.ciqfunctions.udf.CIQ(E$3,$AL$1,$AL$2,$A24,"L",,"USD","H")</f>
        <v>NM</v>
      </c>
      <c r="AP24" s="13" t="str" cm="1">
        <f t="array" ref="AP24">_xll.ciqfunctions.udf.CIQ(F$3,$AL$1,$AL$2,$A24,"L",,"USD","H")</f>
        <v>NM</v>
      </c>
      <c r="AQ24" s="13" t="str" cm="1">
        <f t="array" ref="AQ24">_xll.ciqfunctions.udf.CIQ(G$3,$AL$1,$AL$2,$A24,"L",,"USD","H")</f>
        <v>NM</v>
      </c>
      <c r="AR24" s="41" t="str" cm="1">
        <f t="array" ref="AR24">_xll.ciqfunctions.udf.CIQ(B$3,$AL$1,$AR$2,$A24,"L",,"USD","H")</f>
        <v>NM</v>
      </c>
      <c r="AS24" s="41" cm="1">
        <f t="array" ref="AS24">_xll.ciqfunctions.udf.CIQ(C$3,$AL$1,$AR$2,$A24,"L",,"USD","H")</f>
        <v>-77.337900000000005</v>
      </c>
      <c r="AT24" s="41" t="str" cm="1">
        <f t="array" ref="AT24">_xll.ciqfunctions.udf.CIQ(D$3,$AL$1,$AR$2,$A24,"L",,"USD","H")</f>
        <v>NM</v>
      </c>
      <c r="AU24" s="41" t="str" cm="1">
        <f t="array" ref="AU24">_xll.ciqfunctions.udf.CIQ(E$3,$AL$1,$AR$2,$A24,"L",,"USD","H")</f>
        <v>NM</v>
      </c>
      <c r="AV24" s="41" t="str" cm="1">
        <f t="array" ref="AV24">_xll.ciqfunctions.udf.CIQ(F$3,$AL$1,$AR$2,$A24,"L",,"USD","H")</f>
        <v>NM</v>
      </c>
      <c r="AW24" s="41" t="str" cm="1">
        <f t="array" ref="AW24">_xll.ciqfunctions.udf.CIQ(G$3,$AL$1,$AR$2,$A24,"L",,"USD","H")</f>
        <v>NM</v>
      </c>
      <c r="AX24" s="38" cm="1">
        <f t="array" ref="AX24">_xll.ciqfunctions.udf.CIQ(B$3,$AX$1,$AX$2,$A24,"L",,"USD","H")</f>
        <v>1136</v>
      </c>
      <c r="AY24" s="38" cm="1">
        <f t="array" ref="AY24">_xll.ciqfunctions.udf.CIQ(C$3,$AX$1,$AX$2,$A24,"L",,"USD","H")</f>
        <v>3351</v>
      </c>
      <c r="AZ24" s="38" cm="1">
        <f t="array" ref="AZ24">_xll.ciqfunctions.udf.CIQ(D$3,$AX$1,$AX$2,$A24,"L",,"USD","H")</f>
        <v>3689</v>
      </c>
      <c r="BA24" s="38" cm="1">
        <f t="array" ref="BA24">_xll.ciqfunctions.udf.CIQ(E$3,$AX$1,$AX$2,$A24,"L",,"USD","H")</f>
        <v>970</v>
      </c>
      <c r="BB24" s="38" cm="1">
        <f t="array" ref="BB24">_xll.ciqfunctions.udf.CIQ(F$3,$AX$1,$AX$2,$A24,"L",,"USD","H")</f>
        <v>4810</v>
      </c>
      <c r="BC24" s="38" cm="1">
        <f t="array" ref="BC24">_xll.ciqfunctions.udf.CIQ(G$3,$AX$1,$AX$2,$A24,"L",,"USD","H")</f>
        <v>240</v>
      </c>
      <c r="BD24" s="40" cm="1">
        <f t="array" ref="BD24">_xll.ciqfunctions.udf.CIQ(B$3,$AX$1,$BD$2,$A24,"L",,"USD","H")</f>
        <v>6548</v>
      </c>
      <c r="BE24" s="40" cm="1">
        <f t="array" ref="BE24">_xll.ciqfunctions.udf.CIQ(C$3,$AX$1,$BD$2,$A24,"L",,"USD","H")</f>
        <v>19148</v>
      </c>
      <c r="BF24" s="40" cm="1">
        <f t="array" ref="BF24">_xll.ciqfunctions.udf.CIQ(D$3,$AX$1,$BD$2,$A24,"L",,"USD","H")</f>
        <v>15761</v>
      </c>
      <c r="BG24" s="40">
        <f>_xll.ciqfunctions.udf.CIQ("COP", "IQ_PRICEDATE", "8/22/2025")</f>
        <v>45891</v>
      </c>
      <c r="BH24" s="40" cm="1">
        <f t="array" ref="BH24">_xll.ciqfunctions.udf.CIQ(F$3,$AX$1,$BD$2,$A24,"L",,"USD","H")</f>
        <v>17717</v>
      </c>
      <c r="BI24" s="40" cm="1">
        <f t="array" ref="BI24">_xll.ciqfunctions.udf.CIQ(G$3,$AX$1,$BD$2,$A24,"L",,"USD","H")</f>
        <v>1525</v>
      </c>
      <c r="BJ24" s="43">
        <f t="shared" si="1"/>
        <v>-0.66079426694535681</v>
      </c>
      <c r="BK24" s="43">
        <f t="shared" si="2"/>
        <v>-0.61170336037079953</v>
      </c>
      <c r="BL24" s="43">
        <f t="shared" si="3"/>
        <v>-0.49257221458046763</v>
      </c>
      <c r="BM24" s="43">
        <f t="shared" si="4"/>
        <v>-0.45569191938180065</v>
      </c>
      <c r="BN24" s="43">
        <f t="shared" si="5"/>
        <v>-0.37410540013012361</v>
      </c>
      <c r="BO24" s="43">
        <f t="shared" si="6"/>
        <v>-0.63246554364471663</v>
      </c>
      <c r="BP24" s="42">
        <f t="shared" si="7"/>
        <v>-0.54866280672732293</v>
      </c>
      <c r="BQ24" s="42">
        <f t="shared" si="8"/>
        <v>-0.43355815879777537</v>
      </c>
      <c r="BR24" s="42">
        <f t="shared" si="9"/>
        <v>-0.49375260977098256</v>
      </c>
      <c r="BS24" s="42">
        <f t="shared" si="10"/>
        <v>6.1051392189792608E-4</v>
      </c>
      <c r="BT24" s="42">
        <f t="shared" si="11"/>
        <v>-0.45650039879747228</v>
      </c>
      <c r="BU24" s="42">
        <f t="shared" si="12"/>
        <v>-0.48962516733601069</v>
      </c>
      <c r="BV24" s="68" cm="1">
        <f t="array" ref="BV24">_xll.ciqfunctions.udf.CIQ(B$3,$BV$1,$BV$2,$A24,"L",,"USD","H")/100</f>
        <v>-7.8044000000000002E-2</v>
      </c>
      <c r="BW24" s="68" cm="1">
        <f t="array" ref="BW24">_xll.ciqfunctions.udf.CIQ(C$3,$BV$1,$BV$2,$A24,"L",,"USD","H")/100</f>
        <v>-6.8944000000000005E-2</v>
      </c>
      <c r="BX24" s="68" cm="1">
        <f t="array" ref="BX24">_xll.ciqfunctions.udf.CIQ(D$3,$BV$1,$BV$2,$A24,"L",,"USD","H")/100</f>
        <v>-6.1963999999999998E-2</v>
      </c>
      <c r="BY24" s="68" cm="1">
        <f t="array" ref="BY24">_xll.ciqfunctions.udf.CIQ(E$3,$BV$1,$BV$2,$A24,"L",,"USD","H")/100</f>
        <v>-3.9472E-2</v>
      </c>
      <c r="BZ24" s="68" cm="1">
        <f t="array" ref="BZ24">_xll.ciqfunctions.udf.CIQ(F$3,$BV$1,$BV$2,$A24,"L",,"USD","H")/100</f>
        <v>-3.6344000000000001E-2</v>
      </c>
      <c r="CA24" s="68" cm="1">
        <f t="array" ref="CA24">_xll.ciqfunctions.udf.CIQ(G$3,$BV$1,$BV$2,$A24,"L",,"USD","H")/100</f>
        <v>-6.9216E-2</v>
      </c>
      <c r="CB24" s="68" cm="1">
        <f t="array" ref="CB24">_xll.ciqfunctions.udf.CIQ(B$3,$BV$1,$CB$2,$A24,"L",,"USD","H")/100</f>
        <v>-6.2573000000000004E-2</v>
      </c>
      <c r="CC24" s="68" cm="1">
        <f t="array" ref="CC24">_xll.ciqfunctions.udf.CIQ(C$3,$BV$1,$CB$2,$A24,"L",,"USD","H")/100</f>
        <v>-4.5871000000000002E-2</v>
      </c>
      <c r="CD24" s="68" cm="1">
        <f t="array" ref="CD24">_xll.ciqfunctions.udf.CIQ(D$3,$BV$1,$CB$2,$A24,"L",,"USD","H")/100</f>
        <v>-0.11591100000000001</v>
      </c>
      <c r="CE24" s="68" cm="1">
        <f t="array" ref="CE24">_xll.ciqfunctions.udf.CIQ(E$3,$BV$1,$CB$2,$A24,"L",,"USD","H")/100</f>
        <v>-4.0296999999999999E-2</v>
      </c>
      <c r="CF24" s="68" cm="1">
        <f t="array" ref="CF24">_xll.ciqfunctions.udf.CIQ(F$3,$BV$1,$CB$2,$A24,"L",,"USD","H")/100</f>
        <v>-0.170711</v>
      </c>
      <c r="CG24" s="68" cm="1">
        <f t="array" ref="CG24">_xll.ciqfunctions.udf.CIQ(G$3,$BV$1,$CB$2,$A24,"L",,"USD","H")/100</f>
        <v>-0.35886699999999999</v>
      </c>
    </row>
    <row r="25" spans="1:85" x14ac:dyDescent="0.45">
      <c r="A25" s="3">
        <f t="shared" si="13"/>
        <v>44012</v>
      </c>
      <c r="B25" s="14" cm="1">
        <f t="array" ref="B25">_xll.ciqfunctions.udf.CIQ(B$3,$B$1,$B$2,$A25,"L",,"USD","H")</f>
        <v>2826</v>
      </c>
      <c r="C25" s="38" cm="1">
        <f t="array" ref="C25">_xll.ciqfunctions.udf.CIQ(C$3,$B$1,$B$2,$A25,"L",,"USD","H")</f>
        <v>32502</v>
      </c>
      <c r="D25" s="38" cm="1">
        <f t="array" ref="D25">_xll.ciqfunctions.udf.CIQ(D$3,$B$1,$B$2,$A25,"L",,"USD","H")</f>
        <v>15926</v>
      </c>
      <c r="E25" s="38" cm="1">
        <f t="array" ref="E25">_xll.ciqfunctions.udf.CIQ(E$3,$B$1,$B$2,$A25,"L",,"USD","H")</f>
        <v>1216</v>
      </c>
      <c r="F25" s="38" cm="1">
        <f t="array" ref="F25">_xll.ciqfunctions.udf.CIQ(F$3,$B$1,$B$2,$A25,"L",,"USD","H")</f>
        <v>21138</v>
      </c>
      <c r="G25" s="38" cm="1">
        <f t="array" ref="G25">_xll.ciqfunctions.udf.CIQ(G$3,$B$1,$B$2,$A25,"L",,"USD","H")</f>
        <v>713</v>
      </c>
      <c r="H25" s="40" cm="1">
        <f t="array" ref="H25">_xll.ciqfunctions.udf.CIQ(B$3,$B$1,$H$2,$A25,"L",,"USD","H")</f>
        <v>25100</v>
      </c>
      <c r="I25" s="40" cm="1">
        <f t="array" ref="I25">_xll.ciqfunctions.udf.CIQ(C$3,$B$1,$H$2,$A25,"L",,"USD","H")</f>
        <v>214034</v>
      </c>
      <c r="J25" s="40" cm="1">
        <f t="array" ref="J25">_xll.ciqfunctions.udf.CIQ(D$3,$B$1,$H$2,$A25,"L",,"USD","H")</f>
        <v>107193</v>
      </c>
      <c r="K25" s="40" cm="1">
        <f t="array" ref="K25">_xll.ciqfunctions.udf.CIQ(E$3,$B$1,$H$2,$A25,"L",,"USD","H")</f>
        <v>13192.706</v>
      </c>
      <c r="L25" s="40" cm="1">
        <f t="array" ref="L25">_xll.ciqfunctions.udf.CIQ(F$3,$B$1,$H$2,$A25,"L",,"USD","H")</f>
        <v>190905</v>
      </c>
      <c r="M25" s="40" cm="1">
        <f t="array" ref="M25">_xll.ciqfunctions.udf.CIQ(G$3,$B$1,$H$2,$A25,"L",,"USD","H")</f>
        <v>5196</v>
      </c>
      <c r="N25" s="13" cm="1">
        <f t="array" ref="N25">_xll.ciqfunctions.udf.CIQ(B$3,$N$1,$B$2,$A25,"L",,"USD","H")</f>
        <v>-65.222800000000007</v>
      </c>
      <c r="O25" s="13" cm="1">
        <f t="array" ref="O25">_xll.ciqfunctions.udf.CIQ(C$3,$N$1,$B$2,$A25,"L",,"USD","H")</f>
        <v>-52.0139</v>
      </c>
      <c r="P25" s="13" cm="1">
        <f t="array" ref="P25">_xll.ciqfunctions.udf.CIQ(D$3,$N$1,$B$2,$A25,"L",,"USD","H")</f>
        <v>-56.154600000000002</v>
      </c>
      <c r="Q25" s="13" cm="1">
        <f t="array" ref="Q25">_xll.ciqfunctions.udf.CIQ(E$3,$N$1,$B$2,$A25,"L",,"USD","H")</f>
        <v>-73.051599999999993</v>
      </c>
      <c r="R25" s="13" cm="1">
        <f t="array" ref="R25">_xll.ciqfunctions.udf.CIQ(F$3,$N$1,$B$2,$A25,"L",,"USD","H")</f>
        <v>-70.765600000000006</v>
      </c>
      <c r="S25" s="13" cm="1">
        <f t="array" ref="S25">_xll.ciqfunctions.udf.CIQ(G$3,$N$1,$B$2,$A25,"L",,"USD","H")</f>
        <v>-55.493200000000002</v>
      </c>
      <c r="T25" s="94">
        <v>45905</v>
      </c>
      <c r="U25" s="41" cm="1">
        <f t="array" ref="U25">_xll.ciqfunctions.udf.CIQ(O$3,$N$1,$T$2,$A25,"L",,"USD","H")</f>
        <v>-21.336500000000001</v>
      </c>
      <c r="V25" s="41" cm="1">
        <f t="array" ref="V25">_xll.ciqfunctions.udf.CIQ(P$3,$N$1,$T$2,$A25,"L",,"USD","H")</f>
        <v>-26.121700000000001</v>
      </c>
      <c r="W25" s="41" cm="1">
        <f t="array" ref="W25">_xll.ciqfunctions.udf.CIQ(Q$3,$N$1,$T$2,$A25,"L",,"USD","H")</f>
        <v>-25.362400000000001</v>
      </c>
      <c r="X25" s="41" cm="1">
        <f t="array" ref="X25">_xll.ciqfunctions.udf.CIQ(R$3,$N$1,$T$2,$A25,"L",,"USD","H")</f>
        <v>-34.780200000000001</v>
      </c>
      <c r="Y25" s="41" cm="1">
        <f t="array" ref="Y25">_xll.ciqfunctions.udf.CIQ(S$3,$N$1,$T$2,$A25,"L",,"USD","H")</f>
        <v>-36.587800000000001</v>
      </c>
      <c r="Z25" s="38" cm="1">
        <f t="array" ref="Z25">_xll.ciqfunctions.udf.CIQ(B$3,$Z$1,$B$2,$A25,"L",,"USD","H")</f>
        <v>260</v>
      </c>
      <c r="AA25" s="38" cm="1">
        <f t="array" ref="AA25">_xll.ciqfunctions.udf.CIQ(C$3,$Z$1,$B$2,$A25,"L",,"USD","H")</f>
        <v>-1080</v>
      </c>
      <c r="AB25" s="38" cm="1">
        <f t="array" ref="AB25">_xll.ciqfunctions.udf.CIQ(D$3,$Z$1,$B$2,$A25,"L",,"USD","H")</f>
        <v>-8270</v>
      </c>
      <c r="AC25" s="38" cm="1">
        <f t="array" ref="AC25">_xll.ciqfunctions.udf.CIQ(E$3,$Z$1,$B$2,$A25,"L",,"USD","H")</f>
        <v>-910</v>
      </c>
      <c r="AD25" s="38" cm="1">
        <f t="array" ref="AD25">_xll.ciqfunctions.udf.CIQ(F$3,$Z$1,$B$2,$A25,"L",,"USD","H")</f>
        <v>-16848</v>
      </c>
      <c r="AE25" s="38" cm="1">
        <f t="array" ref="AE25">_xll.ciqfunctions.udf.CIQ(G$3,$Z$1,$B$2,$A25,"L",,"USD","H")</f>
        <v>-670</v>
      </c>
      <c r="AF25" s="40" cm="1">
        <f t="array" ref="AF25">_xll.ciqfunctions.udf.CIQ(B$3,$Z$1,$H$2,$A25,"L",,"USD","H")</f>
        <v>2297</v>
      </c>
      <c r="AG25" s="40" cm="1">
        <f t="array" ref="AG25">_xll.ciqfunctions.udf.CIQ(C$3,$Z$1,$H$2,$A25,"L",,"USD","H")</f>
        <v>7170</v>
      </c>
      <c r="AH25" s="40" cm="1">
        <f t="array" ref="AH25">_xll.ciqfunctions.udf.CIQ(D$3,$Z$1,$H$2,$A25,"L",,"USD","H")</f>
        <v>-8701</v>
      </c>
      <c r="AI25" s="40" cm="1">
        <f t="array" ref="AI25">_xll.ciqfunctions.udf.CIQ(E$3,$Z$1,$H$2,$A25,"L",,"USD","H")</f>
        <v>351.64299999999997</v>
      </c>
      <c r="AJ25" s="40" cm="1">
        <f t="array" ref="AJ25">_xll.ciqfunctions.udf.CIQ(F$3,$Z$1,$H$2,$A25,"L",,"USD","H")</f>
        <v>-21943</v>
      </c>
      <c r="AK25" s="40" cm="1">
        <f t="array" ref="AK25">_xll.ciqfunctions.udf.CIQ(G$3,$Z$1,$H$2,$A25,"L",,"USD","H")</f>
        <v>-3019</v>
      </c>
      <c r="AL25" s="13" cm="1">
        <f t="array" ref="AL25">_xll.ciqfunctions.udf.CIQ(B$3,$AL$1,$AL$2,$A25,"L",,"USD","H")</f>
        <v>-83.544399999999996</v>
      </c>
      <c r="AM25" s="13" t="str" cm="1">
        <f t="array" ref="AM25">_xll.ciqfunctions.udf.CIQ(C$3,$AL$1,$AL$2,$A25,"L",,"USD","H")</f>
        <v>NM</v>
      </c>
      <c r="AN25" s="13" t="str" cm="1">
        <f t="array" ref="AN25">_xll.ciqfunctions.udf.CIQ(D$3,$AL$1,$AL$2,$A25,"L",,"USD","H")</f>
        <v>NM</v>
      </c>
      <c r="AO25" s="13" t="str" cm="1">
        <f t="array" ref="AO25">_xll.ciqfunctions.udf.CIQ(E$3,$AL$1,$AL$2,$A25,"L",,"USD","H")</f>
        <v>NM</v>
      </c>
      <c r="AP25" s="13" t="str" cm="1">
        <f t="array" ref="AP25">_xll.ciqfunctions.udf.CIQ(F$3,$AL$1,$AL$2,$A25,"L",,"USD","H")</f>
        <v>NM</v>
      </c>
      <c r="AQ25" s="13" t="str" cm="1">
        <f t="array" ref="AQ25">_xll.ciqfunctions.udf.CIQ(G$3,$AL$1,$AL$2,$A25,"L",,"USD","H")</f>
        <v>NM</v>
      </c>
      <c r="AR25" s="41" cm="1">
        <f t="array" ref="AR25">_xll.ciqfunctions.udf.CIQ(B$3,$AL$1,$AR$2,$A25,"L",,"USD","H")</f>
        <v>-67.838200000000001</v>
      </c>
      <c r="AS25" s="41" cm="1">
        <f t="array" ref="AS25">_xll.ciqfunctions.udf.CIQ(C$3,$AL$1,$AR$2,$A25,"L",,"USD","H")</f>
        <v>-59.537300000000002</v>
      </c>
      <c r="AT25" s="41" t="str" cm="1">
        <f t="array" ref="AT25">_xll.ciqfunctions.udf.CIQ(D$3,$AL$1,$AR$2,$A25,"L",,"USD","H")</f>
        <v>NM</v>
      </c>
      <c r="AU25" s="41" cm="1">
        <f t="array" ref="AU25">_xll.ciqfunctions.udf.CIQ(E$3,$AL$1,$AR$2,$A25,"L",,"USD","H")</f>
        <v>-90.141800000000003</v>
      </c>
      <c r="AV25" s="41" t="str" cm="1">
        <f t="array" ref="AV25">_xll.ciqfunctions.udf.CIQ(F$3,$AL$1,$AR$2,$A25,"L",,"USD","H")</f>
        <v>NM</v>
      </c>
      <c r="AW25" s="41" t="str" cm="1">
        <f t="array" ref="AW25">_xll.ciqfunctions.udf.CIQ(G$3,$AL$1,$AR$2,$A25,"L",,"USD","H")</f>
        <v>NM</v>
      </c>
      <c r="AX25" s="38" cm="1">
        <f t="array" ref="AX25">_xll.ciqfunctions.udf.CIQ(B$3,$AX$1,$AX$2,$A25,"L",,"USD","H")</f>
        <v>199</v>
      </c>
      <c r="AY25" s="38" cm="1">
        <f t="array" ref="AY25">_xll.ciqfunctions.udf.CIQ(C$3,$AX$1,$AX$2,$A25,"L",,"USD","H")</f>
        <v>4101</v>
      </c>
      <c r="AZ25" s="38" cm="1">
        <f t="array" ref="AZ25">_xll.ciqfunctions.udf.CIQ(D$3,$AX$1,$AX$2,$A25,"L",,"USD","H")</f>
        <v>-1279</v>
      </c>
      <c r="BA25" s="38" cm="1">
        <f t="array" ref="BA25">_xll.ciqfunctions.udf.CIQ(E$3,$AX$1,$AX$2,$A25,"L",,"USD","H")</f>
        <v>-89</v>
      </c>
      <c r="BB25" s="38" cm="1">
        <f t="array" ref="BB25">_xll.ciqfunctions.udf.CIQ(F$3,$AX$1,$AX$2,$A25,"L",,"USD","H")</f>
        <v>4990</v>
      </c>
      <c r="BC25" s="38" cm="1">
        <f t="array" ref="BC25">_xll.ciqfunctions.udf.CIQ(G$3,$AX$1,$AX$2,$A25,"L",,"USD","H")</f>
        <v>-304</v>
      </c>
      <c r="BD25" s="40" cm="1">
        <f t="array" ref="BD25">_xll.ciqfunctions.udf.CIQ(B$3,$AX$1,$BD$2,$A25,"L",,"USD","H")</f>
        <v>8694</v>
      </c>
      <c r="BE25" s="40" cm="1">
        <f t="array" ref="BE25">_xll.ciqfunctions.udf.CIQ(C$3,$AX$1,$BD$2,$A25,"L",,"USD","H")</f>
        <v>24427</v>
      </c>
      <c r="BF25" s="40" cm="1">
        <f t="array" ref="BF25">_xll.ciqfunctions.udf.CIQ(D$3,$AX$1,$BD$2,$A25,"L",,"USD","H")</f>
        <v>19342</v>
      </c>
      <c r="BG25" s="40">
        <f>_xll.ciqfunctions.udf.CIQ("COP", "IQ_PRICEDATE", "8/15/2025")</f>
        <v>45884</v>
      </c>
      <c r="BH25" s="40" cm="1">
        <f t="array" ref="BH25">_xll.ciqfunctions.udf.CIQ(F$3,$AX$1,$BD$2,$A25,"L",,"USD","H")</f>
        <v>20592</v>
      </c>
      <c r="BI25" s="40" cm="1">
        <f t="array" ref="BI25">_xll.ciqfunctions.udf.CIQ(G$3,$AX$1,$BD$2,$A25,"L",,"USD","H")</f>
        <v>1943</v>
      </c>
      <c r="BJ25" s="43">
        <f t="shared" si="1"/>
        <v>-0.94384875846501126</v>
      </c>
      <c r="BK25" s="43">
        <f t="shared" si="2"/>
        <v>-0.49495073891625618</v>
      </c>
      <c r="BL25" s="43">
        <f t="shared" si="3"/>
        <v>-1.1611440090714376</v>
      </c>
      <c r="BM25" s="43">
        <f t="shared" si="4"/>
        <v>-1.0427871038707426</v>
      </c>
      <c r="BN25" s="43">
        <f t="shared" si="5"/>
        <v>-0.41301023409010706</v>
      </c>
      <c r="BO25" s="43">
        <f t="shared" si="6"/>
        <v>-1.4537313432835821</v>
      </c>
      <c r="BP25" s="42">
        <f t="shared" si="7"/>
        <v>-0.44443734423924852</v>
      </c>
      <c r="BQ25" s="42">
        <f t="shared" si="8"/>
        <v>-0.334305336022238</v>
      </c>
      <c r="BR25" s="42">
        <f t="shared" si="9"/>
        <v>-0.41816322233252112</v>
      </c>
      <c r="BS25" s="42">
        <f t="shared" si="10"/>
        <v>6.1060711793436973E-4</v>
      </c>
      <c r="BT25" s="42">
        <f t="shared" si="11"/>
        <v>-0.39812352029930143</v>
      </c>
      <c r="BU25" s="42">
        <f t="shared" si="12"/>
        <v>-0.29139314369073666</v>
      </c>
      <c r="BV25" s="68" cm="1">
        <f t="array" ref="BV25">_xll.ciqfunctions.udf.CIQ(B$3,$BV$1,$BV$2,$A25,"L",,"USD","H")/100</f>
        <v>-1.6799999999999999E-2</v>
      </c>
      <c r="BW25" s="68" cm="1">
        <f t="array" ref="BW25">_xll.ciqfunctions.udf.CIQ(C$3,$BV$1,$BV$2,$A25,"L",,"USD","H")/100</f>
        <v>-7.5955999999999996E-2</v>
      </c>
      <c r="BX25" s="68" cm="1">
        <f t="array" ref="BX25">_xll.ciqfunctions.udf.CIQ(D$3,$BV$1,$BV$2,$A25,"L",,"USD","H")/100</f>
        <v>-0.24677600000000002</v>
      </c>
      <c r="BY25" s="68" cm="1">
        <f t="array" ref="BY25">_xll.ciqfunctions.udf.CIQ(E$3,$BV$1,$BV$2,$A25,"L",,"USD","H")/100</f>
        <v>-0.16889999999999999</v>
      </c>
      <c r="BZ25" s="68" cm="1">
        <f t="array" ref="BZ25">_xll.ciqfunctions.udf.CIQ(F$3,$BV$1,$BV$2,$A25,"L",,"USD","H")/100</f>
        <v>-0.45013199999999998</v>
      </c>
      <c r="CA25" s="68" cm="1">
        <f t="array" ref="CA25">_xll.ciqfunctions.udf.CIQ(G$3,$BV$1,$BV$2,$A25,"L",,"USD","H")/100</f>
        <v>-0.34523200000000004</v>
      </c>
      <c r="CB25" s="68" cm="1">
        <f t="array" ref="CB25">_xll.ciqfunctions.udf.CIQ(B$3,$BV$1,$CB$2,$A25,"L",,"USD","H")/100</f>
        <v>1.2142E-2</v>
      </c>
      <c r="CC25" s="68" cm="1">
        <f t="array" ref="CC25">_xll.ciqfunctions.udf.CIQ(C$3,$BV$1,$CB$2,$A25,"L",,"USD","H")/100</f>
        <v>-3.0430000000000002E-2</v>
      </c>
      <c r="CD25" s="68" cm="1">
        <f t="array" ref="CD25">_xll.ciqfunctions.udf.CIQ(D$3,$BV$1,$CB$2,$A25,"L",,"USD","H")/100</f>
        <v>-9.9626000000000006E-2</v>
      </c>
      <c r="CE25" s="68" cm="1">
        <f t="array" ref="CE25">_xll.ciqfunctions.udf.CIQ(E$3,$BV$1,$CB$2,$A25,"L",,"USD","H")/100</f>
        <v>-1.3781000000000002E-2</v>
      </c>
      <c r="CF25" s="68" cm="1">
        <f t="array" ref="CF25">_xll.ciqfunctions.udf.CIQ(F$3,$BV$1,$CB$2,$A25,"L",,"USD","H")/100</f>
        <v>-0.17099200000000001</v>
      </c>
      <c r="CG25" s="68" cm="1">
        <f t="array" ref="CG25">_xll.ciqfunctions.udf.CIQ(G$3,$BV$1,$CB$2,$A25,"L",,"USD","H")/100</f>
        <v>-0.32447899999999996</v>
      </c>
    </row>
    <row r="26" spans="1:85" x14ac:dyDescent="0.45">
      <c r="A26" s="3">
        <f t="shared" si="13"/>
        <v>43921</v>
      </c>
      <c r="B26" s="14" cm="1">
        <f t="array" ref="B26">_xll.ciqfunctions.udf.CIQ(B$3,$B$1,$B$2,$A26,"L",,"USD","H")</f>
        <v>6392</v>
      </c>
      <c r="C26" s="38" cm="1">
        <f t="array" ref="C26">_xll.ciqfunctions.udf.CIQ(C$3,$B$1,$B$2,$A26,"L",,"USD","H")</f>
        <v>55383</v>
      </c>
      <c r="D26" s="38" cm="1">
        <f t="array" ref="D26">_xll.ciqfunctions.udf.CIQ(D$3,$B$1,$B$2,$A26,"L",,"USD","H")</f>
        <v>29705</v>
      </c>
      <c r="E26" s="38" cm="1">
        <f t="array" ref="E26">_xll.ciqfunctions.udf.CIQ(E$3,$B$1,$B$2,$A26,"L",,"USD","H")</f>
        <v>3496</v>
      </c>
      <c r="F26" s="38" cm="1">
        <f t="array" ref="F26">_xll.ciqfunctions.udf.CIQ(F$3,$B$1,$B$2,$A26,"L",,"USD","H")</f>
        <v>30770</v>
      </c>
      <c r="G26" s="38" cm="1">
        <f t="array" ref="G26">_xll.ciqfunctions.udf.CIQ(G$3,$B$1,$B$2,$A26,"L",,"USD","H")</f>
        <v>1286</v>
      </c>
      <c r="H26" s="40" cm="1">
        <f t="array" ref="H26">_xll.ciqfunctions.udf.CIQ(B$3,$B$1,$H$2,$A26,"L",,"USD","H")</f>
        <v>30400</v>
      </c>
      <c r="I26" s="40" cm="1">
        <f t="array" ref="I26">_xll.ciqfunctions.udf.CIQ(C$3,$B$1,$H$2,$A26,"L",,"USD","H")</f>
        <v>249264</v>
      </c>
      <c r="J26" s="40" cm="1">
        <f t="array" ref="J26">_xll.ciqfunctions.udf.CIQ(D$3,$B$1,$H$2,$A26,"L",,"USD","H")</f>
        <v>127590</v>
      </c>
      <c r="K26" s="40" cm="1">
        <f t="array" ref="K26">_xll.ciqfunctions.udf.CIQ(E$3,$B$1,$H$2,$A26,"L",,"USD","H")</f>
        <v>16489.026999999998</v>
      </c>
      <c r="L26" s="40" cm="1">
        <f t="array" ref="L26">_xll.ciqfunctions.udf.CIQ(F$3,$B$1,$H$2,$A26,"L",,"USD","H")</f>
        <v>242072</v>
      </c>
      <c r="M26" s="40" cm="1">
        <f t="array" ref="M26">_xll.ciqfunctions.udf.CIQ(G$3,$B$1,$H$2,$A26,"L",,"USD","H")</f>
        <v>6085</v>
      </c>
      <c r="N26" s="13" cm="1">
        <f t="array" ref="N26">_xll.ciqfunctions.udf.CIQ(B$3,$N$1,$B$2,$A26,"L",,"USD","H")</f>
        <v>-31.5486</v>
      </c>
      <c r="O26" s="13" cm="1">
        <f t="array" ref="O26">_xll.ciqfunctions.udf.CIQ(C$3,$N$1,$B$2,$A26,"L",,"USD","H")</f>
        <v>-10.551399999999999</v>
      </c>
      <c r="P26" s="13" cm="1">
        <f t="array" ref="P26">_xll.ciqfunctions.udf.CIQ(D$3,$N$1,$B$2,$A26,"L",,"USD","H")</f>
        <v>-13.115399999999999</v>
      </c>
      <c r="Q26" s="13" cm="1">
        <f t="array" ref="Q26">_xll.ciqfunctions.udf.CIQ(E$3,$N$1,$B$2,$A26,"L",,"USD","H")</f>
        <v>-14.378</v>
      </c>
      <c r="R26" s="13" cm="1">
        <f t="array" ref="R26">_xll.ciqfunctions.udf.CIQ(F$3,$N$1,$B$2,$A26,"L",,"USD","H")</f>
        <v>-53.305999999999997</v>
      </c>
      <c r="S26" s="13" cm="1">
        <f t="array" ref="S26">_xll.ciqfunctions.udf.CIQ(G$3,$N$1,$B$2,$A26,"L",,"USD","H")</f>
        <v>-20.812899999999999</v>
      </c>
      <c r="T26" s="94">
        <v>45898</v>
      </c>
      <c r="U26" s="41" cm="1">
        <f t="array" ref="U26">_xll.ciqfunctions.udf.CIQ(O$3,$N$1,$T$2,$A26,"L",,"USD","H")</f>
        <v>-9.6254000000000008</v>
      </c>
      <c r="V26" s="41" cm="1">
        <f t="array" ref="V26">_xll.ciqfunctions.udf.CIQ(P$3,$N$1,$T$2,$A26,"L",,"USD","H")</f>
        <v>-14.519500000000001</v>
      </c>
      <c r="W26" s="41" cm="1">
        <f t="array" ref="W26">_xll.ciqfunctions.udf.CIQ(Q$3,$N$1,$T$2,$A26,"L",,"USD","H")</f>
        <v>-6.2785000000000002</v>
      </c>
      <c r="X26" s="41" cm="1">
        <f t="array" ref="X26">_xll.ciqfunctions.udf.CIQ(R$3,$N$1,$T$2,$A26,"L",,"USD","H")</f>
        <v>-18.028700000000001</v>
      </c>
      <c r="Y26" s="41" cm="1">
        <f t="array" ref="Y26">_xll.ciqfunctions.udf.CIQ(S$3,$N$1,$T$2,$A26,"L",,"USD","H")</f>
        <v>-27.988199999999999</v>
      </c>
      <c r="Z26" s="38" cm="1">
        <f t="array" ref="Z26">_xll.ciqfunctions.udf.CIQ(B$3,$Z$1,$B$2,$A26,"L",,"USD","H")</f>
        <v>-1739</v>
      </c>
      <c r="AA26" s="38" cm="1">
        <f t="array" ref="AA26">_xll.ciqfunctions.udf.CIQ(C$3,$Z$1,$B$2,$A26,"L",,"USD","H")</f>
        <v>-610</v>
      </c>
      <c r="AB26" s="38" cm="1">
        <f t="array" ref="AB26">_xll.ciqfunctions.udf.CIQ(D$3,$Z$1,$B$2,$A26,"L",,"USD","H")</f>
        <v>3599</v>
      </c>
      <c r="AC26" s="38" cm="1">
        <f t="array" ref="AC26">_xll.ciqfunctions.udf.CIQ(E$3,$Z$1,$B$2,$A26,"L",,"USD","H")</f>
        <v>10</v>
      </c>
      <c r="AD26" s="38" cm="1">
        <f t="array" ref="AD26">_xll.ciqfunctions.udf.CIQ(F$3,$Z$1,$B$2,$A26,"L",,"USD","H")</f>
        <v>-4365</v>
      </c>
      <c r="AE26" s="38" cm="1">
        <f t="array" ref="AE26">_xll.ciqfunctions.udf.CIQ(G$3,$Z$1,$B$2,$A26,"L",,"USD","H")</f>
        <v>-1816</v>
      </c>
      <c r="AF26" s="40" cm="1">
        <f t="array" ref="AF26">_xll.ciqfunctions.udf.CIQ(B$3,$Z$1,$H$2,$A26,"L",,"USD","H")</f>
        <v>3617</v>
      </c>
      <c r="AG26" s="40" cm="1">
        <f t="array" ref="AG26">_xll.ciqfunctions.udf.CIQ(C$3,$Z$1,$H$2,$A26,"L",,"USD","H")</f>
        <v>11380</v>
      </c>
      <c r="AH26" s="40" cm="1">
        <f t="array" ref="AH26">_xll.ciqfunctions.udf.CIQ(D$3,$Z$1,$H$2,$A26,"L",,"USD","H")</f>
        <v>3874</v>
      </c>
      <c r="AI26" s="40" cm="1">
        <f t="array" ref="AI26">_xll.ciqfunctions.udf.CIQ(E$3,$Z$1,$H$2,$A26,"L",,"USD","H")</f>
        <v>2109.4839999999999</v>
      </c>
      <c r="AJ26" s="40" cm="1">
        <f t="array" ref="AJ26">_xll.ciqfunctions.udf.CIQ(F$3,$Z$1,$H$2,$A26,"L",,"USD","H")</f>
        <v>-3273</v>
      </c>
      <c r="AK26" s="40" cm="1">
        <f t="array" ref="AK26">_xll.ciqfunctions.udf.CIQ(G$3,$Z$1,$H$2,$A26,"L",,"USD","H")</f>
        <v>-1854</v>
      </c>
      <c r="AL26" s="13" t="str" cm="1">
        <f t="array" ref="AL26">_xll.ciqfunctions.udf.CIQ(B$3,$AL$1,$AL$2,$A26,"L",,"USD","H")</f>
        <v>NM</v>
      </c>
      <c r="AM26" s="13" t="str" cm="1">
        <f t="array" ref="AM26">_xll.ciqfunctions.udf.CIQ(C$3,$AL$1,$AL$2,$A26,"L",,"USD","H")</f>
        <v>NM</v>
      </c>
      <c r="AN26" s="13" cm="1">
        <f t="array" ref="AN26">_xll.ciqfunctions.udf.CIQ(D$3,$AL$1,$AL$2,$A26,"L",,"USD","H")</f>
        <v>35.862499999999997</v>
      </c>
      <c r="AO26" s="13" cm="1">
        <f t="array" ref="AO26">_xll.ciqfunctions.udf.CIQ(E$3,$AL$1,$AL$2,$A26,"L",,"USD","H")</f>
        <v>-98.426299999999998</v>
      </c>
      <c r="AP26" s="13" t="str" cm="1">
        <f t="array" ref="AP26">_xll.ciqfunctions.udf.CIQ(F$3,$AL$1,$AL$2,$A26,"L",,"USD","H")</f>
        <v>NM</v>
      </c>
      <c r="AQ26" s="13" t="str" cm="1">
        <f t="array" ref="AQ26">_xll.ciqfunctions.udf.CIQ(G$3,$AL$1,$AL$2,$A26,"L",,"USD","H")</f>
        <v>NM</v>
      </c>
      <c r="AR26" s="41" cm="1">
        <f t="array" ref="AR26">_xll.ciqfunctions.udf.CIQ(B$3,$AL$1,$AR$2,$A26,"L",,"USD","H")</f>
        <v>-49.777900000000002</v>
      </c>
      <c r="AS26" s="41" cm="1">
        <f t="array" ref="AS26">_xll.ciqfunctions.udf.CIQ(C$3,$AL$1,$AR$2,$A26,"L",,"USD","H")</f>
        <v>-38.619300000000003</v>
      </c>
      <c r="AT26" s="41" cm="1">
        <f t="array" ref="AT26">_xll.ciqfunctions.udf.CIQ(D$3,$AL$1,$AR$2,$A26,"L",,"USD","H")</f>
        <v>-71.998599999999996</v>
      </c>
      <c r="AU26" s="41" cm="1">
        <f t="array" ref="AU26">_xll.ciqfunctions.udf.CIQ(E$3,$AL$1,$AR$2,$A26,"L",,"USD","H")</f>
        <v>-38.244799999999998</v>
      </c>
      <c r="AV26" s="41" t="str" cm="1">
        <f t="array" ref="AV26">_xll.ciqfunctions.udf.CIQ(F$3,$AL$1,$AR$2,$A26,"L",,"USD","H")</f>
        <v>NM</v>
      </c>
      <c r="AW26" s="41" t="str" cm="1">
        <f t="array" ref="AW26">_xll.ciqfunctions.udf.CIQ(G$3,$AL$1,$AR$2,$A26,"L",,"USD","H")</f>
        <v>NM</v>
      </c>
      <c r="AX26" s="38" cm="1">
        <f t="array" ref="AX26">_xll.ciqfunctions.udf.CIQ(B$3,$AX$1,$AX$2,$A26,"L",,"USD","H")</f>
        <v>2096</v>
      </c>
      <c r="AY26" s="38" cm="1">
        <f t="array" ref="AY26">_xll.ciqfunctions.udf.CIQ(C$3,$AX$1,$AX$2,$A26,"L",,"USD","H")</f>
        <v>5035</v>
      </c>
      <c r="AZ26" s="38" cm="1">
        <f t="array" ref="AZ26">_xll.ciqfunctions.udf.CIQ(D$3,$AX$1,$AX$2,$A26,"L",,"USD","H")</f>
        <v>6799</v>
      </c>
      <c r="BA26" s="38" cm="1">
        <f t="array" ref="BA26">_xll.ciqfunctions.udf.CIQ(E$3,$AX$1,$AX$2,$A26,"L",,"USD","H")</f>
        <v>2615</v>
      </c>
      <c r="BB26" s="38" cm="1">
        <f t="array" ref="BB26">_xll.ciqfunctions.udf.CIQ(F$3,$AX$1,$AX$2,$A26,"L",,"USD","H")</f>
        <v>1675</v>
      </c>
      <c r="BC26" s="38" cm="1">
        <f t="array" ref="BC26">_xll.ciqfunctions.udf.CIQ(G$3,$AX$1,$AX$2,$A26,"L",,"USD","H")</f>
        <v>1145</v>
      </c>
      <c r="BD26" s="40" cm="1">
        <f t="array" ref="BD26">_xll.ciqfunctions.udf.CIQ(B$3,$AX$1,$BD$2,$A26,"L",,"USD","H")</f>
        <v>12073</v>
      </c>
      <c r="BE26" s="40" cm="1">
        <f t="array" ref="BE26">_xll.ciqfunctions.udf.CIQ(C$3,$AX$1,$BD$2,$A26,"L",,"USD","H")</f>
        <v>28446</v>
      </c>
      <c r="BF26" s="40" cm="1">
        <f t="array" ref="BF26">_xll.ciqfunctions.udf.CIQ(D$3,$AX$1,$BD$2,$A26,"L",,"USD","H")</f>
        <v>28558</v>
      </c>
      <c r="BG26" s="40">
        <f>_xll.ciqfunctions.udf.CIQ("COP", "IQ_PRICEDATE", "8/8/2025")</f>
        <v>45877</v>
      </c>
      <c r="BH26" s="40" cm="1">
        <f t="array" ref="BH26">_xll.ciqfunctions.udf.CIQ(F$3,$AX$1,$BD$2,$A26,"L",,"USD","H")</f>
        <v>23988</v>
      </c>
      <c r="BI26" s="40" cm="1">
        <f t="array" ref="BI26">_xll.ciqfunctions.udf.CIQ(G$3,$AX$1,$BD$2,$A26,"L",,"USD","H")</f>
        <v>2917</v>
      </c>
      <c r="BJ26" s="43">
        <f t="shared" si="1"/>
        <v>-0.44388431944812945</v>
      </c>
      <c r="BK26" s="43">
        <f t="shared" si="2"/>
        <v>-0.31328423349699941</v>
      </c>
      <c r="BL26" s="43">
        <f t="shared" si="3"/>
        <v>-6.4143152099105261E-2</v>
      </c>
      <c r="BM26" s="43">
        <f t="shared" si="4"/>
        <v>0.48582837915158339</v>
      </c>
      <c r="BN26" s="43">
        <f t="shared" si="5"/>
        <v>-0.82403613824981614</v>
      </c>
      <c r="BO26" s="43">
        <f t="shared" si="6"/>
        <v>-20.406779661016948</v>
      </c>
      <c r="BP26" s="42">
        <f t="shared" si="7"/>
        <v>-0.23506304251409749</v>
      </c>
      <c r="BQ26" s="42">
        <f t="shared" si="8"/>
        <v>-0.24700214416179156</v>
      </c>
      <c r="BR26" s="42">
        <f t="shared" si="9"/>
        <v>-0.13932672312467975</v>
      </c>
      <c r="BS26" s="42">
        <f t="shared" si="10"/>
        <v>6.1070034242849403E-4</v>
      </c>
      <c r="BT26" s="42">
        <f t="shared" si="11"/>
        <v>-0.28749220304749457</v>
      </c>
      <c r="BU26" s="42">
        <f t="shared" si="12"/>
        <v>0.26277056277056277</v>
      </c>
      <c r="BV26" s="68" cm="1">
        <f t="array" ref="BV26">_xll.ciqfunctions.udf.CIQ(B$3,$BV$1,$BV$2,$A26,"L",,"USD","H")/100</f>
        <v>-0.180752</v>
      </c>
      <c r="BW26" s="68" cm="1">
        <f t="array" ref="BW26">_xll.ciqfunctions.udf.CIQ(C$3,$BV$1,$BV$2,$A26,"L",,"USD","H")/100</f>
        <v>-6.9252000000000008E-2</v>
      </c>
      <c r="BX26" s="68" cm="1">
        <f t="array" ref="BX26">_xll.ciqfunctions.udf.CIQ(D$3,$BV$1,$BV$2,$A26,"L",,"USD","H")/100</f>
        <v>2.7099999999999999E-2</v>
      </c>
      <c r="BY26" s="68" cm="1">
        <f t="array" ref="BY26">_xll.ciqfunctions.udf.CIQ(E$3,$BV$1,$BV$2,$A26,"L",,"USD","H")/100</f>
        <v>-2.2987999999999998E-2</v>
      </c>
      <c r="BZ26" s="68" cm="1">
        <f t="array" ref="BZ26">_xll.ciqfunctions.udf.CIQ(F$3,$BV$1,$BV$2,$A26,"L",,"USD","H")/100</f>
        <v>-0.14904000000000001</v>
      </c>
      <c r="CA26" s="68" cm="1">
        <f t="array" ref="CA26">_xll.ciqfunctions.udf.CIQ(G$3,$BV$1,$BV$2,$A26,"L",,"USD","H")/100</f>
        <v>-0.77612799999999993</v>
      </c>
      <c r="CB26" s="68" cm="1">
        <f t="array" ref="CB26">_xll.ciqfunctions.udf.CIQ(B$3,$BV$1,$CB$2,$A26,"L",,"USD","H")/100</f>
        <v>4.2182000000000004E-2</v>
      </c>
      <c r="CC26" s="68" cm="1">
        <f t="array" ref="CC26">_xll.ciqfunctions.udf.CIQ(C$3,$BV$1,$CB$2,$A26,"L",,"USD","H")/100</f>
        <v>-1.4202999999999999E-2</v>
      </c>
      <c r="CD26" s="68" cm="1">
        <f t="array" ref="CD26">_xll.ciqfunctions.udf.CIQ(D$3,$BV$1,$CB$2,$A26,"L",,"USD","H")/100</f>
        <v>-2.8294E-2</v>
      </c>
      <c r="CE26" s="68" cm="1">
        <f t="array" ref="CE26">_xll.ciqfunctions.udf.CIQ(E$3,$BV$1,$CB$2,$A26,"L",,"USD","H")/100</f>
        <v>5.4958E-2</v>
      </c>
      <c r="CF26" s="68" cm="1">
        <f t="array" ref="CF26">_xll.ciqfunctions.udf.CIQ(F$3,$BV$1,$CB$2,$A26,"L",,"USD","H")/100</f>
        <v>-6.2457000000000006E-2</v>
      </c>
      <c r="CG26" s="68" cm="1">
        <f t="array" ref="CG26">_xll.ciqfunctions.udf.CIQ(G$3,$BV$1,$CB$2,$A26,"L",,"USD","H")/100</f>
        <v>-0.17644400000000002</v>
      </c>
    </row>
    <row r="27" spans="1:85" x14ac:dyDescent="0.45">
      <c r="A27" s="3">
        <f t="shared" si="13"/>
        <v>43830</v>
      </c>
      <c r="B27" s="14" cm="1">
        <f t="array" ref="B27">_xll.ciqfunctions.udf.CIQ(B$3,$B$1,$B$2,$A27,"L",,"USD","H")</f>
        <v>7836</v>
      </c>
      <c r="C27" s="38" cm="1">
        <f t="array" ref="C27">_xll.ciqfunctions.udf.CIQ(C$3,$B$1,$B$2,$A27,"L",,"USD","H")</f>
        <v>62296</v>
      </c>
      <c r="D27" s="38" cm="1">
        <f t="array" ref="D27">_xll.ciqfunctions.udf.CIQ(D$3,$B$1,$B$2,$A27,"L",,"USD","H")</f>
        <v>26783</v>
      </c>
      <c r="E27" s="38" cm="1">
        <f t="array" ref="E27">_xll.ciqfunctions.udf.CIQ(E$3,$B$1,$B$2,$A27,"L",,"USD","H")</f>
        <v>4262.63</v>
      </c>
      <c r="F27" s="38" cm="1">
        <f t="array" ref="F27">_xll.ciqfunctions.udf.CIQ(F$3,$B$1,$B$2,$A27,"L",,"USD","H")</f>
        <v>71046</v>
      </c>
      <c r="G27" s="38" cm="1">
        <f t="array" ref="G27">_xll.ciqfunctions.udf.CIQ(G$3,$B$1,$B$2,$A27,"L",,"USD","H")</f>
        <v>1636</v>
      </c>
      <c r="H27" s="40" cm="1">
        <f t="array" ref="H27">_xll.ciqfunctions.udf.CIQ(B$3,$B$1,$H$2,$A27,"L",,"USD","H")</f>
        <v>33346</v>
      </c>
      <c r="I27" s="40" cm="1">
        <f t="array" ref="I27">_xll.ciqfunctions.udf.CIQ(C$3,$B$1,$H$2,$A27,"L",,"USD","H")</f>
        <v>259497</v>
      </c>
      <c r="J27" s="40" cm="1">
        <f t="array" ref="J27">_xll.ciqfunctions.udf.CIQ(D$3,$B$1,$H$2,$A27,"L",,"USD","H")</f>
        <v>139365</v>
      </c>
      <c r="K27" s="40" cm="1">
        <f t="array" ref="K27">_xll.ciqfunctions.udf.CIQ(E$3,$B$1,$H$2,$A27,"L",,"USD","H")</f>
        <v>17076</v>
      </c>
      <c r="L27" s="40" cm="1">
        <f t="array" ref="L27">_xll.ciqfunctions.udf.CIQ(F$3,$B$1,$H$2,$A27,"L",,"USD","H")</f>
        <v>158109</v>
      </c>
      <c r="M27" s="40" cm="1">
        <f t="array" ref="M27">_xll.ciqfunctions.udf.CIQ(G$3,$B$1,$H$2,$A27,"L",,"USD","H")</f>
        <v>6674</v>
      </c>
      <c r="N27" s="13" cm="1">
        <f t="array" ref="N27">_xll.ciqfunctions.udf.CIQ(B$3,$N$1,$B$2,$A27,"L",,"USD","H")</f>
        <v>-21.427900000000001</v>
      </c>
      <c r="O27" s="13" cm="1">
        <f t="array" ref="O27">_xll.ciqfunctions.udf.CIQ(C$3,$N$1,$B$2,$A27,"L",,"USD","H")</f>
        <v>-8.7279</v>
      </c>
      <c r="P27" s="13" cm="1">
        <f t="array" ref="P27">_xll.ciqfunctions.udf.CIQ(D$3,$N$1,$B$2,$A27,"L",,"USD","H")</f>
        <v>-17.532499999999999</v>
      </c>
      <c r="Q27" s="13" cm="1">
        <f t="array" ref="Q27">_xll.ciqfunctions.udf.CIQ(E$3,$N$1,$B$2,$A27,"L",,"USD","H")</f>
        <v>-2.2902</v>
      </c>
      <c r="R27" s="13" cm="1">
        <f t="array" ref="R27">_xll.ciqfunctions.udf.CIQ(F$3,$N$1,$B$2,$A27,"L",,"USD","H")</f>
        <v>-5.8882000000000003</v>
      </c>
      <c r="S27" s="13" cm="1">
        <f t="array" ref="S27">_xll.ciqfunctions.udf.CIQ(G$3,$N$1,$B$2,$A27,"L",,"USD","H")</f>
        <v>-43.430199999999999</v>
      </c>
      <c r="T27" s="94">
        <v>45891</v>
      </c>
      <c r="U27" s="41" cm="1">
        <f t="array" ref="U27">_xll.ciqfunctions.udf.CIQ(O$3,$N$1,$T$2,$A27,"L",,"USD","H")</f>
        <v>-7.6721000000000004</v>
      </c>
      <c r="V27" s="41" cm="1">
        <f t="array" ref="V27">_xll.ciqfunctions.udf.CIQ(P$3,$N$1,$T$2,$A27,"L",,"USD","H")</f>
        <v>-7.7304000000000004</v>
      </c>
      <c r="W27" s="41" cm="1">
        <f t="array" ref="W27">_xll.ciqfunctions.udf.CIQ(Q$3,$N$1,$T$2,$A27,"L",,"USD","H")</f>
        <v>-1.1032</v>
      </c>
      <c r="X27" s="41" cm="1">
        <f t="array" ref="X27">_xll.ciqfunctions.udf.CIQ(R$3,$N$1,$T$2,$A27,"L",,"USD","H")</f>
        <v>-46.860100000000003</v>
      </c>
      <c r="Y27" s="41" cm="1">
        <f t="array" ref="Y27">_xll.ciqfunctions.udf.CIQ(S$3,$N$1,$T$2,$A27,"L",,"USD","H")</f>
        <v>-20.914899999999999</v>
      </c>
      <c r="Z27" s="38" cm="1">
        <f t="array" ref="Z27">_xll.ciqfunctions.udf.CIQ(B$3,$Z$1,$B$2,$A27,"L",,"USD","H")</f>
        <v>720</v>
      </c>
      <c r="AA27" s="38" cm="1">
        <f t="array" ref="AA27">_xll.ciqfunctions.udf.CIQ(C$3,$Z$1,$B$2,$A27,"L",,"USD","H")</f>
        <v>5690</v>
      </c>
      <c r="AB27" s="38" cm="1">
        <f t="array" ref="AB27">_xll.ciqfunctions.udf.CIQ(D$3,$Z$1,$B$2,$A27,"L",,"USD","H")</f>
        <v>-6610</v>
      </c>
      <c r="AC27" s="38" cm="1">
        <f t="array" ref="AC27">_xll.ciqfunctions.udf.CIQ(E$3,$Z$1,$B$2,$A27,"L",,"USD","H")</f>
        <v>636.52099999999996</v>
      </c>
      <c r="AD27" s="38" cm="1">
        <f t="array" ref="AD27">_xll.ciqfunctions.udf.CIQ(F$3,$Z$1,$B$2,$A27,"L",,"USD","H")</f>
        <v>19</v>
      </c>
      <c r="AE27" s="38" cm="1">
        <f t="array" ref="AE27">_xll.ciqfunctions.udf.CIQ(G$3,$Z$1,$B$2,$A27,"L",,"USD","H")</f>
        <v>-642</v>
      </c>
      <c r="AF27" s="40" cm="1">
        <f t="array" ref="AF27">_xll.ciqfunctions.udf.CIQ(B$3,$Z$1,$H$2,$A27,"L",,"USD","H")</f>
        <v>7189</v>
      </c>
      <c r="AG27" s="40" cm="1">
        <f t="array" ref="AG27">_xll.ciqfunctions.udf.CIQ(C$3,$Z$1,$H$2,$A27,"L",,"USD","H")</f>
        <v>14340</v>
      </c>
      <c r="AH27" s="40" cm="1">
        <f t="array" ref="AH27">_xll.ciqfunctions.udf.CIQ(D$3,$Z$1,$H$2,$A27,"L",,"USD","H")</f>
        <v>2924</v>
      </c>
      <c r="AI27" s="40" cm="1">
        <f t="array" ref="AI27">_xll.ciqfunctions.udf.CIQ(E$3,$Z$1,$H$2,$A27,"L",,"USD","H")</f>
        <v>2735</v>
      </c>
      <c r="AJ27" s="40" cm="1">
        <f t="array" ref="AJ27">_xll.ciqfunctions.udf.CIQ(F$3,$Z$1,$H$2,$A27,"L",,"USD","H")</f>
        <v>4026</v>
      </c>
      <c r="AK27" s="40" cm="1">
        <f t="array" ref="AK27">_xll.ciqfunctions.udf.CIQ(G$3,$Z$1,$H$2,$A27,"L",,"USD","H")</f>
        <v>-355</v>
      </c>
      <c r="AL27" s="13" cm="1">
        <f t="array" ref="AL27">_xll.ciqfunctions.udf.CIQ(B$3,$AL$1,$AL$2,$A27,"L",,"USD","H")</f>
        <v>-61.456200000000003</v>
      </c>
      <c r="AM27" s="13" cm="1">
        <f t="array" ref="AM27">_xll.ciqfunctions.udf.CIQ(C$3,$AL$1,$AL$2,$A27,"L",,"USD","H")</f>
        <v>-5.1666999999999996</v>
      </c>
      <c r="AN27" s="13" t="str" cm="1">
        <f t="array" ref="AN27">_xll.ciqfunctions.udf.CIQ(D$3,$AL$1,$AL$2,$A27,"L",,"USD","H")</f>
        <v>NM</v>
      </c>
      <c r="AO27" s="13" cm="1">
        <f t="array" ref="AO27">_xll.ciqfunctions.udf.CIQ(E$3,$AL$1,$AL$2,$A27,"L",,"USD","H")</f>
        <v>-28.7026</v>
      </c>
      <c r="AP27" s="13" cm="1">
        <f t="array" ref="AP27">_xll.ciqfunctions.udf.CIQ(F$3,$AL$1,$AL$2,$A27,"L",,"USD","H")</f>
        <v>-97.519599999999997</v>
      </c>
      <c r="AQ27" s="13" t="str" cm="1">
        <f t="array" ref="AQ27">_xll.ciqfunctions.udf.CIQ(G$3,$AL$1,$AL$2,$A27,"L",,"USD","H")</f>
        <v>NM</v>
      </c>
      <c r="AR27" s="41" cm="1">
        <f t="array" ref="AR27">_xll.ciqfunctions.udf.CIQ(B$3,$AL$1,$AR$2,$A27,"L",,"USD","H")</f>
        <v>14.895300000000001</v>
      </c>
      <c r="AS27" s="41" cm="1">
        <f t="array" ref="AS27">_xll.ciqfunctions.udf.CIQ(C$3,$AL$1,$AR$2,$A27,"L",,"USD","H")</f>
        <v>-31.190100000000001</v>
      </c>
      <c r="AT27" s="41" cm="1">
        <f t="array" ref="AT27">_xll.ciqfunctions.udf.CIQ(D$3,$AL$1,$AR$2,$A27,"L",,"USD","H")</f>
        <v>-80.275300000000001</v>
      </c>
      <c r="AU27" s="41" cm="1">
        <f t="array" ref="AU27">_xll.ciqfunctions.udf.CIQ(E$3,$AL$1,$AR$2,$A27,"L",,"USD","H")</f>
        <v>-20.006799999999998</v>
      </c>
      <c r="AV27" s="41" cm="1">
        <f t="array" ref="AV27">_xll.ciqfunctions.udf.CIQ(F$3,$AL$1,$AR$2,$A27,"L",,"USD","H")</f>
        <v>-57.092700000000001</v>
      </c>
      <c r="AW27" s="41" t="str" cm="1">
        <f t="array" ref="AW27">_xll.ciqfunctions.udf.CIQ(G$3,$AL$1,$AR$2,$A27,"L",,"USD","H")</f>
        <v>NM</v>
      </c>
      <c r="AX27" s="38" cm="1">
        <f t="array" ref="AX27">_xll.ciqfunctions.udf.CIQ(B$3,$AX$1,$AX$2,$A27,"L",,"USD","H")</f>
        <v>3117</v>
      </c>
      <c r="AY27" s="38" cm="1">
        <f t="array" ref="AY27">_xll.ciqfunctions.udf.CIQ(C$3,$AX$1,$AX$2,$A27,"L",,"USD","H")</f>
        <v>6661</v>
      </c>
      <c r="AZ27" s="38" cm="1">
        <f t="array" ref="AZ27">_xll.ciqfunctions.udf.CIQ(D$3,$AX$1,$AX$2,$A27,"L",,"USD","H")</f>
        <v>6552</v>
      </c>
      <c r="BA27" s="38" cm="1">
        <f t="array" ref="BA27">_xll.ciqfunctions.udf.CIQ(E$3,$AX$1,$AX$2,$A27,"L",,"USD","H")</f>
        <v>2220.8919999999998</v>
      </c>
      <c r="BB27" s="38" cm="1">
        <f t="array" ref="BB27">_xll.ciqfunctions.udf.CIQ(F$3,$AX$1,$AX$2,$A27,"L",,"USD","H")</f>
        <v>6242</v>
      </c>
      <c r="BC27" s="38" cm="1">
        <f t="array" ref="BC27">_xll.ciqfunctions.udf.CIQ(G$3,$AX$1,$AX$2,$A27,"L",,"USD","H")</f>
        <v>444</v>
      </c>
      <c r="BD27" s="40" cm="1">
        <f t="array" ref="BD27">_xll.ciqfunctions.udf.CIQ(B$3,$AX$1,$BD$2,$A27,"L",,"USD","H")</f>
        <v>13746</v>
      </c>
      <c r="BE27" s="40" cm="1">
        <f t="array" ref="BE27">_xll.ciqfunctions.udf.CIQ(C$3,$AX$1,$BD$2,$A27,"L",,"USD","H")</f>
        <v>34443</v>
      </c>
      <c r="BF27" s="40" cm="1">
        <f t="array" ref="BF27">_xll.ciqfunctions.udf.CIQ(D$3,$AX$1,$BD$2,$A27,"L",,"USD","H")</f>
        <v>29024</v>
      </c>
      <c r="BG27" s="40">
        <f>_xll.ciqfunctions.udf.CIQ("COP", "IQ_PRICEDATE", "8/1/2025")</f>
        <v>45870</v>
      </c>
      <c r="BH27" s="40" cm="1">
        <f t="array" ref="BH27">_xll.ciqfunctions.udf.CIQ(F$3,$AX$1,$BD$2,$A27,"L",,"USD","H")</f>
        <v>34073</v>
      </c>
      <c r="BI27" s="40" cm="1">
        <f t="array" ref="BI27">_xll.ciqfunctions.udf.CIQ(G$3,$AX$1,$BD$2,$A27,"L",,"USD","H")</f>
        <v>1713</v>
      </c>
      <c r="BJ27" s="43">
        <f t="shared" si="1"/>
        <v>-0.19644238205723119</v>
      </c>
      <c r="BK27" s="43">
        <f t="shared" si="2"/>
        <v>-0.31485291092367829</v>
      </c>
      <c r="BL27" s="43">
        <f t="shared" si="3"/>
        <v>-0.24350536889504681</v>
      </c>
      <c r="BM27" s="43">
        <f t="shared" si="4"/>
        <v>3.5242853400432317E-2</v>
      </c>
      <c r="BN27" s="43">
        <f t="shared" si="5"/>
        <v>-0.10930365296803657</v>
      </c>
      <c r="BO27" s="43">
        <f t="shared" si="6"/>
        <v>-0.7417102966841187</v>
      </c>
      <c r="BP27" s="42">
        <f t="shared" si="7"/>
        <v>-0.12362129423015622</v>
      </c>
      <c r="BQ27" s="42">
        <f t="shared" si="8"/>
        <v>-0.16627130131680867</v>
      </c>
      <c r="BR27" s="42">
        <f t="shared" si="9"/>
        <v>-0.13724324485003414</v>
      </c>
      <c r="BS27" s="42">
        <f t="shared" si="10"/>
        <v>6.3262145241149703E-4</v>
      </c>
      <c r="BT27" s="42">
        <f t="shared" si="11"/>
        <v>4.8787244521053985E-2</v>
      </c>
      <c r="BU27" s="42">
        <f t="shared" si="12"/>
        <v>-0.3985252808988764</v>
      </c>
      <c r="BV27" s="68" cm="1">
        <f t="array" ref="BV27">_xll.ciqfunctions.udf.CIQ(B$3,$BV$1,$BV$2,$A27,"L",,"USD","H")/100</f>
        <v>2.0188000000000001E-2</v>
      </c>
      <c r="BW27" s="68" cm="1">
        <f t="array" ref="BW27">_xll.ciqfunctions.udf.CIQ(C$3,$BV$1,$BV$2,$A27,"L",,"USD","H")/100</f>
        <v>3.1476000000000004E-2</v>
      </c>
      <c r="BX27" s="68" cm="1">
        <f t="array" ref="BX27">_xll.ciqfunctions.udf.CIQ(D$3,$BV$1,$BV$2,$A27,"L",,"USD","H")/100</f>
        <v>-0.19115599999999999</v>
      </c>
      <c r="BY27" s="68" cm="1">
        <f t="array" ref="BY27">_xll.ciqfunctions.udf.CIQ(E$3,$BV$1,$BV$2,$A27,"L",,"USD","H")/100</f>
        <v>6.8507999999999999E-2</v>
      </c>
      <c r="BZ27" s="68" cm="1">
        <f t="array" ref="BZ27">_xll.ciqfunctions.udf.CIQ(F$3,$BV$1,$BV$2,$A27,"L",,"USD","H")/100</f>
        <v>-4.6528E-2</v>
      </c>
      <c r="CA27" s="68" cm="1">
        <f t="array" ref="CA27">_xll.ciqfunctions.udf.CIQ(G$3,$BV$1,$BV$2,$A27,"L",,"USD","H")/100</f>
        <v>-0.25065999999999999</v>
      </c>
      <c r="CB27" s="68" cm="1">
        <f t="array" ref="CB27">_xll.ciqfunctions.udf.CIQ(B$3,$BV$1,$CB$2,$A27,"L",,"USD","H")/100</f>
        <v>0.11620900000000001</v>
      </c>
      <c r="CC27" s="68" cm="1">
        <f t="array" ref="CC27">_xll.ciqfunctions.udf.CIQ(C$3,$BV$1,$CB$2,$A27,"L",,"USD","H")/100</f>
        <v>-1.2780000000000001E-3</v>
      </c>
      <c r="CD27" s="68" cm="1">
        <f t="array" ref="CD27">_xll.ciqfunctions.udf.CIQ(D$3,$BV$1,$CB$2,$A27,"L",,"USD","H")/100</f>
        <v>-3.2962999999999999E-2</v>
      </c>
      <c r="CE27" s="68" cm="1">
        <f t="array" ref="CE27">_xll.ciqfunctions.udf.CIQ(E$3,$BV$1,$CB$2,$A27,"L",,"USD","H")/100</f>
        <v>8.0921999999999994E-2</v>
      </c>
      <c r="CF27" s="68" cm="1">
        <f t="array" ref="CF27">_xll.ciqfunctions.udf.CIQ(F$3,$BV$1,$CB$2,$A27,"L",,"USD","H")/100</f>
        <v>-1.6902E-2</v>
      </c>
      <c r="CG27" s="68" cm="1">
        <f t="array" ref="CG27">_xll.ciqfunctions.udf.CIQ(G$3,$BV$1,$CB$2,$A27,"L",,"USD","H")/100</f>
        <v>-4.1052999999999999E-2</v>
      </c>
    </row>
    <row r="28" spans="1:85" x14ac:dyDescent="0.45">
      <c r="A28" s="3">
        <f>EDATE(A24,-12)</f>
        <v>43738</v>
      </c>
      <c r="B28" s="14" cm="1">
        <f t="array" ref="B28">_xll.ciqfunctions.udf.CIQ(B$3,$B$1,$B$2,$A28,"L",,"USD","H")</f>
        <v>8046</v>
      </c>
      <c r="C28" s="38" cm="1">
        <f t="array" ref="C28">_xll.ciqfunctions.udf.CIQ(C$3,$B$1,$B$2,$A28,"L",,"USD","H")</f>
        <v>63853</v>
      </c>
      <c r="D28" s="38" cm="1">
        <f t="array" ref="D28">_xll.ciqfunctions.udf.CIQ(D$3,$B$1,$B$2,$A28,"L",,"USD","H")</f>
        <v>34779</v>
      </c>
      <c r="E28" s="38" cm="1">
        <f t="array" ref="E28">_xll.ciqfunctions.udf.CIQ(E$3,$B$1,$B$2,$A28,"L",,"USD","H")</f>
        <v>4218.076</v>
      </c>
      <c r="F28" s="38" cm="1">
        <f t="array" ref="F28">_xll.ciqfunctions.udf.CIQ(F$3,$B$1,$B$2,$A28,"L",,"USD","H")</f>
        <v>67951</v>
      </c>
      <c r="G28" s="38" cm="1">
        <f t="array" ref="G28">_xll.ciqfunctions.udf.CIQ(G$3,$B$1,$B$2,$A28,"L",,"USD","H")</f>
        <v>1561</v>
      </c>
      <c r="H28" s="40" cm="1">
        <f t="array" ref="H28">_xll.ciqfunctions.udf.CIQ(B$3,$B$1,$H$2,$A28,"L",,"USD","H")</f>
        <v>35483</v>
      </c>
      <c r="I28" s="40" cm="1">
        <f t="array" ref="I28">_xll.ciqfunctions.udf.CIQ(C$3,$B$1,$H$2,$A28,"L",,"USD","H")</f>
        <v>261754</v>
      </c>
      <c r="J28" s="40" cm="1">
        <f t="array" ref="J28">_xll.ciqfunctions.udf.CIQ(D$3,$B$1,$H$2,$A28,"L",,"USD","H")</f>
        <v>137768</v>
      </c>
      <c r="K28" s="40" cm="1">
        <f t="array" ref="K28">_xll.ciqfunctions.udf.CIQ(E$3,$B$1,$H$2,$A28,"L",,"USD","H")</f>
        <v>17175.991999999998</v>
      </c>
      <c r="L28" s="40" cm="1">
        <f t="array" ref="L28">_xll.ciqfunctions.udf.CIQ(F$3,$B$1,$H$2,$A28,"L",,"USD","H")</f>
        <v>281644</v>
      </c>
      <c r="M28" s="40" cm="1">
        <f t="array" ref="M28">_xll.ciqfunctions.udf.CIQ(G$3,$B$1,$H$2,$A28,"L",,"USD","H")</f>
        <v>7679</v>
      </c>
      <c r="N28" s="13" cm="1">
        <f t="array" ref="N28">_xll.ciqfunctions.udf.CIQ(B$3,$N$1,$B$2,$A28,"L",,"USD","H")</f>
        <v>-17.4177</v>
      </c>
      <c r="O28" s="13" cm="1">
        <f t="array" ref="O28">_xll.ciqfunctions.udf.CIQ(C$3,$N$1,$B$2,$A28,"L",,"USD","H")</f>
        <v>-13.9297</v>
      </c>
      <c r="P28" s="13" cm="1">
        <f t="array" ref="P28">_xll.ciqfunctions.udf.CIQ(D$3,$N$1,$B$2,$A28,"L",,"USD","H")</f>
        <v>-17.3994</v>
      </c>
      <c r="Q28" s="13" cm="1">
        <f t="array" ref="Q28">_xll.ciqfunctions.udf.CIQ(E$3,$N$1,$B$2,$A28,"L",,"USD","H")</f>
        <v>-10.5916</v>
      </c>
      <c r="R28" s="13" cm="1">
        <f t="array" ref="R28">_xll.ciqfunctions.udf.CIQ(F$3,$N$1,$B$2,$A28,"L",,"USD","H")</f>
        <v>-14.0046</v>
      </c>
      <c r="S28" s="13" cm="1">
        <f t="array" ref="S28">_xll.ciqfunctions.udf.CIQ(G$3,$N$1,$B$2,$A28,"L",,"USD","H")</f>
        <v>-24.807400000000001</v>
      </c>
      <c r="T28" s="94">
        <v>45884</v>
      </c>
      <c r="U28" s="41" cm="1">
        <f t="array" ref="U28">_xll.ciqfunctions.udf.CIQ(O$3,$N$1,$T$2,$A28,"L",,"USD","H")</f>
        <v>-5.2957999999999998</v>
      </c>
      <c r="V28" s="41" cm="1">
        <f t="array" ref="V28">_xll.ciqfunctions.udf.CIQ(P$3,$N$1,$T$2,$A28,"L",,"USD","H")</f>
        <v>-9.9974000000000007</v>
      </c>
      <c r="W28" s="41" cm="1">
        <f t="array" ref="W28">_xll.ciqfunctions.udf.CIQ(Q$3,$N$1,$T$2,$A28,"L",,"USD","H")</f>
        <v>5.0221</v>
      </c>
      <c r="X28" s="41" cm="1">
        <f t="array" ref="X28">_xll.ciqfunctions.udf.CIQ(R$3,$N$1,$T$2,$A28,"L",,"USD","H")</f>
        <v>-2.5568</v>
      </c>
      <c r="Y28" s="41" cm="1">
        <f t="array" ref="Y28">_xll.ciqfunctions.udf.CIQ(S$3,$N$1,$T$2,$A28,"L",,"USD","H")</f>
        <v>-5.0099</v>
      </c>
      <c r="Z28" s="38" cm="1">
        <f t="array" ref="Z28">_xll.ciqfunctions.udf.CIQ(B$3,$Z$1,$B$2,$A28,"L",,"USD","H")</f>
        <v>3056</v>
      </c>
      <c r="AA28" s="38" cm="1">
        <f t="array" ref="AA28">_xll.ciqfunctions.udf.CIQ(C$3,$Z$1,$B$2,$A28,"L",,"USD","H")</f>
        <v>3170</v>
      </c>
      <c r="AB28" s="38" cm="1">
        <f t="array" ref="AB28">_xll.ciqfunctions.udf.CIQ(D$3,$Z$1,$B$2,$A28,"L",,"USD","H")</f>
        <v>2580</v>
      </c>
      <c r="AC28" s="38" cm="1">
        <f t="array" ref="AC28">_xll.ciqfunctions.udf.CIQ(E$3,$Z$1,$B$2,$A28,"L",,"USD","H")</f>
        <v>615.12199999999996</v>
      </c>
      <c r="AD28" s="38" cm="1">
        <f t="array" ref="AD28">_xll.ciqfunctions.udf.CIQ(F$3,$Z$1,$B$2,$A28,"L",,"USD","H")</f>
        <v>-749</v>
      </c>
      <c r="AE28" s="38" cm="1">
        <f t="array" ref="AE28">_xll.ciqfunctions.udf.CIQ(G$3,$Z$1,$B$2,$A28,"L",,"USD","H")</f>
        <v>109</v>
      </c>
      <c r="AF28" s="40" cm="1">
        <f t="array" ref="AF28">_xll.ciqfunctions.udf.CIQ(B$3,$Z$1,$H$2,$A28,"L",,"USD","H")</f>
        <v>8337</v>
      </c>
      <c r="AG28" s="40" cm="1">
        <f t="array" ref="AG28">_xll.ciqfunctions.udf.CIQ(C$3,$Z$1,$H$2,$A28,"L",,"USD","H")</f>
        <v>14650</v>
      </c>
      <c r="AH28" s="40" cm="1">
        <f t="array" ref="AH28">_xll.ciqfunctions.udf.CIQ(D$3,$Z$1,$H$2,$A28,"L",,"USD","H")</f>
        <v>13264</v>
      </c>
      <c r="AI28" s="40" cm="1">
        <f t="array" ref="AI28">_xll.ciqfunctions.udf.CIQ(E$3,$Z$1,$H$2,$A28,"L",,"USD","H")</f>
        <v>2991.1570000000002</v>
      </c>
      <c r="AJ28" s="40" cm="1">
        <f t="array" ref="AJ28">_xll.ciqfunctions.udf.CIQ(F$3,$Z$1,$H$2,$A28,"L",,"USD","H")</f>
        <v>4773</v>
      </c>
      <c r="AK28" s="40" cm="1">
        <f t="array" ref="AK28">_xll.ciqfunctions.udf.CIQ(G$3,$Z$1,$H$2,$A28,"L",,"USD","H")</f>
        <v>1436</v>
      </c>
      <c r="AL28" s="13" cm="1">
        <f t="array" ref="AL28">_xll.ciqfunctions.udf.CIQ(B$3,$AL$1,$AL$2,$A28,"L",,"USD","H")</f>
        <v>64.212699999999998</v>
      </c>
      <c r="AM28" s="13" cm="1">
        <f t="array" ref="AM28">_xll.ciqfunctions.udf.CIQ(C$3,$AL$1,$AL$2,$A28,"L",,"USD","H")</f>
        <v>-49.198799999999999</v>
      </c>
      <c r="AN28" s="13" cm="1">
        <f t="array" ref="AN28">_xll.ciqfunctions.udf.CIQ(D$3,$AL$1,$AL$2,$A28,"L",,"USD","H")</f>
        <v>-36.249099999999999</v>
      </c>
      <c r="AO28" s="13" cm="1">
        <f t="array" ref="AO28">_xll.ciqfunctions.udf.CIQ(E$3,$AL$1,$AL$2,$A28,"L",,"USD","H")</f>
        <v>-48.3504</v>
      </c>
      <c r="AP28" s="13" t="str" cm="1">
        <f t="array" ref="AP28">_xll.ciqfunctions.udf.CIQ(F$3,$AL$1,$AL$2,$A28,"L",,"USD","H")</f>
        <v>NM</v>
      </c>
      <c r="AQ28" s="13" cm="1">
        <f t="array" ref="AQ28">_xll.ciqfunctions.udf.CIQ(G$3,$AL$1,$AL$2,$A28,"L",,"USD","H")</f>
        <v>-95.703599999999994</v>
      </c>
      <c r="AR28" s="41" cm="1">
        <f t="array" ref="AR28">_xll.ciqfunctions.udf.CIQ(B$3,$AL$1,$AR$2,$A28,"L",,"USD","H")</f>
        <v>39.695</v>
      </c>
      <c r="AS28" s="41" cm="1">
        <f t="array" ref="AS28">_xll.ciqfunctions.udf.CIQ(C$3,$AL$1,$AR$2,$A28,"L",,"USD","H")</f>
        <v>-36.907899999999998</v>
      </c>
      <c r="AT28" s="41" cm="1">
        <f t="array" ref="AT28">_xll.ciqfunctions.udf.CIQ(D$3,$AL$1,$AR$2,$A28,"L",,"USD","H")</f>
        <v>-6.6245000000000003</v>
      </c>
      <c r="AU28" s="41" cm="1">
        <f t="array" ref="AU28">_xll.ciqfunctions.udf.CIQ(E$3,$AL$1,$AR$2,$A28,"L",,"USD","H")</f>
        <v>-39.654800000000002</v>
      </c>
      <c r="AV28" s="41" cm="1">
        <f t="array" ref="AV28">_xll.ciqfunctions.udf.CIQ(F$3,$AL$1,$AR$2,$A28,"L",,"USD","H")</f>
        <v>-44.782600000000002</v>
      </c>
      <c r="AW28" s="41" cm="1">
        <f t="array" ref="AW28">_xll.ciqfunctions.udf.CIQ(G$3,$AL$1,$AR$2,$A28,"L",,"USD","H")</f>
        <v>-31.553899999999999</v>
      </c>
      <c r="AX28" s="38" cm="1">
        <f t="array" ref="AX28">_xll.ciqfunctions.udf.CIQ(B$3,$AX$1,$AX$2,$A28,"L",,"USD","H")</f>
        <v>3349</v>
      </c>
      <c r="AY28" s="38" cm="1">
        <f t="array" ref="AY28">_xll.ciqfunctions.udf.CIQ(C$3,$AX$1,$AX$2,$A28,"L",,"USD","H")</f>
        <v>8630</v>
      </c>
      <c r="AZ28" s="38" cm="1">
        <f t="array" ref="AZ28">_xll.ciqfunctions.udf.CIQ(D$3,$AX$1,$AX$2,$A28,"L",,"USD","H")</f>
        <v>7270</v>
      </c>
      <c r="BA28" s="38" cm="1">
        <f t="array" ref="BA28">_xll.ciqfunctions.udf.CIQ(E$3,$AX$1,$AX$2,$A28,"L",,"USD","H")</f>
        <v>1782.079</v>
      </c>
      <c r="BB28" s="38" cm="1">
        <f t="array" ref="BB28">_xll.ciqfunctions.udf.CIQ(F$3,$AX$1,$AX$2,$A28,"L",,"USD","H")</f>
        <v>7685</v>
      </c>
      <c r="BC28" s="38" cm="1">
        <f t="array" ref="BC28">_xll.ciqfunctions.udf.CIQ(G$3,$AX$1,$AX$2,$A28,"L",,"USD","H")</f>
        <v>653</v>
      </c>
      <c r="BD28" s="40" cm="1">
        <f t="array" ref="BD28">_xll.ciqfunctions.udf.CIQ(B$3,$AX$1,$BD$2,$A28,"L",,"USD","H")</f>
        <v>14508</v>
      </c>
      <c r="BE28" s="40" cm="1">
        <f t="array" ref="BE28">_xll.ciqfunctions.udf.CIQ(C$3,$AX$1,$BD$2,$A28,"L",,"USD","H")</f>
        <v>33804</v>
      </c>
      <c r="BF28" s="40" cm="1">
        <f t="array" ref="BF28">_xll.ciqfunctions.udf.CIQ(D$3,$AX$1,$BD$2,$A28,"L",,"USD","H")</f>
        <v>31133</v>
      </c>
      <c r="BG28" s="40">
        <f>_xll.ciqfunctions.udf.CIQ("COP", "IQ_PRICEDATE", "7/25/2025")</f>
        <v>45863</v>
      </c>
      <c r="BH28" s="40" cm="1">
        <f t="array" ref="BH28">_xll.ciqfunctions.udf.CIQ(F$3,$AX$1,$BD$2,$A28,"L",,"USD","H")</f>
        <v>32598</v>
      </c>
      <c r="BI28" s="40" cm="1">
        <f t="array" ref="BI28">_xll.ciqfunctions.udf.CIQ(G$3,$AX$1,$BD$2,$A28,"L",,"USD","H")</f>
        <v>2988</v>
      </c>
      <c r="BJ28" s="43">
        <f t="shared" si="1"/>
        <v>-0.21329574817946906</v>
      </c>
      <c r="BK28" s="43">
        <f t="shared" si="2"/>
        <v>-0.25086805555555558</v>
      </c>
      <c r="BL28" s="43">
        <f t="shared" si="3"/>
        <v>-0.22494669509594878</v>
      </c>
      <c r="BM28" s="43">
        <f t="shared" si="4"/>
        <v>-0.2428091300763956</v>
      </c>
      <c r="BN28" s="43">
        <f t="shared" si="5"/>
        <v>-0.17365591397849467</v>
      </c>
      <c r="BO28" s="43">
        <f t="shared" si="6"/>
        <v>0.58880778588807781</v>
      </c>
      <c r="BP28" s="42">
        <f t="shared" si="7"/>
        <v>-2.3161863722057641E-2</v>
      </c>
      <c r="BQ28" s="42">
        <f t="shared" si="8"/>
        <v>-0.10343730108211335</v>
      </c>
      <c r="BR28" s="42">
        <f t="shared" si="9"/>
        <v>3.1816524707519944E-2</v>
      </c>
      <c r="BS28" s="42">
        <f t="shared" si="10"/>
        <v>6.1088687684085485E-4</v>
      </c>
      <c r="BT28" s="42">
        <f t="shared" si="11"/>
        <v>2.3452952811528593E-2</v>
      </c>
      <c r="BU28" s="42">
        <f t="shared" si="12"/>
        <v>0.63100436681222716</v>
      </c>
      <c r="BV28" s="68" cm="1">
        <f t="array" ref="BV28">_xll.ciqfunctions.udf.CIQ(B$3,$BV$1,$BV$2,$A28,"L",,"USD","H")/100</f>
        <v>0.21718800000000002</v>
      </c>
      <c r="BW28" s="68" cm="1">
        <f t="array" ref="BW28">_xll.ciqfunctions.udf.CIQ(C$3,$BV$1,$BV$2,$A28,"L",,"USD","H")/100</f>
        <v>-8.7480000000000006E-3</v>
      </c>
      <c r="BX28" s="68" cm="1">
        <f t="array" ref="BX28">_xll.ciqfunctions.udf.CIQ(D$3,$BV$1,$BV$2,$A28,"L",,"USD","H")/100</f>
        <v>7.1079999999999997E-3</v>
      </c>
      <c r="BY28" s="68" cm="1">
        <f t="array" ref="BY28">_xll.ciqfunctions.udf.CIQ(E$3,$BV$1,$BV$2,$A28,"L",,"USD","H")/100</f>
        <v>6.6627999999999993E-2</v>
      </c>
      <c r="BZ28" s="68" cm="1">
        <f t="array" ref="BZ28">_xll.ciqfunctions.udf.CIQ(F$3,$BV$1,$BV$2,$A28,"L",,"USD","H")/100</f>
        <v>-5.3879999999999997E-2</v>
      </c>
      <c r="CA28" s="68" cm="1">
        <f t="array" ref="CA28">_xll.ciqfunctions.udf.CIQ(G$3,$BV$1,$BV$2,$A28,"L",,"USD","H")/100</f>
        <v>2.6080000000000002E-2</v>
      </c>
      <c r="CB28" s="68" cm="1">
        <f t="array" ref="CB28">_xll.ciqfunctions.udf.CIQ(B$3,$BV$1,$CB$2,$A28,"L",,"USD","H")/100</f>
        <v>0.14169700000000002</v>
      </c>
      <c r="CC28" s="68" cm="1">
        <f t="array" ref="CC28">_xll.ciqfunctions.udf.CIQ(C$3,$BV$1,$CB$2,$A28,"L",,"USD","H")/100</f>
        <v>8.699999999999999E-4</v>
      </c>
      <c r="CD28" s="68" cm="1">
        <f t="array" ref="CD28">_xll.ciqfunctions.udf.CIQ(D$3,$BV$1,$CB$2,$A28,"L",,"USD","H")/100</f>
        <v>2.2949000000000001E-2</v>
      </c>
      <c r="CE28" s="68" cm="1">
        <f t="array" ref="CE28">_xll.ciqfunctions.udf.CIQ(E$3,$BV$1,$CB$2,$A28,"L",,"USD","H")/100</f>
        <v>9.3713999999999992E-2</v>
      </c>
      <c r="CF28" s="68" cm="1">
        <f t="array" ref="CF28">_xll.ciqfunctions.udf.CIQ(F$3,$BV$1,$CB$2,$A28,"L",,"USD","H")/100</f>
        <v>-1.0668E-2</v>
      </c>
      <c r="CG28" s="68" cm="1">
        <f t="array" ref="CG28">_xll.ciqfunctions.udf.CIQ(G$3,$BV$1,$CB$2,$A28,"L",,"USD","H")/100</f>
        <v>9.9282000000000009E-2</v>
      </c>
    </row>
    <row r="29" spans="1:85" x14ac:dyDescent="0.45">
      <c r="A29" s="3">
        <f t="shared" si="13"/>
        <v>43646</v>
      </c>
      <c r="B29" s="14" cm="1">
        <f t="array" ref="B29">_xll.ciqfunctions.udf.CIQ(B$3,$B$1,$B$2,$A29,"L",,"USD","H")</f>
        <v>8126</v>
      </c>
      <c r="C29" s="38" cm="1">
        <f t="array" ref="C29">_xll.ciqfunctions.udf.CIQ(C$3,$B$1,$B$2,$A29,"L",,"USD","H")</f>
        <v>67732</v>
      </c>
      <c r="D29" s="38" cm="1">
        <f t="array" ref="D29">_xll.ciqfunctions.udf.CIQ(D$3,$B$1,$B$2,$A29,"L",,"USD","H")</f>
        <v>36323</v>
      </c>
      <c r="E29" s="38" cm="1">
        <f t="array" ref="E29">_xll.ciqfunctions.udf.CIQ(E$3,$B$1,$B$2,$A29,"L",,"USD","H")</f>
        <v>4512.3209999999999</v>
      </c>
      <c r="F29" s="38" cm="1">
        <f t="array" ref="F29">_xll.ciqfunctions.udf.CIQ(F$3,$B$1,$B$2,$A29,"L",,"USD","H")</f>
        <v>72305</v>
      </c>
      <c r="G29" s="38" cm="1">
        <f t="array" ref="G29">_xll.ciqfunctions.udf.CIQ(G$3,$B$1,$B$2,$A29,"L",,"USD","H")</f>
        <v>1602</v>
      </c>
      <c r="H29" s="40" cm="1">
        <f t="array" ref="H29">_xll.ciqfunctions.udf.CIQ(B$3,$B$1,$H$2,$A29,"L",,"USD","H")</f>
        <v>37180</v>
      </c>
      <c r="I29" s="40" cm="1">
        <f t="array" ref="I29">_xll.ciqfunctions.udf.CIQ(C$3,$B$1,$H$2,$A29,"L",,"USD","H")</f>
        <v>272088</v>
      </c>
      <c r="J29" s="40" cm="1">
        <f t="array" ref="J29">_xll.ciqfunctions.udf.CIQ(D$3,$B$1,$H$2,$A29,"L",,"USD","H")</f>
        <v>145094</v>
      </c>
      <c r="K29" s="40" cm="1">
        <f t="array" ref="K29">_xll.ciqfunctions.udf.CIQ(E$3,$B$1,$H$2,$A29,"L",,"USD","H")</f>
        <v>17675.677</v>
      </c>
      <c r="L29" s="40" cm="1">
        <f t="array" ref="L29">_xll.ciqfunctions.udf.CIQ(F$3,$B$1,$H$2,$A29,"L",,"USD","H")</f>
        <v>292710</v>
      </c>
      <c r="M29" s="40" cm="1">
        <f t="array" ref="M29">_xll.ciqfunctions.udf.CIQ(G$3,$B$1,$H$2,$A29,"L",,"USD","H")</f>
        <v>8194</v>
      </c>
      <c r="N29" s="13" cm="1">
        <f t="array" ref="N29">_xll.ciqfunctions.udf.CIQ(B$3,$N$1,$B$2,$A29,"L",,"USD","H")</f>
        <v>-7.3327</v>
      </c>
      <c r="O29" s="13" cm="1">
        <f t="array" ref="O29">_xll.ciqfunctions.udf.CIQ(C$3,$N$1,$B$2,$A29,"L",,"USD","H")</f>
        <v>-5.2115999999999998</v>
      </c>
      <c r="P29" s="13" cm="1">
        <f t="array" ref="P29">_xll.ciqfunctions.udf.CIQ(D$3,$N$1,$B$2,$A29,"L",,"USD","H")</f>
        <v>-10.293699999999999</v>
      </c>
      <c r="Q29" s="13" cm="1">
        <f t="array" ref="Q29">_xll.ciqfunctions.udf.CIQ(E$3,$N$1,$B$2,$A29,"L",,"USD","H")</f>
        <v>1.8517999999999999</v>
      </c>
      <c r="R29" s="13" cm="1">
        <f t="array" ref="R29">_xll.ciqfunctions.udf.CIQ(F$3,$N$1,$B$2,$A29,"L",,"USD","H")</f>
        <v>-3.4750000000000001</v>
      </c>
      <c r="S29" s="13" cm="1">
        <f t="array" ref="S29">_xll.ciqfunctions.udf.CIQ(G$3,$N$1,$B$2,$A29,"L",,"USD","H")</f>
        <v>-13.7783</v>
      </c>
      <c r="T29" s="94">
        <v>45877</v>
      </c>
      <c r="U29" s="41" cm="1">
        <f t="array" ref="U29">_xll.ciqfunctions.udf.CIQ(O$3,$N$1,$T$2,$A29,"L",,"USD","H")</f>
        <v>4.0274000000000001</v>
      </c>
      <c r="V29" s="41" cm="1">
        <f t="array" ref="V29">_xll.ciqfunctions.udf.CIQ(P$3,$N$1,$T$2,$A29,"L",,"USD","H")</f>
        <v>1.4706999999999999</v>
      </c>
      <c r="W29" s="41" cm="1">
        <f t="array" ref="W29">_xll.ciqfunctions.udf.CIQ(Q$3,$N$1,$T$2,$A29,"L",,"USD","H")</f>
        <v>23.636199999999999</v>
      </c>
      <c r="X29" s="41" cm="1">
        <f t="array" ref="X29">_xll.ciqfunctions.udf.CIQ(R$3,$N$1,$T$2,$A29,"L",,"USD","H")</f>
        <v>8.5775000000000006</v>
      </c>
      <c r="Y29" s="41" cm="1">
        <f t="array" ref="Y29">_xll.ciqfunctions.udf.CIQ(S$3,$N$1,$T$2,$A29,"L",,"USD","H")</f>
        <v>3.7871999999999999</v>
      </c>
      <c r="Z29" s="38" cm="1">
        <f t="array" ref="Z29">_xll.ciqfunctions.udf.CIQ(B$3,$Z$1,$B$2,$A29,"L",,"USD","H")</f>
        <v>1580</v>
      </c>
      <c r="AA29" s="38" cm="1">
        <f t="array" ref="AA29">_xll.ciqfunctions.udf.CIQ(C$3,$Z$1,$B$2,$A29,"L",,"USD","H")</f>
        <v>3130</v>
      </c>
      <c r="AB29" s="38" cm="1">
        <f t="array" ref="AB29">_xll.ciqfunctions.udf.CIQ(D$3,$Z$1,$B$2,$A29,"L",,"USD","H")</f>
        <v>4305</v>
      </c>
      <c r="AC29" s="38" cm="1">
        <f t="array" ref="AC29">_xll.ciqfunctions.udf.CIQ(E$3,$Z$1,$B$2,$A29,"L",,"USD","H")</f>
        <v>847.84100000000001</v>
      </c>
      <c r="AD29" s="38" cm="1">
        <f t="array" ref="AD29">_xll.ciqfunctions.udf.CIQ(F$3,$Z$1,$B$2,$A29,"L",,"USD","H")</f>
        <v>1822</v>
      </c>
      <c r="AE29" s="38" cm="1">
        <f t="array" ref="AE29">_xll.ciqfunctions.udf.CIQ(G$3,$Z$1,$B$2,$A29,"L",,"USD","H")</f>
        <v>495</v>
      </c>
      <c r="AF29" s="40" cm="1">
        <f t="array" ref="AF29">_xll.ciqfunctions.udf.CIQ(B$3,$Z$1,$H$2,$A29,"L",,"USD","H")</f>
        <v>7142</v>
      </c>
      <c r="AG29" s="40" cm="1">
        <f t="array" ref="AG29">_xll.ciqfunctions.udf.CIQ(C$3,$Z$1,$H$2,$A29,"L",,"USD","H")</f>
        <v>17720</v>
      </c>
      <c r="AH29" s="40" cm="1">
        <f t="array" ref="AH29">_xll.ciqfunctions.udf.CIQ(D$3,$Z$1,$H$2,$A29,"L",,"USD","H")</f>
        <v>14731</v>
      </c>
      <c r="AI29" s="40" cm="1">
        <f t="array" ref="AI29">_xll.ciqfunctions.udf.CIQ(E$3,$Z$1,$H$2,$A29,"L",,"USD","H")</f>
        <v>3566.9870000000001</v>
      </c>
      <c r="AJ29" s="40" cm="1">
        <f t="array" ref="AJ29">_xll.ciqfunctions.udf.CIQ(F$3,$Z$1,$H$2,$A29,"L",,"USD","H")</f>
        <v>8871</v>
      </c>
      <c r="AK29" s="40" cm="1">
        <f t="array" ref="AK29">_xll.ciqfunctions.udf.CIQ(G$3,$Z$1,$H$2,$A29,"L",,"USD","H")</f>
        <v>3864</v>
      </c>
      <c r="AL29" s="13" cm="1">
        <f t="array" ref="AL29">_xll.ciqfunctions.udf.CIQ(B$3,$AL$1,$AL$2,$A29,"L",,"USD","H")</f>
        <v>-3.6585999999999999</v>
      </c>
      <c r="AM29" s="13" cm="1">
        <f t="array" ref="AM29">_xll.ciqfunctions.udf.CIQ(C$3,$AL$1,$AL$2,$A29,"L",,"USD","H")</f>
        <v>-20.759499999999999</v>
      </c>
      <c r="AN29" s="13" cm="1">
        <f t="array" ref="AN29">_xll.ciqfunctions.udf.CIQ(D$3,$AL$1,$AL$2,$A29,"L",,"USD","H")</f>
        <v>26.283300000000001</v>
      </c>
      <c r="AO29" s="13" cm="1">
        <f t="array" ref="AO29">_xll.ciqfunctions.udf.CIQ(E$3,$AL$1,$AL$2,$A29,"L",,"USD","H")</f>
        <v>21.688400000000001</v>
      </c>
      <c r="AP29" s="13" cm="1">
        <f t="array" ref="AP29">_xll.ciqfunctions.udf.CIQ(F$3,$AL$1,$AL$2,$A29,"L",,"USD","H")</f>
        <v>-34.9054</v>
      </c>
      <c r="AQ29" s="13" t="str" cm="1">
        <f t="array" ref="AQ29">_xll.ciqfunctions.udf.CIQ(G$3,$AL$1,$AL$2,$A29,"L",,"USD","H")</f>
        <v>NM</v>
      </c>
      <c r="AR29" s="41" cm="1">
        <f t="array" ref="AR29">_xll.ciqfunctions.udf.CIQ(B$3,$AL$1,$AR$2,$A29,"L",,"USD","H")</f>
        <v>57.764499999999998</v>
      </c>
      <c r="AS29" s="41" cm="1">
        <f t="array" ref="AS29">_xll.ciqfunctions.udf.CIQ(C$3,$AL$1,$AR$2,$A29,"L",,"USD","H")</f>
        <v>-15.4177</v>
      </c>
      <c r="AT29" s="41" cm="1">
        <f t="array" ref="AT29">_xll.ciqfunctions.udf.CIQ(D$3,$AL$1,$AR$2,$A29,"L",,"USD","H")</f>
        <v>21.6432</v>
      </c>
      <c r="AU29" s="41" cm="1">
        <f t="array" ref="AU29">_xll.ciqfunctions.udf.CIQ(E$3,$AL$1,$AR$2,$A29,"L",,"USD","H")</f>
        <v>-7.7423000000000002</v>
      </c>
      <c r="AV29" s="41" cm="1">
        <f t="array" ref="AV29">_xll.ciqfunctions.udf.CIQ(F$3,$AL$1,$AR$2,$A29,"L",,"USD","H")</f>
        <v>25.580400000000001</v>
      </c>
      <c r="AW29" s="41" t="str" cm="1">
        <f t="array" ref="AW29">_xll.ciqfunctions.udf.CIQ(G$3,$AL$1,$AR$2,$A29,"L",,"USD","H")</f>
        <v>NM</v>
      </c>
      <c r="AX29" s="38" cm="1">
        <f t="array" ref="AX29">_xll.ciqfunctions.udf.CIQ(B$3,$AX$1,$AX$2,$A29,"L",,"USD","H")</f>
        <v>3544</v>
      </c>
      <c r="AY29" s="38" cm="1">
        <f t="array" ref="AY29">_xll.ciqfunctions.udf.CIQ(C$3,$AX$1,$AX$2,$A29,"L",,"USD","H")</f>
        <v>8120</v>
      </c>
      <c r="AZ29" s="38" cm="1">
        <f t="array" ref="AZ29">_xll.ciqfunctions.udf.CIQ(D$3,$AX$1,$AX$2,$A29,"L",,"USD","H")</f>
        <v>7937</v>
      </c>
      <c r="BA29" s="38" cm="1">
        <f t="array" ref="BA29">_xll.ciqfunctions.udf.CIQ(E$3,$AX$1,$AX$2,$A29,"L",,"USD","H")</f>
        <v>2080.0659999999998</v>
      </c>
      <c r="BB29" s="38" cm="1">
        <f t="array" ref="BB29">_xll.ciqfunctions.udf.CIQ(F$3,$AX$1,$AX$2,$A29,"L",,"USD","H")</f>
        <v>8501</v>
      </c>
      <c r="BC29" s="38" cm="1">
        <f t="array" ref="BC29">_xll.ciqfunctions.udf.CIQ(G$3,$AX$1,$AX$2,$A29,"L",,"USD","H")</f>
        <v>670</v>
      </c>
      <c r="BD29" s="40" cm="1">
        <f t="array" ref="BD29">_xll.ciqfunctions.udf.CIQ(B$3,$AX$1,$BD$2,$A29,"L",,"USD","H")</f>
        <v>15649</v>
      </c>
      <c r="BE29" s="40" cm="1">
        <f t="array" ref="BE29">_xll.ciqfunctions.udf.CIQ(C$3,$AX$1,$BD$2,$A29,"L",,"USD","H")</f>
        <v>36694</v>
      </c>
      <c r="BF29" s="40" cm="1">
        <f t="array" ref="BF29">_xll.ciqfunctions.udf.CIQ(D$3,$AX$1,$BD$2,$A29,"L",,"USD","H")</f>
        <v>33243</v>
      </c>
      <c r="BG29" s="40">
        <f>_xll.ciqfunctions.udf.CIQ("COP", "IQ_PRICEDATE", "7/18/2025")</f>
        <v>45856</v>
      </c>
      <c r="BH29" s="40" cm="1">
        <f t="array" ref="BH29">_xll.ciqfunctions.udf.CIQ(F$3,$AX$1,$BD$2,$A29,"L",,"USD","H")</f>
        <v>34213</v>
      </c>
      <c r="BI29" s="40" cm="1">
        <f t="array" ref="BI29">_xll.ciqfunctions.udf.CIQ(G$3,$AX$1,$BD$2,$A29,"L",,"USD","H")</f>
        <v>2742</v>
      </c>
      <c r="BJ29" s="43">
        <f t="shared" si="1"/>
        <v>-4.7567858102660621E-2</v>
      </c>
      <c r="BK29" s="43">
        <f t="shared" si="2"/>
        <v>-0.11767901771161582</v>
      </c>
      <c r="BL29" s="43">
        <f t="shared" si="3"/>
        <v>7.7450482478416127E-3</v>
      </c>
      <c r="BM29" s="43">
        <f t="shared" si="4"/>
        <v>0.11136602854196598</v>
      </c>
      <c r="BN29" s="43">
        <f t="shared" si="5"/>
        <v>7.2546050971486142E-2</v>
      </c>
      <c r="BO29" s="43">
        <f t="shared" si="6"/>
        <v>1.8151260504201683</v>
      </c>
      <c r="BP29" s="42">
        <f t="shared" si="7"/>
        <v>0.232107708054484</v>
      </c>
      <c r="BQ29" s="42">
        <f t="shared" si="8"/>
        <v>4.8160420475319876E-2</v>
      </c>
      <c r="BR29" s="42">
        <f t="shared" si="9"/>
        <v>0.26480995320168921</v>
      </c>
      <c r="BS29" s="42">
        <f t="shared" si="10"/>
        <v>6.1098018678529264E-4</v>
      </c>
      <c r="BT29" s="42">
        <f t="shared" si="11"/>
        <v>0.15819228165199739</v>
      </c>
      <c r="BU29" s="42">
        <f t="shared" si="12"/>
        <v>0.48296376419686315</v>
      </c>
      <c r="BV29" s="68" cm="1">
        <f t="array" ref="BV29">_xll.ciqfunctions.udf.CIQ(B$3,$BV$1,$BV$2,$A29,"L",,"USD","H")/100</f>
        <v>0.1008</v>
      </c>
      <c r="BW29" s="68" cm="1">
        <f t="array" ref="BW29">_xll.ciqfunctions.udf.CIQ(C$3,$BV$1,$BV$2,$A29,"L",,"USD","H")/100</f>
        <v>-9.5160000000000002E-3</v>
      </c>
      <c r="BX29" s="68" cm="1">
        <f t="array" ref="BX29">_xll.ciqfunctions.udf.CIQ(D$3,$BV$1,$BV$2,$A29,"L",,"USD","H")/100</f>
        <v>4.2644000000000001E-2</v>
      </c>
      <c r="BY29" s="68" cm="1">
        <f t="array" ref="BY29">_xll.ciqfunctions.udf.CIQ(E$3,$BV$1,$BV$2,$A29,"L",,"USD","H")/100</f>
        <v>0.10747999999999999</v>
      </c>
      <c r="BZ29" s="68" cm="1">
        <f t="array" ref="BZ29">_xll.ciqfunctions.udf.CIQ(F$3,$BV$1,$BV$2,$A29,"L",,"USD","H")/100</f>
        <v>9.5200000000000005E-4</v>
      </c>
      <c r="CA29" s="68" cm="1">
        <f t="array" ref="CA29">_xll.ciqfunctions.udf.CIQ(G$3,$BV$1,$BV$2,$A29,"L",,"USD","H")/100</f>
        <v>0.143096</v>
      </c>
      <c r="CB29" s="68" cm="1">
        <f t="array" ref="CB29">_xll.ciqfunctions.udf.CIQ(B$3,$BV$1,$CB$2,$A29,"L",,"USD","H")/100</f>
        <v>0.12091900000000001</v>
      </c>
      <c r="CC29" s="68" cm="1">
        <f t="array" ref="CC29">_xll.ciqfunctions.udf.CIQ(C$3,$BV$1,$CB$2,$A29,"L",,"USD","H")/100</f>
        <v>1.4445E-2</v>
      </c>
      <c r="CD29" s="68" cm="1">
        <f t="array" ref="CD29">_xll.ciqfunctions.udf.CIQ(D$3,$BV$1,$CB$2,$A29,"L",,"USD","H")/100</f>
        <v>3.1183000000000002E-2</v>
      </c>
      <c r="CE29" s="68" cm="1">
        <f t="array" ref="CE29">_xll.ciqfunctions.udf.CIQ(E$3,$BV$1,$CB$2,$A29,"L",,"USD","H")/100</f>
        <v>0.12160600000000001</v>
      </c>
      <c r="CF29" s="68" cm="1">
        <f t="array" ref="CF29">_xll.ciqfunctions.udf.CIQ(F$3,$BV$1,$CB$2,$A29,"L",,"USD","H")/100</f>
        <v>1.4629000000000001E-2</v>
      </c>
      <c r="CG29" s="68" cm="1">
        <f t="array" ref="CG29">_xll.ciqfunctions.udf.CIQ(G$3,$BV$1,$CB$2,$A29,"L",,"USD","H")/100</f>
        <v>0.243699</v>
      </c>
    </row>
    <row r="30" spans="1:85" x14ac:dyDescent="0.45">
      <c r="A30" s="3">
        <f t="shared" si="13"/>
        <v>43555</v>
      </c>
      <c r="B30" s="14" cm="1">
        <f t="array" ref="B30">_xll.ciqfunctions.udf.CIQ(B$3,$B$1,$B$2,$A30,"L",,"USD","H")</f>
        <v>9338</v>
      </c>
      <c r="C30" s="38" cm="1">
        <f t="array" ref="C30">_xll.ciqfunctions.udf.CIQ(C$3,$B$1,$B$2,$A30,"L",,"USD","H")</f>
        <v>61916</v>
      </c>
      <c r="D30" s="38" cm="1">
        <f t="array" ref="D30">_xll.ciqfunctions.udf.CIQ(D$3,$B$1,$B$2,$A30,"L",,"USD","H")</f>
        <v>34189</v>
      </c>
      <c r="E30" s="38" cm="1">
        <f t="array" ref="E30">_xll.ciqfunctions.udf.CIQ(E$3,$B$1,$B$2,$A30,"L",,"USD","H")</f>
        <v>4083.058</v>
      </c>
      <c r="F30" s="38" cm="1">
        <f t="array" ref="F30">_xll.ciqfunctions.udf.CIQ(F$3,$B$1,$B$2,$A30,"L",,"USD","H")</f>
        <v>65897</v>
      </c>
      <c r="G30" s="38" cm="1">
        <f t="array" ref="G30">_xll.ciqfunctions.udf.CIQ(G$3,$B$1,$B$2,$A30,"L",,"USD","H")</f>
        <v>1624</v>
      </c>
      <c r="H30" s="40" cm="1">
        <f t="array" ref="H30">_xll.ciqfunctions.udf.CIQ(B$3,$B$1,$H$2,$A30,"L",,"USD","H")</f>
        <v>37823</v>
      </c>
      <c r="I30" s="40" cm="1">
        <f t="array" ref="I30">_xll.ciqfunctions.udf.CIQ(C$3,$B$1,$H$2,$A30,"L",,"USD","H")</f>
        <v>275812</v>
      </c>
      <c r="J30" s="40" cm="1">
        <f t="array" ref="J30">_xll.ciqfunctions.udf.CIQ(D$3,$B$1,$H$2,$A30,"L",,"USD","H")</f>
        <v>149262</v>
      </c>
      <c r="K30" s="40" cm="1">
        <f t="array" ref="K30">_xll.ciqfunctions.udf.CIQ(E$3,$B$1,$H$2,$A30,"L",,"USD","H")</f>
        <v>17593.633000000002</v>
      </c>
      <c r="L30" s="40" cm="1">
        <f t="array" ref="L30">_xll.ciqfunctions.udf.CIQ(F$3,$B$1,$H$2,$A30,"L",,"USD","H")</f>
        <v>295313</v>
      </c>
      <c r="M30" s="40" cm="1">
        <f t="array" ref="M30">_xll.ciqfunctions.udf.CIQ(G$3,$B$1,$H$2,$A30,"L",,"USD","H")</f>
        <v>8450</v>
      </c>
      <c r="N30" s="13" cm="1">
        <f t="array" ref="N30">_xll.ciqfunctions.udf.CIQ(B$3,$N$1,$B$2,$A30,"L",,"USD","H")</f>
        <v>3.6863999999999999</v>
      </c>
      <c r="O30" s="13" cm="1">
        <f t="array" ref="O30">_xll.ciqfunctions.udf.CIQ(C$3,$N$1,$B$2,$A30,"L",,"USD","H")</f>
        <v>-5.3794000000000004</v>
      </c>
      <c r="P30" s="13" cm="1">
        <f t="array" ref="P30">_xll.ciqfunctions.udf.CIQ(D$3,$N$1,$B$2,$A30,"L",,"USD","H")</f>
        <v>-4.9461000000000004</v>
      </c>
      <c r="Q30" s="13" cm="1">
        <f t="array" ref="Q30">_xll.ciqfunctions.udf.CIQ(E$3,$N$1,$B$2,$A30,"L",,"USD","H")</f>
        <v>8.7103999999999999</v>
      </c>
      <c r="R30" s="13" cm="1">
        <f t="array" ref="R30">_xll.ciqfunctions.udf.CIQ(F$3,$N$1,$B$2,$A30,"L",,"USD","H")</f>
        <v>-2.8126000000000002</v>
      </c>
      <c r="S30" s="13" cm="1">
        <f t="array" ref="S30">_xll.ciqfunctions.udf.CIQ(G$3,$N$1,$B$2,$A30,"L",,"USD","H")</f>
        <v>-10.8672</v>
      </c>
      <c r="T30" s="94">
        <v>45870</v>
      </c>
      <c r="U30" s="41" cm="1">
        <f t="array" ref="U30">_xll.ciqfunctions.udf.CIQ(O$3,$N$1,$T$2,$A30,"L",,"USD","H")</f>
        <v>12.062200000000001</v>
      </c>
      <c r="V30" s="41" cm="1">
        <f t="array" ref="V30">_xll.ciqfunctions.udf.CIQ(P$3,$N$1,$T$2,$A30,"L",,"USD","H")</f>
        <v>11.718</v>
      </c>
      <c r="W30" s="41" cm="1">
        <f t="array" ref="W30">_xll.ciqfunctions.udf.CIQ(Q$3,$N$1,$T$2,$A30,"L",,"USD","H")</f>
        <v>40.995100000000001</v>
      </c>
      <c r="X30" s="41" cm="1">
        <f t="array" ref="X30">_xll.ciqfunctions.udf.CIQ(R$3,$N$1,$T$2,$A30,"L",,"USD","H")</f>
        <v>17.7286</v>
      </c>
      <c r="Y30" s="41" cm="1">
        <f t="array" ref="Y30">_xll.ciqfunctions.udf.CIQ(S$3,$N$1,$T$2,$A30,"L",,"USD","H")</f>
        <v>3.5411999999999999</v>
      </c>
      <c r="Z30" s="38" cm="1">
        <f t="array" ref="Z30">_xll.ciqfunctions.udf.CIQ(B$3,$Z$1,$B$2,$A30,"L",,"USD","H")</f>
        <v>1833</v>
      </c>
      <c r="AA30" s="38" cm="1">
        <f t="array" ref="AA30">_xll.ciqfunctions.udf.CIQ(C$3,$Z$1,$B$2,$A30,"L",,"USD","H")</f>
        <v>2350</v>
      </c>
      <c r="AB30" s="38" cm="1">
        <f t="array" ref="AB30">_xll.ciqfunctions.udf.CIQ(D$3,$Z$1,$B$2,$A30,"L",,"USD","H")</f>
        <v>2649</v>
      </c>
      <c r="AC30" s="38" cm="1">
        <f t="array" ref="AC30">_xll.ciqfunctions.udf.CIQ(E$3,$Z$1,$B$2,$A30,"L",,"USD","H")</f>
        <v>635.42600000000004</v>
      </c>
      <c r="AD30" s="38" cm="1">
        <f t="array" ref="AD30">_xll.ciqfunctions.udf.CIQ(F$3,$Z$1,$B$2,$A30,"L",,"USD","H")</f>
        <v>2934</v>
      </c>
      <c r="AE30" s="38" cm="1">
        <f t="array" ref="AE30">_xll.ciqfunctions.udf.CIQ(G$3,$Z$1,$B$2,$A30,"L",,"USD","H")</f>
        <v>-317</v>
      </c>
      <c r="AF30" s="40" cm="1">
        <f t="array" ref="AF30">_xll.ciqfunctions.udf.CIQ(B$3,$Z$1,$H$2,$A30,"L",,"USD","H")</f>
        <v>7202</v>
      </c>
      <c r="AG30" s="40" cm="1">
        <f t="array" ref="AG30">_xll.ciqfunctions.udf.CIQ(C$3,$Z$1,$H$2,$A30,"L",,"USD","H")</f>
        <v>18540</v>
      </c>
      <c r="AH30" s="40" cm="1">
        <f t="array" ref="AH30">_xll.ciqfunctions.udf.CIQ(D$3,$Z$1,$H$2,$A30,"L",,"USD","H")</f>
        <v>13835</v>
      </c>
      <c r="AI30" s="40" cm="1">
        <f t="array" ref="AI30">_xll.ciqfunctions.udf.CIQ(E$3,$Z$1,$H$2,$A30,"L",,"USD","H")</f>
        <v>3415.877</v>
      </c>
      <c r="AJ30" s="40" cm="1">
        <f t="array" ref="AJ30">_xll.ciqfunctions.udf.CIQ(F$3,$Z$1,$H$2,$A30,"L",,"USD","H")</f>
        <v>9848</v>
      </c>
      <c r="AK30" s="40" cm="1">
        <f t="array" ref="AK30">_xll.ciqfunctions.udf.CIQ(G$3,$Z$1,$H$2,$A30,"L",,"USD","H")</f>
        <v>2944</v>
      </c>
      <c r="AL30" s="13" cm="1">
        <f t="array" ref="AL30">_xll.ciqfunctions.udf.CIQ(B$3,$AL$1,$AL$2,$A30,"L",,"USD","H")</f>
        <v>106.41889999999999</v>
      </c>
      <c r="AM30" s="13" cm="1">
        <f t="array" ref="AM30">_xll.ciqfunctions.udf.CIQ(C$3,$AL$1,$AL$2,$A30,"L",,"USD","H")</f>
        <v>-49.462400000000002</v>
      </c>
      <c r="AN30" s="13" cm="1">
        <f t="array" ref="AN30">_xll.ciqfunctions.udf.CIQ(D$3,$AL$1,$AL$2,$A30,"L",,"USD","H")</f>
        <v>-27.185300000000002</v>
      </c>
      <c r="AO30" s="13" cm="1">
        <f t="array" ref="AO30">_xll.ciqfunctions.udf.CIQ(E$3,$AL$1,$AL$2,$A30,"L",,"USD","H")</f>
        <v>-0.49540000000000001</v>
      </c>
      <c r="AP30" s="13" cm="1">
        <f t="array" ref="AP30">_xll.ciqfunctions.udf.CIQ(F$3,$AL$1,$AL$2,$A30,"L",,"USD","H")</f>
        <v>18.833500000000001</v>
      </c>
      <c r="AQ30" s="13" t="str" cm="1">
        <f t="array" ref="AQ30">_xll.ciqfunctions.udf.CIQ(G$3,$AL$1,$AL$2,$A30,"L",,"USD","H")</f>
        <v>NM</v>
      </c>
      <c r="AR30" s="41" t="str" cm="1">
        <f t="array" ref="AR30">_xll.ciqfunctions.udf.CIQ(B$3,$AL$1,$AR$2,$A30,"L",,"USD","H")</f>
        <v>NM</v>
      </c>
      <c r="AS30" s="41" cm="1">
        <f t="array" ref="AS30">_xll.ciqfunctions.udf.CIQ(C$3,$AL$1,$AR$2,$A30,"L",,"USD","H")</f>
        <v>-8.8943999999999992</v>
      </c>
      <c r="AT30" s="41" cm="1">
        <f t="array" ref="AT30">_xll.ciqfunctions.udf.CIQ(D$3,$AL$1,$AR$2,$A30,"L",,"USD","H")</f>
        <v>36.291899999999998</v>
      </c>
      <c r="AU30" s="41" cm="1">
        <f t="array" ref="AU30">_xll.ciqfunctions.udf.CIQ(E$3,$AL$1,$AR$2,$A30,"L",,"USD","H")</f>
        <v>6.9917999999999996</v>
      </c>
      <c r="AV30" s="41" cm="1">
        <f t="array" ref="AV30">_xll.ciqfunctions.udf.CIQ(F$3,$AL$1,$AR$2,$A30,"L",,"USD","H")</f>
        <v>123.3613</v>
      </c>
      <c r="AW30" s="41" cm="1">
        <f t="array" ref="AW30">_xll.ciqfunctions.udf.CIQ(G$3,$AL$1,$AR$2,$A30,"L",,"USD","H")</f>
        <v>639.69839999999999</v>
      </c>
      <c r="AX30" s="38" cm="1">
        <f t="array" ref="AX30">_xll.ciqfunctions.udf.CIQ(B$3,$AX$1,$AX$2,$A30,"L",,"USD","H")</f>
        <v>3769</v>
      </c>
      <c r="AY30" s="38" cm="1">
        <f t="array" ref="AY30">_xll.ciqfunctions.udf.CIQ(C$3,$AX$1,$AX$2,$A30,"L",,"USD","H")</f>
        <v>7332</v>
      </c>
      <c r="AZ30" s="38" cm="1">
        <f t="array" ref="AZ30">_xll.ciqfunctions.udf.CIQ(D$3,$AX$1,$AX$2,$A30,"L",,"USD","H")</f>
        <v>7265</v>
      </c>
      <c r="BA30" s="38" cm="1">
        <f t="array" ref="BA30">_xll.ciqfunctions.udf.CIQ(E$3,$AX$1,$AX$2,$A30,"L",,"USD","H")</f>
        <v>1759.961</v>
      </c>
      <c r="BB30" s="38" cm="1">
        <f t="array" ref="BB30">_xll.ciqfunctions.udf.CIQ(F$3,$AX$1,$AX$2,$A30,"L",,"USD","H")</f>
        <v>9519</v>
      </c>
      <c r="BC30" s="38" cm="1">
        <f t="array" ref="BC30">_xll.ciqfunctions.udf.CIQ(G$3,$AX$1,$AX$2,$A30,"L",,"USD","H")</f>
        <v>-59</v>
      </c>
      <c r="BD30" s="40" cm="1">
        <f t="array" ref="BD30">_xll.ciqfunctions.udf.CIQ(B$3,$AX$1,$BD$2,$A30,"L",,"USD","H")</f>
        <v>15783</v>
      </c>
      <c r="BE30" s="40" cm="1">
        <f t="array" ref="BE30">_xll.ciqfunctions.udf.CIQ(C$3,$AX$1,$BD$2,$A30,"L",,"USD","H")</f>
        <v>37777</v>
      </c>
      <c r="BF30" s="40" cm="1">
        <f t="array" ref="BF30">_xll.ciqfunctions.udf.CIQ(D$3,$AX$1,$BD$2,$A30,"L",,"USD","H")</f>
        <v>33181</v>
      </c>
      <c r="BG30" s="40">
        <f>_xll.ciqfunctions.udf.CIQ("COP", "IQ_PRICEDATE", "7/11/2025")</f>
        <v>45849</v>
      </c>
      <c r="BH30" s="40" cm="1">
        <f t="array" ref="BH30">_xll.ciqfunctions.udf.CIQ(F$3,$AX$1,$BD$2,$A30,"L",,"USD","H")</f>
        <v>33667</v>
      </c>
      <c r="BI30" s="40" cm="1">
        <f t="array" ref="BI30">_xll.ciqfunctions.udf.CIQ(G$3,$AX$1,$BD$2,$A30,"L",,"USD","H")</f>
        <v>2310</v>
      </c>
      <c r="BJ30" s="43">
        <f t="shared" si="1"/>
        <v>2.4741707449700945E-2</v>
      </c>
      <c r="BK30" s="43">
        <f t="shared" si="2"/>
        <v>-0.19772403982930298</v>
      </c>
      <c r="BL30" s="43">
        <f t="shared" si="3"/>
        <v>-5.9546925566343001E-2</v>
      </c>
      <c r="BM30" s="43">
        <f t="shared" si="4"/>
        <v>3.3594928695051651E-2</v>
      </c>
      <c r="BN30" s="43">
        <f t="shared" si="5"/>
        <v>0.18587267970599219</v>
      </c>
      <c r="BO30" s="43">
        <f t="shared" si="6"/>
        <v>-1.1231732776617953</v>
      </c>
      <c r="BP30" s="42">
        <f t="shared" si="7"/>
        <v>0.44242368853957226</v>
      </c>
      <c r="BQ30" s="42">
        <f t="shared" si="8"/>
        <v>0.15455378973105138</v>
      </c>
      <c r="BR30" s="42">
        <f t="shared" si="9"/>
        <v>0.37589152429922046</v>
      </c>
      <c r="BS30" s="42">
        <f t="shared" si="10"/>
        <v>6.1107352523959158E-4</v>
      </c>
      <c r="BT30" s="42">
        <f t="shared" si="11"/>
        <v>0.237575356565211</v>
      </c>
      <c r="BU30" s="42">
        <f t="shared" si="12"/>
        <v>4.3360433604336057E-2</v>
      </c>
      <c r="BV30" s="68" cm="1">
        <f t="array" ref="BV30">_xll.ciqfunctions.udf.CIQ(B$3,$BV$1,$BV$2,$A30,"L",,"USD","H")/100</f>
        <v>0.12367599999999999</v>
      </c>
      <c r="BW30" s="68" cm="1">
        <f t="array" ref="BW30">_xll.ciqfunctions.udf.CIQ(C$3,$BV$1,$BV$2,$A30,"L",,"USD","H")/100</f>
        <v>-1.9296000000000001E-2</v>
      </c>
      <c r="BX30" s="68" cm="1">
        <f t="array" ref="BX30">_xll.ciqfunctions.udf.CIQ(D$3,$BV$1,$BV$2,$A30,"L",,"USD","H")/100</f>
        <v>8.4480000000000006E-3</v>
      </c>
      <c r="BY30" s="68" cm="1">
        <f t="array" ref="BY30">_xll.ciqfunctions.udf.CIQ(E$3,$BV$1,$BV$2,$A30,"L",,"USD","H")/100</f>
        <v>7.7600000000000002E-2</v>
      </c>
      <c r="BZ30" s="68" cm="1">
        <f t="array" ref="BZ30">_xll.ciqfunctions.udf.CIQ(F$3,$BV$1,$BV$2,$A30,"L",,"USD","H")/100</f>
        <v>3.456E-2</v>
      </c>
      <c r="CA30" s="68" cm="1">
        <f t="array" ref="CA30">_xll.ciqfunctions.udf.CIQ(G$3,$BV$1,$BV$2,$A30,"L",,"USD","H")/100</f>
        <v>-0.10156000000000001</v>
      </c>
      <c r="CB30" s="68" cm="1">
        <f t="array" ref="CB30">_xll.ciqfunctions.udf.CIQ(B$3,$BV$1,$CB$2,$A30,"L",,"USD","H")/100</f>
        <v>0.12057000000000001</v>
      </c>
      <c r="CC30" s="68" cm="1">
        <f t="array" ref="CC30">_xll.ciqfunctions.udf.CIQ(C$3,$BV$1,$CB$2,$A30,"L",,"USD","H")/100</f>
        <v>1.8944000000000003E-2</v>
      </c>
      <c r="CD30" s="68" cm="1">
        <f t="array" ref="CD30">_xll.ciqfunctions.udf.CIQ(D$3,$BV$1,$CB$2,$A30,"L",,"USD","H")/100</f>
        <v>2.7105000000000001E-2</v>
      </c>
      <c r="CE30" s="68" cm="1">
        <f t="array" ref="CE30">_xll.ciqfunctions.udf.CIQ(E$3,$BV$1,$CB$2,$A30,"L",,"USD","H")/100</f>
        <v>0.11745599999999999</v>
      </c>
      <c r="CF30" s="68" cm="1">
        <f t="array" ref="CF30">_xll.ciqfunctions.udf.CIQ(F$3,$BV$1,$CB$2,$A30,"L",,"USD","H")/100</f>
        <v>2.06E-2</v>
      </c>
      <c r="CG30" s="68" cm="1">
        <f t="array" ref="CG30">_xll.ciqfunctions.udf.CIQ(G$3,$BV$1,$CB$2,$A30,"L",,"USD","H")/100</f>
        <v>0.14802400000000002</v>
      </c>
    </row>
    <row r="31" spans="1:85" x14ac:dyDescent="0.45">
      <c r="A31" s="3">
        <f t="shared" si="13"/>
        <v>43465</v>
      </c>
      <c r="B31" s="14" cm="1">
        <f t="array" ref="B31">_xll.ciqfunctions.udf.CIQ(B$3,$B$1,$B$2,$A31,"L",,"USD","H")</f>
        <v>9973</v>
      </c>
      <c r="C31" s="38" cm="1">
        <f t="array" ref="C31">_xll.ciqfunctions.udf.CIQ(C$3,$B$1,$B$2,$A31,"L",,"USD","H")</f>
        <v>68253</v>
      </c>
      <c r="D31" s="38" cm="1">
        <f t="array" ref="D31">_xll.ciqfunctions.udf.CIQ(D$3,$B$1,$B$2,$A31,"L",,"USD","H")</f>
        <v>32477</v>
      </c>
      <c r="E31" s="38" cm="1">
        <f t="array" ref="E31">_xll.ciqfunctions.udf.CIQ(E$3,$B$1,$B$2,$A31,"L",,"USD","H")</f>
        <v>4362.5370000000003</v>
      </c>
      <c r="F31" s="38" cm="1">
        <f t="array" ref="F31">_xll.ciqfunctions.udf.CIQ(F$3,$B$1,$B$2,$A31,"L",,"USD","H")</f>
        <v>75491</v>
      </c>
      <c r="G31" s="38" cm="1">
        <f t="array" ref="G31">_xll.ciqfunctions.udf.CIQ(G$3,$B$1,$B$2,$A31,"L",,"USD","H")</f>
        <v>2892</v>
      </c>
      <c r="H31" s="40" cm="1">
        <f t="array" ref="H31">_xll.ciqfunctions.udf.CIQ(B$3,$B$1,$H$2,$A31,"L",,"USD","H")</f>
        <v>37491</v>
      </c>
      <c r="I31" s="40" cm="1">
        <f t="array" ref="I31">_xll.ciqfunctions.udf.CIQ(C$3,$B$1,$H$2,$A31,"L",,"USD","H")</f>
        <v>281060</v>
      </c>
      <c r="J31" s="40" cm="1">
        <f t="array" ref="J31">_xll.ciqfunctions.udf.CIQ(D$3,$B$1,$H$2,$A31,"L",,"USD","H")</f>
        <v>151041</v>
      </c>
      <c r="K31" s="40" cm="1">
        <f t="array" ref="K31">_xll.ciqfunctions.udf.CIQ(E$3,$B$1,$H$2,$A31,"L",,"USD","H")</f>
        <v>17266.476999999999</v>
      </c>
      <c r="L31" s="40" cm="1">
        <f t="array" ref="L31">_xll.ciqfunctions.udf.CIQ(F$3,$B$1,$H$2,$A31,"L",,"USD","H")</f>
        <v>297533</v>
      </c>
      <c r="M31" s="40" cm="1">
        <f t="array" ref="M31">_xll.ciqfunctions.udf.CIQ(G$3,$B$1,$H$2,$A31,"L",,"USD","H")</f>
        <v>8439</v>
      </c>
      <c r="N31" s="13" cm="1">
        <f t="array" ref="N31">_xll.ciqfunctions.udf.CIQ(B$3,$N$1,$B$2,$A31,"L",,"USD","H")</f>
        <v>19.911000000000001</v>
      </c>
      <c r="O31" s="13" cm="1">
        <f t="array" ref="O31">_xll.ciqfunctions.udf.CIQ(C$3,$N$1,$B$2,$A31,"L",,"USD","H")</f>
        <v>4.5030000000000001</v>
      </c>
      <c r="P31" s="13" cm="1">
        <f t="array" ref="P31">_xll.ciqfunctions.udf.CIQ(D$3,$N$1,$B$2,$A31,"L",,"USD","H")</f>
        <v>-5.8829000000000002</v>
      </c>
      <c r="Q31" s="13" cm="1">
        <f t="array" ref="Q31">_xll.ciqfunctions.udf.CIQ(E$3,$N$1,$B$2,$A31,"L",,"USD","H")</f>
        <v>26.425000000000001</v>
      </c>
      <c r="R31" s="13" cm="1">
        <f t="array" ref="R31">_xll.ciqfunctions.udf.CIQ(F$3,$N$1,$B$2,$A31,"L",,"USD","H")</f>
        <v>12.1625</v>
      </c>
      <c r="S31" s="13" cm="1">
        <f t="array" ref="S31">_xll.ciqfunctions.udf.CIQ(G$3,$N$1,$B$2,$A31,"L",,"USD","H")</f>
        <v>24.226800000000001</v>
      </c>
      <c r="T31" s="94">
        <v>45863</v>
      </c>
      <c r="U31" s="41" cm="1">
        <f t="array" ref="U31">_xll.ciqfunctions.udf.CIQ(O$3,$N$1,$T$2,$A31,"L",,"USD","H")</f>
        <v>18.509699999999999</v>
      </c>
      <c r="V31" s="41" cm="1">
        <f t="array" ref="V31">_xll.ciqfunctions.udf.CIQ(P$3,$N$1,$T$2,$A31,"L",,"USD","H")</f>
        <v>18.477399999999999</v>
      </c>
      <c r="W31" s="41" cm="1">
        <f t="array" ref="W31">_xll.ciqfunctions.udf.CIQ(Q$3,$N$1,$T$2,$A31,"L",,"USD","H")</f>
        <v>52.968699999999998</v>
      </c>
      <c r="X31" s="41" cm="1">
        <f t="array" ref="X31">_xll.ciqfunctions.udf.CIQ(R$3,$N$1,$T$2,$A31,"L",,"USD","H")</f>
        <v>24.786799999999999</v>
      </c>
      <c r="Y31" s="41" cm="1">
        <f t="array" ref="Y31">_xll.ciqfunctions.udf.CIQ(S$3,$N$1,$T$2,$A31,"L",,"USD","H")</f>
        <v>33.107199999999999</v>
      </c>
      <c r="Z31" s="38" cm="1">
        <f t="array" ref="Z31">_xll.ciqfunctions.udf.CIQ(B$3,$Z$1,$B$2,$A31,"L",,"USD","H")</f>
        <v>1868</v>
      </c>
      <c r="AA31" s="38" cm="1">
        <f t="array" ref="AA31">_xll.ciqfunctions.udf.CIQ(C$3,$Z$1,$B$2,$A31,"L",,"USD","H")</f>
        <v>6000</v>
      </c>
      <c r="AB31" s="38" cm="1">
        <f t="array" ref="AB31">_xll.ciqfunctions.udf.CIQ(D$3,$Z$1,$B$2,$A31,"L",,"USD","H")</f>
        <v>3730</v>
      </c>
      <c r="AC31" s="38" cm="1">
        <f t="array" ref="AC31">_xll.ciqfunctions.udf.CIQ(E$3,$Z$1,$B$2,$A31,"L",,"USD","H")</f>
        <v>892.76800000000003</v>
      </c>
      <c r="AD31" s="38" cm="1">
        <f t="array" ref="AD31">_xll.ciqfunctions.udf.CIQ(F$3,$Z$1,$B$2,$A31,"L",,"USD","H")</f>
        <v>766</v>
      </c>
      <c r="AE31" s="38" cm="1">
        <f t="array" ref="AE31">_xll.ciqfunctions.udf.CIQ(G$3,$Z$1,$B$2,$A31,"L",,"USD","H")</f>
        <v>1149</v>
      </c>
      <c r="AF31" s="40" cm="1">
        <f t="array" ref="AF31">_xll.ciqfunctions.udf.CIQ(B$3,$Z$1,$H$2,$A31,"L",,"USD","H")</f>
        <v>6257</v>
      </c>
      <c r="AG31" s="40" cm="1">
        <f t="array" ref="AG31">_xll.ciqfunctions.udf.CIQ(C$3,$Z$1,$H$2,$A31,"L",,"USD","H")</f>
        <v>20840</v>
      </c>
      <c r="AH31" s="40" cm="1">
        <f t="array" ref="AH31">_xll.ciqfunctions.udf.CIQ(D$3,$Z$1,$H$2,$A31,"L",,"USD","H")</f>
        <v>14824</v>
      </c>
      <c r="AI31" s="40" cm="1">
        <f t="array" ref="AI31">_xll.ciqfunctions.udf.CIQ(E$3,$Z$1,$H$2,$A31,"L",,"USD","H")</f>
        <v>3419.04</v>
      </c>
      <c r="AJ31" s="40" cm="1">
        <f t="array" ref="AJ31">_xll.ciqfunctions.udf.CIQ(F$3,$Z$1,$H$2,$A31,"L",,"USD","H")</f>
        <v>9383</v>
      </c>
      <c r="AK31" s="40" cm="1">
        <f t="array" ref="AK31">_xll.ciqfunctions.udf.CIQ(G$3,$Z$1,$H$2,$A31,"L",,"USD","H")</f>
        <v>3064</v>
      </c>
      <c r="AL31" s="13" cm="1">
        <f t="array" ref="AL31">_xll.ciqfunctions.udf.CIQ(B$3,$AL$1,$AL$2,$A31,"L",,"USD","H")</f>
        <v>18.302700000000002</v>
      </c>
      <c r="AM31" s="13" cm="1">
        <f t="array" ref="AM31">_xll.ciqfunctions.udf.CIQ(C$3,$AL$1,$AL$2,$A31,"L",,"USD","H")</f>
        <v>-28.401</v>
      </c>
      <c r="AN31" s="13" cm="1">
        <f t="array" ref="AN31">_xll.ciqfunctions.udf.CIQ(D$3,$AL$1,$AL$2,$A31,"L",,"USD","H")</f>
        <v>19.897099999999998</v>
      </c>
      <c r="AO31" s="13" cm="1">
        <f t="array" ref="AO31">_xll.ciqfunctions.udf.CIQ(E$3,$AL$1,$AL$2,$A31,"L",,"USD","H")</f>
        <v>-63.267699999999998</v>
      </c>
      <c r="AP31" s="13" cm="1">
        <f t="array" ref="AP31">_xll.ciqfunctions.udf.CIQ(F$3,$AL$1,$AL$2,$A31,"L",,"USD","H")</f>
        <v>2737.0369999999998</v>
      </c>
      <c r="AQ31" s="13" cm="1">
        <f t="array" ref="AQ31">_xll.ciqfunctions.udf.CIQ(G$3,$AL$1,$AL$2,$A31,"L",,"USD","H")</f>
        <v>527.86879999999996</v>
      </c>
      <c r="AR31" s="41" t="str" cm="1">
        <f t="array" ref="AR31">_xll.ciqfunctions.udf.CIQ(B$3,$AL$1,$AR$2,$A31,"L",,"USD","H")</f>
        <v>NM</v>
      </c>
      <c r="AS31" s="41" cm="1">
        <f t="array" ref="AS31">_xll.ciqfunctions.udf.CIQ(C$3,$AL$1,$AR$2,$A31,"L",,"USD","H")</f>
        <v>5.7331000000000003</v>
      </c>
      <c r="AT31" s="41" cm="1">
        <f t="array" ref="AT31">_xll.ciqfunctions.udf.CIQ(D$3,$AL$1,$AR$2,$A31,"L",,"USD","H")</f>
        <v>61.218000000000004</v>
      </c>
      <c r="AU31" s="41" cm="1">
        <f t="array" ref="AU31">_xll.ciqfunctions.udf.CIQ(E$3,$AL$1,$AR$2,$A31,"L",,"USD","H")</f>
        <v>32.388500000000001</v>
      </c>
      <c r="AV31" s="41" cm="1">
        <f t="array" ref="AV31">_xll.ciqfunctions.udf.CIQ(F$3,$AL$1,$AR$2,$A31,"L",,"USD","H")</f>
        <v>176.8663</v>
      </c>
      <c r="AW31" s="41" cm="1">
        <f t="array" ref="AW31">_xll.ciqfunctions.udf.CIQ(G$3,$AL$1,$AR$2,$A31,"L",,"USD","H")</f>
        <v>241.20259999999999</v>
      </c>
      <c r="AX31" s="38" cm="1">
        <f t="array" ref="AX31">_xll.ciqfunctions.udf.CIQ(B$3,$AX$1,$AX$2,$A31,"L",,"USD","H")</f>
        <v>3879</v>
      </c>
      <c r="AY31" s="38" cm="1">
        <f t="array" ref="AY31">_xll.ciqfunctions.udf.CIQ(C$3,$AX$1,$AX$2,$A31,"L",,"USD","H")</f>
        <v>9722</v>
      </c>
      <c r="AZ31" s="38" cm="1">
        <f t="array" ref="AZ31">_xll.ciqfunctions.udf.CIQ(D$3,$AX$1,$AX$2,$A31,"L",,"USD","H")</f>
        <v>8661</v>
      </c>
      <c r="BA31" s="38" cm="1">
        <f t="array" ref="BA31">_xll.ciqfunctions.udf.CIQ(E$3,$AX$1,$AX$2,$A31,"L",,"USD","H")</f>
        <v>2145.2860000000001</v>
      </c>
      <c r="BB31" s="38" cm="1">
        <f t="array" ref="BB31">_xll.ciqfunctions.udf.CIQ(F$3,$AX$1,$AX$2,$A31,"L",,"USD","H")</f>
        <v>7008</v>
      </c>
      <c r="BC31" s="38" cm="1">
        <f t="array" ref="BC31">_xll.ciqfunctions.udf.CIQ(G$3,$AX$1,$AX$2,$A31,"L",,"USD","H")</f>
        <v>1719</v>
      </c>
      <c r="BD31" s="40" cm="1">
        <f t="array" ref="BD31">_xll.ciqfunctions.udf.CIQ(B$3,$AX$1,$BD$2,$A31,"L",,"USD","H")</f>
        <v>15685</v>
      </c>
      <c r="BE31" s="40" cm="1">
        <f t="array" ref="BE31">_xll.ciqfunctions.udf.CIQ(C$3,$AX$1,$BD$2,$A31,"L",,"USD","H")</f>
        <v>41312</v>
      </c>
      <c r="BF31" s="40" cm="1">
        <f t="array" ref="BF31">_xll.ciqfunctions.udf.CIQ(D$3,$AX$1,$BD$2,$A31,"L",,"USD","H")</f>
        <v>33641</v>
      </c>
      <c r="BG31" s="40">
        <f>_xll.ciqfunctions.udf.CIQ("COP", "IQ_PRICEDATE", "7/3/2025")</f>
        <v>45841</v>
      </c>
      <c r="BH31" s="40" cm="1">
        <f t="array" ref="BH31">_xll.ciqfunctions.udf.CIQ(F$3,$AX$1,$BD$2,$A31,"L",,"USD","H")</f>
        <v>32488</v>
      </c>
      <c r="BI31" s="40" cm="1">
        <f t="array" ref="BI31">_xll.ciqfunctions.udf.CIQ(G$3,$AX$1,$BD$2,$A31,"L",,"USD","H")</f>
        <v>2848</v>
      </c>
      <c r="BJ31" s="43">
        <f t="shared" si="1"/>
        <v>0.27640671273445205</v>
      </c>
      <c r="BK31" s="43">
        <f t="shared" si="2"/>
        <v>0.23973476154042328</v>
      </c>
      <c r="BL31" s="43">
        <f t="shared" si="3"/>
        <v>0.66782206816868861</v>
      </c>
      <c r="BM31" s="43">
        <f t="shared" si="4"/>
        <v>0.36094661042593534</v>
      </c>
      <c r="BN31" s="43">
        <f t="shared" si="5"/>
        <v>4.8473967684021568E-2</v>
      </c>
      <c r="BO31" s="43">
        <f t="shared" si="6"/>
        <v>1.4452347083926029</v>
      </c>
      <c r="BP31" s="42">
        <f t="shared" si="7"/>
        <v>0.61767739273927402</v>
      </c>
      <c r="BQ31" s="42">
        <f t="shared" si="8"/>
        <v>0.29233271811555661</v>
      </c>
      <c r="BR31" s="42">
        <f t="shared" si="9"/>
        <v>0.53850727156315736</v>
      </c>
      <c r="BS31" s="42">
        <f t="shared" si="10"/>
        <v>5.8933950320860795E-4</v>
      </c>
      <c r="BT31" s="42">
        <f t="shared" si="11"/>
        <v>0.25824941905499621</v>
      </c>
      <c r="BU31" s="42">
        <f t="shared" si="12"/>
        <v>1.043041606886657</v>
      </c>
      <c r="BV31" s="68" cm="1">
        <f t="array" ref="BV31">_xll.ciqfunctions.udf.CIQ(B$3,$BV$1,$BV$2,$A31,"L",,"USD","H")/100</f>
        <v>0.12869999999999998</v>
      </c>
      <c r="BW31" s="68" cm="1">
        <f t="array" ref="BW31">_xll.ciqfunctions.udf.CIQ(C$3,$BV$1,$BV$2,$A31,"L",,"USD","H")/100</f>
        <v>4.2232000000000006E-2</v>
      </c>
      <c r="BX31" s="68" cm="1">
        <f t="array" ref="BX31">_xll.ciqfunctions.udf.CIQ(D$3,$BV$1,$BV$2,$A31,"L",,"USD","H")/100</f>
        <v>3.3815999999999999E-2</v>
      </c>
      <c r="BY31" s="68" cm="1">
        <f t="array" ref="BY31">_xll.ciqfunctions.udf.CIQ(E$3,$BV$1,$BV$2,$A31,"L",,"USD","H")/100</f>
        <v>0.121504</v>
      </c>
      <c r="BZ31" s="68" cm="1">
        <f t="array" ref="BZ31">_xll.ciqfunctions.udf.CIQ(F$3,$BV$1,$BV$2,$A31,"L",,"USD","H")/100</f>
        <v>-2.3096000000000002E-2</v>
      </c>
      <c r="CA31" s="68" cm="1">
        <f t="array" ref="CA31">_xll.ciqfunctions.udf.CIQ(G$3,$BV$1,$BV$2,$A31,"L",,"USD","H")/100</f>
        <v>0.31118800000000002</v>
      </c>
      <c r="CB31" s="68" cm="1">
        <f t="array" ref="CB31">_xll.ciqfunctions.udf.CIQ(B$3,$BV$1,$CB$2,$A31,"L",,"USD","H")/100</f>
        <v>0.100352</v>
      </c>
      <c r="CC31" s="68" cm="1">
        <f t="array" ref="CC31">_xll.ciqfunctions.udf.CIQ(C$3,$BV$1,$CB$2,$A31,"L",,"USD","H")/100</f>
        <v>2.9765E-2</v>
      </c>
      <c r="CD31" s="68" cm="1">
        <f t="array" ref="CD31">_xll.ciqfunctions.udf.CIQ(D$3,$BV$1,$CB$2,$A31,"L",,"USD","H")/100</f>
        <v>3.3433000000000004E-2</v>
      </c>
      <c r="CE31" s="68" cm="1">
        <f t="array" ref="CE31">_xll.ciqfunctions.udf.CIQ(E$3,$BV$1,$CB$2,$A31,"L",,"USD","H")/100</f>
        <v>0.123904</v>
      </c>
      <c r="CF31" s="68" cm="1">
        <f t="array" ref="CF31">_xll.ciqfunctions.udf.CIQ(F$3,$BV$1,$CB$2,$A31,"L",,"USD","H")/100</f>
        <v>1.6203000000000002E-2</v>
      </c>
      <c r="CG31" s="68" cm="1">
        <f t="array" ref="CG31">_xll.ciqfunctions.udf.CIQ(G$3,$BV$1,$CB$2,$A31,"L",,"USD","H")/100</f>
        <v>0.16814699999999999</v>
      </c>
    </row>
    <row r="32" spans="1:85" x14ac:dyDescent="0.45">
      <c r="A32" s="3">
        <f>EDATE(A28,-12)</f>
        <v>43373</v>
      </c>
      <c r="B32" s="14" cm="1">
        <f t="array" ref="B32">_xll.ciqfunctions.udf.CIQ(B$3,$B$1,$B$2,$A32,"L",,"USD","H")</f>
        <v>9743</v>
      </c>
      <c r="C32" s="38" cm="1">
        <f t="array" ref="C32">_xll.ciqfunctions.udf.CIQ(C$3,$B$1,$B$2,$A32,"L",,"USD","H")</f>
        <v>74187</v>
      </c>
      <c r="D32" s="38" cm="1">
        <f t="array" ref="D32">_xll.ciqfunctions.udf.CIQ(D$3,$B$1,$B$2,$A32,"L",,"USD","H")</f>
        <v>42105</v>
      </c>
      <c r="E32" s="38" cm="1">
        <f t="array" ref="E32">_xll.ciqfunctions.udf.CIQ(E$3,$B$1,$B$2,$A32,"L",,"USD","H")</f>
        <v>4717.7610000000004</v>
      </c>
      <c r="F32" s="38" cm="1">
        <f t="array" ref="F32">_xll.ciqfunctions.udf.CIQ(F$3,$B$1,$B$2,$A32,"L",,"USD","H")</f>
        <v>79017</v>
      </c>
      <c r="G32" s="38" cm="1">
        <f t="array" ref="G32">_xll.ciqfunctions.udf.CIQ(G$3,$B$1,$B$2,$A32,"L",,"USD","H")</f>
        <v>2076</v>
      </c>
      <c r="H32" s="40" cm="1">
        <f t="array" ref="H32">_xll.ciqfunctions.udf.CIQ(B$3,$B$1,$H$2,$A32,"L",,"USD","H")</f>
        <v>35835</v>
      </c>
      <c r="I32" s="40" cm="1">
        <f t="array" ref="I32">_xll.ciqfunctions.udf.CIQ(C$3,$B$1,$H$2,$A32,"L",,"USD","H")</f>
        <v>276391</v>
      </c>
      <c r="J32" s="40" cm="1">
        <f t="array" ref="J32">_xll.ciqfunctions.udf.CIQ(D$3,$B$1,$H$2,$A32,"L",,"USD","H")</f>
        <v>153071</v>
      </c>
      <c r="K32" s="40" cm="1">
        <f t="array" ref="K32">_xll.ciqfunctions.udf.CIQ(E$3,$B$1,$H$2,$A32,"L",,"USD","H")</f>
        <v>16354.630999999999</v>
      </c>
      <c r="L32" s="40" cm="1">
        <f t="array" ref="L32">_xll.ciqfunctions.udf.CIQ(F$3,$B$1,$H$2,$A32,"L",,"USD","H")</f>
        <v>289034</v>
      </c>
      <c r="M32" s="40" cm="1">
        <f t="array" ref="M32">_xll.ciqfunctions.udf.CIQ(G$3,$B$1,$H$2,$A32,"L",,"USD","H")</f>
        <v>8084</v>
      </c>
      <c r="N32" s="13" cm="1">
        <f t="array" ref="N32">_xll.ciqfunctions.udf.CIQ(B$3,$N$1,$B$2,$A32,"L",,"USD","H")</f>
        <v>41.530999999999999</v>
      </c>
      <c r="O32" s="13" cm="1">
        <f t="array" ref="O32">_xll.ciqfunctions.udf.CIQ(C$3,$N$1,$B$2,$A32,"L",,"USD","H")</f>
        <v>24.999099999999999</v>
      </c>
      <c r="P32" s="13" cm="1">
        <f t="array" ref="P32">_xll.ciqfunctions.udf.CIQ(D$3,$N$1,$B$2,$A32,"L",,"USD","H")</f>
        <v>31.4754</v>
      </c>
      <c r="Q32" s="13" cm="1">
        <f t="array" ref="Q32">_xll.ciqfunctions.udf.CIQ(E$3,$N$1,$B$2,$A32,"L",,"USD","H")</f>
        <v>77.382599999999996</v>
      </c>
      <c r="R32" s="13" cm="1">
        <f t="array" ref="R32">_xll.ciqfunctions.udf.CIQ(F$3,$N$1,$B$2,$A32,"L",,"USD","H")</f>
        <v>32.647799999999997</v>
      </c>
      <c r="S32" s="13" cm="1">
        <f t="array" ref="S32">_xll.ciqfunctions.udf.CIQ(G$3,$N$1,$B$2,$A32,"L",,"USD","H")</f>
        <v>10.0158</v>
      </c>
      <c r="T32" s="94">
        <v>45856</v>
      </c>
      <c r="U32" s="41" cm="1">
        <f t="array" ref="U32">_xll.ciqfunctions.udf.CIQ(O$3,$N$1,$T$2,$A32,"L",,"USD","H")</f>
        <v>21.456900000000001</v>
      </c>
      <c r="V32" s="41" cm="1">
        <f t="array" ref="V32">_xll.ciqfunctions.udf.CIQ(P$3,$N$1,$T$2,$A32,"L",,"USD","H")</f>
        <v>26.0642</v>
      </c>
      <c r="W32" s="41" cm="1">
        <f t="array" ref="W32">_xll.ciqfunctions.udf.CIQ(Q$3,$N$1,$T$2,$A32,"L",,"USD","H")</f>
        <v>60.328600000000002</v>
      </c>
      <c r="X32" s="41" cm="1">
        <f t="array" ref="X32">_xll.ciqfunctions.udf.CIQ(R$3,$N$1,$T$2,$A32,"L",,"USD","H")</f>
        <v>30.043700000000001</v>
      </c>
      <c r="Y32" s="41" cm="1">
        <f t="array" ref="Y32">_xll.ciqfunctions.udf.CIQ(S$3,$N$1,$T$2,$A32,"L",,"USD","H")</f>
        <v>-11.1356</v>
      </c>
      <c r="Z32" s="38" cm="1">
        <f t="array" ref="Z32">_xll.ciqfunctions.udf.CIQ(B$3,$Z$1,$B$2,$A32,"L",,"USD","H")</f>
        <v>1861</v>
      </c>
      <c r="AA32" s="38" cm="1">
        <f t="array" ref="AA32">_xll.ciqfunctions.udf.CIQ(C$3,$Z$1,$B$2,$A32,"L",,"USD","H")</f>
        <v>6240</v>
      </c>
      <c r="AB32" s="38" cm="1">
        <f t="array" ref="AB32">_xll.ciqfunctions.udf.CIQ(D$3,$Z$1,$B$2,$A32,"L",,"USD","H")</f>
        <v>4047</v>
      </c>
      <c r="AC32" s="38" cm="1">
        <f t="array" ref="AC32">_xll.ciqfunctions.udf.CIQ(E$3,$Z$1,$B$2,$A32,"L",,"USD","H")</f>
        <v>1190.952</v>
      </c>
      <c r="AD32" s="38" cm="1">
        <f t="array" ref="AD32">_xll.ciqfunctions.udf.CIQ(F$3,$Z$1,$B$2,$A32,"L",,"USD","H")</f>
        <v>3349</v>
      </c>
      <c r="AE32" s="38" cm="1">
        <f t="array" ref="AE32">_xll.ciqfunctions.udf.CIQ(G$3,$Z$1,$B$2,$A32,"L",,"USD","H")</f>
        <v>2537</v>
      </c>
      <c r="AF32" s="40" cm="1">
        <f t="array" ref="AF32">_xll.ciqfunctions.udf.CIQ(B$3,$Z$1,$H$2,$A32,"L",,"USD","H")</f>
        <v>5968</v>
      </c>
      <c r="AG32" s="40" cm="1">
        <f t="array" ref="AG32">_xll.ciqfunctions.udf.CIQ(C$3,$Z$1,$H$2,$A32,"L",,"USD","H")</f>
        <v>23220</v>
      </c>
      <c r="AH32" s="40" cm="1">
        <f t="array" ref="AH32">_xll.ciqfunctions.udf.CIQ(D$3,$Z$1,$H$2,$A32,"L",,"USD","H")</f>
        <v>14205</v>
      </c>
      <c r="AI32" s="40" cm="1">
        <f t="array" ref="AI32">_xll.ciqfunctions.udf.CIQ(E$3,$Z$1,$H$2,$A32,"L",,"USD","H")</f>
        <v>4956.74</v>
      </c>
      <c r="AJ32" s="40" cm="1">
        <f t="array" ref="AJ32">_xll.ciqfunctions.udf.CIQ(F$3,$Z$1,$H$2,$A32,"L",,"USD","H")</f>
        <v>8644</v>
      </c>
      <c r="AK32" s="40" cm="1">
        <f t="array" ref="AK32">_xll.ciqfunctions.udf.CIQ(G$3,$Z$1,$H$2,$A32,"L",,"USD","H")</f>
        <v>2098</v>
      </c>
      <c r="AL32" s="13" cm="1">
        <f t="array" ref="AL32">_xll.ciqfunctions.udf.CIQ(B$3,$AL$1,$AL$2,$A32,"L",,"USD","H")</f>
        <v>343.09519999999998</v>
      </c>
      <c r="AM32" s="13" cm="1">
        <f t="array" ref="AM32">_xll.ciqfunctions.udf.CIQ(C$3,$AL$1,$AL$2,$A32,"L",,"USD","H")</f>
        <v>57.178800000000003</v>
      </c>
      <c r="AN32" s="13" cm="1">
        <f t="array" ref="AN32">_xll.ciqfunctions.udf.CIQ(D$3,$AL$1,$AL$2,$A32,"L",,"USD","H")</f>
        <v>107.3258</v>
      </c>
      <c r="AO32" s="13" cm="1">
        <f t="array" ref="AO32">_xll.ciqfunctions.udf.CIQ(E$3,$AL$1,$AL$2,$A32,"L",,"USD","H")</f>
        <v>1084.5436</v>
      </c>
      <c r="AP32" s="13" cm="1">
        <f t="array" ref="AP32">_xll.ciqfunctions.udf.CIQ(F$3,$AL$1,$AL$2,$A32,"L",,"USD","H")</f>
        <v>89.315899999999999</v>
      </c>
      <c r="AQ32" s="13" cm="1">
        <f t="array" ref="AQ32">_xll.ciqfunctions.udf.CIQ(G$3,$AL$1,$AL$2,$A32,"L",,"USD","H")</f>
        <v>1214.5077000000001</v>
      </c>
      <c r="AR32" s="41" t="str" cm="1">
        <f t="array" ref="AR32">_xll.ciqfunctions.udf.CIQ(B$3,$AL$1,$AR$2,$A32,"L",,"USD","H")</f>
        <v>NM</v>
      </c>
      <c r="AS32" s="41" cm="1">
        <f t="array" ref="AS32">_xll.ciqfunctions.udf.CIQ(C$3,$AL$1,$AR$2,$A32,"L",,"USD","H")</f>
        <v>78.477999999999994</v>
      </c>
      <c r="AT32" s="41" cm="1">
        <f t="array" ref="AT32">_xll.ciqfunctions.udf.CIQ(D$3,$AL$1,$AR$2,$A32,"L",,"USD","H")</f>
        <v>118.572</v>
      </c>
      <c r="AU32" s="41" cm="1">
        <f t="array" ref="AU32">_xll.ciqfunctions.udf.CIQ(E$3,$AL$1,$AR$2,$A32,"L",,"USD","H")</f>
        <v>50691.474499999997</v>
      </c>
      <c r="AV32" s="41" cm="1">
        <f t="array" ref="AV32">_xll.ciqfunctions.udf.CIQ(F$3,$AL$1,$AR$2,$A32,"L",,"USD","H")</f>
        <v>123.9958</v>
      </c>
      <c r="AW32" s="41" cm="1">
        <f t="array" ref="AW32">_xll.ciqfunctions.udf.CIQ(G$3,$AL$1,$AR$2,$A32,"L",,"USD","H")</f>
        <v>-36.269799999999996</v>
      </c>
      <c r="AX32" s="38" cm="1">
        <f t="array" ref="AX32">_xll.ciqfunctions.udf.CIQ(B$3,$AX$1,$AX$2,$A32,"L",,"USD","H")</f>
        <v>4257</v>
      </c>
      <c r="AY32" s="38" cm="1">
        <f t="array" ref="AY32">_xll.ciqfunctions.udf.CIQ(C$3,$AX$1,$AX$2,$A32,"L",,"USD","H")</f>
        <v>11520</v>
      </c>
      <c r="AZ32" s="38" cm="1">
        <f t="array" ref="AZ32">_xll.ciqfunctions.udf.CIQ(D$3,$AX$1,$AX$2,$A32,"L",,"USD","H")</f>
        <v>9380</v>
      </c>
      <c r="BA32" s="38" cm="1">
        <f t="array" ref="BA32">_xll.ciqfunctions.udf.CIQ(E$3,$AX$1,$AX$2,$A32,"L",,"USD","H")</f>
        <v>2353.54</v>
      </c>
      <c r="BB32" s="38" cm="1">
        <f t="array" ref="BB32">_xll.ciqfunctions.udf.CIQ(F$3,$AX$1,$AX$2,$A32,"L",,"USD","H")</f>
        <v>9300</v>
      </c>
      <c r="BC32" s="38" cm="1">
        <f t="array" ref="BC32">_xll.ciqfunctions.udf.CIQ(G$3,$AX$1,$AX$2,$A32,"L",,"USD","H")</f>
        <v>411</v>
      </c>
      <c r="BD32" s="40" cm="1">
        <f t="array" ref="BD32">_xll.ciqfunctions.udf.CIQ(B$3,$AX$1,$BD$2,$A32,"L",,"USD","H")</f>
        <v>14852</v>
      </c>
      <c r="BE32" s="40" cm="1">
        <f t="array" ref="BE32">_xll.ciqfunctions.udf.CIQ(C$3,$AX$1,$BD$2,$A32,"L",,"USD","H")</f>
        <v>37704</v>
      </c>
      <c r="BF32" s="40" cm="1">
        <f t="array" ref="BF32">_xll.ciqfunctions.udf.CIQ(D$3,$AX$1,$BD$2,$A32,"L",,"USD","H")</f>
        <v>30173</v>
      </c>
      <c r="BG32" s="40">
        <f>_xll.ciqfunctions.udf.CIQ("COP", "IQ_PRICEDATE", "6/27/2025")</f>
        <v>45835</v>
      </c>
      <c r="BH32" s="40" cm="1">
        <f t="array" ref="BH32">_xll.ciqfunctions.udf.CIQ(F$3,$AX$1,$BD$2,$A32,"L",,"USD","H")</f>
        <v>31851</v>
      </c>
      <c r="BI32" s="40" cm="1">
        <f t="array" ref="BI32">_xll.ciqfunctions.udf.CIQ(G$3,$AX$1,$BD$2,$A32,"L",,"USD","H")</f>
        <v>1832</v>
      </c>
      <c r="BJ32" s="43">
        <f t="shared" si="1"/>
        <v>0.87367957746478875</v>
      </c>
      <c r="BK32" s="43">
        <f t="shared" si="2"/>
        <v>0.30553037171350872</v>
      </c>
      <c r="BL32" s="43">
        <f t="shared" si="3"/>
        <v>0.70856102003642984</v>
      </c>
      <c r="BM32" s="43">
        <f t="shared" si="4"/>
        <v>1.0958789317655402</v>
      </c>
      <c r="BN32" s="43">
        <f t="shared" si="5"/>
        <v>0.33066246959507795</v>
      </c>
      <c r="BO32" s="43">
        <f t="shared" si="6"/>
        <v>-3.7470725995316201E-2</v>
      </c>
      <c r="BP32" s="42">
        <f t="shared" si="7"/>
        <v>0.71382414031848596</v>
      </c>
      <c r="BQ32" s="42">
        <f t="shared" si="8"/>
        <v>0.25495939289042746</v>
      </c>
      <c r="BR32" s="42">
        <f t="shared" si="9"/>
        <v>0.49297377535873332</v>
      </c>
      <c r="BS32" s="42">
        <f t="shared" si="10"/>
        <v>6.1126028772884311E-4</v>
      </c>
      <c r="BT32" s="42">
        <f t="shared" si="11"/>
        <v>0.36295947622919256</v>
      </c>
      <c r="BU32" s="42">
        <f t="shared" si="12"/>
        <v>-0.12969121140142514</v>
      </c>
      <c r="BV32" s="68" cm="1">
        <f t="array" ref="BV32">_xll.ciqfunctions.udf.CIQ(B$3,$BV$1,$BV$2,$A32,"L",,"USD","H")/100</f>
        <v>0.130968</v>
      </c>
      <c r="BW32" s="68" cm="1">
        <f t="array" ref="BW32">_xll.ciqfunctions.udf.CIQ(C$3,$BV$1,$BV$2,$A32,"L",,"USD","H")/100</f>
        <v>4.6424E-2</v>
      </c>
      <c r="BX32" s="68" cm="1">
        <f t="array" ref="BX32">_xll.ciqfunctions.udf.CIQ(D$3,$BV$1,$BV$2,$A32,"L",,"USD","H")/100</f>
        <v>4.0096E-2</v>
      </c>
      <c r="BY32" s="68" cm="1">
        <f t="array" ref="BY32">_xll.ciqfunctions.udf.CIQ(E$3,$BV$1,$BV$2,$A32,"L",,"USD","H")/100</f>
        <v>0.17739999999999997</v>
      </c>
      <c r="BZ32" s="68" cm="1">
        <f t="array" ref="BZ32">_xll.ciqfunctions.udf.CIQ(F$3,$BV$1,$BV$2,$A32,"L",,"USD","H")/100</f>
        <v>4.7048E-2</v>
      </c>
      <c r="CA32" s="68" cm="1">
        <f t="array" ref="CA32">_xll.ciqfunctions.udf.CIQ(G$3,$BV$1,$BV$2,$A32,"L",,"USD","H")/100</f>
        <v>0.59037600000000001</v>
      </c>
      <c r="CB32" s="68" cm="1">
        <f t="array" ref="CB32">_xll.ciqfunctions.udf.CIQ(B$3,$BV$1,$CB$2,$A32,"L",,"USD","H")/100</f>
        <v>9.3934000000000004E-2</v>
      </c>
      <c r="CC32" s="68" cm="1">
        <f t="array" ref="CC32">_xll.ciqfunctions.udf.CIQ(C$3,$BV$1,$CB$2,$A32,"L",,"USD","H")/100</f>
        <v>4.1292000000000002E-2</v>
      </c>
      <c r="CD32" s="68" cm="1">
        <f t="array" ref="CD32">_xll.ciqfunctions.udf.CIQ(D$3,$BV$1,$CB$2,$A32,"L",,"USD","H")/100</f>
        <v>3.0388000000000002E-2</v>
      </c>
      <c r="CE32" s="68" cm="1">
        <f t="array" ref="CE32">_xll.ciqfunctions.udf.CIQ(E$3,$BV$1,$CB$2,$A32,"L",,"USD","H")/100</f>
        <v>0.20088899999999998</v>
      </c>
      <c r="CF32" s="68" cm="1">
        <f t="array" ref="CF32">_xll.ciqfunctions.udf.CIQ(F$3,$BV$1,$CB$2,$A32,"L",,"USD","H")/100</f>
        <v>1.23E-2</v>
      </c>
      <c r="CG32" s="68" cm="1">
        <f t="array" ref="CG32">_xll.ciqfunctions.udf.CIQ(G$3,$BV$1,$CB$2,$A32,"L",,"USD","H")/100</f>
        <v>0.104643</v>
      </c>
    </row>
    <row r="33" spans="1:85" x14ac:dyDescent="0.45">
      <c r="A33" s="3">
        <f t="shared" si="13"/>
        <v>43281</v>
      </c>
      <c r="B33" s="14" cm="1">
        <f t="array" ref="B33">_xll.ciqfunctions.udf.CIQ(B$3,$B$1,$B$2,$A33,"L",,"USD","H")</f>
        <v>8769</v>
      </c>
      <c r="C33" s="38" cm="1">
        <f t="array" ref="C33">_xll.ciqfunctions.udf.CIQ(C$3,$B$1,$B$2,$A33,"L",,"USD","H")</f>
        <v>71456</v>
      </c>
      <c r="D33" s="38" cm="1">
        <f t="array" ref="D33">_xll.ciqfunctions.udf.CIQ(D$3,$B$1,$B$2,$A33,"L",,"USD","H")</f>
        <v>40491</v>
      </c>
      <c r="E33" s="38" cm="1">
        <f t="array" ref="E33">_xll.ciqfunctions.udf.CIQ(E$3,$B$1,$B$2,$A33,"L",,"USD","H")</f>
        <v>4430.277</v>
      </c>
      <c r="F33" s="38" cm="1">
        <f t="array" ref="F33">_xll.ciqfunctions.udf.CIQ(F$3,$B$1,$B$2,$A33,"L",,"USD","H")</f>
        <v>74908</v>
      </c>
      <c r="G33" s="38" cm="1">
        <f t="array" ref="G33">_xll.ciqfunctions.udf.CIQ(G$3,$B$1,$B$2,$A33,"L",,"USD","H")</f>
        <v>1858</v>
      </c>
      <c r="H33" s="40" cm="1">
        <f t="array" ref="H33">_xll.ciqfunctions.udf.CIQ(B$3,$B$1,$H$2,$A33,"L",,"USD","H")</f>
        <v>32976</v>
      </c>
      <c r="I33" s="40" cm="1">
        <f t="array" ref="I33">_xll.ciqfunctions.udf.CIQ(C$3,$B$1,$H$2,$A33,"L",,"USD","H")</f>
        <v>261554</v>
      </c>
      <c r="J33" s="40" cm="1">
        <f t="array" ref="J33">_xll.ciqfunctions.udf.CIQ(D$3,$B$1,$H$2,$A33,"L",,"USD","H")</f>
        <v>142991</v>
      </c>
      <c r="K33" s="40" cm="1">
        <f t="array" ref="K33">_xll.ciqfunctions.udf.CIQ(E$3,$B$1,$H$2,$A33,"L",,"USD","H")</f>
        <v>14296.522000000001</v>
      </c>
      <c r="L33" s="40" cm="1">
        <f t="array" ref="L33">_xll.ciqfunctions.udf.CIQ(F$3,$B$1,$H$2,$A33,"L",,"USD","H")</f>
        <v>269586</v>
      </c>
      <c r="M33" s="40" cm="1">
        <f t="array" ref="M33">_xll.ciqfunctions.udf.CIQ(G$3,$B$1,$H$2,$A33,"L",,"USD","H")</f>
        <v>7895</v>
      </c>
      <c r="N33" s="13" cm="1">
        <f t="array" ref="N33">_xll.ciqfunctions.udf.CIQ(B$3,$N$1,$B$2,$A33,"L",,"USD","H")</f>
        <v>26.009399999999999</v>
      </c>
      <c r="O33" s="13" cm="1">
        <f t="array" ref="O33">_xll.ciqfunctions.udf.CIQ(C$3,$N$1,$B$2,$A33,"L",,"USD","H")</f>
        <v>27.540700000000001</v>
      </c>
      <c r="P33" s="13" cm="1">
        <f t="array" ref="P33">_xll.ciqfunctions.udf.CIQ(D$3,$N$1,$B$2,$A33,"L",,"USD","H")</f>
        <v>30.170999999999999</v>
      </c>
      <c r="Q33" s="13" cm="1">
        <f t="array" ref="Q33">_xll.ciqfunctions.udf.CIQ(E$3,$N$1,$B$2,$A33,"L",,"USD","H")</f>
        <v>69.616200000000006</v>
      </c>
      <c r="R33" s="13" cm="1">
        <f t="array" ref="R33">_xll.ciqfunctions.udf.CIQ(F$3,$N$1,$B$2,$A33,"L",,"USD","H")</f>
        <v>33.373600000000003</v>
      </c>
      <c r="S33" s="13" cm="1">
        <f t="array" ref="S33">_xll.ciqfunctions.udf.CIQ(G$3,$N$1,$B$2,$A33,"L",,"USD","H")</f>
        <v>-12.5236</v>
      </c>
      <c r="T33" s="94">
        <v>45849</v>
      </c>
      <c r="U33" s="41" cm="1">
        <f t="array" ref="U33">_xll.ciqfunctions.udf.CIQ(O$3,$N$1,$T$2,$A33,"L",,"USD","H")</f>
        <v>18.699300000000001</v>
      </c>
      <c r="V33" s="41" cm="1">
        <f t="array" ref="V33">_xll.ciqfunctions.udf.CIQ(P$3,$N$1,$T$2,$A33,"L",,"USD","H")</f>
        <v>22.439499999999999</v>
      </c>
      <c r="W33" s="41" cm="1">
        <f t="array" ref="W33">_xll.ciqfunctions.udf.CIQ(Q$3,$N$1,$T$2,$A33,"L",,"USD","H")</f>
        <v>49.761000000000003</v>
      </c>
      <c r="X33" s="41" cm="1">
        <f t="array" ref="X33">_xll.ciqfunctions.udf.CIQ(R$3,$N$1,$T$2,$A33,"L",,"USD","H")</f>
        <v>28.665299999999998</v>
      </c>
      <c r="Y33" s="41" cm="1">
        <f t="array" ref="Y33">_xll.ciqfunctions.udf.CIQ(S$3,$N$1,$T$2,$A33,"L",,"USD","H")</f>
        <v>-20.844200000000001</v>
      </c>
      <c r="Z33" s="38" cm="1">
        <f t="array" ref="Z33">_xll.ciqfunctions.udf.CIQ(B$3,$Z$1,$B$2,$A33,"L",,"USD","H")</f>
        <v>1640</v>
      </c>
      <c r="AA33" s="38" cm="1">
        <f t="array" ref="AA33">_xll.ciqfunctions.udf.CIQ(C$3,$Z$1,$B$2,$A33,"L",,"USD","H")</f>
        <v>3950</v>
      </c>
      <c r="AB33" s="38" cm="1">
        <f t="array" ref="AB33">_xll.ciqfunctions.udf.CIQ(D$3,$Z$1,$B$2,$A33,"L",,"USD","H")</f>
        <v>3409</v>
      </c>
      <c r="AC33" s="38" cm="1">
        <f t="array" ref="AC33">_xll.ciqfunctions.udf.CIQ(E$3,$Z$1,$B$2,$A33,"L",,"USD","H")</f>
        <v>696.73099999999999</v>
      </c>
      <c r="AD33" s="38" cm="1">
        <f t="array" ref="AD33">_xll.ciqfunctions.udf.CIQ(F$3,$Z$1,$B$2,$A33,"L",,"USD","H")</f>
        <v>2799</v>
      </c>
      <c r="AE33" s="38" cm="1">
        <f t="array" ref="AE33">_xll.ciqfunctions.udf.CIQ(G$3,$Z$1,$B$2,$A33,"L",,"USD","H")</f>
        <v>-425</v>
      </c>
      <c r="AF33" s="40" cm="1">
        <f t="array" ref="AF33">_xll.ciqfunctions.udf.CIQ(B$3,$Z$1,$H$2,$A33,"L",,"USD","H")</f>
        <v>4527</v>
      </c>
      <c r="AG33" s="40" cm="1">
        <f t="array" ref="AG33">_xll.ciqfunctions.udf.CIQ(C$3,$Z$1,$H$2,$A33,"L",,"USD","H")</f>
        <v>20950</v>
      </c>
      <c r="AH33" s="40" cm="1">
        <f t="array" ref="AH33">_xll.ciqfunctions.udf.CIQ(D$3,$Z$1,$H$2,$A33,"L",,"USD","H")</f>
        <v>12110</v>
      </c>
      <c r="AI33" s="40" cm="1">
        <f t="array" ref="AI33">_xll.ciqfunctions.udf.CIQ(E$3,$Z$1,$H$2,$A33,"L",,"USD","H")</f>
        <v>3866.3290000000002</v>
      </c>
      <c r="AJ33" s="40" cm="1">
        <f t="array" ref="AJ33">_xll.ciqfunctions.udf.CIQ(F$3,$Z$1,$H$2,$A33,"L",,"USD","H")</f>
        <v>7064</v>
      </c>
      <c r="AK33" s="40" cm="1">
        <f t="array" ref="AK33">_xll.ciqfunctions.udf.CIQ(G$3,$Z$1,$H$2,$A33,"L",,"USD","H")</f>
        <v>-246</v>
      </c>
      <c r="AL33" s="13" t="str" cm="1">
        <f t="array" ref="AL33">_xll.ciqfunctions.udf.CIQ(B$3,$AL$1,$AL$2,$A33,"L",,"USD","H")</f>
        <v>NM</v>
      </c>
      <c r="AM33" s="13" cm="1">
        <f t="array" ref="AM33">_xll.ciqfunctions.udf.CIQ(C$3,$AL$1,$AL$2,$A33,"L",,"USD","H")</f>
        <v>17.910399999999999</v>
      </c>
      <c r="AN33" s="13" cm="1">
        <f t="array" ref="AN33">_xll.ciqfunctions.udf.CIQ(D$3,$AL$1,$AL$2,$A33,"L",,"USD","H")</f>
        <v>135.10339999999999</v>
      </c>
      <c r="AO33" s="13" cm="1">
        <f t="array" ref="AO33">_xll.ciqfunctions.udf.CIQ(E$3,$AL$1,$AL$2,$A33,"L",,"USD","H")</f>
        <v>2922.3006999999998</v>
      </c>
      <c r="AP33" s="13" cm="1">
        <f t="array" ref="AP33">_xll.ciqfunctions.udf.CIQ(F$3,$AL$1,$AL$2,$A33,"L",,"USD","H")</f>
        <v>1843.75</v>
      </c>
      <c r="AQ33" s="13" t="str" cm="1">
        <f t="array" ref="AQ33">_xll.ciqfunctions.udf.CIQ(G$3,$AL$1,$AL$2,$A33,"L",,"USD","H")</f>
        <v>NM</v>
      </c>
      <c r="AR33" s="41" t="str" cm="1">
        <f t="array" ref="AR33">_xll.ciqfunctions.udf.CIQ(B$3,$AL$1,$AR$2,$A33,"L",,"USD","H")</f>
        <v>NM</v>
      </c>
      <c r="AS33" s="41" cm="1">
        <f t="array" ref="AS33">_xll.ciqfunctions.udf.CIQ(C$3,$AL$1,$AR$2,$A33,"L",,"USD","H")</f>
        <v>79.212999999999994</v>
      </c>
      <c r="AT33" s="41" cm="1">
        <f t="array" ref="AT33">_xll.ciqfunctions.udf.CIQ(D$3,$AL$1,$AR$2,$A33,"L",,"USD","H")</f>
        <v>107.7186</v>
      </c>
      <c r="AU33" s="41" t="str" cm="1">
        <f t="array" ref="AU33">_xll.ciqfunctions.udf.CIQ(E$3,$AL$1,$AR$2,$A33,"L",,"USD","H")</f>
        <v>NM</v>
      </c>
      <c r="AV33" s="41" cm="1">
        <f t="array" ref="AV33">_xll.ciqfunctions.udf.CIQ(F$3,$AL$1,$AR$2,$A33,"L",,"USD","H")</f>
        <v>90.404300000000006</v>
      </c>
      <c r="AW33" s="41" t="str" cm="1">
        <f t="array" ref="AW33">_xll.ciqfunctions.udf.CIQ(G$3,$AL$1,$AR$2,$A33,"L",,"USD","H")</f>
        <v>NM</v>
      </c>
      <c r="AX33" s="38" cm="1">
        <f t="array" ref="AX33">_xll.ciqfunctions.udf.CIQ(B$3,$AX$1,$AX$2,$A33,"L",,"USD","H")</f>
        <v>3721</v>
      </c>
      <c r="AY33" s="38" cm="1">
        <f t="array" ref="AY33">_xll.ciqfunctions.udf.CIQ(C$3,$AX$1,$AX$2,$A33,"L",,"USD","H")</f>
        <v>9203</v>
      </c>
      <c r="AZ33" s="38" cm="1">
        <f t="array" ref="AZ33">_xll.ciqfunctions.udf.CIQ(D$3,$AX$1,$AX$2,$A33,"L",,"USD","H")</f>
        <v>7876</v>
      </c>
      <c r="BA33" s="38" cm="1">
        <f t="array" ref="BA33">_xll.ciqfunctions.udf.CIQ(E$3,$AX$1,$AX$2,$A33,"L",,"USD","H")</f>
        <v>1871.63</v>
      </c>
      <c r="BB33" s="38" cm="1">
        <f t="array" ref="BB33">_xll.ciqfunctions.udf.CIQ(F$3,$AX$1,$AX$2,$A33,"L",,"USD","H")</f>
        <v>7926</v>
      </c>
      <c r="BC33" s="38" cm="1">
        <f t="array" ref="BC33">_xll.ciqfunctions.udf.CIQ(G$3,$AX$1,$AX$2,$A33,"L",,"USD","H")</f>
        <v>238</v>
      </c>
      <c r="BD33" s="40" cm="1">
        <f t="array" ref="BD33">_xll.ciqfunctions.udf.CIQ(B$3,$AX$1,$BD$2,$A33,"L",,"USD","H")</f>
        <v>12701</v>
      </c>
      <c r="BE33" s="40" cm="1">
        <f t="array" ref="BE33">_xll.ciqfunctions.udf.CIQ(C$3,$AX$1,$BD$2,$A33,"L",,"USD","H")</f>
        <v>35008</v>
      </c>
      <c r="BF33" s="40" cm="1">
        <f t="array" ref="BF33">_xll.ciqfunctions.udf.CIQ(D$3,$AX$1,$BD$2,$A33,"L",,"USD","H")</f>
        <v>26283</v>
      </c>
      <c r="BG33" s="40">
        <f>_xll.ciqfunctions.udf.CIQ("COP", "IQ_PRICEDATE", "6/20/2025")</f>
        <v>45828</v>
      </c>
      <c r="BH33" s="40" cm="1">
        <f t="array" ref="BH33">_xll.ciqfunctions.udf.CIQ(F$3,$AX$1,$BD$2,$A33,"L",,"USD","H")</f>
        <v>29540</v>
      </c>
      <c r="BI33" s="40" cm="1">
        <f t="array" ref="BI33">_xll.ciqfunctions.udf.CIQ(G$3,$AX$1,$BD$2,$A33,"L",,"USD","H")</f>
        <v>1849</v>
      </c>
      <c r="BJ33" s="43">
        <f t="shared" si="1"/>
        <v>0.69521640091116166</v>
      </c>
      <c r="BK33" s="43">
        <f t="shared" si="2"/>
        <v>0.33087490961677513</v>
      </c>
      <c r="BL33" s="43">
        <f t="shared" si="3"/>
        <v>0.37981779957953754</v>
      </c>
      <c r="BM33" s="43">
        <f t="shared" si="4"/>
        <v>0.73116019912277941</v>
      </c>
      <c r="BN33" s="43">
        <f t="shared" si="5"/>
        <v>0.44004360465116288</v>
      </c>
      <c r="BO33" s="43">
        <f t="shared" si="6"/>
        <v>-0.6053067993366501</v>
      </c>
      <c r="BP33" s="42">
        <f t="shared" si="7"/>
        <v>0.69391837823419578</v>
      </c>
      <c r="BQ33" s="42">
        <f t="shared" si="8"/>
        <v>0.24787909032580013</v>
      </c>
      <c r="BR33" s="42">
        <f t="shared" si="9"/>
        <v>0.38048216818110192</v>
      </c>
      <c r="BS33" s="42">
        <f t="shared" si="10"/>
        <v>6.1135371179044107E-4</v>
      </c>
      <c r="BT33" s="42">
        <f t="shared" si="11"/>
        <v>0.47914475990185768</v>
      </c>
      <c r="BU33" s="42">
        <f t="shared" si="12"/>
        <v>-0.26539531187922127</v>
      </c>
      <c r="BV33" s="68" cm="1">
        <f t="array" ref="BV33">_xll.ciqfunctions.udf.CIQ(B$3,$BV$1,$BV$2,$A33,"L",,"USD","H")/100</f>
        <v>0.11094</v>
      </c>
      <c r="BW33" s="68" cm="1">
        <f t="array" ref="BW33">_xll.ciqfunctions.udf.CIQ(C$3,$BV$1,$BV$2,$A33,"L",,"USD","H")/100</f>
        <v>7.62E-3</v>
      </c>
      <c r="BX33" s="68" cm="1">
        <f t="array" ref="BX33">_xll.ciqfunctions.udf.CIQ(D$3,$BV$1,$BV$2,$A33,"L",,"USD","H")/100</f>
        <v>2.6720000000000001E-2</v>
      </c>
      <c r="BY33" s="68" cm="1">
        <f t="array" ref="BY33">_xll.ciqfunctions.udf.CIQ(E$3,$BV$1,$BV$2,$A33,"L",,"USD","H")/100</f>
        <v>0.10010400000000001</v>
      </c>
      <c r="BZ33" s="68" cm="1">
        <f t="array" ref="BZ33">_xll.ciqfunctions.udf.CIQ(F$3,$BV$1,$BV$2,$A33,"L",,"USD","H")/100</f>
        <v>2.6263999999999999E-2</v>
      </c>
      <c r="CA33" s="68" cm="1">
        <f t="array" ref="CA33">_xll.ciqfunctions.udf.CIQ(G$3,$BV$1,$BV$2,$A33,"L",,"USD","H")/100</f>
        <v>-8.7604000000000001E-2</v>
      </c>
      <c r="CB33" s="68" cm="1">
        <f t="array" ref="CB33">_xll.ciqfunctions.udf.CIQ(B$3,$BV$1,$CB$2,$A33,"L",,"USD","H")/100</f>
        <v>6.4074999999999993E-2</v>
      </c>
      <c r="CC33" s="68" cm="1">
        <f t="array" ref="CC33">_xll.ciqfunctions.udf.CIQ(C$3,$BV$1,$CB$2,$A33,"L",,"USD","H")/100</f>
        <v>3.2772000000000003E-2</v>
      </c>
      <c r="CD33" s="68" cm="1">
        <f t="array" ref="CD33">_xll.ciqfunctions.udf.CIQ(D$3,$BV$1,$CB$2,$A33,"L",,"USD","H")/100</f>
        <v>1.9814000000000002E-2</v>
      </c>
      <c r="CE33" s="68" cm="1">
        <f t="array" ref="CE33">_xll.ciqfunctions.udf.CIQ(E$3,$BV$1,$CB$2,$A33,"L",,"USD","H")/100</f>
        <v>0.15495699999999998</v>
      </c>
      <c r="CF33" s="68" cm="1">
        <f t="array" ref="CF33">_xll.ciqfunctions.udf.CIQ(F$3,$BV$1,$CB$2,$A33,"L",,"USD","H")/100</f>
        <v>1.2670000000000001E-3</v>
      </c>
      <c r="CG33" s="68" cm="1">
        <f t="array" ref="CG33">_xll.ciqfunctions.udf.CIQ(G$3,$BV$1,$CB$2,$A33,"L",,"USD","H")/100</f>
        <v>-1.8696999999999998E-2</v>
      </c>
    </row>
    <row r="34" spans="1:85" x14ac:dyDescent="0.45">
      <c r="A34" s="3">
        <f t="shared" si="13"/>
        <v>43190</v>
      </c>
      <c r="B34" s="14" cm="1">
        <f t="array" ref="B34">_xll.ciqfunctions.udf.CIQ(B$3,$B$1,$B$2,$A34,"L",,"USD","H")</f>
        <v>9006</v>
      </c>
      <c r="C34" s="38" cm="1">
        <f t="array" ref="C34">_xll.ciqfunctions.udf.CIQ(C$3,$B$1,$B$2,$A34,"L",,"USD","H")</f>
        <v>65436</v>
      </c>
      <c r="D34" s="38" cm="1">
        <f t="array" ref="D34">_xll.ciqfunctions.udf.CIQ(D$3,$B$1,$B$2,$A34,"L",,"USD","H")</f>
        <v>35968</v>
      </c>
      <c r="E34" s="38" cm="1">
        <f t="array" ref="E34">_xll.ciqfunctions.udf.CIQ(E$3,$B$1,$B$2,$A34,"L",,"USD","H")</f>
        <v>3755.902</v>
      </c>
      <c r="F34" s="38" cm="1">
        <f t="array" ref="F34">_xll.ciqfunctions.udf.CIQ(F$3,$B$1,$B$2,$A34,"L",,"USD","H")</f>
        <v>67804</v>
      </c>
      <c r="G34" s="38" cm="1">
        <f t="array" ref="G34">_xll.ciqfunctions.udf.CIQ(G$3,$B$1,$B$2,$A34,"L",,"USD","H")</f>
        <v>1822</v>
      </c>
      <c r="H34" s="40" cm="1">
        <f t="array" ref="H34">_xll.ciqfunctions.udf.CIQ(B$3,$B$1,$H$2,$A34,"L",,"USD","H")</f>
        <v>31166</v>
      </c>
      <c r="I34" s="40" cm="1">
        <f t="array" ref="I34">_xll.ciqfunctions.udf.CIQ(C$3,$B$1,$H$2,$A34,"L",,"USD","H")</f>
        <v>246124</v>
      </c>
      <c r="J34" s="40" cm="1">
        <f t="array" ref="J34">_xll.ciqfunctions.udf.CIQ(D$3,$B$1,$H$2,$A34,"L",,"USD","H")</f>
        <v>133606</v>
      </c>
      <c r="K34" s="40" cm="1">
        <f t="array" ref="K34">_xll.ciqfunctions.udf.CIQ(E$3,$B$1,$H$2,$A34,"L",,"USD","H")</f>
        <v>12478.187</v>
      </c>
      <c r="L34" s="40" cm="1">
        <f t="array" ref="L34">_xll.ciqfunctions.udf.CIQ(F$3,$B$1,$H$2,$A34,"L",,"USD","H")</f>
        <v>250842</v>
      </c>
      <c r="M34" s="40" cm="1">
        <f t="array" ref="M34">_xll.ciqfunctions.udf.CIQ(G$3,$B$1,$H$2,$A34,"L",,"USD","H")</f>
        <v>8161</v>
      </c>
      <c r="N34" s="13" cm="1">
        <f t="array" ref="N34">_xll.ciqfunctions.udf.CIQ(B$3,$N$1,$B$2,$A34,"L",,"USD","H")</f>
        <v>16.688199999999998</v>
      </c>
      <c r="O34" s="13" cm="1">
        <f t="array" ref="O34">_xll.ciqfunctions.udf.CIQ(C$3,$N$1,$B$2,$A34,"L",,"USD","H")</f>
        <v>15.869199999999999</v>
      </c>
      <c r="P34" s="13" cm="1">
        <f t="array" ref="P34">_xll.ciqfunctions.udf.CIQ(D$3,$N$1,$B$2,$A34,"L",,"USD","H")</f>
        <v>20.507899999999999</v>
      </c>
      <c r="Q34" s="13" cm="1">
        <f t="array" ref="Q34">_xll.ciqfunctions.udf.CIQ(E$3,$N$1,$B$2,$A34,"L",,"USD","H")</f>
        <v>46.4116</v>
      </c>
      <c r="R34" s="13" cm="1">
        <f t="array" ref="R34">_xll.ciqfunctions.udf.CIQ(F$3,$N$1,$B$2,$A34,"L",,"USD","H")</f>
        <v>22.4009</v>
      </c>
      <c r="S34" s="13" cm="1">
        <f t="array" ref="S34">_xll.ciqfunctions.udf.CIQ(G$3,$N$1,$B$2,$A34,"L",,"USD","H")</f>
        <v>-22.302800000000001</v>
      </c>
      <c r="T34" s="94">
        <v>45841</v>
      </c>
      <c r="U34" s="41" cm="1">
        <f t="array" ref="U34">_xll.ciqfunctions.udf.CIQ(O$3,$N$1,$T$2,$A34,"L",,"USD","H")</f>
        <v>14.0466</v>
      </c>
      <c r="V34" s="41" cm="1">
        <f t="array" ref="V34">_xll.ciqfunctions.udf.CIQ(P$3,$N$1,$T$2,$A34,"L",,"USD","H")</f>
        <v>19.569700000000001</v>
      </c>
      <c r="W34" s="41" cm="1">
        <f t="array" ref="W34">_xll.ciqfunctions.udf.CIQ(Q$3,$N$1,$T$2,$A34,"L",,"USD","H")</f>
        <v>42.283499999999997</v>
      </c>
      <c r="X34" s="41" cm="1">
        <f t="array" ref="X34">_xll.ciqfunctions.udf.CIQ(R$3,$N$1,$T$2,$A34,"L",,"USD","H")</f>
        <v>25.706900000000001</v>
      </c>
      <c r="Y34" s="41" cm="1">
        <f t="array" ref="Y34">_xll.ciqfunctions.udf.CIQ(S$3,$N$1,$T$2,$A34,"L",,"USD","H")</f>
        <v>-21.8445</v>
      </c>
      <c r="Z34" s="38" cm="1">
        <f t="array" ref="Z34">_xll.ciqfunctions.udf.CIQ(B$3,$Z$1,$B$2,$A34,"L",,"USD","H")</f>
        <v>888</v>
      </c>
      <c r="AA34" s="38" cm="1">
        <f t="array" ref="AA34">_xll.ciqfunctions.udf.CIQ(C$3,$Z$1,$B$2,$A34,"L",,"USD","H")</f>
        <v>4650</v>
      </c>
      <c r="AB34" s="38" cm="1">
        <f t="array" ref="AB34">_xll.ciqfunctions.udf.CIQ(D$3,$Z$1,$B$2,$A34,"L",,"USD","H")</f>
        <v>3638</v>
      </c>
      <c r="AC34" s="38" cm="1">
        <f t="array" ref="AC34">_xll.ciqfunctions.udf.CIQ(E$3,$Z$1,$B$2,$A34,"L",,"USD","H")</f>
        <v>638.58900000000006</v>
      </c>
      <c r="AD34" s="38" cm="1">
        <f t="array" ref="AD34">_xll.ciqfunctions.udf.CIQ(F$3,$Z$1,$B$2,$A34,"L",,"USD","H")</f>
        <v>2469</v>
      </c>
      <c r="AE34" s="38" cm="1">
        <f t="array" ref="AE34">_xll.ciqfunctions.udf.CIQ(G$3,$Z$1,$B$2,$A34,"L",,"USD","H")</f>
        <v>-197</v>
      </c>
      <c r="AF34" s="40" cm="1">
        <f t="array" ref="AF34">_xll.ciqfunctions.udf.CIQ(B$3,$Z$1,$H$2,$A34,"L",,"USD","H")</f>
        <v>-553</v>
      </c>
      <c r="AG34" s="40" cm="1">
        <f t="array" ref="AG34">_xll.ciqfunctions.udf.CIQ(C$3,$Z$1,$H$2,$A34,"L",,"USD","H")</f>
        <v>20350</v>
      </c>
      <c r="AH34" s="40" cm="1">
        <f t="array" ref="AH34">_xll.ciqfunctions.udf.CIQ(D$3,$Z$1,$H$2,$A34,"L",,"USD","H")</f>
        <v>10151</v>
      </c>
      <c r="AI34" s="40" cm="1">
        <f t="array" ref="AI34">_xll.ciqfunctions.udf.CIQ(E$3,$Z$1,$H$2,$A34,"L",,"USD","H")</f>
        <v>3192.6509999999998</v>
      </c>
      <c r="AJ34" s="40" cm="1">
        <f t="array" ref="AJ34">_xll.ciqfunctions.udf.CIQ(F$3,$Z$1,$H$2,$A34,"L",,"USD","H")</f>
        <v>4409</v>
      </c>
      <c r="AK34" s="40" cm="1">
        <f t="array" ref="AK34">_xll.ciqfunctions.udf.CIQ(G$3,$Z$1,$H$2,$A34,"L",,"USD","H")</f>
        <v>398</v>
      </c>
      <c r="AL34" s="13" cm="1">
        <f t="array" ref="AL34">_xll.ciqfunctions.udf.CIQ(B$3,$AL$1,$AL$2,$A34,"L",,"USD","H")</f>
        <v>51.535800000000002</v>
      </c>
      <c r="AM34" s="13" cm="1">
        <f t="array" ref="AM34">_xll.ciqfunctions.udf.CIQ(C$3,$AL$1,$AL$2,$A34,"L",,"USD","H")</f>
        <v>15.96</v>
      </c>
      <c r="AN34" s="13" cm="1">
        <f t="array" ref="AN34">_xll.ciqfunctions.udf.CIQ(D$3,$AL$1,$AL$2,$A34,"L",,"USD","H")</f>
        <v>35.645000000000003</v>
      </c>
      <c r="AO34" s="13" cm="1">
        <f t="array" ref="AO34">_xll.ciqfunctions.udf.CIQ(E$3,$AL$1,$AL$2,$A34,"L",,"USD","H")</f>
        <v>2139.3274000000001</v>
      </c>
      <c r="AP34" s="13" cm="1">
        <f t="array" ref="AP34">_xll.ciqfunctions.udf.CIQ(F$3,$AL$1,$AL$2,$A34,"L",,"USD","H")</f>
        <v>70.393299999999996</v>
      </c>
      <c r="AQ34" s="13" t="str" cm="1">
        <f t="array" ref="AQ34">_xll.ciqfunctions.udf.CIQ(G$3,$AL$1,$AL$2,$A34,"L",,"USD","H")</f>
        <v>NM</v>
      </c>
      <c r="AR34" s="41" t="str" cm="1">
        <f t="array" ref="AR34">_xll.ciqfunctions.udf.CIQ(B$3,$AL$1,$AR$2,$A34,"L",,"USD","H")</f>
        <v>NM</v>
      </c>
      <c r="AS34" s="41" cm="1">
        <f t="array" ref="AS34">_xll.ciqfunctions.udf.CIQ(C$3,$AL$1,$AR$2,$A34,"L",,"USD","H")</f>
        <v>102.6892</v>
      </c>
      <c r="AT34" s="41" cm="1">
        <f t="array" ref="AT34">_xll.ciqfunctions.udf.CIQ(D$3,$AL$1,$AR$2,$A34,"L",,"USD","H")</f>
        <v>248.83160000000001</v>
      </c>
      <c r="AU34" s="41" t="str" cm="1">
        <f t="array" ref="AU34">_xll.ciqfunctions.udf.CIQ(E$3,$AL$1,$AR$2,$A34,"L",,"USD","H")</f>
        <v>NM</v>
      </c>
      <c r="AV34" s="41" cm="1">
        <f t="array" ref="AV34">_xll.ciqfunctions.udf.CIQ(F$3,$AL$1,$AR$2,$A34,"L",,"USD","H")</f>
        <v>105.3563</v>
      </c>
      <c r="AW34" s="41" cm="1">
        <f t="array" ref="AW34">_xll.ciqfunctions.udf.CIQ(G$3,$AL$1,$AR$2,$A34,"L",,"USD","H")</f>
        <v>-82.718199999999996</v>
      </c>
      <c r="AX34" s="38" cm="1">
        <f t="array" ref="AX34">_xll.ciqfunctions.udf.CIQ(B$3,$AX$1,$AX$2,$A34,"L",,"USD","H")</f>
        <v>3678</v>
      </c>
      <c r="AY34" s="38" cm="1">
        <f t="array" ref="AY34">_xll.ciqfunctions.udf.CIQ(C$3,$AX$1,$AX$2,$A34,"L",,"USD","H")</f>
        <v>9139</v>
      </c>
      <c r="AZ34" s="38" cm="1">
        <f t="array" ref="AZ34">_xll.ciqfunctions.udf.CIQ(D$3,$AX$1,$AX$2,$A34,"L",,"USD","H")</f>
        <v>7725</v>
      </c>
      <c r="BA34" s="38" cm="1">
        <f t="array" ref="BA34">_xll.ciqfunctions.udf.CIQ(E$3,$AX$1,$AX$2,$A34,"L",,"USD","H")</f>
        <v>1702.7570000000001</v>
      </c>
      <c r="BB34" s="38" cm="1">
        <f t="array" ref="BB34">_xll.ciqfunctions.udf.CIQ(F$3,$AX$1,$AX$2,$A34,"L",,"USD","H")</f>
        <v>8027</v>
      </c>
      <c r="BC34" s="38" cm="1">
        <f t="array" ref="BC34">_xll.ciqfunctions.udf.CIQ(G$3,$AX$1,$AX$2,$A34,"L",,"USD","H")</f>
        <v>479</v>
      </c>
      <c r="BD34" s="40" cm="1">
        <f t="array" ref="BD34">_xll.ciqfunctions.udf.CIQ(B$3,$AX$1,$BD$2,$A34,"L",,"USD","H")</f>
        <v>10942</v>
      </c>
      <c r="BE34" s="40" cm="1">
        <f t="array" ref="BE34">_xll.ciqfunctions.udf.CIQ(C$3,$AX$1,$BD$2,$A34,"L",,"USD","H")</f>
        <v>32720</v>
      </c>
      <c r="BF34" s="40" cm="1">
        <f t="array" ref="BF34">_xll.ciqfunctions.udf.CIQ(D$3,$AX$1,$BD$2,$A34,"L",,"USD","H")</f>
        <v>24116</v>
      </c>
      <c r="BG34" s="40">
        <f>_xll.ciqfunctions.udf.CIQ("COP", "IQ_PRICEDATE", "6/13/2025")</f>
        <v>45821</v>
      </c>
      <c r="BH34" s="40" cm="1">
        <f t="array" ref="BH34">_xll.ciqfunctions.udf.CIQ(F$3,$AX$1,$BD$2,$A34,"L",,"USD","H")</f>
        <v>27204</v>
      </c>
      <c r="BI34" s="40" cm="1">
        <f t="array" ref="BI34">_xll.ciqfunctions.udf.CIQ(G$3,$AX$1,$BD$2,$A34,"L",,"USD","H")</f>
        <v>2214</v>
      </c>
      <c r="BJ34" s="43">
        <f t="shared" si="1"/>
        <v>0.47120000000000006</v>
      </c>
      <c r="BK34" s="43">
        <f t="shared" si="2"/>
        <v>8.9792511328404379E-2</v>
      </c>
      <c r="BL34" s="43">
        <f t="shared" si="3"/>
        <v>0.41095890410958913</v>
      </c>
      <c r="BM34" s="43">
        <f t="shared" si="4"/>
        <v>0.50191095387161111</v>
      </c>
      <c r="BN34" s="43">
        <f t="shared" si="5"/>
        <v>0.20833960559987963</v>
      </c>
      <c r="BO34" s="43">
        <f t="shared" si="6"/>
        <v>-0.41154791154791159</v>
      </c>
      <c r="BP34" s="42">
        <f t="shared" si="7"/>
        <v>0.64467157673230124</v>
      </c>
      <c r="BQ34" s="42">
        <f t="shared" si="8"/>
        <v>0.18302118735989592</v>
      </c>
      <c r="BR34" s="42">
        <f t="shared" si="9"/>
        <v>0.45049921809214477</v>
      </c>
      <c r="BS34" s="42">
        <f t="shared" si="10"/>
        <v>6.114471644138586E-4</v>
      </c>
      <c r="BT34" s="42">
        <f t="shared" si="11"/>
        <v>0.37909358207441946</v>
      </c>
      <c r="BU34" s="42">
        <f t="shared" si="12"/>
        <v>-9.3366093366093361E-2</v>
      </c>
      <c r="BV34" s="68" cm="1">
        <f t="array" ref="BV34">_xll.ciqfunctions.udf.CIQ(B$3,$BV$1,$BV$2,$A34,"L",,"USD","H")/100</f>
        <v>4.4771999999999999E-2</v>
      </c>
      <c r="BW34" s="68" cm="1">
        <f t="array" ref="BW34">_xll.ciqfunctions.udf.CIQ(C$3,$BV$1,$BV$2,$A34,"L",,"USD","H")/100</f>
        <v>2.3016000000000002E-2</v>
      </c>
      <c r="BX34" s="68" cm="1">
        <f t="array" ref="BX34">_xll.ciqfunctions.udf.CIQ(D$3,$BV$1,$BV$2,$A34,"L",,"USD","H")/100</f>
        <v>3.1924000000000001E-2</v>
      </c>
      <c r="BY34" s="68" cm="1">
        <f t="array" ref="BY34">_xll.ciqfunctions.udf.CIQ(E$3,$BV$1,$BV$2,$A34,"L",,"USD","H")/100</f>
        <v>9.4296000000000005E-2</v>
      </c>
      <c r="BZ34" s="68" cm="1">
        <f t="array" ref="BZ34">_xll.ciqfunctions.udf.CIQ(F$3,$BV$1,$BV$2,$A34,"L",,"USD","H")/100</f>
        <v>1.5592E-2</v>
      </c>
      <c r="CA34" s="68" cm="1">
        <f t="array" ref="CA34">_xll.ciqfunctions.udf.CIQ(G$3,$BV$1,$BV$2,$A34,"L",,"USD","H")/100</f>
        <v>-4.0928000000000006E-2</v>
      </c>
      <c r="CB34" s="68" cm="1">
        <f t="array" ref="CB34">_xll.ciqfunctions.udf.CIQ(B$3,$BV$1,$CB$2,$A34,"L",,"USD","H")/100</f>
        <v>-3.397E-2</v>
      </c>
      <c r="CC34" s="68" cm="1">
        <f t="array" ref="CC34">_xll.ciqfunctions.udf.CIQ(C$3,$BV$1,$CB$2,$A34,"L",,"USD","H")/100</f>
        <v>3.1073E-2</v>
      </c>
      <c r="CD34" s="68" cm="1">
        <f t="array" ref="CD34">_xll.ciqfunctions.udf.CIQ(D$3,$BV$1,$CB$2,$A34,"L",,"USD","H")/100</f>
        <v>1.0011000000000001E-2</v>
      </c>
      <c r="CE34" s="68" cm="1">
        <f t="array" ref="CE34">_xll.ciqfunctions.udf.CIQ(E$3,$BV$1,$CB$2,$A34,"L",,"USD","H")/100</f>
        <v>0.12698700000000002</v>
      </c>
      <c r="CF34" s="68" cm="1">
        <f t="array" ref="CF34">_xll.ciqfunctions.udf.CIQ(F$3,$BV$1,$CB$2,$A34,"L",,"USD","H")/100</f>
        <v>-1.3942000000000001E-2</v>
      </c>
      <c r="CG34" s="68" cm="1">
        <f t="array" ref="CG34">_xll.ciqfunctions.udf.CIQ(G$3,$BV$1,$CB$2,$A34,"L",,"USD","H")/100</f>
        <v>1.2024E-2</v>
      </c>
    </row>
    <row r="35" spans="1:85" x14ac:dyDescent="0.45">
      <c r="A35" s="3">
        <f t="shared" si="13"/>
        <v>43100</v>
      </c>
      <c r="B35" s="14" cm="1">
        <f t="array" ref="B35">_xll.ciqfunctions.udf.CIQ(B$3,$B$1,$B$2,$A35,"L",,"USD","H")</f>
        <v>8317</v>
      </c>
      <c r="C35" s="38" cm="1">
        <f t="array" ref="C35">_xll.ciqfunctions.udf.CIQ(C$3,$B$1,$B$2,$A35,"L",,"USD","H")</f>
        <v>65312</v>
      </c>
      <c r="D35" s="38" cm="1">
        <f t="array" ref="D35">_xll.ciqfunctions.udf.CIQ(D$3,$B$1,$B$2,$A35,"L",,"USD","H")</f>
        <v>34507</v>
      </c>
      <c r="E35" s="38" cm="1">
        <f t="array" ref="E35">_xll.ciqfunctions.udf.CIQ(E$3,$B$1,$B$2,$A35,"L",,"USD","H")</f>
        <v>3450.6909999999998</v>
      </c>
      <c r="F35" s="38" cm="1">
        <f t="array" ref="F35">_xll.ciqfunctions.udf.CIQ(F$3,$B$1,$B$2,$A35,"L",,"USD","H")</f>
        <v>67305</v>
      </c>
      <c r="G35" s="38" cm="1">
        <f t="array" ref="G35">_xll.ciqfunctions.udf.CIQ(G$3,$B$1,$B$2,$A35,"L",,"USD","H")</f>
        <v>2328</v>
      </c>
      <c r="H35" s="40" cm="1">
        <f t="array" ref="H35">_xll.ciqfunctions.udf.CIQ(B$3,$B$1,$H$2,$A35,"L",,"USD","H")</f>
        <v>29878</v>
      </c>
      <c r="I35" s="40" cm="1">
        <f t="array" ref="I35">_xll.ciqfunctions.udf.CIQ(C$3,$B$1,$H$2,$A35,"L",,"USD","H")</f>
        <v>237162</v>
      </c>
      <c r="J35" s="40" cm="1">
        <f t="array" ref="J35">_xll.ciqfunctions.udf.CIQ(D$3,$B$1,$H$2,$A35,"L",,"USD","H")</f>
        <v>127485</v>
      </c>
      <c r="K35" s="40" cm="1">
        <f t="array" ref="K35">_xll.ciqfunctions.udf.CIQ(E$3,$B$1,$H$2,$A35,"L",,"USD","H")</f>
        <v>11287.588</v>
      </c>
      <c r="L35" s="40" cm="1">
        <f t="array" ref="L35">_xll.ciqfunctions.udf.CIQ(F$3,$B$1,$H$2,$A35,"L",,"USD","H")</f>
        <v>238433</v>
      </c>
      <c r="M35" s="40" cm="1">
        <f t="array" ref="M35">_xll.ciqfunctions.udf.CIQ(G$3,$B$1,$H$2,$A35,"L",,"USD","H")</f>
        <v>6340</v>
      </c>
      <c r="N35" s="13" cm="1">
        <f t="array" ref="N35">_xll.ciqfunctions.udf.CIQ(B$3,$N$1,$B$2,$A35,"L",,"USD","H")</f>
        <v>18.984200000000001</v>
      </c>
      <c r="O35" s="13" cm="1">
        <f t="array" ref="O35">_xll.ciqfunctions.udf.CIQ(C$3,$N$1,$B$2,$A35,"L",,"USD","H")</f>
        <v>17.229299999999999</v>
      </c>
      <c r="P35" s="13" cm="1">
        <f t="array" ref="P35">_xll.ciqfunctions.udf.CIQ(D$3,$N$1,$B$2,$A35,"L",,"USD","H")</f>
        <v>21.311299999999999</v>
      </c>
      <c r="Q35" s="13" cm="1">
        <f t="array" ref="Q35">_xll.ciqfunctions.udf.CIQ(E$3,$N$1,$B$2,$A35,"L",,"USD","H")</f>
        <v>45.981099999999998</v>
      </c>
      <c r="R35" s="13" cm="1">
        <f t="array" ref="R35">_xll.ciqfunctions.udf.CIQ(F$3,$N$1,$B$2,$A35,"L",,"USD","H")</f>
        <v>31.632400000000001</v>
      </c>
      <c r="S35" s="13" cm="1">
        <f t="array" ref="S35">_xll.ciqfunctions.udf.CIQ(G$3,$N$1,$B$2,$A35,"L",,"USD","H")</f>
        <v>-15.067500000000001</v>
      </c>
      <c r="T35" s="94">
        <v>45835</v>
      </c>
      <c r="U35" s="41" cm="1">
        <f t="array" ref="U35">_xll.ciqfunctions.udf.CIQ(O$3,$N$1,$T$2,$A35,"L",,"USD","H")</f>
        <v>18.209800000000001</v>
      </c>
      <c r="V35" s="41" cm="1">
        <f t="array" ref="V35">_xll.ciqfunctions.udf.CIQ(P$3,$N$1,$T$2,$A35,"L",,"USD","H")</f>
        <v>23.400400000000001</v>
      </c>
      <c r="W35" s="41" cm="1">
        <f t="array" ref="W35">_xll.ciqfunctions.udf.CIQ(Q$3,$N$1,$T$2,$A35,"L",,"USD","H")</f>
        <v>49.615299999999998</v>
      </c>
      <c r="X35" s="41" cm="1">
        <f t="array" ref="X35">_xll.ciqfunctions.udf.CIQ(R$3,$N$1,$T$2,$A35,"L",,"USD","H")</f>
        <v>30.773599999999998</v>
      </c>
      <c r="Y35" s="41" cm="1">
        <f t="array" ref="Y35">_xll.ciqfunctions.udf.CIQ(S$3,$N$1,$T$2,$A35,"L",,"USD","H")</f>
        <v>-3.9975999999999998</v>
      </c>
      <c r="Z35" s="38" cm="1">
        <f t="array" ref="Z35">_xll.ciqfunctions.udf.CIQ(B$3,$Z$1,$B$2,$A35,"L",,"USD","H")</f>
        <v>1579</v>
      </c>
      <c r="AA35" s="38" cm="1">
        <f t="array" ref="AA35">_xll.ciqfunctions.udf.CIQ(C$3,$Z$1,$B$2,$A35,"L",,"USD","H")</f>
        <v>8380</v>
      </c>
      <c r="AB35" s="38" cm="1">
        <f t="array" ref="AB35">_xll.ciqfunctions.udf.CIQ(D$3,$Z$1,$B$2,$A35,"L",,"USD","H")</f>
        <v>3111</v>
      </c>
      <c r="AC35" s="38" cm="1">
        <f t="array" ref="AC35">_xll.ciqfunctions.udf.CIQ(E$3,$Z$1,$B$2,$A35,"L",,"USD","H")</f>
        <v>2430.4679999999998</v>
      </c>
      <c r="AD35" s="38" cm="1">
        <f t="array" ref="AD35">_xll.ciqfunctions.udf.CIQ(F$3,$Z$1,$B$2,$A35,"L",,"USD","H")</f>
        <v>27</v>
      </c>
      <c r="AE35" s="38" cm="1">
        <f t="array" ref="AE35">_xll.ciqfunctions.udf.CIQ(G$3,$Z$1,$B$2,$A35,"L",,"USD","H")</f>
        <v>183</v>
      </c>
      <c r="AF35" s="40" cm="1">
        <f t="array" ref="AF35">_xll.ciqfunctions.udf.CIQ(B$3,$Z$1,$H$2,$A35,"L",,"USD","H")</f>
        <v>-855</v>
      </c>
      <c r="AG35" s="40" cm="1">
        <f t="array" ref="AG35">_xll.ciqfunctions.udf.CIQ(C$3,$Z$1,$H$2,$A35,"L",,"USD","H")</f>
        <v>19710</v>
      </c>
      <c r="AH35" s="40" cm="1">
        <f t="array" ref="AH35">_xll.ciqfunctions.udf.CIQ(D$3,$Z$1,$H$2,$A35,"L",,"USD","H")</f>
        <v>9195</v>
      </c>
      <c r="AI35" s="40" cm="1">
        <f t="array" ref="AI35">_xll.ciqfunctions.udf.CIQ(E$3,$Z$1,$H$2,$A35,"L",,"USD","H")</f>
        <v>2582.5790000000002</v>
      </c>
      <c r="AJ35" s="40" cm="1">
        <f t="array" ref="AJ35">_xll.ciqfunctions.udf.CIQ(F$3,$Z$1,$H$2,$A35,"L",,"USD","H")</f>
        <v>3389</v>
      </c>
      <c r="AK35" s="40" cm="1">
        <f t="array" ref="AK35">_xll.ciqfunctions.udf.CIQ(G$3,$Z$1,$H$2,$A35,"L",,"USD","H")</f>
        <v>898</v>
      </c>
      <c r="AL35" s="13" t="str" cm="1">
        <f t="array" ref="AL35">_xll.ciqfunctions.udf.CIQ(B$3,$AL$1,$AL$2,$A35,"L",,"USD","H")</f>
        <v>NM</v>
      </c>
      <c r="AM35" s="13" cm="1">
        <f t="array" ref="AM35">_xll.ciqfunctions.udf.CIQ(C$3,$AL$1,$AL$2,$A35,"L",,"USD","H")</f>
        <v>398.80950000000001</v>
      </c>
      <c r="AN35" s="13" cm="1">
        <f t="array" ref="AN35">_xll.ciqfunctions.udf.CIQ(D$3,$AL$1,$AL$2,$A35,"L",,"USD","H")</f>
        <v>649.63850000000002</v>
      </c>
      <c r="AO35" s="13" t="str" cm="1">
        <f t="array" ref="AO35">_xll.ciqfunctions.udf.CIQ(E$3,$AL$1,$AL$2,$A35,"L",,"USD","H")</f>
        <v>NM</v>
      </c>
      <c r="AP35" s="13" cm="1">
        <f t="array" ref="AP35">_xll.ciqfunctions.udf.CIQ(F$3,$AL$1,$AL$2,$A35,"L",,"USD","H")</f>
        <v>-94.567499999999995</v>
      </c>
      <c r="AQ35" s="13" cm="1">
        <f t="array" ref="AQ35">_xll.ciqfunctions.udf.CIQ(G$3,$AL$1,$AL$2,$A35,"L",,"USD","H")</f>
        <v>-92.898799999999994</v>
      </c>
      <c r="AR35" s="41" t="str" cm="1">
        <f t="array" ref="AR35">_xll.ciqfunctions.udf.CIQ(B$3,$AL$1,$AR$2,$A35,"L",,"USD","H")</f>
        <v>NM</v>
      </c>
      <c r="AS35" s="41" cm="1">
        <f t="array" ref="AS35">_xll.ciqfunctions.udf.CIQ(C$3,$AL$1,$AR$2,$A35,"L",,"USD","H")</f>
        <v>151.40299999999999</v>
      </c>
      <c r="AT35" s="41" t="str" cm="1">
        <f t="array" ref="AT35">_xll.ciqfunctions.udf.CIQ(D$3,$AL$1,$AR$2,$A35,"L",,"USD","H")</f>
        <v>NM</v>
      </c>
      <c r="AU35" s="41" t="str" cm="1">
        <f t="array" ref="AU35">_xll.ciqfunctions.udf.CIQ(E$3,$AL$1,$AR$2,$A35,"L",,"USD","H")</f>
        <v>NM</v>
      </c>
      <c r="AV35" s="41" cm="1">
        <f t="array" ref="AV35">_xll.ciqfunctions.udf.CIQ(F$3,$AL$1,$AR$2,$A35,"L",,"USD","H")</f>
        <v>2846.9564999999998</v>
      </c>
      <c r="AW35" s="41" t="str" cm="1">
        <f t="array" ref="AW35">_xll.ciqfunctions.udf.CIQ(G$3,$AL$1,$AR$2,$A35,"L",,"USD","H")</f>
        <v>NM</v>
      </c>
      <c r="AX35" s="38" cm="1">
        <f t="array" ref="AX35">_xll.ciqfunctions.udf.CIQ(B$3,$AX$1,$AX$2,$A35,"L",,"USD","H")</f>
        <v>3039</v>
      </c>
      <c r="AY35" s="38" cm="1">
        <f t="array" ref="AY35">_xll.ciqfunctions.udf.CIQ(C$3,$AX$1,$AX$2,$A35,"L",,"USD","H")</f>
        <v>7842</v>
      </c>
      <c r="AZ35" s="38" cm="1">
        <f t="array" ref="AZ35">_xll.ciqfunctions.udf.CIQ(D$3,$AX$1,$AX$2,$A35,"L",,"USD","H")</f>
        <v>5193</v>
      </c>
      <c r="BA35" s="38" cm="1">
        <f t="array" ref="BA35">_xll.ciqfunctions.udf.CIQ(E$3,$AX$1,$AX$2,$A35,"L",,"USD","H")</f>
        <v>1576.319</v>
      </c>
      <c r="BB35" s="38" cm="1">
        <f t="array" ref="BB35">_xll.ciqfunctions.udf.CIQ(F$3,$AX$1,$AX$2,$A35,"L",,"USD","H")</f>
        <v>6684</v>
      </c>
      <c r="BC35" s="38" cm="1">
        <f t="array" ref="BC35">_xll.ciqfunctions.udf.CIQ(G$3,$AX$1,$AX$2,$A35,"L",,"USD","H")</f>
        <v>703</v>
      </c>
      <c r="BD35" s="40" cm="1">
        <f t="array" ref="BD35">_xll.ciqfunctions.udf.CIQ(B$3,$AX$1,$BD$2,$A35,"L",,"USD","H")</f>
        <v>9696</v>
      </c>
      <c r="BE35" s="40" cm="1">
        <f t="array" ref="BE35">_xll.ciqfunctions.udf.CIQ(C$3,$AX$1,$BD$2,$A35,"L",,"USD","H")</f>
        <v>31967</v>
      </c>
      <c r="BF35" s="40" cm="1">
        <f t="array" ref="BF35">_xll.ciqfunctions.udf.CIQ(D$3,$AX$1,$BD$2,$A35,"L",,"USD","H")</f>
        <v>21866</v>
      </c>
      <c r="BG35" s="40">
        <f>_xll.ciqfunctions.udf.CIQ("COP", "IQ_PRICEDATE", "6/6/2025")</f>
        <v>45814</v>
      </c>
      <c r="BH35" s="40" cm="1">
        <f t="array" ref="BH35">_xll.ciqfunctions.udf.CIQ(F$3,$AX$1,$BD$2,$A35,"L",,"USD","H")</f>
        <v>25820</v>
      </c>
      <c r="BI35" s="40" cm="1">
        <f t="array" ref="BI35">_xll.ciqfunctions.udf.CIQ(G$3,$AX$1,$BD$2,$A35,"L",,"USD","H")</f>
        <v>1394</v>
      </c>
      <c r="BJ35" s="43">
        <f t="shared" si="1"/>
        <v>0.56568778979907264</v>
      </c>
      <c r="BK35" s="43">
        <f t="shared" si="2"/>
        <v>0.32488596046629503</v>
      </c>
      <c r="BL35" s="43">
        <f t="shared" si="3"/>
        <v>0.46819338422391854</v>
      </c>
      <c r="BM35" s="43">
        <f t="shared" si="4"/>
        <v>0.69142195549327279</v>
      </c>
      <c r="BN35" s="43">
        <f t="shared" si="5"/>
        <v>0.57902197023387658</v>
      </c>
      <c r="BO35" s="43">
        <f t="shared" si="6"/>
        <v>1.7142857142857144</v>
      </c>
      <c r="BP35" s="42">
        <f t="shared" si="7"/>
        <v>0.97837176086512967</v>
      </c>
      <c r="BQ35" s="42">
        <f t="shared" si="8"/>
        <v>0.37527964205816544</v>
      </c>
      <c r="BR35" s="42">
        <f t="shared" si="9"/>
        <v>0.63679916161389327</v>
      </c>
      <c r="BS35" s="42">
        <f t="shared" si="10"/>
        <v>6.1154064561219634E-4</v>
      </c>
      <c r="BT35" s="42">
        <f t="shared" si="11"/>
        <v>0.59117520182412031</v>
      </c>
      <c r="BU35" s="42">
        <f t="shared" si="12"/>
        <v>9.8502758077226193E-2</v>
      </c>
      <c r="BV35" s="68" cm="1">
        <f t="array" ref="BV35">_xll.ciqfunctions.udf.CIQ(B$3,$BV$1,$BV$2,$A35,"L",,"USD","H")/100</f>
        <v>9.8607999999999987E-2</v>
      </c>
      <c r="BW35" s="68" cm="1">
        <f t="array" ref="BW35">_xll.ciqfunctions.udf.CIQ(C$3,$BV$1,$BV$2,$A35,"L",,"USD","H")/100</f>
        <v>8.7276000000000006E-2</v>
      </c>
      <c r="BX35" s="68" cm="1">
        <f t="array" ref="BX35">_xll.ciqfunctions.udf.CIQ(D$3,$BV$1,$BV$2,$A35,"L",,"USD","H")/100</f>
        <v>2.2688E-2</v>
      </c>
      <c r="BY35" s="68" cm="1">
        <f t="array" ref="BY35">_xll.ciqfunctions.udf.CIQ(E$3,$BV$1,$BV$2,$A35,"L",,"USD","H")/100</f>
        <v>0.43428800000000001</v>
      </c>
      <c r="BZ35" s="68" cm="1">
        <f t="array" ref="BZ35">_xll.ciqfunctions.udf.CIQ(F$3,$BV$1,$BV$2,$A35,"L",,"USD","H")/100</f>
        <v>-3.8803999999999998E-2</v>
      </c>
      <c r="CA35" s="68" cm="1">
        <f t="array" ref="CA35">_xll.ciqfunctions.udf.CIQ(G$3,$BV$1,$BV$2,$A35,"L",,"USD","H")/100</f>
        <v>2.7812E-2</v>
      </c>
      <c r="CB35" s="68" cm="1">
        <f t="array" ref="CB35">_xll.ciqfunctions.udf.CIQ(B$3,$BV$1,$CB$2,$A35,"L",,"USD","H")/100</f>
        <v>-3.8227999999999998E-2</v>
      </c>
      <c r="CC35" s="68" cm="1">
        <f t="array" ref="CC35">_xll.ciqfunctions.udf.CIQ(C$3,$BV$1,$CB$2,$A35,"L",,"USD","H")/100</f>
        <v>2.9592E-2</v>
      </c>
      <c r="CD35" s="68" cm="1">
        <f t="array" ref="CD35">_xll.ciqfunctions.udf.CIQ(D$3,$BV$1,$CB$2,$A35,"L",,"USD","H")/100</f>
        <v>5.581E-3</v>
      </c>
      <c r="CE35" s="68" cm="1">
        <f t="array" ref="CE35">_xll.ciqfunctions.udf.CIQ(E$3,$BV$1,$CB$2,$A35,"L",,"USD","H")/100</f>
        <v>0.100647</v>
      </c>
      <c r="CF35" s="68" cm="1">
        <f t="array" ref="CF35">_xll.ciqfunctions.udf.CIQ(F$3,$BV$1,$CB$2,$A35,"L",,"USD","H")/100</f>
        <v>-1.7302999999999999E-2</v>
      </c>
      <c r="CG35" s="68" cm="1">
        <f t="array" ref="CG35">_xll.ciqfunctions.udf.CIQ(G$3,$BV$1,$CB$2,$A35,"L",,"USD","H")/100</f>
        <v>3.5085999999999999E-2</v>
      </c>
    </row>
    <row r="36" spans="1:85" x14ac:dyDescent="0.45">
      <c r="A36" s="3">
        <f>EDATE(A32,-12)</f>
        <v>43008</v>
      </c>
      <c r="B36" s="14" cm="1">
        <f t="array" ref="B36">_xll.ciqfunctions.udf.CIQ(B$3,$B$1,$B$2,$A36,"L",,"USD","H")</f>
        <v>6884</v>
      </c>
      <c r="C36" s="38" cm="1">
        <f t="array" ref="C36">_xll.ciqfunctions.udf.CIQ(C$3,$B$1,$B$2,$A36,"L",,"USD","H")</f>
        <v>59350</v>
      </c>
      <c r="D36" s="38" cm="1">
        <f t="array" ref="D36">_xll.ciqfunctions.udf.CIQ(D$3,$B$1,$B$2,$A36,"L",,"USD","H")</f>
        <v>32025</v>
      </c>
      <c r="E36" s="38" cm="1">
        <f t="array" ref="E36">_xll.ciqfunctions.udf.CIQ(E$3,$B$1,$B$2,$A36,"L",,"USD","H")</f>
        <v>2659.652</v>
      </c>
      <c r="F36" s="38" cm="1">
        <f t="array" ref="F36">_xll.ciqfunctions.udf.CIQ(F$3,$B$1,$B$2,$A36,"L",,"USD","H")</f>
        <v>59569</v>
      </c>
      <c r="G36" s="38" cm="1">
        <f t="array" ref="G36">_xll.ciqfunctions.udf.CIQ(G$3,$B$1,$B$2,$A36,"L",,"USD","H")</f>
        <v>1887</v>
      </c>
      <c r="H36" s="40" cm="1">
        <f t="array" ref="H36">_xll.ciqfunctions.udf.CIQ(B$3,$B$1,$H$2,$A36,"L",,"USD","H")</f>
        <v>28551</v>
      </c>
      <c r="I36" s="40" cm="1">
        <f t="array" ref="I36">_xll.ciqfunctions.udf.CIQ(C$3,$B$1,$H$2,$A36,"L",,"USD","H")</f>
        <v>227563</v>
      </c>
      <c r="J36" s="40" cm="1">
        <f t="array" ref="J36">_xll.ciqfunctions.udf.CIQ(D$3,$B$1,$H$2,$A36,"L",,"USD","H")</f>
        <v>121423</v>
      </c>
      <c r="K36" s="40" cm="1">
        <f t="array" ref="K36">_xll.ciqfunctions.udf.CIQ(E$3,$B$1,$H$2,$A36,"L",,"USD","H")</f>
        <v>10200.689</v>
      </c>
      <c r="L36" s="40" cm="1">
        <f t="array" ref="L36">_xll.ciqfunctions.udf.CIQ(F$3,$B$1,$H$2,$A36,"L",,"USD","H")</f>
        <v>222259</v>
      </c>
      <c r="M36" s="40" cm="1">
        <f t="array" ref="M36">_xll.ciqfunctions.udf.CIQ(G$3,$B$1,$H$2,$A36,"L",,"USD","H")</f>
        <v>9097</v>
      </c>
      <c r="N36" s="13" cm="1">
        <f t="array" ref="N36">_xll.ciqfunctions.udf.CIQ(B$3,$N$1,$B$2,$A36,"L",,"USD","H")</f>
        <v>8.3240999999999996</v>
      </c>
      <c r="O36" s="13" cm="1">
        <f t="array" ref="O36">_xll.ciqfunctions.udf.CIQ(C$3,$N$1,$B$2,$A36,"L",,"USD","H")</f>
        <v>13.8347</v>
      </c>
      <c r="P36" s="13" cm="1">
        <f t="array" ref="P36">_xll.ciqfunctions.udf.CIQ(D$3,$N$1,$B$2,$A36,"L",,"USD","H")</f>
        <v>16.934999999999999</v>
      </c>
      <c r="Q36" s="13" cm="1">
        <f t="array" ref="Q36">_xll.ciqfunctions.udf.CIQ(E$3,$N$1,$B$2,$A36,"L",,"USD","H")</f>
        <v>32.638800000000003</v>
      </c>
      <c r="R36" s="13" cm="1">
        <f t="array" ref="R36">_xll.ciqfunctions.udf.CIQ(F$3,$N$1,$B$2,$A36,"L",,"USD","H")</f>
        <v>27.189</v>
      </c>
      <c r="S36" s="13" cm="1">
        <f t="array" ref="S36">_xll.ciqfunctions.udf.CIQ(G$3,$N$1,$B$2,$A36,"L",,"USD","H")</f>
        <v>-31.729399999999998</v>
      </c>
      <c r="T36" s="94">
        <v>45828</v>
      </c>
      <c r="U36" s="41" cm="1">
        <f t="array" ref="U36">_xll.ciqfunctions.udf.CIQ(O$3,$N$1,$T$2,$A36,"L",,"USD","H")</f>
        <v>14.7951</v>
      </c>
      <c r="V36" s="41" cm="1">
        <f t="array" ref="V36">_xll.ciqfunctions.udf.CIQ(P$3,$N$1,$T$2,$A36,"L",,"USD","H")</f>
        <v>20.028199999999998</v>
      </c>
      <c r="W36" s="41" cm="1">
        <f t="array" ref="W36">_xll.ciqfunctions.udf.CIQ(Q$3,$N$1,$T$2,$A36,"L",,"USD","H")</f>
        <v>46.224200000000003</v>
      </c>
      <c r="X36" s="41" cm="1">
        <f t="array" ref="X36">_xll.ciqfunctions.udf.CIQ(R$3,$N$1,$T$2,$A36,"L",,"USD","H")</f>
        <v>22.923300000000001</v>
      </c>
      <c r="Y36" s="41" cm="1">
        <f t="array" ref="Y36">_xll.ciqfunctions.udf.CIQ(S$3,$N$1,$T$2,$A36,"L",,"USD","H")</f>
        <v>-10.7</v>
      </c>
      <c r="Z36" s="38" cm="1">
        <f t="array" ref="Z36">_xll.ciqfunctions.udf.CIQ(B$3,$Z$1,$B$2,$A36,"L",,"USD","H")</f>
        <v>420</v>
      </c>
      <c r="AA36" s="38" cm="1">
        <f t="array" ref="AA36">_xll.ciqfunctions.udf.CIQ(C$3,$Z$1,$B$2,$A36,"L",,"USD","H")</f>
        <v>3970</v>
      </c>
      <c r="AB36" s="38" cm="1">
        <f t="array" ref="AB36">_xll.ciqfunctions.udf.CIQ(D$3,$Z$1,$B$2,$A36,"L",,"USD","H")</f>
        <v>1952</v>
      </c>
      <c r="AC36" s="38" cm="1">
        <f t="array" ref="AC36">_xll.ciqfunctions.udf.CIQ(E$3,$Z$1,$B$2,$A36,"L",,"USD","H")</f>
        <v>100.541</v>
      </c>
      <c r="AD36" s="38" cm="1">
        <f t="array" ref="AD36">_xll.ciqfunctions.udf.CIQ(F$3,$Z$1,$B$2,$A36,"L",,"USD","H")</f>
        <v>1769</v>
      </c>
      <c r="AE36" s="38" cm="1">
        <f t="array" ref="AE36">_xll.ciqfunctions.udf.CIQ(G$3,$Z$1,$B$2,$A36,"L",,"USD","H")</f>
        <v>193</v>
      </c>
      <c r="AF36" s="40" cm="1">
        <f t="array" ref="AF36">_xll.ciqfunctions.udf.CIQ(B$3,$Z$1,$H$2,$A36,"L",,"USD","H")</f>
        <v>-2469</v>
      </c>
      <c r="AG36" s="40" cm="1">
        <f t="array" ref="AG36">_xll.ciqfunctions.udf.CIQ(C$3,$Z$1,$H$2,$A36,"L",,"USD","H")</f>
        <v>13010</v>
      </c>
      <c r="AH36" s="40" cm="1">
        <f t="array" ref="AH36">_xll.ciqfunctions.udf.CIQ(D$3,$Z$1,$H$2,$A36,"L",,"USD","H")</f>
        <v>6499</v>
      </c>
      <c r="AI36" s="40" cm="1">
        <f t="array" ref="AI36">_xll.ciqfunctions.udf.CIQ(E$3,$Z$1,$H$2,$A36,"L",,"USD","H")</f>
        <v>9.7590000000000003</v>
      </c>
      <c r="AJ36" s="40" cm="1">
        <f t="array" ref="AJ36">_xll.ciqfunctions.udf.CIQ(F$3,$Z$1,$H$2,$A36,"L",,"USD","H")</f>
        <v>3859</v>
      </c>
      <c r="AK36" s="40" cm="1">
        <f t="array" ref="AK36">_xll.ciqfunctions.udf.CIQ(G$3,$Z$1,$H$2,$A36,"L",,"USD","H")</f>
        <v>3292</v>
      </c>
      <c r="AL36" s="13" t="str" cm="1">
        <f t="array" ref="AL36">_xll.ciqfunctions.udf.CIQ(B$3,$AL$1,$AL$2,$A36,"L",,"USD","H")</f>
        <v>NM</v>
      </c>
      <c r="AM36" s="13" cm="1">
        <f t="array" ref="AM36">_xll.ciqfunctions.udf.CIQ(C$3,$AL$1,$AL$2,$A36,"L",,"USD","H")</f>
        <v>49.811300000000003</v>
      </c>
      <c r="AN36" s="13" cm="1">
        <f t="array" ref="AN36">_xll.ciqfunctions.udf.CIQ(D$3,$AL$1,$AL$2,$A36,"L",,"USD","H")</f>
        <v>52.1434</v>
      </c>
      <c r="AO36" s="13" t="str" cm="1">
        <f t="array" ref="AO36">_xll.ciqfunctions.udf.CIQ(E$3,$AL$1,$AL$2,$A36,"L",,"USD","H")</f>
        <v>NM</v>
      </c>
      <c r="AP36" s="13" cm="1">
        <f t="array" ref="AP36">_xll.ciqfunctions.udf.CIQ(F$3,$AL$1,$AL$2,$A36,"L",,"USD","H")</f>
        <v>9.1974999999999998</v>
      </c>
      <c r="AQ36" s="13" cm="1">
        <f t="array" ref="AQ36">_xll.ciqfunctions.udf.CIQ(G$3,$AL$1,$AL$2,$A36,"L",,"USD","H")</f>
        <v>-80.563999999999993</v>
      </c>
      <c r="AR36" s="41" t="str" cm="1">
        <f t="array" ref="AR36">_xll.ciqfunctions.udf.CIQ(B$3,$AL$1,$AR$2,$A36,"L",,"USD","H")</f>
        <v>NM</v>
      </c>
      <c r="AS36" s="41" cm="1">
        <f t="array" ref="AS36">_xll.ciqfunctions.udf.CIQ(C$3,$AL$1,$AR$2,$A36,"L",,"USD","H")</f>
        <v>45.525700000000001</v>
      </c>
      <c r="AT36" s="41" t="str" cm="1">
        <f t="array" ref="AT36">_xll.ciqfunctions.udf.CIQ(D$3,$AL$1,$AR$2,$A36,"L",,"USD","H")</f>
        <v>NM</v>
      </c>
      <c r="AU36" s="41" t="str" cm="1">
        <f t="array" ref="AU36">_xll.ciqfunctions.udf.CIQ(E$3,$AL$1,$AR$2,$A36,"L",,"USD","H")</f>
        <v>NM</v>
      </c>
      <c r="AV36" s="41" t="str" cm="1">
        <f t="array" ref="AV36">_xll.ciqfunctions.udf.CIQ(F$3,$AL$1,$AR$2,$A36,"L",,"USD","H")</f>
        <v>NM</v>
      </c>
      <c r="AW36" s="41" t="str" cm="1">
        <f t="array" ref="AW36">_xll.ciqfunctions.udf.CIQ(G$3,$AL$1,$AR$2,$A36,"L",,"USD","H")</f>
        <v>NM</v>
      </c>
      <c r="AX36" s="38" cm="1">
        <f t="array" ref="AX36">_xll.ciqfunctions.udf.CIQ(B$3,$AX$1,$AX$2,$A36,"L",,"USD","H")</f>
        <v>2272</v>
      </c>
      <c r="AY36" s="38" cm="1">
        <f t="array" ref="AY36">_xll.ciqfunctions.udf.CIQ(C$3,$AX$1,$AX$2,$A36,"L",,"USD","H")</f>
        <v>8824</v>
      </c>
      <c r="AZ36" s="38" cm="1">
        <f t="array" ref="AZ36">_xll.ciqfunctions.udf.CIQ(D$3,$AX$1,$AX$2,$A36,"L",,"USD","H")</f>
        <v>5490</v>
      </c>
      <c r="BA36" s="38" cm="1">
        <f t="array" ref="BA36">_xll.ciqfunctions.udf.CIQ(E$3,$AX$1,$AX$2,$A36,"L",,"USD","H")</f>
        <v>1122.9369999999999</v>
      </c>
      <c r="BB36" s="38" cm="1">
        <f t="array" ref="BB36">_xll.ciqfunctions.udf.CIQ(F$3,$AX$1,$AX$2,$A36,"L",,"USD","H")</f>
        <v>6989</v>
      </c>
      <c r="BC36" s="38" cm="1">
        <f t="array" ref="BC36">_xll.ciqfunctions.udf.CIQ(G$3,$AX$1,$AX$2,$A36,"L",,"USD","H")</f>
        <v>427</v>
      </c>
      <c r="BD36" s="40" cm="1">
        <f t="array" ref="BD36">_xll.ciqfunctions.udf.CIQ(B$3,$AX$1,$BD$2,$A36,"L",,"USD","H")</f>
        <v>8666</v>
      </c>
      <c r="BE36" s="40" cm="1">
        <f t="array" ref="BE36">_xll.ciqfunctions.udf.CIQ(C$3,$AX$1,$BD$2,$A36,"L",,"USD","H")</f>
        <v>30044</v>
      </c>
      <c r="BF36" s="40" cm="1">
        <f t="array" ref="BF36">_xll.ciqfunctions.udf.CIQ(D$3,$AX$1,$BD$2,$A36,"L",,"USD","H")</f>
        <v>20210</v>
      </c>
      <c r="BG36" s="40">
        <f>_xll.ciqfunctions.udf.CIQ("COP", "IQ_PRICEDATE", "5/30/2025")</f>
        <v>45807</v>
      </c>
      <c r="BH36" s="40" cm="1">
        <f t="array" ref="BH36">_xll.ciqfunctions.udf.CIQ(F$3,$AX$1,$BD$2,$A36,"L",,"USD","H")</f>
        <v>23369</v>
      </c>
      <c r="BI36" s="40" cm="1">
        <f t="array" ref="BI36">_xll.ciqfunctions.udf.CIQ(G$3,$AX$1,$BD$2,$A36,"L",,"USD","H")</f>
        <v>2105</v>
      </c>
      <c r="BJ36" s="43">
        <f t="shared" si="1"/>
        <v>1.0542495479204339</v>
      </c>
      <c r="BK36" s="43">
        <f t="shared" si="2"/>
        <v>0.29119110330699449</v>
      </c>
      <c r="BL36" s="43">
        <f t="shared" si="3"/>
        <v>0.27112757582773783</v>
      </c>
      <c r="BM36" s="43">
        <f t="shared" si="4"/>
        <v>0.44742510153812032</v>
      </c>
      <c r="BN36" s="43">
        <f t="shared" si="5"/>
        <v>0.94625452520189368</v>
      </c>
      <c r="BO36" s="43">
        <f t="shared" si="6"/>
        <v>-0.4922711058263971</v>
      </c>
      <c r="BP36" s="42">
        <f t="shared" si="7"/>
        <v>1.3289438323031444</v>
      </c>
      <c r="BQ36" s="42">
        <f t="shared" si="8"/>
        <v>0.27035940803382674</v>
      </c>
      <c r="BR36" s="42">
        <f t="shared" si="9"/>
        <v>0.53350026557401931</v>
      </c>
      <c r="BS36" s="42">
        <f t="shared" si="10"/>
        <v>6.1163415539877697E-4</v>
      </c>
      <c r="BT36" s="42">
        <f t="shared" si="11"/>
        <v>0.54720603813559321</v>
      </c>
      <c r="BU36" s="42">
        <f t="shared" si="12"/>
        <v>-0.110312764158918</v>
      </c>
      <c r="BV36" s="68" cm="1">
        <f t="array" ref="BV36">_xll.ciqfunctions.udf.CIQ(B$3,$BV$1,$BV$2,$A36,"L",,"USD","H")/100</f>
        <v>7.2640000000000005E-3</v>
      </c>
      <c r="BW36" s="68" cm="1">
        <f t="array" ref="BW36">_xll.ciqfunctions.udf.CIQ(C$3,$BV$1,$BV$2,$A36,"L",,"USD","H")/100</f>
        <v>1.1904E-2</v>
      </c>
      <c r="BX36" s="68" cm="1">
        <f t="array" ref="BX36">_xll.ciqfunctions.udf.CIQ(D$3,$BV$1,$BV$2,$A36,"L",,"USD","H")/100</f>
        <v>-1.6800000000000001E-3</v>
      </c>
      <c r="BY36" s="68" cm="1">
        <f t="array" ref="BY36">_xll.ciqfunctions.udf.CIQ(E$3,$BV$1,$BV$2,$A36,"L",,"USD","H")/100</f>
        <v>8.2799999999999996E-4</v>
      </c>
      <c r="BZ36" s="68" cm="1">
        <f t="array" ref="BZ36">_xll.ciqfunctions.udf.CIQ(F$3,$BV$1,$BV$2,$A36,"L",,"USD","H")/100</f>
        <v>2.2720000000000001E-3</v>
      </c>
      <c r="CA36" s="68" cm="1">
        <f t="array" ref="CA36">_xll.ciqfunctions.udf.CIQ(G$3,$BV$1,$BV$2,$A36,"L",,"USD","H")/100</f>
        <v>2.9404E-2</v>
      </c>
      <c r="CB36" s="68" cm="1">
        <f t="array" ref="CB36">_xll.ciqfunctions.udf.CIQ(B$3,$BV$1,$CB$2,$A36,"L",,"USD","H")/100</f>
        <v>-6.4486000000000002E-2</v>
      </c>
      <c r="CC36" s="68" cm="1">
        <f t="array" ref="CC36">_xll.ciqfunctions.udf.CIQ(C$3,$BV$1,$CB$2,$A36,"L",,"USD","H")/100</f>
        <v>7.2800000000000002E-4</v>
      </c>
      <c r="CD36" s="68" cm="1">
        <f t="array" ref="CD36">_xll.ciqfunctions.udf.CIQ(D$3,$BV$1,$CB$2,$A36,"L",,"USD","H")/100</f>
        <v>-8.4450000000000011E-3</v>
      </c>
      <c r="CE36" s="68" cm="1">
        <f t="array" ref="CE36">_xll.ciqfunctions.udf.CIQ(E$3,$BV$1,$CB$2,$A36,"L",,"USD","H")/100</f>
        <v>-1.9216E-2</v>
      </c>
      <c r="CF36" s="68" cm="1">
        <f t="array" ref="CF36">_xll.ciqfunctions.udf.CIQ(F$3,$BV$1,$CB$2,$A36,"L",,"USD","H")/100</f>
        <v>-1.1639E-2</v>
      </c>
      <c r="CG36" s="68" cm="1">
        <f t="array" ref="CG36">_xll.ciqfunctions.udf.CIQ(G$3,$BV$1,$CB$2,$A36,"L",,"USD","H")/100</f>
        <v>0.14391199999999998</v>
      </c>
    </row>
    <row r="37" spans="1:85" x14ac:dyDescent="0.45">
      <c r="A37" s="3">
        <f t="shared" si="13"/>
        <v>42916</v>
      </c>
      <c r="B37" s="14" cm="1">
        <f t="array" ref="B37">_xll.ciqfunctions.udf.CIQ(B$3,$B$1,$B$2,$A37,"L",,"USD","H")</f>
        <v>6959</v>
      </c>
      <c r="C37" s="38" cm="1">
        <f t="array" ref="C37">_xll.ciqfunctions.udf.CIQ(C$3,$B$1,$B$2,$A37,"L",,"USD","H")</f>
        <v>56026</v>
      </c>
      <c r="D37" s="38" cm="1">
        <f t="array" ref="D37">_xll.ciqfunctions.udf.CIQ(D$3,$B$1,$B$2,$A37,"L",,"USD","H")</f>
        <v>31106</v>
      </c>
      <c r="E37" s="38" cm="1">
        <f t="array" ref="E37">_xll.ciqfunctions.udf.CIQ(E$3,$B$1,$B$2,$A37,"L",,"USD","H")</f>
        <v>2611.942</v>
      </c>
      <c r="F37" s="38" cm="1">
        <f t="array" ref="F37">_xll.ciqfunctions.udf.CIQ(F$3,$B$1,$B$2,$A37,"L",,"USD","H")</f>
        <v>56164</v>
      </c>
      <c r="G37" s="38" cm="1">
        <f t="array" ref="G37">_xll.ciqfunctions.udf.CIQ(G$3,$B$1,$B$2,$A37,"L",,"USD","H")</f>
        <v>2124</v>
      </c>
      <c r="H37" s="40" cm="1">
        <f t="array" ref="H37">_xll.ciqfunctions.udf.CIQ(B$3,$B$1,$H$2,$A37,"L",,"USD","H")</f>
        <v>28022</v>
      </c>
      <c r="I37" s="40" cm="1">
        <f t="array" ref="I37">_xll.ciqfunctions.udf.CIQ(C$3,$B$1,$H$2,$A37,"L",,"USD","H")</f>
        <v>220350</v>
      </c>
      <c r="J37" s="40" cm="1">
        <f t="array" ref="J37">_xll.ciqfunctions.udf.CIQ(D$3,$B$1,$H$2,$A37,"L",,"USD","H")</f>
        <v>116785</v>
      </c>
      <c r="K37" s="40" cm="1">
        <f t="array" ref="K37">_xll.ciqfunctions.udf.CIQ(E$3,$B$1,$H$2,$A37,"L",,"USD","H")</f>
        <v>9546.2199999999993</v>
      </c>
      <c r="L37" s="40" cm="1">
        <f t="array" ref="L37">_xll.ciqfunctions.udf.CIQ(F$3,$B$1,$H$2,$A37,"L",,"USD","H")</f>
        <v>209525</v>
      </c>
      <c r="M37" s="40" cm="1">
        <f t="array" ref="M37">_xll.ciqfunctions.udf.CIQ(G$3,$B$1,$H$2,$A37,"L",,"USD","H")</f>
        <v>9974</v>
      </c>
      <c r="N37" s="13" cm="1">
        <f t="array" ref="N37">_xll.ciqfunctions.udf.CIQ(B$3,$N$1,$B$2,$A37,"L",,"USD","H")</f>
        <v>28.2056</v>
      </c>
      <c r="O37" s="13" cm="1">
        <f t="array" ref="O37">_xll.ciqfunctions.udf.CIQ(C$3,$N$1,$B$2,$A37,"L",,"USD","H")</f>
        <v>8.8178999999999998</v>
      </c>
      <c r="P37" s="13" cm="1">
        <f t="array" ref="P37">_xll.ciqfunctions.udf.CIQ(D$3,$N$1,$B$2,$A37,"L",,"USD","H")</f>
        <v>19.363</v>
      </c>
      <c r="Q37" s="13" cm="1">
        <f t="array" ref="Q37">_xll.ciqfunctions.udf.CIQ(E$3,$N$1,$B$2,$A37,"L",,"USD","H")</f>
        <v>42.288699999999999</v>
      </c>
      <c r="R37" s="13" cm="1">
        <f t="array" ref="R37">_xll.ciqfunctions.udf.CIQ(F$3,$N$1,$B$2,$A37,"L",,"USD","H")</f>
        <v>21.609200000000001</v>
      </c>
      <c r="S37" s="13" cm="1">
        <f t="array" ref="S37">_xll.ciqfunctions.udf.CIQ(G$3,$N$1,$B$2,$A37,"L",,"USD","H")</f>
        <v>-18.055599999999998</v>
      </c>
      <c r="T37" s="94">
        <v>45821</v>
      </c>
      <c r="U37" s="41" cm="1">
        <f t="array" ref="U37">_xll.ciqfunctions.udf.CIQ(O$3,$N$1,$T$2,$A37,"L",,"USD","H")</f>
        <v>6.9851999999999999</v>
      </c>
      <c r="V37" s="41" cm="1">
        <f t="array" ref="V37">_xll.ciqfunctions.udf.CIQ(P$3,$N$1,$T$2,$A37,"L",,"USD","H")</f>
        <v>11.4977</v>
      </c>
      <c r="W37" s="41" cm="1">
        <f t="array" ref="W37">_xll.ciqfunctions.udf.CIQ(Q$3,$N$1,$T$2,$A37,"L",,"USD","H")</f>
        <v>34.165599999999998</v>
      </c>
      <c r="X37" s="41" cm="1">
        <f t="array" ref="X37">_xll.ciqfunctions.udf.CIQ(R$3,$N$1,$T$2,$A37,"L",,"USD","H")</f>
        <v>10.3401</v>
      </c>
      <c r="Y37" s="41" cm="1">
        <f t="array" ref="Y37">_xll.ciqfunctions.udf.CIQ(S$3,$N$1,$T$2,$A37,"L",,"USD","H")</f>
        <v>-5.5671999999999997</v>
      </c>
      <c r="Z37" s="38" cm="1">
        <f t="array" ref="Z37">_xll.ciqfunctions.udf.CIQ(B$3,$Z$1,$B$2,$A37,"L",,"USD","H")</f>
        <v>-3440</v>
      </c>
      <c r="AA37" s="38" cm="1">
        <f t="array" ref="AA37">_xll.ciqfunctions.udf.CIQ(C$3,$Z$1,$B$2,$A37,"L",,"USD","H")</f>
        <v>3350</v>
      </c>
      <c r="AB37" s="38" cm="1">
        <f t="array" ref="AB37">_xll.ciqfunctions.udf.CIQ(D$3,$Z$1,$B$2,$A37,"L",,"USD","H")</f>
        <v>1450</v>
      </c>
      <c r="AC37" s="38" cm="1">
        <f t="array" ref="AC37">_xll.ciqfunctions.udf.CIQ(E$3,$Z$1,$B$2,$A37,"L",,"USD","H")</f>
        <v>23.053000000000001</v>
      </c>
      <c r="AD37" s="38" cm="1">
        <f t="array" ref="AD37">_xll.ciqfunctions.udf.CIQ(F$3,$Z$1,$B$2,$A37,"L",,"USD","H")</f>
        <v>144</v>
      </c>
      <c r="AE37" s="38" cm="1">
        <f t="array" ref="AE37">_xll.ciqfunctions.udf.CIQ(G$3,$Z$1,$B$2,$A37,"L",,"USD","H")</f>
        <v>219</v>
      </c>
      <c r="AF37" s="40" cm="1">
        <f t="array" ref="AF37">_xll.ciqfunctions.udf.CIQ(B$3,$Z$1,$H$2,$A37,"L",,"USD","H")</f>
        <v>-3929</v>
      </c>
      <c r="AG37" s="40" cm="1">
        <f t="array" ref="AG37">_xll.ciqfunctions.udf.CIQ(C$3,$Z$1,$H$2,$A37,"L",,"USD","H")</f>
        <v>11690</v>
      </c>
      <c r="AH37" s="40" cm="1">
        <f t="array" ref="AH37">_xll.ciqfunctions.udf.CIQ(D$3,$Z$1,$H$2,$A37,"L",,"USD","H")</f>
        <v>5830</v>
      </c>
      <c r="AI37" s="40" cm="1">
        <f t="array" ref="AI37">_xll.ciqfunctions.udf.CIQ(E$3,$Z$1,$H$2,$A37,"L",,"USD","H")</f>
        <v>-280.78199999999998</v>
      </c>
      <c r="AJ37" s="40" cm="1">
        <f t="array" ref="AJ37">_xll.ciqfunctions.udf.CIQ(F$3,$Z$1,$H$2,$A37,"L",,"USD","H")</f>
        <v>3710</v>
      </c>
      <c r="AK37" s="40" cm="1">
        <f t="array" ref="AK37">_xll.ciqfunctions.udf.CIQ(G$3,$Z$1,$H$2,$A37,"L",,"USD","H")</f>
        <v>4092</v>
      </c>
      <c r="AL37" s="13" t="str" cm="1">
        <f t="array" ref="AL37">_xll.ciqfunctions.udf.CIQ(B$3,$AL$1,$AL$2,$A37,"L",,"USD","H")</f>
        <v>NM</v>
      </c>
      <c r="AM37" s="13" cm="1">
        <f t="array" ref="AM37">_xll.ciqfunctions.udf.CIQ(C$3,$AL$1,$AL$2,$A37,"L",,"USD","H")</f>
        <v>97.058800000000005</v>
      </c>
      <c r="AN37" s="13" t="str" cm="1">
        <f t="array" ref="AN37">_xll.ciqfunctions.udf.CIQ(D$3,$AL$1,$AL$2,$A37,"L",,"USD","H")</f>
        <v>NM</v>
      </c>
      <c r="AO37" s="13" t="str" cm="1">
        <f t="array" ref="AO37">_xll.ciqfunctions.udf.CIQ(E$3,$AL$1,$AL$2,$A37,"L",,"USD","H")</f>
        <v>NM</v>
      </c>
      <c r="AP37" s="13" t="str" cm="1">
        <f t="array" ref="AP37">_xll.ciqfunctions.udf.CIQ(F$3,$AL$1,$AL$2,$A37,"L",,"USD","H")</f>
        <v>NM</v>
      </c>
      <c r="AQ37" s="13" t="str" cm="1">
        <f t="array" ref="AQ37">_xll.ciqfunctions.udf.CIQ(G$3,$AL$1,$AL$2,$A37,"L",,"USD","H")</f>
        <v>NM</v>
      </c>
      <c r="AR37" s="41" t="str" cm="1">
        <f t="array" ref="AR37">_xll.ciqfunctions.udf.CIQ(B$3,$AL$1,$AR$2,$A37,"L",,"USD","H")</f>
        <v>NM</v>
      </c>
      <c r="AS37" s="41" cm="1">
        <f t="array" ref="AS37">_xll.ciqfunctions.udf.CIQ(C$3,$AL$1,$AR$2,$A37,"L",,"USD","H")</f>
        <v>11.0161</v>
      </c>
      <c r="AT37" s="41" t="str" cm="1">
        <f t="array" ref="AT37">_xll.ciqfunctions.udf.CIQ(D$3,$AL$1,$AR$2,$A37,"L",,"USD","H")</f>
        <v>NM</v>
      </c>
      <c r="AU37" s="41" t="str" cm="1">
        <f t="array" ref="AU37">_xll.ciqfunctions.udf.CIQ(E$3,$AL$1,$AR$2,$A37,"L",,"USD","H")</f>
        <v>NM</v>
      </c>
      <c r="AV37" s="41" t="str" cm="1">
        <f t="array" ref="AV37">_xll.ciqfunctions.udf.CIQ(F$3,$AL$1,$AR$2,$A37,"L",,"USD","H")</f>
        <v>NM</v>
      </c>
      <c r="AW37" s="41" t="str" cm="1">
        <f t="array" ref="AW37">_xll.ciqfunctions.udf.CIQ(G$3,$AL$1,$AR$2,$A37,"L",,"USD","H")</f>
        <v>NM</v>
      </c>
      <c r="AX37" s="38" cm="1">
        <f t="array" ref="AX37">_xll.ciqfunctions.udf.CIQ(B$3,$AX$1,$AX$2,$A37,"L",,"USD","H")</f>
        <v>2195</v>
      </c>
      <c r="AY37" s="38" cm="1">
        <f t="array" ref="AY37">_xll.ciqfunctions.udf.CIQ(C$3,$AX$1,$AX$2,$A37,"L",,"USD","H")</f>
        <v>6915</v>
      </c>
      <c r="AZ37" s="38" cm="1">
        <f t="array" ref="AZ37">_xll.ciqfunctions.udf.CIQ(D$3,$AX$1,$AX$2,$A37,"L",,"USD","H")</f>
        <v>5708</v>
      </c>
      <c r="BA37" s="38" cm="1">
        <f t="array" ref="BA37">_xll.ciqfunctions.udf.CIQ(E$3,$AX$1,$AX$2,$A37,"L",,"USD","H")</f>
        <v>1081.1420000000001</v>
      </c>
      <c r="BB37" s="38" cm="1">
        <f t="array" ref="BB37">_xll.ciqfunctions.udf.CIQ(F$3,$AX$1,$AX$2,$A37,"L",,"USD","H")</f>
        <v>5504</v>
      </c>
      <c r="BC37" s="38" cm="1">
        <f t="array" ref="BC37">_xll.ciqfunctions.udf.CIQ(G$3,$AX$1,$AX$2,$A37,"L",,"USD","H")</f>
        <v>603</v>
      </c>
      <c r="BD37" s="40" cm="1">
        <f t="array" ref="BD37">_xll.ciqfunctions.udf.CIQ(B$3,$AX$1,$BD$2,$A37,"L",,"USD","H")</f>
        <v>7498</v>
      </c>
      <c r="BE37" s="40" cm="1">
        <f t="array" ref="BE37">_xll.ciqfunctions.udf.CIQ(C$3,$AX$1,$BD$2,$A37,"L",,"USD","H")</f>
        <v>28054</v>
      </c>
      <c r="BF37" s="40" cm="1">
        <f t="array" ref="BF37">_xll.ciqfunctions.udf.CIQ(D$3,$AX$1,$BD$2,$A37,"L",,"USD","H")</f>
        <v>19039</v>
      </c>
      <c r="BG37" s="40">
        <f>_xll.ciqfunctions.udf.CIQ("COP", "IQ_PRICEDATE", "5/23/2025")</f>
        <v>45800</v>
      </c>
      <c r="BH37" s="40" cm="1">
        <f t="array" ref="BH37">_xll.ciqfunctions.udf.CIQ(F$3,$AX$1,$BD$2,$A37,"L",,"USD","H")</f>
        <v>19971</v>
      </c>
      <c r="BI37" s="40" cm="1">
        <f t="array" ref="BI37">_xll.ciqfunctions.udf.CIQ(G$3,$AX$1,$BD$2,$A37,"L",,"USD","H")</f>
        <v>2517</v>
      </c>
      <c r="BJ37" s="43">
        <f t="shared" si="1"/>
        <v>0.97926059513074848</v>
      </c>
      <c r="BK37" s="43">
        <f t="shared" si="2"/>
        <v>6.0745513115508576E-2</v>
      </c>
      <c r="BL37" s="43">
        <f t="shared" si="3"/>
        <v>0.73232169954476478</v>
      </c>
      <c r="BM37" s="43">
        <f t="shared" si="4"/>
        <v>0.58390054235242084</v>
      </c>
      <c r="BN37" s="43">
        <f t="shared" si="5"/>
        <v>4.6586803574824032E-2</v>
      </c>
      <c r="BO37" s="43">
        <f t="shared" si="6"/>
        <v>0.14204545454545459</v>
      </c>
      <c r="BP37" s="42">
        <f t="shared" si="7"/>
        <v>1.0297780184082295</v>
      </c>
      <c r="BQ37" s="42">
        <f t="shared" si="8"/>
        <v>9.9294670846395094E-2</v>
      </c>
      <c r="BR37" s="42">
        <f t="shared" si="9"/>
        <v>0.32500521956990736</v>
      </c>
      <c r="BS37" s="42">
        <f t="shared" si="10"/>
        <v>6.1172769378670111E-4</v>
      </c>
      <c r="BT37" s="42">
        <f t="shared" si="11"/>
        <v>0.25217881998871405</v>
      </c>
      <c r="BU37" s="42">
        <f t="shared" si="12"/>
        <v>-6.5701559020044598E-2</v>
      </c>
      <c r="BV37" s="68" cm="1">
        <f t="array" ref="BV37">_xll.ciqfunctions.udf.CIQ(B$3,$BV$1,$BV$2,$A37,"L",,"USD","H")/100</f>
        <v>-0.26006000000000001</v>
      </c>
      <c r="BW37" s="68" cm="1">
        <f t="array" ref="BW37">_xll.ciqfunctions.udf.CIQ(C$3,$BV$1,$BV$2,$A37,"L",,"USD","H")/100</f>
        <v>1.072E-3</v>
      </c>
      <c r="BX37" s="68" cm="1">
        <f t="array" ref="BX37">_xll.ciqfunctions.udf.CIQ(D$3,$BV$1,$BV$2,$A37,"L",,"USD","H")/100</f>
        <v>-1.2143999999999999E-2</v>
      </c>
      <c r="BY37" s="68" cm="1">
        <f t="array" ref="BY37">_xll.ciqfunctions.udf.CIQ(E$3,$BV$1,$BV$2,$A37,"L",,"USD","H")/100</f>
        <v>-1.4012E-2</v>
      </c>
      <c r="BZ37" s="68" cm="1">
        <f t="array" ref="BZ37">_xll.ciqfunctions.udf.CIQ(F$3,$BV$1,$BV$2,$A37,"L",,"USD","H")/100</f>
        <v>-3.4768E-2</v>
      </c>
      <c r="CA37" s="68" cm="1">
        <f t="array" ref="CA37">_xll.ciqfunctions.udf.CIQ(G$3,$BV$1,$BV$2,$A37,"L",,"USD","H")/100</f>
        <v>3.4372E-2</v>
      </c>
      <c r="CB37" s="68" cm="1">
        <f t="array" ref="CB37">_xll.ciqfunctions.udf.CIQ(B$3,$BV$1,$CB$2,$A37,"L",,"USD","H")/100</f>
        <v>-8.6623000000000006E-2</v>
      </c>
      <c r="CC37" s="68" cm="1">
        <f t="array" ref="CC37">_xll.ciqfunctions.udf.CIQ(C$3,$BV$1,$CB$2,$A37,"L",,"USD","H")/100</f>
        <v>-4.4479999999999997E-3</v>
      </c>
      <c r="CD37" s="68" cm="1">
        <f t="array" ref="CD37">_xll.ciqfunctions.udf.CIQ(D$3,$BV$1,$CB$2,$A37,"L",,"USD","H")/100</f>
        <v>-1.1786000000000001E-2</v>
      </c>
      <c r="CE37" s="68" cm="1">
        <f t="array" ref="CE37">_xll.ciqfunctions.udf.CIQ(E$3,$BV$1,$CB$2,$A37,"L",,"USD","H")/100</f>
        <v>-3.3184999999999999E-2</v>
      </c>
      <c r="CF37" s="68" cm="1">
        <f t="array" ref="CF37">_xll.ciqfunctions.udf.CIQ(F$3,$BV$1,$CB$2,$A37,"L",,"USD","H")/100</f>
        <v>-9.5270000000000007E-3</v>
      </c>
      <c r="CG37" s="68" cm="1">
        <f t="array" ref="CG37">_xll.ciqfunctions.udf.CIQ(G$3,$BV$1,$CB$2,$A37,"L",,"USD","H")/100</f>
        <v>0.18126100000000001</v>
      </c>
    </row>
    <row r="38" spans="1:85" x14ac:dyDescent="0.45">
      <c r="A38" s="3">
        <f t="shared" si="13"/>
        <v>42825</v>
      </c>
      <c r="B38" s="14" cm="1">
        <f t="array" ref="B38">_xll.ciqfunctions.udf.CIQ(B$3,$B$1,$B$2,$A38,"L",,"USD","H")</f>
        <v>7718</v>
      </c>
      <c r="C38" s="38" cm="1">
        <f t="array" ref="C38">_xll.ciqfunctions.udf.CIQ(C$3,$B$1,$B$2,$A38,"L",,"USD","H")</f>
        <v>56474</v>
      </c>
      <c r="D38" s="38" cm="1">
        <f t="array" ref="D38">_xll.ciqfunctions.udf.CIQ(D$3,$B$1,$B$2,$A38,"L",,"USD","H")</f>
        <v>29847</v>
      </c>
      <c r="E38" s="38" cm="1">
        <f t="array" ref="E38">_xll.ciqfunctions.udf.CIQ(E$3,$B$1,$B$2,$A38,"L",,"USD","H")</f>
        <v>2565.3029999999999</v>
      </c>
      <c r="F38" s="38" cm="1">
        <f t="array" ref="F38">_xll.ciqfunctions.udf.CIQ(F$3,$B$1,$B$2,$A38,"L",,"USD","H")</f>
        <v>55395</v>
      </c>
      <c r="G38" s="38" cm="1">
        <f t="array" ref="G38">_xll.ciqfunctions.udf.CIQ(G$3,$B$1,$B$2,$A38,"L",,"USD","H")</f>
        <v>2345</v>
      </c>
      <c r="H38" s="40" cm="1">
        <f t="array" ref="H38">_xll.ciqfunctions.udf.CIQ(B$3,$B$1,$H$2,$A38,"L",,"USD","H")</f>
        <v>26491</v>
      </c>
      <c r="I38" s="40" cm="1">
        <f t="array" ref="I38">_xll.ciqfunctions.udf.CIQ(C$3,$B$1,$H$2,$A38,"L",,"USD","H")</f>
        <v>215810</v>
      </c>
      <c r="J38" s="40" cm="1">
        <f t="array" ref="J38">_xll.ciqfunctions.udf.CIQ(D$3,$B$1,$H$2,$A38,"L",,"USD","H")</f>
        <v>111739</v>
      </c>
      <c r="K38" s="40" cm="1">
        <f t="array" ref="K38">_xll.ciqfunctions.udf.CIQ(E$3,$B$1,$H$2,$A38,"L",,"USD","H")</f>
        <v>8769.9410000000007</v>
      </c>
      <c r="L38" s="40" cm="1">
        <f t="array" ref="L38">_xll.ciqfunctions.udf.CIQ(F$3,$B$1,$H$2,$A38,"L",,"USD","H")</f>
        <v>199545</v>
      </c>
      <c r="M38" s="40" cm="1">
        <f t="array" ref="M38">_xll.ciqfunctions.udf.CIQ(G$3,$B$1,$H$2,$A38,"L",,"USD","H")</f>
        <v>10442</v>
      </c>
      <c r="N38" s="13" cm="1">
        <f t="array" ref="N38">_xll.ciqfunctions.udf.CIQ(B$3,$N$1,$B$2,$A38,"L",,"USD","H")</f>
        <v>55.229199999999999</v>
      </c>
      <c r="O38" s="13" cm="1">
        <f t="array" ref="O38">_xll.ciqfunctions.udf.CIQ(C$3,$N$1,$B$2,$A38,"L",,"USD","H")</f>
        <v>33.5398</v>
      </c>
      <c r="P38" s="13" cm="1">
        <f t="array" ref="P38">_xll.ciqfunctions.udf.CIQ(D$3,$N$1,$B$2,$A38,"L",,"USD","H")</f>
        <v>39.354700000000001</v>
      </c>
      <c r="Q38" s="13" cm="1">
        <f t="array" ref="Q38">_xll.ciqfunctions.udf.CIQ(E$3,$N$1,$B$2,$A38,"L",,"USD","H")</f>
        <v>91.473799999999997</v>
      </c>
      <c r="R38" s="13" cm="1">
        <f t="array" ref="R38">_xll.ciqfunctions.udf.CIQ(F$3,$N$1,$B$2,$A38,"L",,"USD","H")</f>
        <v>43.890500000000003</v>
      </c>
      <c r="S38" s="13" cm="1">
        <f t="array" ref="S38">_xll.ciqfunctions.udf.CIQ(G$3,$N$1,$B$2,$A38,"L",,"USD","H")</f>
        <v>13.834899999999999</v>
      </c>
      <c r="T38" s="94">
        <v>45814</v>
      </c>
      <c r="U38" s="41" cm="1">
        <f t="array" ref="U38">_xll.ciqfunctions.udf.CIQ(O$3,$N$1,$T$2,$A38,"L",,"USD","H")</f>
        <v>-1.8474999999999999</v>
      </c>
      <c r="V38" s="41" cm="1">
        <f t="array" ref="V38">_xll.ciqfunctions.udf.CIQ(P$3,$N$1,$T$2,$A38,"L",,"USD","H")</f>
        <v>-1.5914999999999999</v>
      </c>
      <c r="W38" s="41" cm="1">
        <f t="array" ref="W38">_xll.ciqfunctions.udf.CIQ(Q$3,$N$1,$T$2,$A38,"L",,"USD","H")</f>
        <v>12.386900000000001</v>
      </c>
      <c r="X38" s="41" cm="1">
        <f t="array" ref="X38">_xll.ciqfunctions.udf.CIQ(R$3,$N$1,$T$2,$A38,"L",,"USD","H")</f>
        <v>-2.9375</v>
      </c>
      <c r="Y38" s="41" cm="1">
        <f t="array" ref="Y38">_xll.ciqfunctions.udf.CIQ(S$3,$N$1,$T$2,$A38,"L",,"USD","H")</f>
        <v>-9.8740000000000006</v>
      </c>
      <c r="Z38" s="38" cm="1">
        <f t="array" ref="Z38">_xll.ciqfunctions.udf.CIQ(B$3,$Z$1,$B$2,$A38,"L",,"USD","H")</f>
        <v>586</v>
      </c>
      <c r="AA38" s="38" cm="1">
        <f t="array" ref="AA38">_xll.ciqfunctions.udf.CIQ(C$3,$Z$1,$B$2,$A38,"L",,"USD","H")</f>
        <v>4010</v>
      </c>
      <c r="AB38" s="38" cm="1">
        <f t="array" ref="AB38">_xll.ciqfunctions.udf.CIQ(D$3,$Z$1,$B$2,$A38,"L",,"USD","H")</f>
        <v>2682</v>
      </c>
      <c r="AC38" s="38" cm="1">
        <f t="array" ref="AC38">_xll.ciqfunctions.udf.CIQ(E$3,$Z$1,$B$2,$A38,"L",,"USD","H")</f>
        <v>28.516999999999999</v>
      </c>
      <c r="AD38" s="38" cm="1">
        <f t="array" ref="AD38">_xll.ciqfunctions.udf.CIQ(F$3,$Z$1,$B$2,$A38,"L",,"USD","H")</f>
        <v>1449</v>
      </c>
      <c r="AE38" s="38" cm="1">
        <f t="array" ref="AE38">_xll.ciqfunctions.udf.CIQ(G$3,$Z$1,$B$2,$A38,"L",,"USD","H")</f>
        <v>303</v>
      </c>
      <c r="AF38" s="40" cm="1">
        <f t="array" ref="AF38">_xll.ciqfunctions.udf.CIQ(B$3,$Z$1,$H$2,$A38,"L",,"USD","H")</f>
        <v>-1560</v>
      </c>
      <c r="AG38" s="40" cm="1">
        <f t="array" ref="AG38">_xll.ciqfunctions.udf.CIQ(C$3,$Z$1,$H$2,$A38,"L",,"USD","H")</f>
        <v>10040</v>
      </c>
      <c r="AH38" s="40" cm="1">
        <f t="array" ref="AH38">_xll.ciqfunctions.udf.CIQ(D$3,$Z$1,$H$2,$A38,"L",,"USD","H")</f>
        <v>2910</v>
      </c>
      <c r="AI38" s="40" cm="1">
        <f t="array" ref="AI38">_xll.ciqfunctions.udf.CIQ(E$3,$Z$1,$H$2,$A38,"L",,"USD","H")</f>
        <v>-596.39300000000003</v>
      </c>
      <c r="AJ38" s="40" cm="1">
        <f t="array" ref="AJ38">_xll.ciqfunctions.udf.CIQ(F$3,$Z$1,$H$2,$A38,"L",,"USD","H")</f>
        <v>2147</v>
      </c>
      <c r="AK38" s="40" cm="1">
        <f t="array" ref="AK38">_xll.ciqfunctions.udf.CIQ(G$3,$Z$1,$H$2,$A38,"L",,"USD","H")</f>
        <v>2303</v>
      </c>
      <c r="AL38" s="13" t="str" cm="1">
        <f t="array" ref="AL38">_xll.ciqfunctions.udf.CIQ(B$3,$AL$1,$AL$2,$A38,"L",,"USD","H")</f>
        <v>NM</v>
      </c>
      <c r="AM38" s="13" cm="1">
        <f t="array" ref="AM38">_xll.ciqfunctions.udf.CIQ(C$3,$AL$1,$AL$2,$A38,"L",,"USD","H")</f>
        <v>121.54689999999999</v>
      </c>
      <c r="AN38" s="13" t="str" cm="1">
        <f t="array" ref="AN38">_xll.ciqfunctions.udf.CIQ(D$3,$AL$1,$AL$2,$A38,"L",,"USD","H")</f>
        <v>NM</v>
      </c>
      <c r="AO38" s="13" t="str" cm="1">
        <f t="array" ref="AO38">_xll.ciqfunctions.udf.CIQ(E$3,$AL$1,$AL$2,$A38,"L",,"USD","H")</f>
        <v>NM</v>
      </c>
      <c r="AP38" s="13" t="str" cm="1">
        <f t="array" ref="AP38">_xll.ciqfunctions.udf.CIQ(F$3,$AL$1,$AL$2,$A38,"L",,"USD","H")</f>
        <v>NM</v>
      </c>
      <c r="AQ38" s="13" t="str" cm="1">
        <f t="array" ref="AQ38">_xll.ciqfunctions.udf.CIQ(G$3,$AL$1,$AL$2,$A38,"L",,"USD","H")</f>
        <v>NM</v>
      </c>
      <c r="AR38" s="41" t="str" cm="1">
        <f t="array" ref="AR38">_xll.ciqfunctions.udf.CIQ(B$3,$AL$1,$AR$2,$A38,"L",,"USD","H")</f>
        <v>NM</v>
      </c>
      <c r="AS38" s="41" cm="1">
        <f t="array" ref="AS38">_xll.ciqfunctions.udf.CIQ(C$3,$AL$1,$AR$2,$A38,"L",,"USD","H")</f>
        <v>-22.887899999999998</v>
      </c>
      <c r="AT38" s="41" cm="1">
        <f t="array" ref="AT38">_xll.ciqfunctions.udf.CIQ(D$3,$AL$1,$AR$2,$A38,"L",,"USD","H")</f>
        <v>124.71040000000001</v>
      </c>
      <c r="AU38" s="41" t="str" cm="1">
        <f t="array" ref="AU38">_xll.ciqfunctions.udf.CIQ(E$3,$AL$1,$AR$2,$A38,"L",,"USD","H")</f>
        <v>NM</v>
      </c>
      <c r="AV38" s="41" t="str" cm="1">
        <f t="array" ref="AV38">_xll.ciqfunctions.udf.CIQ(F$3,$AL$1,$AR$2,$A38,"L",,"USD","H")</f>
        <v>NM</v>
      </c>
      <c r="AW38" s="41" t="str" cm="1">
        <f t="array" ref="AW38">_xll.ciqfunctions.udf.CIQ(G$3,$AL$1,$AR$2,$A38,"L",,"USD","H")</f>
        <v>NM</v>
      </c>
      <c r="AX38" s="38" cm="1">
        <f t="array" ref="AX38">_xll.ciqfunctions.udf.CIQ(B$3,$AX$1,$AX$2,$A38,"L",,"USD","H")</f>
        <v>2500</v>
      </c>
      <c r="AY38" s="38" cm="1">
        <f t="array" ref="AY38">_xll.ciqfunctions.udf.CIQ(C$3,$AX$1,$AX$2,$A38,"L",,"USD","H")</f>
        <v>8386</v>
      </c>
      <c r="AZ38" s="38" cm="1">
        <f t="array" ref="AZ38">_xll.ciqfunctions.udf.CIQ(D$3,$AX$1,$AX$2,$A38,"L",,"USD","H")</f>
        <v>5475</v>
      </c>
      <c r="BA38" s="38" cm="1">
        <f t="array" ref="BA38">_xll.ciqfunctions.udf.CIQ(E$3,$AX$1,$AX$2,$A38,"L",,"USD","H")</f>
        <v>1133.7270000000001</v>
      </c>
      <c r="BB38" s="38" cm="1">
        <f t="array" ref="BB38">_xll.ciqfunctions.udf.CIQ(F$3,$AX$1,$AX$2,$A38,"L",,"USD","H")</f>
        <v>6643</v>
      </c>
      <c r="BC38" s="38" cm="1">
        <f t="array" ref="BC38">_xll.ciqfunctions.udf.CIQ(G$3,$AX$1,$AX$2,$A38,"L",,"USD","H")</f>
        <v>814</v>
      </c>
      <c r="BD38" s="40" cm="1">
        <f t="array" ref="BD38">_xll.ciqfunctions.udf.CIQ(B$3,$AX$1,$BD$2,$A38,"L",,"USD","H")</f>
        <v>6653</v>
      </c>
      <c r="BE38" s="40" cm="1">
        <f t="array" ref="BE38">_xll.ciqfunctions.udf.CIQ(C$3,$AX$1,$BD$2,$A38,"L",,"USD","H")</f>
        <v>27658</v>
      </c>
      <c r="BF38" s="40" cm="1">
        <f t="array" ref="BF38">_xll.ciqfunctions.udf.CIQ(D$3,$AX$1,$BD$2,$A38,"L",,"USD","H")</f>
        <v>16626</v>
      </c>
      <c r="BG38" s="40">
        <f>_xll.ciqfunctions.udf.CIQ("COP", "IQ_PRICEDATE", "5/16/2025")</f>
        <v>45793</v>
      </c>
      <c r="BH38" s="40" cm="1">
        <f t="array" ref="BH38">_xll.ciqfunctions.udf.CIQ(F$3,$AX$1,$BD$2,$A38,"L",,"USD","H")</f>
        <v>19726</v>
      </c>
      <c r="BI38" s="40" cm="1">
        <f t="array" ref="BI38">_xll.ciqfunctions.udf.CIQ(G$3,$AX$1,$BD$2,$A38,"L",,"USD","H")</f>
        <v>2442</v>
      </c>
      <c r="BJ38" s="43">
        <f t="shared" si="1"/>
        <v>3.2087542087542085</v>
      </c>
      <c r="BK38" s="43">
        <f t="shared" si="2"/>
        <v>0.6873239436619718</v>
      </c>
      <c r="BL38" s="43">
        <f t="shared" si="3"/>
        <v>1.4796195652173911</v>
      </c>
      <c r="BM38" s="43">
        <f t="shared" si="4"/>
        <v>2.2096908442330561</v>
      </c>
      <c r="BN38" s="43">
        <f t="shared" si="5"/>
        <v>0.85922194234536797</v>
      </c>
      <c r="BO38" s="43">
        <f t="shared" si="6"/>
        <v>1.3731778425655978</v>
      </c>
      <c r="BP38" s="42">
        <f t="shared" si="7"/>
        <v>0.26917207172834789</v>
      </c>
      <c r="BQ38" s="42">
        <f t="shared" si="8"/>
        <v>-2.8841300742663556E-3</v>
      </c>
      <c r="BR38" s="42">
        <f t="shared" si="9"/>
        <v>4.8099350690285592E-2</v>
      </c>
      <c r="BS38" s="42">
        <f t="shared" si="10"/>
        <v>6.3368586662004844E-4</v>
      </c>
      <c r="BT38" s="42">
        <f t="shared" si="11"/>
        <v>0.17297972289944696</v>
      </c>
      <c r="BU38" s="42">
        <f t="shared" si="12"/>
        <v>-0.12315978456014365</v>
      </c>
      <c r="BV38" s="68" cm="1">
        <f t="array" ref="BV38">_xll.ciqfunctions.udf.CIQ(B$3,$BV$1,$BV$2,$A38,"L",,"USD","H")/100</f>
        <v>1.6379999999999999E-2</v>
      </c>
      <c r="BW38" s="68" cm="1">
        <f t="array" ref="BW38">_xll.ciqfunctions.udf.CIQ(C$3,$BV$1,$BV$2,$A38,"L",,"USD","H")/100</f>
        <v>1.5783999999999999E-2</v>
      </c>
      <c r="BX38" s="68" cm="1">
        <f t="array" ref="BX38">_xll.ciqfunctions.udf.CIQ(D$3,$BV$1,$BV$2,$A38,"L",,"USD","H")/100</f>
        <v>1.3535999999999999E-2</v>
      </c>
      <c r="BY38" s="68" cm="1">
        <f t="array" ref="BY38">_xll.ciqfunctions.udf.CIQ(E$3,$BV$1,$BV$2,$A38,"L",,"USD","H")/100</f>
        <v>-1.3024000000000001E-2</v>
      </c>
      <c r="BZ38" s="68" cm="1">
        <f t="array" ref="BZ38">_xll.ciqfunctions.udf.CIQ(F$3,$BV$1,$BV$2,$A38,"L",,"USD","H")/100</f>
        <v>3.6600000000000001E-3</v>
      </c>
      <c r="CA38" s="68" cm="1">
        <f t="array" ref="CA38">_xll.ciqfunctions.udf.CIQ(G$3,$BV$1,$BV$2,$A38,"L",,"USD","H")/100</f>
        <v>4.8979999999999996E-2</v>
      </c>
      <c r="CB38" s="68" cm="1">
        <f t="array" ref="CB38">_xll.ciqfunctions.udf.CIQ(B$3,$BV$1,$CB$2,$A38,"L",,"USD","H")/100</f>
        <v>-4.3255000000000002E-2</v>
      </c>
      <c r="CC38" s="68" cm="1">
        <f t="array" ref="CC38">_xll.ciqfunctions.udf.CIQ(C$3,$BV$1,$CB$2,$A38,"L",,"USD","H")/100</f>
        <v>-1.1105E-2</v>
      </c>
      <c r="CD38" s="68" cm="1">
        <f t="array" ref="CD38">_xll.ciqfunctions.udf.CIQ(D$3,$BV$1,$CB$2,$A38,"L",,"USD","H")/100</f>
        <v>-2.6629E-2</v>
      </c>
      <c r="CE38" s="68" cm="1">
        <f t="array" ref="CE38">_xll.ciqfunctions.udf.CIQ(E$3,$BV$1,$CB$2,$A38,"L",,"USD","H")/100</f>
        <v>-4.8319000000000001E-2</v>
      </c>
      <c r="CF38" s="68" cm="1">
        <f t="array" ref="CF38">_xll.ciqfunctions.udf.CIQ(F$3,$BV$1,$CB$2,$A38,"L",,"USD","H")/100</f>
        <v>-1.7086E-2</v>
      </c>
      <c r="CG38" s="68" cm="1">
        <f t="array" ref="CG38">_xll.ciqfunctions.udf.CIQ(G$3,$BV$1,$CB$2,$A38,"L",,"USD","H")/100</f>
        <v>9.7769999999999996E-2</v>
      </c>
    </row>
    <row r="39" spans="1:85" x14ac:dyDescent="0.45">
      <c r="A39" s="3">
        <f t="shared" si="13"/>
        <v>42735</v>
      </c>
      <c r="B39" s="14" cm="1">
        <f t="array" ref="B39">_xll.ciqfunctions.udf.CIQ(B$3,$B$1,$B$2,$A39,"L",,"USD","H")</f>
        <v>6990</v>
      </c>
      <c r="C39" s="38" cm="1">
        <f t="array" ref="C39">_xll.ciqfunctions.udf.CIQ(C$3,$B$1,$B$2,$A39,"L",,"USD","H")</f>
        <v>55713</v>
      </c>
      <c r="D39" s="38" cm="1">
        <f t="array" ref="D39">_xll.ciqfunctions.udf.CIQ(D$3,$B$1,$B$2,$A39,"L",,"USD","H")</f>
        <v>28445</v>
      </c>
      <c r="E39" s="38" cm="1">
        <f t="array" ref="E39">_xll.ciqfunctions.udf.CIQ(E$3,$B$1,$B$2,$A39,"L",,"USD","H")</f>
        <v>2363.7919999999999</v>
      </c>
      <c r="F39" s="38" cm="1">
        <f t="array" ref="F39">_xll.ciqfunctions.udf.CIQ(F$3,$B$1,$B$2,$A39,"L",,"USD","H")</f>
        <v>51131</v>
      </c>
      <c r="G39" s="38" cm="1">
        <f t="array" ref="G39">_xll.ciqfunctions.udf.CIQ(G$3,$B$1,$B$2,$A39,"L",,"USD","H")</f>
        <v>2741</v>
      </c>
      <c r="H39" s="40" cm="1">
        <f t="array" ref="H39">_xll.ciqfunctions.udf.CIQ(B$3,$B$1,$H$2,$A39,"L",,"USD","H")</f>
        <v>23745</v>
      </c>
      <c r="I39" s="40" cm="1">
        <f t="array" ref="I39">_xll.ciqfunctions.udf.CIQ(C$3,$B$1,$H$2,$A39,"L",,"USD","H")</f>
        <v>200628</v>
      </c>
      <c r="J39" s="40" cm="1">
        <f t="array" ref="J39">_xll.ciqfunctions.udf.CIQ(D$3,$B$1,$H$2,$A39,"L",,"USD","H")</f>
        <v>103310</v>
      </c>
      <c r="K39" s="40" cm="1">
        <f t="array" ref="K39">_xll.ciqfunctions.udf.CIQ(E$3,$B$1,$H$2,$A39,"L",,"USD","H")</f>
        <v>7544.4049999999997</v>
      </c>
      <c r="L39" s="40" cm="1">
        <f t="array" ref="L39">_xll.ciqfunctions.udf.CIQ(F$3,$B$1,$H$2,$A39,"L",,"USD","H")</f>
        <v>182325</v>
      </c>
      <c r="M39" s="40" cm="1">
        <f t="array" ref="M39">_xll.ciqfunctions.udf.CIQ(G$3,$B$1,$H$2,$A39,"L",,"USD","H")</f>
        <v>6604</v>
      </c>
      <c r="N39" s="13" cm="1">
        <f t="array" ref="N39">_xll.ciqfunctions.udf.CIQ(B$3,$N$1,$B$2,$A39,"L",,"USD","H")</f>
        <v>11.6256</v>
      </c>
      <c r="O39" s="13" cm="1">
        <f t="array" ref="O39">_xll.ciqfunctions.udf.CIQ(C$3,$N$1,$B$2,$A39,"L",,"USD","H")</f>
        <v>6.4829999999999997</v>
      </c>
      <c r="P39" s="13" cm="1">
        <f t="array" ref="P39">_xll.ciqfunctions.udf.CIQ(D$3,$N$1,$B$2,$A39,"L",,"USD","H")</f>
        <v>8.1682000000000006</v>
      </c>
      <c r="Q39" s="13" cm="1">
        <f t="array" ref="Q39">_xll.ciqfunctions.udf.CIQ(E$3,$N$1,$B$2,$A39,"L",,"USD","H")</f>
        <v>31.654699999999998</v>
      </c>
      <c r="R39" s="13" cm="1">
        <f t="array" ref="R39">_xll.ciqfunctions.udf.CIQ(F$3,$N$1,$B$2,$A39,"L",,"USD","H")</f>
        <v>3.7265999999999999</v>
      </c>
      <c r="S39" s="13" cm="1">
        <f t="array" ref="S39">_xll.ciqfunctions.udf.CIQ(G$3,$N$1,$B$2,$A39,"L",,"USD","H")</f>
        <v>-1.0827</v>
      </c>
      <c r="T39" s="94">
        <v>45807</v>
      </c>
      <c r="U39" s="41" cm="1">
        <f t="array" ref="U39">_xll.ciqfunctions.udf.CIQ(O$3,$N$1,$T$2,$A39,"L",,"USD","H")</f>
        <v>-16.8919</v>
      </c>
      <c r="V39" s="41" cm="1">
        <f t="array" ref="V39">_xll.ciqfunctions.udf.CIQ(P$3,$N$1,$T$2,$A39,"L",,"USD","H")</f>
        <v>-15.710800000000001</v>
      </c>
      <c r="W39" s="41" cm="1">
        <f t="array" ref="W39">_xll.ciqfunctions.udf.CIQ(Q$3,$N$1,$T$2,$A39,"L",,"USD","H")</f>
        <v>-13.3256</v>
      </c>
      <c r="X39" s="41" cm="1">
        <f t="array" ref="X39">_xll.ciqfunctions.udf.CIQ(R$3,$N$1,$T$2,$A39,"L",,"USD","H")</f>
        <v>-17.961500000000001</v>
      </c>
      <c r="Y39" s="41" cm="1">
        <f t="array" ref="Y39">_xll.ciqfunctions.udf.CIQ(S$3,$N$1,$T$2,$A39,"L",,"USD","H")</f>
        <v>-48.956600000000002</v>
      </c>
      <c r="Z39" s="38" cm="1">
        <f t="array" ref="Z39">_xll.ciqfunctions.udf.CIQ(B$3,$Z$1,$B$2,$A39,"L",,"USD","H")</f>
        <v>-35</v>
      </c>
      <c r="AA39" s="38" cm="1">
        <f t="array" ref="AA39">_xll.ciqfunctions.udf.CIQ(C$3,$Z$1,$B$2,$A39,"L",,"USD","H")</f>
        <v>1680</v>
      </c>
      <c r="AB39" s="38" cm="1">
        <f t="array" ref="AB39">_xll.ciqfunctions.udf.CIQ(D$3,$Z$1,$B$2,$A39,"L",,"USD","H")</f>
        <v>415</v>
      </c>
      <c r="AC39" s="38" cm="1">
        <f t="array" ref="AC39">_xll.ciqfunctions.udf.CIQ(E$3,$Z$1,$B$2,$A39,"L",,"USD","H")</f>
        <v>-142.352</v>
      </c>
      <c r="AD39" s="38" cm="1">
        <f t="array" ref="AD39">_xll.ciqfunctions.udf.CIQ(F$3,$Z$1,$B$2,$A39,"L",,"USD","H")</f>
        <v>497</v>
      </c>
      <c r="AE39" s="38" cm="1">
        <f t="array" ref="AE39">_xll.ciqfunctions.udf.CIQ(G$3,$Z$1,$B$2,$A39,"L",,"USD","H")</f>
        <v>2577</v>
      </c>
      <c r="AF39" s="40" cm="1">
        <f t="array" ref="AF39">_xll.ciqfunctions.udf.CIQ(B$3,$Z$1,$H$2,$A39,"L",,"USD","H")</f>
        <v>-3615</v>
      </c>
      <c r="AG39" s="40" cm="1">
        <f t="array" ref="AG39">_xll.ciqfunctions.udf.CIQ(C$3,$Z$1,$H$2,$A39,"L",,"USD","H")</f>
        <v>7840</v>
      </c>
      <c r="AH39" s="40" cm="1">
        <f t="array" ref="AH39">_xll.ciqfunctions.udf.CIQ(D$3,$Z$1,$H$2,$A39,"L",,"USD","H")</f>
        <v>-497</v>
      </c>
      <c r="AI39" s="40" cm="1">
        <f t="array" ref="AI39">_xll.ciqfunctions.udf.CIQ(E$3,$Z$1,$H$2,$A39,"L",,"USD","H")</f>
        <v>-1096.6859999999999</v>
      </c>
      <c r="AJ39" s="40" cm="1">
        <f t="array" ref="AJ39">_xll.ciqfunctions.udf.CIQ(F$3,$Z$1,$H$2,$A39,"L",,"USD","H")</f>
        <v>115</v>
      </c>
      <c r="AK39" s="40" cm="1">
        <f t="array" ref="AK39">_xll.ciqfunctions.udf.CIQ(G$3,$Z$1,$H$2,$A39,"L",,"USD","H")</f>
        <v>-1056</v>
      </c>
      <c r="AL39" s="13" t="str" cm="1">
        <f t="array" ref="AL39">_xll.ciqfunctions.udf.CIQ(B$3,$AL$1,$AL$2,$A39,"L",,"USD","H")</f>
        <v>NM</v>
      </c>
      <c r="AM39" s="13" cm="1">
        <f t="array" ref="AM39">_xll.ciqfunctions.udf.CIQ(C$3,$AL$1,$AL$2,$A39,"L",,"USD","H")</f>
        <v>-39.568399999999997</v>
      </c>
      <c r="AN39" s="13" t="str" cm="1">
        <f t="array" ref="AN39">_xll.ciqfunctions.udf.CIQ(D$3,$AL$1,$AL$2,$A39,"L",,"USD","H")</f>
        <v>NM</v>
      </c>
      <c r="AO39" s="13" t="str" cm="1">
        <f t="array" ref="AO39">_xll.ciqfunctions.udf.CIQ(E$3,$AL$1,$AL$2,$A39,"L",,"USD","H")</f>
        <v>NM</v>
      </c>
      <c r="AP39" s="13" t="str" cm="1">
        <f t="array" ref="AP39">_xll.ciqfunctions.udf.CIQ(F$3,$AL$1,$AL$2,$A39,"L",,"USD","H")</f>
        <v>NM</v>
      </c>
      <c r="AQ39" s="13" t="str" cm="1">
        <f t="array" ref="AQ39">_xll.ciqfunctions.udf.CIQ(G$3,$AL$1,$AL$2,$A39,"L",,"USD","H")</f>
        <v>NM</v>
      </c>
      <c r="AR39" s="41" t="str" cm="1">
        <f t="array" ref="AR39">_xll.ciqfunctions.udf.CIQ(B$3,$AL$1,$AR$2,$A39,"L",,"USD","H")</f>
        <v>NM</v>
      </c>
      <c r="AS39" s="41" cm="1">
        <f t="array" ref="AS39">_xll.ciqfunctions.udf.CIQ(C$3,$AL$1,$AR$2,$A39,"L",,"USD","H")</f>
        <v>-51.455199999999998</v>
      </c>
      <c r="AT39" s="41" t="str" cm="1">
        <f t="array" ref="AT39">_xll.ciqfunctions.udf.CIQ(D$3,$AL$1,$AR$2,$A39,"L",,"USD","H")</f>
        <v>NM</v>
      </c>
      <c r="AU39" s="41" t="str" cm="1">
        <f t="array" ref="AU39">_xll.ciqfunctions.udf.CIQ(E$3,$AL$1,$AR$2,$A39,"L",,"USD","H")</f>
        <v>NM</v>
      </c>
      <c r="AV39" s="41" t="str" cm="1">
        <f t="array" ref="AV39">_xll.ciqfunctions.udf.CIQ(F$3,$AL$1,$AR$2,$A39,"L",,"USD","H")</f>
        <v>NM</v>
      </c>
      <c r="AW39" s="41" t="str" cm="1">
        <f t="array" ref="AW39">_xll.ciqfunctions.udf.CIQ(G$3,$AL$1,$AR$2,$A39,"L",,"USD","H")</f>
        <v>NM</v>
      </c>
      <c r="AX39" s="38" cm="1">
        <f t="array" ref="AX39">_xll.ciqfunctions.udf.CIQ(B$3,$AX$1,$AX$2,$A39,"L",,"USD","H")</f>
        <v>1941</v>
      </c>
      <c r="AY39" s="38" cm="1">
        <f t="array" ref="AY39">_xll.ciqfunctions.udf.CIQ(C$3,$AX$1,$AX$2,$A39,"L",,"USD","H")</f>
        <v>5919</v>
      </c>
      <c r="AZ39" s="38" cm="1">
        <f t="array" ref="AZ39">_xll.ciqfunctions.udf.CIQ(D$3,$AX$1,$AX$2,$A39,"L",,"USD","H")</f>
        <v>3537</v>
      </c>
      <c r="BA39" s="38" cm="1">
        <f t="array" ref="BA39">_xll.ciqfunctions.udf.CIQ(E$3,$AX$1,$AX$2,$A39,"L",,"USD","H")</f>
        <v>931.94899999999996</v>
      </c>
      <c r="BB39" s="38" cm="1">
        <f t="array" ref="BB39">_xll.ciqfunctions.udf.CIQ(F$3,$AX$1,$AX$2,$A39,"L",,"USD","H")</f>
        <v>4233</v>
      </c>
      <c r="BC39" s="38" cm="1">
        <f t="array" ref="BC39">_xll.ciqfunctions.udf.CIQ(G$3,$AX$1,$AX$2,$A39,"L",,"USD","H")</f>
        <v>259</v>
      </c>
      <c r="BD39" s="40" cm="1">
        <f t="array" ref="BD39">_xll.ciqfunctions.udf.CIQ(B$3,$AX$1,$BD$2,$A39,"L",,"USD","H")</f>
        <v>4901</v>
      </c>
      <c r="BE39" s="40" cm="1">
        <f t="array" ref="BE39">_xll.ciqfunctions.udf.CIQ(C$3,$AX$1,$BD$2,$A39,"L",,"USD","H")</f>
        <v>23244</v>
      </c>
      <c r="BF39" s="40" cm="1">
        <f t="array" ref="BF39">_xll.ciqfunctions.udf.CIQ(D$3,$AX$1,$BD$2,$A39,"L",,"USD","H")</f>
        <v>13359</v>
      </c>
      <c r="BG39" s="40">
        <f>_xll.ciqfunctions.udf.CIQ("COP", "IQ_PRICEDATE", "5/9/2025")</f>
        <v>45786</v>
      </c>
      <c r="BH39" s="40" cm="1">
        <f t="array" ref="BH39">_xll.ciqfunctions.udf.CIQ(F$3,$AX$1,$BD$2,$A39,"L",,"USD","H")</f>
        <v>16227</v>
      </c>
      <c r="BI39" s="40" cm="1">
        <f t="array" ref="BI39">_xll.ciqfunctions.udf.CIQ(G$3,$AX$1,$BD$2,$A39,"L",,"USD","H")</f>
        <v>1269</v>
      </c>
      <c r="BJ39" s="43">
        <f t="shared" si="1"/>
        <v>1.1213114754098359</v>
      </c>
      <c r="BK39" s="43">
        <f t="shared" si="2"/>
        <v>0.11113196921344093</v>
      </c>
      <c r="BL39" s="43">
        <f t="shared" si="3"/>
        <v>5.3619302949061698E-2</v>
      </c>
      <c r="BM39" s="43">
        <f t="shared" si="4"/>
        <v>0.52396035523955464</v>
      </c>
      <c r="BN39" s="43">
        <f t="shared" si="5"/>
        <v>0.57888847444983216</v>
      </c>
      <c r="BO39" s="43">
        <f t="shared" si="6"/>
        <v>-0.60397553516819569</v>
      </c>
      <c r="BP39" s="42">
        <f t="shared" si="7"/>
        <v>-0.2061872367994817</v>
      </c>
      <c r="BQ39" s="42">
        <f t="shared" si="8"/>
        <v>-0.28442569959671216</v>
      </c>
      <c r="BR39" s="42">
        <f t="shared" si="9"/>
        <v>-0.28641632391432081</v>
      </c>
      <c r="BS39" s="42">
        <f t="shared" si="10"/>
        <v>6.1191485641853838E-4</v>
      </c>
      <c r="BT39" s="42">
        <f t="shared" si="11"/>
        <v>-0.16891165172855316</v>
      </c>
      <c r="BU39" s="42">
        <f t="shared" si="12"/>
        <v>-0.54270270270270271</v>
      </c>
      <c r="BV39" s="68" cm="1">
        <f t="array" ref="BV39">_xll.ciqfunctions.udf.CIQ(B$3,$BV$1,$BV$2,$A39,"L",,"USD","H")/100</f>
        <v>-2.1808000000000001E-2</v>
      </c>
      <c r="BW39" s="68" cm="1">
        <f t="array" ref="BW39">_xll.ciqfunctions.udf.CIQ(C$3,$BV$1,$BV$2,$A39,"L",,"USD","H")/100</f>
        <v>-2.6432000000000001E-2</v>
      </c>
      <c r="BX39" s="68" cm="1">
        <f t="array" ref="BX39">_xll.ciqfunctions.udf.CIQ(D$3,$BV$1,$BV$2,$A39,"L",,"USD","H")/100</f>
        <v>-3.3332000000000001E-2</v>
      </c>
      <c r="BY39" s="68" cm="1">
        <f t="array" ref="BY39">_xll.ciqfunctions.udf.CIQ(E$3,$BV$1,$BV$2,$A39,"L",,"USD","H")/100</f>
        <v>-4.7988000000000003E-2</v>
      </c>
      <c r="BZ39" s="68" cm="1">
        <f t="array" ref="BZ39">_xll.ciqfunctions.udf.CIQ(F$3,$BV$1,$BV$2,$A39,"L",,"USD","H")/100</f>
        <v>-1.7828E-2</v>
      </c>
      <c r="CA39" s="68" cm="1">
        <f t="array" ref="CA39">_xll.ciqfunctions.udf.CIQ(G$3,$BV$1,$BV$2,$A39,"L",,"USD","H")/100</f>
        <v>0.45753199999999999</v>
      </c>
      <c r="CB39" s="68" cm="1">
        <f t="array" ref="CB39">_xll.ciqfunctions.udf.CIQ(B$3,$BV$1,$CB$2,$A39,"L",,"USD","H")/100</f>
        <v>-7.6382000000000005E-2</v>
      </c>
      <c r="CC39" s="68" cm="1">
        <f t="array" ref="CC39">_xll.ciqfunctions.udf.CIQ(C$3,$BV$1,$CB$2,$A39,"L",,"USD","H")/100</f>
        <v>-2.1352000000000003E-2</v>
      </c>
      <c r="CD39" s="68" cm="1">
        <f t="array" ref="CD39">_xll.ciqfunctions.udf.CIQ(D$3,$BV$1,$CB$2,$A39,"L",,"USD","H")/100</f>
        <v>-4.4273E-2</v>
      </c>
      <c r="CE39" s="68" cm="1">
        <f t="array" ref="CE39">_xll.ciqfunctions.udf.CIQ(E$3,$BV$1,$CB$2,$A39,"L",,"USD","H")/100</f>
        <v>-7.2450000000000001E-2</v>
      </c>
      <c r="CF39" s="68" cm="1">
        <f t="array" ref="CF39">_xll.ciqfunctions.udf.CIQ(F$3,$BV$1,$CB$2,$A39,"L",,"USD","H")/100</f>
        <v>-2.9262E-2</v>
      </c>
      <c r="CG39" s="68" cm="1">
        <f t="array" ref="CG39">_xll.ciqfunctions.udf.CIQ(G$3,$BV$1,$CB$2,$A39,"L",,"USD","H")/100</f>
        <v>-5.4366999999999999E-2</v>
      </c>
    </row>
    <row r="40" spans="1:85" x14ac:dyDescent="0.45">
      <c r="A40" s="3">
        <f>EDATE(A36,-12)</f>
        <v>42643</v>
      </c>
      <c r="B40" s="14" cm="1">
        <f t="array" ref="B40">_xll.ciqfunctions.udf.CIQ(B$3,$B$1,$B$2,$A40,"L",,"USD","H")</f>
        <v>6355</v>
      </c>
      <c r="C40" s="38" cm="1">
        <f t="array" ref="C40">_xll.ciqfunctions.udf.CIQ(C$3,$B$1,$B$2,$A40,"L",,"USD","H")</f>
        <v>52137</v>
      </c>
      <c r="D40" s="38" cm="1">
        <f t="array" ref="D40">_xll.ciqfunctions.udf.CIQ(D$3,$B$1,$B$2,$A40,"L",,"USD","H")</f>
        <v>27387</v>
      </c>
      <c r="E40" s="38" cm="1">
        <f t="array" ref="E40">_xll.ciqfunctions.udf.CIQ(E$3,$B$1,$B$2,$A40,"L",,"USD","H")</f>
        <v>2005.183</v>
      </c>
      <c r="F40" s="38" cm="1">
        <f t="array" ref="F40">_xll.ciqfunctions.udf.CIQ(F$3,$B$1,$B$2,$A40,"L",,"USD","H")</f>
        <v>46835</v>
      </c>
      <c r="G40" s="38" cm="1">
        <f t="array" ref="G40">_xll.ciqfunctions.udf.CIQ(G$3,$B$1,$B$2,$A40,"L",,"USD","H")</f>
        <v>2764</v>
      </c>
      <c r="H40" s="40" cm="1">
        <f t="array" ref="H40">_xll.ciqfunctions.udf.CIQ(B$3,$B$1,$H$2,$A40,"L",,"USD","H")</f>
        <v>23017</v>
      </c>
      <c r="I40" s="40" cm="1">
        <f t="array" ref="I40">_xll.ciqfunctions.udf.CIQ(C$3,$B$1,$H$2,$A40,"L",,"USD","H")</f>
        <v>198234</v>
      </c>
      <c r="J40" s="40" cm="1">
        <f t="array" ref="J40">_xll.ciqfunctions.udf.CIQ(D$3,$B$1,$H$2,$A40,"L",,"USD","H")</f>
        <v>101162</v>
      </c>
      <c r="K40" s="40" cm="1">
        <f t="array" ref="K40">_xll.ciqfunctions.udf.CIQ(E$3,$B$1,$H$2,$A40,"L",,"USD","H")</f>
        <v>6976.06</v>
      </c>
      <c r="L40" s="40" cm="1">
        <f t="array" ref="L40">_xll.ciqfunctions.udf.CIQ(F$3,$B$1,$H$2,$A40,"L",,"USD","H")</f>
        <v>180811</v>
      </c>
      <c r="M40" s="40" cm="1">
        <f t="array" ref="M40">_xll.ciqfunctions.udf.CIQ(G$3,$B$1,$H$2,$A40,"L",,"USD","H")</f>
        <v>10187</v>
      </c>
      <c r="N40" s="13" cm="1">
        <f t="array" ref="N40">_xll.ciqfunctions.udf.CIQ(B$3,$N$1,$B$2,$A40,"L",,"USD","H")</f>
        <v>-15.0969</v>
      </c>
      <c r="O40" s="13" cm="1">
        <f t="array" ref="O40">_xll.ciqfunctions.udf.CIQ(C$3,$N$1,$B$2,$A40,"L",,"USD","H")</f>
        <v>-12.910600000000001</v>
      </c>
      <c r="P40" s="13" cm="1">
        <f t="array" ref="P40">_xll.ciqfunctions.udf.CIQ(D$3,$N$1,$B$2,$A40,"L",,"USD","H")</f>
        <v>-11.560700000000001</v>
      </c>
      <c r="Q40" s="13" cm="1">
        <f t="array" ref="Q40">_xll.ciqfunctions.udf.CIQ(E$3,$N$1,$B$2,$A40,"L",,"USD","H")</f>
        <v>-6.4909999999999997</v>
      </c>
      <c r="R40" s="13" cm="1">
        <f t="array" ref="R40">_xll.ciqfunctions.udf.CIQ(F$3,$N$1,$B$2,$A40,"L",,"USD","H")</f>
        <v>-16.237500000000001</v>
      </c>
      <c r="S40" s="13" cm="1">
        <f t="array" ref="S40">_xll.ciqfunctions.udf.CIQ(G$3,$N$1,$B$2,$A40,"L",,"USD","H")</f>
        <v>-11.9465</v>
      </c>
      <c r="T40" s="94">
        <v>45800</v>
      </c>
      <c r="U40" s="41" cm="1">
        <f t="array" ref="U40">_xll.ciqfunctions.udf.CIQ(O$3,$N$1,$T$2,$A40,"L",,"USD","H")</f>
        <v>-24.2865</v>
      </c>
      <c r="V40" s="41" cm="1">
        <f t="array" ref="V40">_xll.ciqfunctions.udf.CIQ(P$3,$N$1,$T$2,$A40,"L",,"USD","H")</f>
        <v>-25.821300000000001</v>
      </c>
      <c r="W40" s="41" cm="1">
        <f t="array" ref="W40">_xll.ciqfunctions.udf.CIQ(Q$3,$N$1,$T$2,$A40,"L",,"USD","H")</f>
        <v>-32.743499999999997</v>
      </c>
      <c r="X40" s="41" cm="1">
        <f t="array" ref="X40">_xll.ciqfunctions.udf.CIQ(R$3,$N$1,$T$2,$A40,"L",,"USD","H")</f>
        <v>-26.9542</v>
      </c>
      <c r="Y40" s="41" cm="1">
        <f t="array" ref="Y40">_xll.ciqfunctions.udf.CIQ(S$3,$N$1,$T$2,$A40,"L",,"USD","H")</f>
        <v>-25.6858</v>
      </c>
      <c r="Z40" s="38" cm="1">
        <f t="array" ref="Z40">_xll.ciqfunctions.udf.CIQ(B$3,$Z$1,$B$2,$A40,"L",,"USD","H")</f>
        <v>-1040</v>
      </c>
      <c r="AA40" s="38" cm="1">
        <f t="array" ref="AA40">_xll.ciqfunctions.udf.CIQ(C$3,$Z$1,$B$2,$A40,"L",,"USD","H")</f>
        <v>2650</v>
      </c>
      <c r="AB40" s="38" cm="1">
        <f t="array" ref="AB40">_xll.ciqfunctions.udf.CIQ(D$3,$Z$1,$B$2,$A40,"L",,"USD","H")</f>
        <v>1283</v>
      </c>
      <c r="AC40" s="38" cm="1">
        <f t="array" ref="AC40">_xll.ciqfunctions.udf.CIQ(E$3,$Z$1,$B$2,$A40,"L",,"USD","H")</f>
        <v>-190</v>
      </c>
      <c r="AD40" s="38" cm="1">
        <f t="array" ref="AD40">_xll.ciqfunctions.udf.CIQ(F$3,$Z$1,$B$2,$A40,"L",,"USD","H")</f>
        <v>1620</v>
      </c>
      <c r="AE40" s="38" cm="1">
        <f t="array" ref="AE40">_xll.ciqfunctions.udf.CIQ(G$3,$Z$1,$B$2,$A40,"L",,"USD","H")</f>
        <v>993</v>
      </c>
      <c r="AF40" s="40" cm="1">
        <f t="array" ref="AF40">_xll.ciqfunctions.udf.CIQ(B$3,$Z$1,$H$2,$A40,"L",,"USD","H")</f>
        <v>-7030</v>
      </c>
      <c r="AG40" s="40" cm="1">
        <f t="array" ref="AG40">_xll.ciqfunctions.udf.CIQ(C$3,$Z$1,$H$2,$A40,"L",,"USD","H")</f>
        <v>8940</v>
      </c>
      <c r="AH40" s="40" cm="1">
        <f t="array" ref="AH40">_xll.ciqfunctions.udf.CIQ(D$3,$Z$1,$H$2,$A40,"L",,"USD","H")</f>
        <v>-1500</v>
      </c>
      <c r="AI40" s="40" cm="1">
        <f t="array" ref="AI40">_xll.ciqfunctions.udf.CIQ(E$3,$Z$1,$H$2,$A40,"L",,"USD","H")</f>
        <v>-1238.6300000000001</v>
      </c>
      <c r="AJ40" s="40" cm="1">
        <f t="array" ref="AJ40">_xll.ciqfunctions.udf.CIQ(F$3,$Z$1,$H$2,$A40,"L",,"USD","H")</f>
        <v>-3689</v>
      </c>
      <c r="AK40" s="40" cm="1">
        <f t="array" ref="AK40">_xll.ciqfunctions.udf.CIQ(G$3,$Z$1,$H$2,$A40,"L",,"USD","H")</f>
        <v>-8165</v>
      </c>
      <c r="AL40" s="13" t="str" cm="1">
        <f t="array" ref="AL40">_xll.ciqfunctions.udf.CIQ(B$3,$AL$1,$AL$2,$A40,"L",,"USD","H")</f>
        <v>NM</v>
      </c>
      <c r="AM40" s="13" cm="1">
        <f t="array" ref="AM40">_xll.ciqfunctions.udf.CIQ(C$3,$AL$1,$AL$2,$A40,"L",,"USD","H")</f>
        <v>-37.5</v>
      </c>
      <c r="AN40" s="13" cm="1">
        <f t="array" ref="AN40">_xll.ciqfunctions.udf.CIQ(D$3,$AL$1,$AL$2,$A40,"L",,"USD","H")</f>
        <v>-37.015300000000003</v>
      </c>
      <c r="AO40" s="13" t="str" cm="1">
        <f t="array" ref="AO40">_xll.ciqfunctions.udf.CIQ(E$3,$AL$1,$AL$2,$A40,"L",,"USD","H")</f>
        <v>NM</v>
      </c>
      <c r="AP40" s="13" cm="1">
        <f t="array" ref="AP40">_xll.ciqfunctions.udf.CIQ(F$3,$AL$1,$AL$2,$A40,"L",,"USD","H")</f>
        <v>3421.7390999999998</v>
      </c>
      <c r="AQ40" s="13" t="str" cm="1">
        <f t="array" ref="AQ40">_xll.ciqfunctions.udf.CIQ(G$3,$AL$1,$AL$2,$A40,"L",,"USD","H")</f>
        <v>NM</v>
      </c>
      <c r="AR40" s="41" t="str" cm="1">
        <f t="array" ref="AR40">_xll.ciqfunctions.udf.CIQ(B$3,$AL$1,$AR$2,$A40,"L",,"USD","H")</f>
        <v>NM</v>
      </c>
      <c r="AS40" s="41" cm="1">
        <f t="array" ref="AS40">_xll.ciqfunctions.udf.CIQ(C$3,$AL$1,$AR$2,$A40,"L",,"USD","H")</f>
        <v>-55.165500000000002</v>
      </c>
      <c r="AT40" s="41" t="str" cm="1">
        <f t="array" ref="AT40">_xll.ciqfunctions.udf.CIQ(D$3,$AL$1,$AR$2,$A40,"L",,"USD","H")</f>
        <v>NM</v>
      </c>
      <c r="AU40" s="41" t="str" cm="1">
        <f t="array" ref="AU40">_xll.ciqfunctions.udf.CIQ(E$3,$AL$1,$AR$2,$A40,"L",,"USD","H")</f>
        <v>NM</v>
      </c>
      <c r="AV40" s="41" t="str" cm="1">
        <f t="array" ref="AV40">_xll.ciqfunctions.udf.CIQ(F$3,$AL$1,$AR$2,$A40,"L",,"USD","H")</f>
        <v>NM</v>
      </c>
      <c r="AW40" s="41" t="str" cm="1">
        <f t="array" ref="AW40">_xll.ciqfunctions.udf.CIQ(G$3,$AL$1,$AR$2,$A40,"L",,"USD","H")</f>
        <v>NM</v>
      </c>
      <c r="AX40" s="38" cm="1">
        <f t="array" ref="AX40">_xll.ciqfunctions.udf.CIQ(B$3,$AX$1,$AX$2,$A40,"L",,"USD","H")</f>
        <v>1106</v>
      </c>
      <c r="AY40" s="38" cm="1">
        <f t="array" ref="AY40">_xll.ciqfunctions.udf.CIQ(C$3,$AX$1,$AX$2,$A40,"L",,"USD","H")</f>
        <v>6834</v>
      </c>
      <c r="AZ40" s="38" cm="1">
        <f t="array" ref="AZ40">_xll.ciqfunctions.udf.CIQ(D$3,$AX$1,$AX$2,$A40,"L",,"USD","H")</f>
        <v>4319</v>
      </c>
      <c r="BA40" s="38" cm="1">
        <f t="array" ref="BA40">_xll.ciqfunctions.udf.CIQ(E$3,$AX$1,$AX$2,$A40,"L",,"USD","H")</f>
        <v>775.81700000000001</v>
      </c>
      <c r="BB40" s="38" cm="1">
        <f t="array" ref="BB40">_xll.ciqfunctions.udf.CIQ(F$3,$AX$1,$AX$2,$A40,"L",,"USD","H")</f>
        <v>3591</v>
      </c>
      <c r="BC40" s="38" cm="1">
        <f t="array" ref="BC40">_xll.ciqfunctions.udf.CIQ(G$3,$AX$1,$AX$2,$A40,"L",,"USD","H")</f>
        <v>841</v>
      </c>
      <c r="BD40" s="40" cm="1">
        <f t="array" ref="BD40">_xll.ciqfunctions.udf.CIQ(B$3,$AX$1,$BD$2,$A40,"L",,"USD","H")</f>
        <v>3721</v>
      </c>
      <c r="BE40" s="40" cm="1">
        <f t="array" ref="BE40">_xll.ciqfunctions.udf.CIQ(C$3,$AX$1,$BD$2,$A40,"L",,"USD","H")</f>
        <v>23650</v>
      </c>
      <c r="BF40" s="40" cm="1">
        <f t="array" ref="BF40">_xll.ciqfunctions.udf.CIQ(D$3,$AX$1,$BD$2,$A40,"L",,"USD","H")</f>
        <v>13179</v>
      </c>
      <c r="BG40" s="40">
        <f>_xll.ciqfunctions.udf.CIQ("COP", "IQ_PRICEDATE", "5/2/2025")</f>
        <v>45779</v>
      </c>
      <c r="BH40" s="40" cm="1">
        <f t="array" ref="BH40">_xll.ciqfunctions.udf.CIQ(F$3,$AX$1,$BD$2,$A40,"L",,"USD","H")</f>
        <v>15104</v>
      </c>
      <c r="BI40" s="40" cm="1">
        <f t="array" ref="BI40">_xll.ciqfunctions.udf.CIQ(G$3,$AX$1,$BD$2,$A40,"L",,"USD","H")</f>
        <v>2366</v>
      </c>
      <c r="BJ40" s="43">
        <f t="shared" si="1"/>
        <v>2.6926648096564421E-2</v>
      </c>
      <c r="BK40" s="43">
        <f t="shared" si="2"/>
        <v>-0.21484375</v>
      </c>
      <c r="BL40" s="43">
        <f t="shared" si="3"/>
        <v>-0.21601016518424399</v>
      </c>
      <c r="BM40" s="43">
        <f t="shared" si="4"/>
        <v>-3.9616498724963534E-2</v>
      </c>
      <c r="BN40" s="43">
        <f t="shared" si="5"/>
        <v>-0.19048692515779986</v>
      </c>
      <c r="BO40" s="43">
        <f t="shared" si="6"/>
        <v>-0.26933101650738489</v>
      </c>
      <c r="BP40" s="42">
        <f t="shared" si="7"/>
        <v>-0.55833827893175081</v>
      </c>
      <c r="BQ40" s="42">
        <f t="shared" si="8"/>
        <v>-0.33500168709931388</v>
      </c>
      <c r="BR40" s="42">
        <f t="shared" si="9"/>
        <v>-0.39958997722095668</v>
      </c>
      <c r="BS40" s="42">
        <f t="shared" si="10"/>
        <v>6.1200848068887481E-4</v>
      </c>
      <c r="BT40" s="42">
        <f t="shared" si="11"/>
        <v>-0.27146440285548912</v>
      </c>
      <c r="BU40" s="42">
        <f t="shared" si="12"/>
        <v>-0.60989282769991759</v>
      </c>
      <c r="BV40" s="68" cm="1">
        <f t="array" ref="BV40">_xll.ciqfunctions.udf.CIQ(B$3,$BV$1,$BV$2,$A40,"L",,"USD","H")/100</f>
        <v>-8.2276000000000002E-2</v>
      </c>
      <c r="BW40" s="68" cm="1">
        <f t="array" ref="BW40">_xll.ciqfunctions.udf.CIQ(C$3,$BV$1,$BV$2,$A40,"L",,"USD","H")/100</f>
        <v>-8.6920000000000001E-3</v>
      </c>
      <c r="BX40" s="68" cm="1">
        <f t="array" ref="BX40">_xll.ciqfunctions.udf.CIQ(D$3,$BV$1,$BV$2,$A40,"L",,"USD","H")/100</f>
        <v>-1.4924E-2</v>
      </c>
      <c r="BY40" s="68" cm="1">
        <f t="array" ref="BY40">_xll.ciqfunctions.udf.CIQ(E$3,$BV$1,$BV$2,$A40,"L",,"USD","H")/100</f>
        <v>-5.9783999999999997E-2</v>
      </c>
      <c r="BZ40" s="68" cm="1">
        <f t="array" ref="BZ40">_xll.ciqfunctions.udf.CIQ(F$3,$BV$1,$BV$2,$A40,"L",,"USD","H")/100</f>
        <v>1.2172000000000001E-2</v>
      </c>
      <c r="CA40" s="68" cm="1">
        <f t="array" ref="CA40">_xll.ciqfunctions.udf.CIQ(G$3,$BV$1,$BV$2,$A40,"L",,"USD","H")/100</f>
        <v>0.177172</v>
      </c>
      <c r="CB40" s="68" cm="1">
        <f t="array" ref="CB40">_xll.ciqfunctions.udf.CIQ(B$3,$BV$1,$CB$2,$A40,"L",,"USD","H")/100</f>
        <v>-0.13214800000000002</v>
      </c>
      <c r="CC40" s="68" cm="1">
        <f t="array" ref="CC40">_xll.ciqfunctions.udf.CIQ(C$3,$BV$1,$CB$2,$A40,"L",,"USD","H")/100</f>
        <v>-1.5813000000000001E-2</v>
      </c>
      <c r="CD40" s="68" cm="1">
        <f t="array" ref="CD40">_xll.ciqfunctions.udf.CIQ(D$3,$BV$1,$CB$2,$A40,"L",,"USD","H")/100</f>
        <v>-4.9336000000000005E-2</v>
      </c>
      <c r="CE40" s="68" cm="1">
        <f t="array" ref="CE40">_xll.ciqfunctions.udf.CIQ(E$3,$BV$1,$CB$2,$A40,"L",,"USD","H")/100</f>
        <v>-8.3523E-2</v>
      </c>
      <c r="CF40" s="68" cm="1">
        <f t="array" ref="CF40">_xll.ciqfunctions.udf.CIQ(F$3,$BV$1,$CB$2,$A40,"L",,"USD","H")/100</f>
        <v>-5.5542000000000001E-2</v>
      </c>
      <c r="CG40" s="68" cm="1">
        <f t="array" ref="CG40">_xll.ciqfunctions.udf.CIQ(G$3,$BV$1,$CB$2,$A40,"L",,"USD","H")/100</f>
        <v>-0.34194000000000002</v>
      </c>
    </row>
    <row r="41" spans="1:85" x14ac:dyDescent="0.45">
      <c r="A41" s="3">
        <f t="shared" si="13"/>
        <v>42551</v>
      </c>
      <c r="B41" s="14" cm="1">
        <f t="array" ref="B41">_xll.ciqfunctions.udf.CIQ(B$3,$B$1,$B$2,$A41,"L",,"USD","H")</f>
        <v>5428</v>
      </c>
      <c r="C41" s="38" cm="1">
        <f t="array" ref="C41">_xll.ciqfunctions.udf.CIQ(C$3,$B$1,$B$2,$A41,"L",,"USD","H")</f>
        <v>51486</v>
      </c>
      <c r="D41" s="38" cm="1">
        <f t="array" ref="D41">_xll.ciqfunctions.udf.CIQ(D$3,$B$1,$B$2,$A41,"L",,"USD","H")</f>
        <v>26060</v>
      </c>
      <c r="E41" s="38" cm="1">
        <f t="array" ref="E41">_xll.ciqfunctions.udf.CIQ(E$3,$B$1,$B$2,$A41,"L",,"USD","H")</f>
        <v>1835.663</v>
      </c>
      <c r="F41" s="38" cm="1">
        <f t="array" ref="F41">_xll.ciqfunctions.udf.CIQ(F$3,$B$1,$B$2,$A41,"L",,"USD","H")</f>
        <v>46184</v>
      </c>
      <c r="G41" s="38" cm="1">
        <f t="array" ref="G41">_xll.ciqfunctions.udf.CIQ(G$3,$B$1,$B$2,$A41,"L",,"USD","H")</f>
        <v>2592</v>
      </c>
      <c r="H41" s="40" cm="1">
        <f t="array" ref="H41">_xll.ciqfunctions.udf.CIQ(B$3,$B$1,$H$2,$A41,"L",,"USD","H")</f>
        <v>24147</v>
      </c>
      <c r="I41" s="40" cm="1">
        <f t="array" ref="I41">_xll.ciqfunctions.udf.CIQ(C$3,$B$1,$H$2,$A41,"L",,"USD","H")</f>
        <v>205963</v>
      </c>
      <c r="J41" s="40" cm="1">
        <f t="array" ref="J41">_xll.ciqfunctions.udf.CIQ(D$3,$B$1,$H$2,$A41,"L",,"USD","H")</f>
        <v>104742</v>
      </c>
      <c r="K41" s="40" cm="1">
        <f t="array" ref="K41">_xll.ciqfunctions.udf.CIQ(E$3,$B$1,$H$2,$A41,"L",,"USD","H")</f>
        <v>7115.2510000000002</v>
      </c>
      <c r="L41" s="40" cm="1">
        <f t="array" ref="L41">_xll.ciqfunctions.udf.CIQ(F$3,$B$1,$H$2,$A41,"L",,"USD","H")</f>
        <v>189890</v>
      </c>
      <c r="M41" s="40" cm="1">
        <f t="array" ref="M41">_xll.ciqfunctions.udf.CIQ(G$3,$B$1,$H$2,$A41,"L",,"USD","H")</f>
        <v>10562</v>
      </c>
      <c r="N41" s="13" cm="1">
        <f t="array" ref="N41">_xll.ciqfunctions.udf.CIQ(B$3,$N$1,$B$2,$A41,"L",,"USD","H")</f>
        <v>-36.522100000000002</v>
      </c>
      <c r="O41" s="13" cm="1">
        <f t="array" ref="O41">_xll.ciqfunctions.udf.CIQ(C$3,$N$1,$B$2,$A41,"L",,"USD","H")</f>
        <v>-21.269300000000001</v>
      </c>
      <c r="P41" s="13" cm="1">
        <f t="array" ref="P41">_xll.ciqfunctions.udf.CIQ(D$3,$N$1,$B$2,$A41,"L",,"USD","H")</f>
        <v>-25.252500000000001</v>
      </c>
      <c r="Q41" s="13" cm="1">
        <f t="array" ref="Q41">_xll.ciqfunctions.udf.CIQ(E$3,$N$1,$B$2,$A41,"L",,"USD","H")</f>
        <v>-27.264700000000001</v>
      </c>
      <c r="R41" s="13" cm="1">
        <f t="array" ref="R41">_xll.ciqfunctions.udf.CIQ(F$3,$N$1,$B$2,$A41,"L",,"USD","H")</f>
        <v>-25.3629</v>
      </c>
      <c r="S41" s="13" cm="1">
        <f t="array" ref="S41">_xll.ciqfunctions.udf.CIQ(G$3,$N$1,$B$2,$A41,"L",,"USD","H")</f>
        <v>-28.3186</v>
      </c>
      <c r="T41" s="94">
        <v>45793</v>
      </c>
      <c r="U41" s="41" cm="1">
        <f t="array" ref="U41">_xll.ciqfunctions.udf.CIQ(O$3,$N$1,$T$2,$A41,"L",,"USD","H")</f>
        <v>-30.8018</v>
      </c>
      <c r="V41" s="41" cm="1">
        <f t="array" ref="V41">_xll.ciqfunctions.udf.CIQ(P$3,$N$1,$T$2,$A41,"L",,"USD","H")</f>
        <v>-32.474699999999999</v>
      </c>
      <c r="W41" s="41" cm="1">
        <f t="array" ref="W41">_xll.ciqfunctions.udf.CIQ(Q$3,$N$1,$T$2,$A41,"L",,"USD","H")</f>
        <v>-44.486199999999997</v>
      </c>
      <c r="X41" s="41" cm="1">
        <f t="array" ref="X41">_xll.ciqfunctions.udf.CIQ(R$3,$N$1,$T$2,$A41,"L",,"USD","H")</f>
        <v>-33.493600000000001</v>
      </c>
      <c r="Y41" s="41" cm="1">
        <f t="array" ref="Y41">_xll.ciqfunctions.udf.CIQ(S$3,$N$1,$T$2,$A41,"L",,"USD","H")</f>
        <v>-30.316099999999999</v>
      </c>
      <c r="Z41" s="38" cm="1">
        <f t="array" ref="Z41">_xll.ciqfunctions.udf.CIQ(B$3,$Z$1,$B$2,$A41,"L",,"USD","H")</f>
        <v>-1071</v>
      </c>
      <c r="AA41" s="38" cm="1">
        <f t="array" ref="AA41">_xll.ciqfunctions.udf.CIQ(C$3,$Z$1,$B$2,$A41,"L",,"USD","H")</f>
        <v>1700</v>
      </c>
      <c r="AB41" s="38" cm="1">
        <f t="array" ref="AB41">_xll.ciqfunctions.udf.CIQ(D$3,$Z$1,$B$2,$A41,"L",,"USD","H")</f>
        <v>-1470</v>
      </c>
      <c r="AC41" s="38" cm="1">
        <f t="array" ref="AC41">_xll.ciqfunctions.udf.CIQ(E$3,$Z$1,$B$2,$A41,"L",,"USD","H")</f>
        <v>-292.55799999999999</v>
      </c>
      <c r="AD41" s="38" cm="1">
        <f t="array" ref="AD41">_xll.ciqfunctions.udf.CIQ(F$3,$Z$1,$B$2,$A41,"L",,"USD","H")</f>
        <v>-1419</v>
      </c>
      <c r="AE41" s="38" cm="1">
        <f t="array" ref="AE41">_xll.ciqfunctions.udf.CIQ(G$3,$Z$1,$B$2,$A41,"L",,"USD","H")</f>
        <v>-1570</v>
      </c>
      <c r="AF41" s="40" cm="1">
        <f t="array" ref="AF41">_xll.ciqfunctions.udf.CIQ(B$3,$Z$1,$H$2,$A41,"L",,"USD","H")</f>
        <v>-7061</v>
      </c>
      <c r="AG41" s="40" cm="1">
        <f t="array" ref="AG41">_xll.ciqfunctions.udf.CIQ(C$3,$Z$1,$H$2,$A41,"L",,"USD","H")</f>
        <v>10530</v>
      </c>
      <c r="AH41" s="40" cm="1">
        <f t="array" ref="AH41">_xll.ciqfunctions.udf.CIQ(D$3,$Z$1,$H$2,$A41,"L",,"USD","H")</f>
        <v>-746</v>
      </c>
      <c r="AI41" s="40" cm="1">
        <f t="array" ref="AI41">_xll.ciqfunctions.udf.CIQ(E$3,$Z$1,$H$2,$A41,"L",,"USD","H")</f>
        <v>-5124.3689999999997</v>
      </c>
      <c r="AJ41" s="40" cm="1">
        <f t="array" ref="AJ41">_xll.ciqfunctions.udf.CIQ(F$3,$Z$1,$H$2,$A41,"L",,"USD","H")</f>
        <v>-5263</v>
      </c>
      <c r="AK41" s="40" cm="1">
        <f t="array" ref="AK41">_xll.ciqfunctions.udf.CIQ(G$3,$Z$1,$H$2,$A41,"L",,"USD","H")</f>
        <v>-12665</v>
      </c>
      <c r="AL41" s="13" t="str" cm="1">
        <f t="array" ref="AL41">_xll.ciqfunctions.udf.CIQ(B$3,$AL$1,$AL$2,$A41,"L",,"USD","H")</f>
        <v>NM</v>
      </c>
      <c r="AM41" s="13" cm="1">
        <f t="array" ref="AM41">_xll.ciqfunctions.udf.CIQ(C$3,$AL$1,$AL$2,$A41,"L",,"USD","H")</f>
        <v>-59.427300000000002</v>
      </c>
      <c r="AN41" s="13" t="str" cm="1">
        <f t="array" ref="AN41">_xll.ciqfunctions.udf.CIQ(D$3,$AL$1,$AL$2,$A41,"L",,"USD","H")</f>
        <v>NM</v>
      </c>
      <c r="AO41" s="13" t="str" cm="1">
        <f t="array" ref="AO41">_xll.ciqfunctions.udf.CIQ(E$3,$AL$1,$AL$2,$A41,"L",,"USD","H")</f>
        <v>NM</v>
      </c>
      <c r="AP41" s="13" t="str" cm="1">
        <f t="array" ref="AP41">_xll.ciqfunctions.udf.CIQ(F$3,$AL$1,$AL$2,$A41,"L",,"USD","H")</f>
        <v>NM</v>
      </c>
      <c r="AQ41" s="13" t="str" cm="1">
        <f t="array" ref="AQ41">_xll.ciqfunctions.udf.CIQ(G$3,$AL$1,$AL$2,$A41,"L",,"USD","H")</f>
        <v>NM</v>
      </c>
      <c r="AR41" s="41" t="str" cm="1">
        <f t="array" ref="AR41">_xll.ciqfunctions.udf.CIQ(B$3,$AL$1,$AR$2,$A41,"L",,"USD","H")</f>
        <v>NM</v>
      </c>
      <c r="AS41" s="41" cm="1">
        <f t="array" ref="AS41">_xll.ciqfunctions.udf.CIQ(C$3,$AL$1,$AR$2,$A41,"L",,"USD","H")</f>
        <v>-55.700499999999998</v>
      </c>
      <c r="AT41" s="41" t="str" cm="1">
        <f t="array" ref="AT41">_xll.ciqfunctions.udf.CIQ(D$3,$AL$1,$AR$2,$A41,"L",,"USD","H")</f>
        <v>NM</v>
      </c>
      <c r="AU41" s="41" t="str" cm="1">
        <f t="array" ref="AU41">_xll.ciqfunctions.udf.CIQ(E$3,$AL$1,$AR$2,$A41,"L",,"USD","H")</f>
        <v>NM</v>
      </c>
      <c r="AV41" s="41" t="str" cm="1">
        <f t="array" ref="AV41">_xll.ciqfunctions.udf.CIQ(F$3,$AL$1,$AR$2,$A41,"L",,"USD","H")</f>
        <v>NM</v>
      </c>
      <c r="AW41" s="41" t="str" cm="1">
        <f t="array" ref="AW41">_xll.ciqfunctions.udf.CIQ(G$3,$AL$1,$AR$2,$A41,"L",,"USD","H")</f>
        <v>NM</v>
      </c>
      <c r="AX41" s="38" cm="1">
        <f t="array" ref="AX41">_xll.ciqfunctions.udf.CIQ(B$3,$AX$1,$AX$2,$A41,"L",,"USD","H")</f>
        <v>1109</v>
      </c>
      <c r="AY41" s="38" cm="1">
        <f t="array" ref="AY41">_xll.ciqfunctions.udf.CIQ(C$3,$AX$1,$AX$2,$A41,"L",,"USD","H")</f>
        <v>6519</v>
      </c>
      <c r="AZ41" s="38" cm="1">
        <f t="array" ref="AZ41">_xll.ciqfunctions.udf.CIQ(D$3,$AX$1,$AX$2,$A41,"L",,"USD","H")</f>
        <v>3295</v>
      </c>
      <c r="BA41" s="38" cm="1">
        <f t="array" ref="BA41">_xll.ciqfunctions.udf.CIQ(E$3,$AX$1,$AX$2,$A41,"L",,"USD","H")</f>
        <v>682.58199999999999</v>
      </c>
      <c r="BB41" s="38" cm="1">
        <f t="array" ref="BB41">_xll.ciqfunctions.udf.CIQ(F$3,$AX$1,$AX$2,$A41,"L",,"USD","H")</f>
        <v>5259</v>
      </c>
      <c r="BC41" s="38" cm="1">
        <f t="array" ref="BC41">_xll.ciqfunctions.udf.CIQ(G$3,$AX$1,$AX$2,$A41,"L",,"USD","H")</f>
        <v>528</v>
      </c>
      <c r="BD41" s="40" cm="1">
        <f t="array" ref="BD41">_xll.ciqfunctions.udf.CIQ(B$3,$AX$1,$BD$2,$A41,"L",,"USD","H")</f>
        <v>3694</v>
      </c>
      <c r="BE41" s="40" cm="1">
        <f t="array" ref="BE41">_xll.ciqfunctions.udf.CIQ(C$3,$AX$1,$BD$2,$A41,"L",,"USD","H")</f>
        <v>25520</v>
      </c>
      <c r="BF41" s="40" cm="1">
        <f t="array" ref="BF41">_xll.ciqfunctions.udf.CIQ(D$3,$AX$1,$BD$2,$A41,"L",,"USD","H")</f>
        <v>14369</v>
      </c>
      <c r="BG41" s="40">
        <f>_xll.ciqfunctions.udf.CIQ("COP", "IQ_PRICEDATE", "4/25/2025")</f>
        <v>45772</v>
      </c>
      <c r="BH41" s="40" cm="1">
        <f t="array" ref="BH41">_xll.ciqfunctions.udf.CIQ(F$3,$AX$1,$BD$2,$A41,"L",,"USD","H")</f>
        <v>15949</v>
      </c>
      <c r="BI41" s="40" cm="1">
        <f t="array" ref="BI41">_xll.ciqfunctions.udf.CIQ(G$3,$AX$1,$BD$2,$A41,"L",,"USD","H")</f>
        <v>2694</v>
      </c>
      <c r="BJ41" s="43">
        <f t="shared" si="1"/>
        <v>-0.5824548192771084</v>
      </c>
      <c r="BK41" s="43">
        <f t="shared" si="2"/>
        <v>-0.25386288199610851</v>
      </c>
      <c r="BL41" s="43">
        <f t="shared" si="3"/>
        <v>-0.31196491960743367</v>
      </c>
      <c r="BM41" s="43">
        <f t="shared" si="4"/>
        <v>-0.33272267277718259</v>
      </c>
      <c r="BN41" s="43">
        <f t="shared" si="5"/>
        <v>-0.14166802676677004</v>
      </c>
      <c r="BO41" s="43">
        <f t="shared" si="6"/>
        <v>-0.14701130856219713</v>
      </c>
      <c r="BP41" s="42">
        <f t="shared" si="7"/>
        <v>-0.70260043474760492</v>
      </c>
      <c r="BQ41" s="42">
        <f t="shared" si="8"/>
        <v>-0.37444847534071968</v>
      </c>
      <c r="BR41" s="42">
        <f t="shared" si="9"/>
        <v>-0.45555471354956045</v>
      </c>
      <c r="BS41" s="42">
        <f t="shared" si="10"/>
        <v>6.1210213361317933E-4</v>
      </c>
      <c r="BT41" s="42">
        <f t="shared" si="11"/>
        <v>-0.33437669546346149</v>
      </c>
      <c r="BU41" s="42">
        <f t="shared" si="12"/>
        <v>-0.64242102468808071</v>
      </c>
      <c r="BV41" s="68" cm="1">
        <f t="array" ref="BV41">_xll.ciqfunctions.udf.CIQ(B$3,$BV$1,$BV$2,$A41,"L",,"USD","H")/100</f>
        <v>-8.1788000000000013E-2</v>
      </c>
      <c r="BW41" s="68" cm="1">
        <f t="array" ref="BW41">_xll.ciqfunctions.udf.CIQ(C$3,$BV$1,$BV$2,$A41,"L",,"USD","H")/100</f>
        <v>-2.588E-2</v>
      </c>
      <c r="BX41" s="68" cm="1">
        <f t="array" ref="BX41">_xll.ciqfunctions.udf.CIQ(D$3,$BV$1,$BV$2,$A41,"L",,"USD","H")/100</f>
        <v>-7.1728E-2</v>
      </c>
      <c r="BY41" s="68" cm="1">
        <f t="array" ref="BY41">_xll.ciqfunctions.udf.CIQ(E$3,$BV$1,$BV$2,$A41,"L",,"USD","H")/100</f>
        <v>-8.0016000000000004E-2</v>
      </c>
      <c r="BZ41" s="68" cm="1">
        <f t="array" ref="BZ41">_xll.ciqfunctions.udf.CIQ(F$3,$BV$1,$BV$2,$A41,"L",,"USD","H")/100</f>
        <v>-6.8752000000000008E-2</v>
      </c>
      <c r="CA41" s="68" cm="1">
        <f t="array" ref="CA41">_xll.ciqfunctions.udf.CIQ(G$3,$BV$1,$BV$2,$A41,"L",,"USD","H")/100</f>
        <v>-0.285356</v>
      </c>
      <c r="CB41" s="68" cm="1">
        <f t="array" ref="CB41">_xll.ciqfunctions.udf.CIQ(B$3,$BV$1,$CB$2,$A41,"L",,"USD","H")/100</f>
        <v>-0.13578099999999999</v>
      </c>
      <c r="CC41" s="68" cm="1">
        <f t="array" ref="CC41">_xll.ciqfunctions.udf.CIQ(C$3,$BV$1,$CB$2,$A41,"L",,"USD","H")/100</f>
        <v>-8.1569999999999993E-3</v>
      </c>
      <c r="CD41" s="68" cm="1">
        <f t="array" ref="CD41">_xll.ciqfunctions.udf.CIQ(D$3,$BV$1,$CB$2,$A41,"L",,"USD","H")/100</f>
        <v>-4.5884999999999995E-2</v>
      </c>
      <c r="CE41" s="68" cm="1">
        <f t="array" ref="CE41">_xll.ciqfunctions.udf.CIQ(E$3,$BV$1,$CB$2,$A41,"L",,"USD","H")/100</f>
        <v>-0.25622699999999998</v>
      </c>
      <c r="CF41" s="68" cm="1">
        <f t="array" ref="CF41">_xll.ciqfunctions.udf.CIQ(F$3,$BV$1,$CB$2,$A41,"L",,"USD","H")/100</f>
        <v>-6.8662000000000001E-2</v>
      </c>
      <c r="CG41" s="68" cm="1">
        <f t="array" ref="CG41">_xll.ciqfunctions.udf.CIQ(G$3,$BV$1,$CB$2,$A41,"L",,"USD","H")/100</f>
        <v>-0.48222399999999999</v>
      </c>
    </row>
    <row r="42" spans="1:85" x14ac:dyDescent="0.45">
      <c r="A42" s="3">
        <f t="shared" si="13"/>
        <v>42460</v>
      </c>
      <c r="B42" s="14" cm="1">
        <f t="array" ref="B42">_xll.ciqfunctions.udf.CIQ(B$3,$B$1,$B$2,$A42,"L",,"USD","H")</f>
        <v>4972</v>
      </c>
      <c r="C42" s="38" cm="1">
        <f t="array" ref="C42">_xll.ciqfunctions.udf.CIQ(C$3,$B$1,$B$2,$A42,"L",,"USD","H")</f>
        <v>42290</v>
      </c>
      <c r="D42" s="38" cm="1">
        <f t="array" ref="D42">_xll.ciqfunctions.udf.CIQ(D$3,$B$1,$B$2,$A42,"L",,"USD","H")</f>
        <v>21418</v>
      </c>
      <c r="E42" s="38" cm="1">
        <f t="array" ref="E42">_xll.ciqfunctions.udf.CIQ(E$3,$B$1,$B$2,$A42,"L",,"USD","H")</f>
        <v>1339.7670000000001</v>
      </c>
      <c r="F42" s="38" cm="1">
        <f t="array" ref="F42">_xll.ciqfunctions.udf.CIQ(F$3,$B$1,$B$2,$A42,"L",,"USD","H")</f>
        <v>38498</v>
      </c>
      <c r="G42" s="38" cm="1">
        <f t="array" ref="G42">_xll.ciqfunctions.udf.CIQ(G$3,$B$1,$B$2,$A42,"L",,"USD","H")</f>
        <v>2060</v>
      </c>
      <c r="H42" s="40" cm="1">
        <f t="array" ref="H42">_xll.ciqfunctions.udf.CIQ(B$3,$B$1,$H$2,$A42,"L",,"USD","H")</f>
        <v>27270</v>
      </c>
      <c r="I42" s="40" cm="1">
        <f t="array" ref="I42">_xll.ciqfunctions.udf.CIQ(C$3,$B$1,$H$2,$A42,"L",,"USD","H")</f>
        <v>219872</v>
      </c>
      <c r="J42" s="40" cm="1">
        <f t="array" ref="J42">_xll.ciqfunctions.udf.CIQ(D$3,$B$1,$H$2,$A42,"L",,"USD","H")</f>
        <v>113546</v>
      </c>
      <c r="K42" s="40" cm="1">
        <f t="array" ref="K42">_xll.ciqfunctions.udf.CIQ(E$3,$B$1,$H$2,$A42,"L",,"USD","H")</f>
        <v>7803.3459999999995</v>
      </c>
      <c r="L42" s="40" cm="1">
        <f t="array" ref="L42">_xll.ciqfunctions.udf.CIQ(F$3,$B$1,$H$2,$A42,"L",,"USD","H")</f>
        <v>205584</v>
      </c>
      <c r="M42" s="40" cm="1">
        <f t="array" ref="M42">_xll.ciqfunctions.udf.CIQ(G$3,$B$1,$H$2,$A42,"L",,"USD","H")</f>
        <v>11586</v>
      </c>
      <c r="N42" s="13" cm="1">
        <f t="array" ref="N42">_xll.ciqfunctions.udf.CIQ(B$3,$N$1,$B$2,$A42,"L",,"USD","H")</f>
        <v>-37.230200000000004</v>
      </c>
      <c r="O42" s="13" cm="1">
        <f t="array" ref="O42">_xll.ciqfunctions.udf.CIQ(C$3,$N$1,$B$2,$A42,"L",,"USD","H")</f>
        <v>-28.597999999999999</v>
      </c>
      <c r="P42" s="13" cm="1">
        <f t="array" ref="P42">_xll.ciqfunctions.udf.CIQ(D$3,$N$1,$B$2,$A42,"L",,"USD","H")</f>
        <v>-29.6341</v>
      </c>
      <c r="Q42" s="13" cm="1">
        <f t="array" ref="Q42">_xll.ciqfunctions.udf.CIQ(E$3,$N$1,$B$2,$A42,"L",,"USD","H")</f>
        <v>-40.208300000000001</v>
      </c>
      <c r="R42" s="13" cm="1">
        <f t="array" ref="R42">_xll.ciqfunctions.udf.CIQ(F$3,$N$1,$B$2,$A42,"L",,"USD","H")</f>
        <v>-30.2029</v>
      </c>
      <c r="S42" s="13" cm="1">
        <f t="array" ref="S42">_xll.ciqfunctions.udf.CIQ(G$3,$N$1,$B$2,$A42,"L",,"USD","H")</f>
        <v>-29.4038</v>
      </c>
      <c r="T42" s="94">
        <v>45786</v>
      </c>
      <c r="U42" s="41" cm="1">
        <f t="array" ref="U42">_xll.ciqfunctions.udf.CIQ(O$3,$N$1,$T$2,$A42,"L",,"USD","H")</f>
        <v>-33.391300000000001</v>
      </c>
      <c r="V42" s="41" cm="1">
        <f t="array" ref="V42">_xll.ciqfunctions.udf.CIQ(P$3,$N$1,$T$2,$A42,"L",,"USD","H")</f>
        <v>-34.636299999999999</v>
      </c>
      <c r="W42" s="41" cm="1">
        <f t="array" ref="W42">_xll.ciqfunctions.udf.CIQ(Q$3,$N$1,$T$2,$A42,"L",,"USD","H")</f>
        <v>-46.938800000000001</v>
      </c>
      <c r="X42" s="41" cm="1">
        <f t="array" ref="X42">_xll.ciqfunctions.udf.CIQ(R$3,$N$1,$T$2,$A42,"L",,"USD","H")</f>
        <v>-35.269599999999997</v>
      </c>
      <c r="Y42" s="41" cm="1">
        <f t="array" ref="Y42">_xll.ciqfunctions.udf.CIQ(S$3,$N$1,$T$2,$A42,"L",,"USD","H")</f>
        <v>-29.5684</v>
      </c>
      <c r="Z42" s="38" cm="1">
        <f t="array" ref="Z42">_xll.ciqfunctions.udf.CIQ(B$3,$Z$1,$B$2,$A42,"L",,"USD","H")</f>
        <v>-1469</v>
      </c>
      <c r="AA42" s="38" cm="1">
        <f t="array" ref="AA42">_xll.ciqfunctions.udf.CIQ(C$3,$Z$1,$B$2,$A42,"L",,"USD","H")</f>
        <v>1810</v>
      </c>
      <c r="AB42" s="38" cm="1">
        <f t="array" ref="AB42">_xll.ciqfunctions.udf.CIQ(D$3,$Z$1,$B$2,$A42,"L",,"USD","H")</f>
        <v>-725</v>
      </c>
      <c r="AC42" s="38" cm="1">
        <f t="array" ref="AC42">_xll.ciqfunctions.udf.CIQ(E$3,$Z$1,$B$2,$A42,"L",,"USD","H")</f>
        <v>-471.77600000000001</v>
      </c>
      <c r="AD42" s="38" cm="1">
        <f t="array" ref="AD42">_xll.ciqfunctions.udf.CIQ(F$3,$Z$1,$B$2,$A42,"L",,"USD","H")</f>
        <v>-583</v>
      </c>
      <c r="AE42" s="38" cm="1">
        <f t="array" ref="AE42">_xll.ciqfunctions.udf.CIQ(G$3,$Z$1,$B$2,$A42,"L",,"USD","H")</f>
        <v>-3056</v>
      </c>
      <c r="AF42" s="40" cm="1">
        <f t="array" ref="AF42">_xll.ciqfunctions.udf.CIQ(B$3,$Z$1,$H$2,$A42,"L",,"USD","H")</f>
        <v>-6169</v>
      </c>
      <c r="AG42" s="40" cm="1">
        <f t="array" ref="AG42">_xll.ciqfunctions.udf.CIQ(C$3,$Z$1,$H$2,$A42,"L",,"USD","H")</f>
        <v>13020</v>
      </c>
      <c r="AH42" s="40" cm="1">
        <f t="array" ref="AH42">_xll.ciqfunctions.udf.CIQ(D$3,$Z$1,$H$2,$A42,"L",,"USD","H")</f>
        <v>1295</v>
      </c>
      <c r="AI42" s="40" cm="1">
        <f t="array" ref="AI42">_xll.ciqfunctions.udf.CIQ(E$3,$Z$1,$H$2,$A42,"L",,"USD","H")</f>
        <v>-4826.5429999999997</v>
      </c>
      <c r="AJ42" s="40" cm="1">
        <f t="array" ref="AJ42">_xll.ciqfunctions.udf.CIQ(F$3,$Z$1,$H$2,$A42,"L",,"USD","H")</f>
        <v>-9667</v>
      </c>
      <c r="AK42" s="40" cm="1">
        <f t="array" ref="AK42">_xll.ciqfunctions.udf.CIQ(G$3,$Z$1,$H$2,$A42,"L",,"USD","H")</f>
        <v>-13911</v>
      </c>
      <c r="AL42" s="13" t="str" cm="1">
        <f t="array" ref="AL42">_xll.ciqfunctions.udf.CIQ(B$3,$AL$1,$AL$2,$A42,"L",,"USD","H")</f>
        <v>NM</v>
      </c>
      <c r="AM42" s="13" cm="1">
        <f t="array" ref="AM42">_xll.ciqfunctions.udf.CIQ(C$3,$AL$1,$AL$2,$A42,"L",,"USD","H")</f>
        <v>-63.360399999999998</v>
      </c>
      <c r="AN42" s="13" t="str" cm="1">
        <f t="array" ref="AN42">_xll.ciqfunctions.udf.CIQ(D$3,$AL$1,$AL$2,$A42,"L",,"USD","H")</f>
        <v>NM</v>
      </c>
      <c r="AO42" s="13" t="str" cm="1">
        <f t="array" ref="AO42">_xll.ciqfunctions.udf.CIQ(E$3,$AL$1,$AL$2,$A42,"L",,"USD","H")</f>
        <v>NM</v>
      </c>
      <c r="AP42" s="13" t="str" cm="1">
        <f t="array" ref="AP42">_xll.ciqfunctions.udf.CIQ(F$3,$AL$1,$AL$2,$A42,"L",,"USD","H")</f>
        <v>NM</v>
      </c>
      <c r="AQ42" s="13" t="str" cm="1">
        <f t="array" ref="AQ42">_xll.ciqfunctions.udf.CIQ(G$3,$AL$1,$AL$2,$A42,"L",,"USD","H")</f>
        <v>NM</v>
      </c>
      <c r="AR42" s="41" t="str" cm="1">
        <f t="array" ref="AR42">_xll.ciqfunctions.udf.CIQ(B$3,$AL$1,$AR$2,$A42,"L",,"USD","H")</f>
        <v>NM</v>
      </c>
      <c r="AS42" s="41" cm="1">
        <f t="array" ref="AS42">_xll.ciqfunctions.udf.CIQ(C$3,$AL$1,$AR$2,$A42,"L",,"USD","H")</f>
        <v>-54.090299999999999</v>
      </c>
      <c r="AT42" s="41" cm="1">
        <f t="array" ref="AT42">_xll.ciqfunctions.udf.CIQ(D$3,$AL$1,$AR$2,$A42,"L",,"USD","H")</f>
        <v>-92.512799999999999</v>
      </c>
      <c r="AU42" s="41" t="str" cm="1">
        <f t="array" ref="AU42">_xll.ciqfunctions.udf.CIQ(E$3,$AL$1,$AR$2,$A42,"L",,"USD","H")</f>
        <v>NM</v>
      </c>
      <c r="AV42" s="41" t="str" cm="1">
        <f t="array" ref="AV42">_xll.ciqfunctions.udf.CIQ(F$3,$AL$1,$AR$2,$A42,"L",,"USD","H")</f>
        <v>NM</v>
      </c>
      <c r="AW42" s="41" t="str" cm="1">
        <f t="array" ref="AW42">_xll.ciqfunctions.udf.CIQ(G$3,$AL$1,$AR$2,$A42,"L",,"USD","H")</f>
        <v>NM</v>
      </c>
      <c r="AX42" s="38" cm="1">
        <f t="array" ref="AX42">_xll.ciqfunctions.udf.CIQ(B$3,$AX$1,$AX$2,$A42,"L",,"USD","H")</f>
        <v>594</v>
      </c>
      <c r="AY42" s="38" cm="1">
        <f t="array" ref="AY42">_xll.ciqfunctions.udf.CIQ(C$3,$AX$1,$AX$2,$A42,"L",,"USD","H")</f>
        <v>4970</v>
      </c>
      <c r="AZ42" s="38" cm="1">
        <f t="array" ref="AZ42">_xll.ciqfunctions.udf.CIQ(D$3,$AX$1,$AX$2,$A42,"L",,"USD","H")</f>
        <v>2208</v>
      </c>
      <c r="BA42" s="38" cm="1">
        <f t="array" ref="BA42">_xll.ciqfunctions.udf.CIQ(E$3,$AX$1,$AX$2,$A42,"L",,"USD","H")</f>
        <v>353.22</v>
      </c>
      <c r="BB42" s="38" cm="1">
        <f t="array" ref="BB42">_xll.ciqfunctions.udf.CIQ(F$3,$AX$1,$AX$2,$A42,"L",,"USD","H")</f>
        <v>3573</v>
      </c>
      <c r="BC42" s="38" cm="1">
        <f t="array" ref="BC42">_xll.ciqfunctions.udf.CIQ(G$3,$AX$1,$AX$2,$A42,"L",,"USD","H")</f>
        <v>343</v>
      </c>
      <c r="BD42" s="40" cm="1">
        <f t="array" ref="BD42">_xll.ciqfunctions.udf.CIQ(B$3,$AX$1,$BD$2,$A42,"L",,"USD","H")</f>
        <v>5242</v>
      </c>
      <c r="BE42" s="40" cm="1">
        <f t="array" ref="BE42">_xll.ciqfunctions.udf.CIQ(C$3,$AX$1,$BD$2,$A42,"L",,"USD","H")</f>
        <v>27738</v>
      </c>
      <c r="BF42" s="40" cm="1">
        <f t="array" ref="BF42">_xll.ciqfunctions.udf.CIQ(D$3,$AX$1,$BD$2,$A42,"L",,"USD","H")</f>
        <v>15863</v>
      </c>
      <c r="BG42" s="40">
        <f>_xll.ciqfunctions.udf.CIQ("COP", "IQ_PRICEDATE", "4/17/2025")</f>
        <v>45764</v>
      </c>
      <c r="BH42" s="40" cm="1">
        <f t="array" ref="BH42">_xll.ciqfunctions.udf.CIQ(F$3,$AX$1,$BD$2,$A42,"L",,"USD","H")</f>
        <v>16817</v>
      </c>
      <c r="BI42" s="40" cm="1">
        <f t="array" ref="BI42">_xll.ciqfunctions.udf.CIQ(G$3,$AX$1,$BD$2,$A42,"L",,"USD","H")</f>
        <v>2785</v>
      </c>
      <c r="BJ42" s="43">
        <f t="shared" si="1"/>
        <v>-0.69302325581395352</v>
      </c>
      <c r="BK42" s="43">
        <f t="shared" si="2"/>
        <v>-0.39115521254440766</v>
      </c>
      <c r="BL42" s="43">
        <f t="shared" si="3"/>
        <v>-0.56415317804974341</v>
      </c>
      <c r="BM42" s="43">
        <f t="shared" si="4"/>
        <v>-0.56264192902124999</v>
      </c>
      <c r="BN42" s="43">
        <f t="shared" si="5"/>
        <v>-0.43114153797166055</v>
      </c>
      <c r="BO42" s="43">
        <f t="shared" si="6"/>
        <v>-0.63236870310825299</v>
      </c>
      <c r="BP42" s="42">
        <f t="shared" si="7"/>
        <v>-0.66517629024016345</v>
      </c>
      <c r="BQ42" s="42">
        <f t="shared" si="8"/>
        <v>-0.38455735522520529</v>
      </c>
      <c r="BR42" s="42">
        <f t="shared" si="9"/>
        <v>-0.50608711897126135</v>
      </c>
      <c r="BS42" s="42">
        <f t="shared" si="10"/>
        <v>5.9033167894706473E-4</v>
      </c>
      <c r="BT42" s="42">
        <f t="shared" si="11"/>
        <v>-0.36217097777440643</v>
      </c>
      <c r="BU42" s="42">
        <f t="shared" si="12"/>
        <v>-0.67181239688899363</v>
      </c>
      <c r="BV42" s="68" cm="1">
        <f t="array" ref="BV42">_xll.ciqfunctions.udf.CIQ(B$3,$BV$1,$BV$2,$A42,"L",,"USD","H")/100</f>
        <v>-0.10652400000000001</v>
      </c>
      <c r="BW42" s="68" cm="1">
        <f t="array" ref="BW42">_xll.ciqfunctions.udf.CIQ(C$3,$BV$1,$BV$2,$A42,"L",,"USD","H")/100</f>
        <v>-2.2768E-2</v>
      </c>
      <c r="BX42" s="68" cm="1">
        <f t="array" ref="BX42">_xll.ciqfunctions.udf.CIQ(D$3,$BV$1,$BV$2,$A42,"L",,"USD","H")/100</f>
        <v>-5.6440000000000004E-2</v>
      </c>
      <c r="BY42" s="68" cm="1">
        <f t="array" ref="BY42">_xll.ciqfunctions.udf.CIQ(E$3,$BV$1,$BV$2,$A42,"L",,"USD","H")/100</f>
        <v>-0.115712</v>
      </c>
      <c r="BZ42" s="68" cm="1">
        <f t="array" ref="BZ42">_xll.ciqfunctions.udf.CIQ(F$3,$BV$1,$BV$2,$A42,"L",,"USD","H")/100</f>
        <v>-4.4400000000000002E-2</v>
      </c>
      <c r="CA42" s="68" cm="1">
        <f t="array" ref="CA42">_xll.ciqfunctions.udf.CIQ(G$3,$BV$1,$BV$2,$A42,"L",,"USD","H")/100</f>
        <v>-0.53905999999999998</v>
      </c>
      <c r="CB42" s="68" cm="1">
        <f t="array" ref="CB42">_xll.ciqfunctions.udf.CIQ(B$3,$BV$1,$CB$2,$A42,"L",,"USD","H")/100</f>
        <v>-0.13158400000000001</v>
      </c>
      <c r="CC42" s="68" cm="1">
        <f t="array" ref="CC42">_xll.ciqfunctions.udf.CIQ(C$3,$BV$1,$CB$2,$A42,"L",,"USD","H")/100</f>
        <v>3.64E-3</v>
      </c>
      <c r="CD42" s="68" cm="1">
        <f t="array" ref="CD42">_xll.ciqfunctions.udf.CIQ(D$3,$BV$1,$CB$2,$A42,"L",,"USD","H")/100</f>
        <v>-3.4826999999999997E-2</v>
      </c>
      <c r="CE42" s="68" cm="1">
        <f t="array" ref="CE42">_xll.ciqfunctions.udf.CIQ(E$3,$BV$1,$CB$2,$A42,"L",,"USD","H")/100</f>
        <v>-0.23737800000000001</v>
      </c>
      <c r="CF42" s="68" cm="1">
        <f t="array" ref="CF42">_xll.ciqfunctions.udf.CIQ(F$3,$BV$1,$CB$2,$A42,"L",,"USD","H")/100</f>
        <v>-9.8058999999999993E-2</v>
      </c>
      <c r="CG42" s="68" cm="1">
        <f t="array" ref="CG42">_xll.ciqfunctions.udf.CIQ(G$3,$BV$1,$CB$2,$A42,"L",,"USD","H")/100</f>
        <v>-0.49478700000000003</v>
      </c>
    </row>
    <row r="43" spans="1:85" x14ac:dyDescent="0.45">
      <c r="A43" s="3">
        <f t="shared" si="13"/>
        <v>42369</v>
      </c>
      <c r="B43" s="14" cm="1">
        <f t="array" ref="B43">_xll.ciqfunctions.udf.CIQ(B$3,$B$1,$B$2,$A43,"L",,"USD","H")</f>
        <v>6262</v>
      </c>
      <c r="C43" s="38" cm="1">
        <f t="array" ref="C43">_xll.ciqfunctions.udf.CIQ(C$3,$B$1,$B$2,$A43,"L",,"USD","H")</f>
        <v>52321</v>
      </c>
      <c r="D43" s="38" cm="1">
        <f t="array" ref="D43">_xll.ciqfunctions.udf.CIQ(D$3,$B$1,$B$2,$A43,"L",,"USD","H")</f>
        <v>26297</v>
      </c>
      <c r="E43" s="38" cm="1">
        <f t="array" ref="E43">_xll.ciqfunctions.udf.CIQ(E$3,$B$1,$B$2,$A43,"L",,"USD","H")</f>
        <v>1795.4469999999999</v>
      </c>
      <c r="F43" s="38" cm="1">
        <f t="array" ref="F43">_xll.ciqfunctions.udf.CIQ(F$3,$B$1,$B$2,$A43,"L",,"USD","H")</f>
        <v>49294</v>
      </c>
      <c r="G43" s="38" cm="1">
        <f t="array" ref="G43">_xll.ciqfunctions.udf.CIQ(G$3,$B$1,$B$2,$A43,"L",,"USD","H")</f>
        <v>2771</v>
      </c>
      <c r="H43" s="40" cm="1">
        <f t="array" ref="H43">_xll.ciqfunctions.udf.CIQ(B$3,$B$1,$H$2,$A43,"L",,"USD","H")</f>
        <v>30219</v>
      </c>
      <c r="I43" s="40" cm="1">
        <f t="array" ref="I43">_xll.ciqfunctions.udf.CIQ(C$3,$B$1,$H$2,$A43,"L",,"USD","H")</f>
        <v>241406</v>
      </c>
      <c r="J43" s="40" cm="1">
        <f t="array" ref="J43">_xll.ciqfunctions.udf.CIQ(D$3,$B$1,$H$2,$A43,"L",,"USD","H")</f>
        <v>122566</v>
      </c>
      <c r="K43" s="40" cm="1">
        <f t="array" ref="K43">_xll.ciqfunctions.udf.CIQ(E$3,$B$1,$H$2,$A43,"L",,"USD","H")</f>
        <v>8704.3019999999997</v>
      </c>
      <c r="L43" s="40" cm="1">
        <f t="array" ref="L43">_xll.ciqfunctions.udf.CIQ(F$3,$B$1,$H$2,$A43,"L",,"USD","H")</f>
        <v>222243</v>
      </c>
      <c r="M43" s="40" cm="1">
        <f t="array" ref="M43">_xll.ciqfunctions.udf.CIQ(G$3,$B$1,$H$2,$A43,"L",,"USD","H")</f>
        <v>12938</v>
      </c>
      <c r="N43" s="13" cm="1">
        <f t="array" ref="N43">_xll.ciqfunctions.udf.CIQ(B$3,$N$1,$B$2,$A43,"L",,"USD","H")</f>
        <v>-46.4283</v>
      </c>
      <c r="O43" s="13" cm="1">
        <f t="array" ref="O43">_xll.ciqfunctions.udf.CIQ(C$3,$N$1,$B$2,$A43,"L",,"USD","H")</f>
        <v>-32.342399999999998</v>
      </c>
      <c r="P43" s="13" cm="1">
        <f t="array" ref="P43">_xll.ciqfunctions.udf.CIQ(D$3,$N$1,$B$2,$A43,"L",,"USD","H")</f>
        <v>-34.432899999999997</v>
      </c>
      <c r="Q43" s="13" cm="1">
        <f t="array" ref="Q43">_xll.ciqfunctions.udf.CIQ(E$3,$N$1,$B$2,$A43,"L",,"USD","H")</f>
        <v>-48.160299999999999</v>
      </c>
      <c r="R43" s="13" cm="1">
        <f t="array" ref="R43">_xll.ciqfunctions.udf.CIQ(F$3,$N$1,$B$2,$A43,"L",,"USD","H")</f>
        <v>-33.906399999999998</v>
      </c>
      <c r="S43" s="13" cm="1">
        <f t="array" ref="S43">_xll.ciqfunctions.udf.CIQ(G$3,$N$1,$B$2,$A43,"L",,"USD","H")</f>
        <v>-31.325900000000001</v>
      </c>
      <c r="T43" s="94">
        <v>45779</v>
      </c>
      <c r="U43" s="41" cm="1">
        <f t="array" ref="U43">_xll.ciqfunctions.udf.CIQ(O$3,$N$1,$T$2,$A43,"L",,"USD","H")</f>
        <v>-33.818399999999997</v>
      </c>
      <c r="V43" s="41" cm="1">
        <f t="array" ref="V43">_xll.ciqfunctions.udf.CIQ(P$3,$N$1,$T$2,$A43,"L",,"USD","H")</f>
        <v>-36.265799999999999</v>
      </c>
      <c r="W43" s="41" cm="1">
        <f t="array" ref="W43">_xll.ciqfunctions.udf.CIQ(Q$3,$N$1,$T$2,$A43,"L",,"USD","H")</f>
        <v>-47.8581</v>
      </c>
      <c r="X43" s="41" cm="1">
        <f t="array" ref="X43">_xll.ciqfunctions.udf.CIQ(R$3,$N$1,$T$2,$A43,"L",,"USD","H")</f>
        <v>-36.7181</v>
      </c>
      <c r="Y43" s="41" cm="1">
        <f t="array" ref="Y43">_xll.ciqfunctions.udf.CIQ(S$3,$N$1,$T$2,$A43,"L",,"USD","H")</f>
        <v>-24.853400000000001</v>
      </c>
      <c r="Z43" s="38" cm="1">
        <f t="array" ref="Z43">_xll.ciqfunctions.udf.CIQ(B$3,$Z$1,$B$2,$A43,"L",,"USD","H")</f>
        <v>-3450</v>
      </c>
      <c r="AA43" s="38" cm="1">
        <f t="array" ref="AA43">_xll.ciqfunctions.udf.CIQ(C$3,$Z$1,$B$2,$A43,"L",,"USD","H")</f>
        <v>2780</v>
      </c>
      <c r="AB43" s="38" cm="1">
        <f t="array" ref="AB43">_xll.ciqfunctions.udf.CIQ(D$3,$Z$1,$B$2,$A43,"L",,"USD","H")</f>
        <v>-588</v>
      </c>
      <c r="AC43" s="38" cm="1">
        <f t="array" ref="AC43">_xll.ciqfunctions.udf.CIQ(E$3,$Z$1,$B$2,$A43,"L",,"USD","H")</f>
        <v>-284.29599999999999</v>
      </c>
      <c r="AD43" s="38" cm="1">
        <f t="array" ref="AD43">_xll.ciqfunctions.udf.CIQ(F$3,$Z$1,$B$2,$A43,"L",,"USD","H")</f>
        <v>-3307</v>
      </c>
      <c r="AE43" s="38" cm="1">
        <f t="array" ref="AE43">_xll.ciqfunctions.udf.CIQ(G$3,$Z$1,$B$2,$A43,"L",,"USD","H")</f>
        <v>-4532</v>
      </c>
      <c r="AF43" s="40" cm="1">
        <f t="array" ref="AF43">_xll.ciqfunctions.udf.CIQ(B$3,$Z$1,$H$2,$A43,"L",,"USD","H")</f>
        <v>-4428</v>
      </c>
      <c r="AG43" s="40" cm="1">
        <f t="array" ref="AG43">_xll.ciqfunctions.udf.CIQ(C$3,$Z$1,$H$2,$A43,"L",,"USD","H")</f>
        <v>16150</v>
      </c>
      <c r="AH43" s="40" cm="1">
        <f t="array" ref="AH43">_xll.ciqfunctions.udf.CIQ(D$3,$Z$1,$H$2,$A43,"L",,"USD","H")</f>
        <v>4587</v>
      </c>
      <c r="AI43" s="40" cm="1">
        <f t="array" ref="AI43">_xll.ciqfunctions.udf.CIQ(E$3,$Z$1,$H$2,$A43,"L",,"USD","H")</f>
        <v>-4524.5150000000003</v>
      </c>
      <c r="AJ43" s="40" cm="1">
        <f t="array" ref="AJ43">_xll.ciqfunctions.udf.CIQ(F$3,$Z$1,$H$2,$A43,"L",,"USD","H")</f>
        <v>-6482</v>
      </c>
      <c r="AK43" s="40" cm="1">
        <f t="array" ref="AK43">_xll.ciqfunctions.udf.CIQ(G$3,$Z$1,$H$2,$A43,"L",,"USD","H")</f>
        <v>-12896</v>
      </c>
      <c r="AL43" s="13" t="str" cm="1">
        <f t="array" ref="AL43">_xll.ciqfunctions.udf.CIQ(B$3,$AL$1,$AL$2,$A43,"L",,"USD","H")</f>
        <v>NM</v>
      </c>
      <c r="AM43" s="13" cm="1">
        <f t="array" ref="AM43">_xll.ciqfunctions.udf.CIQ(C$3,$AL$1,$AL$2,$A43,"L",,"USD","H")</f>
        <v>-57.686500000000002</v>
      </c>
      <c r="AN43" s="13" t="str" cm="1">
        <f t="array" ref="AN43">_xll.ciqfunctions.udf.CIQ(D$3,$AL$1,$AL$2,$A43,"L",,"USD","H")</f>
        <v>NM</v>
      </c>
      <c r="AO43" s="13" t="str" cm="1">
        <f t="array" ref="AO43">_xll.ciqfunctions.udf.CIQ(E$3,$AL$1,$AL$2,$A43,"L",,"USD","H")</f>
        <v>NM</v>
      </c>
      <c r="AP43" s="13" t="str" cm="1">
        <f t="array" ref="AP43">_xll.ciqfunctions.udf.CIQ(F$3,$AL$1,$AL$2,$A43,"L",,"USD","H")</f>
        <v>NM</v>
      </c>
      <c r="AQ43" s="13" t="str" cm="1">
        <f t="array" ref="AQ43">_xll.ciqfunctions.udf.CIQ(G$3,$AL$1,$AL$2,$A43,"L",,"USD","H")</f>
        <v>NM</v>
      </c>
      <c r="AR43" s="41" t="str" cm="1">
        <f t="array" ref="AR43">_xll.ciqfunctions.udf.CIQ(B$3,$AL$1,$AR$2,$A43,"L",,"USD","H")</f>
        <v>NM</v>
      </c>
      <c r="AS43" s="41" cm="1">
        <f t="array" ref="AS43">_xll.ciqfunctions.udf.CIQ(C$3,$AL$1,$AR$2,$A43,"L",,"USD","H")</f>
        <v>-50.338299999999997</v>
      </c>
      <c r="AT43" s="41" cm="1">
        <f t="array" ref="AT43">_xll.ciqfunctions.udf.CIQ(D$3,$AL$1,$AR$2,$A43,"L",,"USD","H")</f>
        <v>-76.160300000000007</v>
      </c>
      <c r="AU43" s="41" t="str" cm="1">
        <f t="array" ref="AU43">_xll.ciqfunctions.udf.CIQ(E$3,$AL$1,$AR$2,$A43,"L",,"USD","H")</f>
        <v>NM</v>
      </c>
      <c r="AV43" s="41" t="str" cm="1">
        <f t="array" ref="AV43">_xll.ciqfunctions.udf.CIQ(F$3,$AL$1,$AR$2,$A43,"L",,"USD","H")</f>
        <v>NM</v>
      </c>
      <c r="AW43" s="41" t="str" cm="1">
        <f t="array" ref="AW43">_xll.ciqfunctions.udf.CIQ(G$3,$AL$1,$AR$2,$A43,"L",,"USD","H")</f>
        <v>NM</v>
      </c>
      <c r="AX43" s="38" cm="1">
        <f t="array" ref="AX43">_xll.ciqfunctions.udf.CIQ(B$3,$AX$1,$AX$2,$A43,"L",,"USD","H")</f>
        <v>915</v>
      </c>
      <c r="AY43" s="38" cm="1">
        <f t="array" ref="AY43">_xll.ciqfunctions.udf.CIQ(C$3,$AX$1,$AX$2,$A43,"L",,"USD","H")</f>
        <v>5327</v>
      </c>
      <c r="AZ43" s="38" cm="1">
        <f t="array" ref="AZ43">_xll.ciqfunctions.udf.CIQ(D$3,$AX$1,$AX$2,$A43,"L",,"USD","H")</f>
        <v>3357</v>
      </c>
      <c r="BA43" s="38" cm="1">
        <f t="array" ref="BA43">_xll.ciqfunctions.udf.CIQ(E$3,$AX$1,$AX$2,$A43,"L",,"USD","H")</f>
        <v>611.53099999999995</v>
      </c>
      <c r="BB43" s="38" cm="1">
        <f t="array" ref="BB43">_xll.ciqfunctions.udf.CIQ(F$3,$AX$1,$AX$2,$A43,"L",,"USD","H")</f>
        <v>2681</v>
      </c>
      <c r="BC43" s="38" cm="1">
        <f t="array" ref="BC43">_xll.ciqfunctions.udf.CIQ(G$3,$AX$1,$AX$2,$A43,"L",,"USD","H")</f>
        <v>654</v>
      </c>
      <c r="BD43" s="40" cm="1">
        <f t="array" ref="BD43">_xll.ciqfunctions.udf.CIQ(B$3,$AX$1,$BD$2,$A43,"L",,"USD","H")</f>
        <v>6174</v>
      </c>
      <c r="BE43" s="40" cm="1">
        <f t="array" ref="BE43">_xll.ciqfunctions.udf.CIQ(C$3,$AX$1,$BD$2,$A43,"L",,"USD","H")</f>
        <v>32483</v>
      </c>
      <c r="BF43" s="40" cm="1">
        <f t="array" ref="BF43">_xll.ciqfunctions.udf.CIQ(D$3,$AX$1,$BD$2,$A43,"L",,"USD","H")</f>
        <v>18721</v>
      </c>
      <c r="BG43" s="40">
        <f>_xll.ciqfunctions.udf.CIQ("COP", "IQ_PRICEDATE", "4/11/2025")</f>
        <v>45758</v>
      </c>
      <c r="BH43" s="40" cm="1">
        <f t="array" ref="BH43">_xll.ciqfunctions.udf.CIQ(F$3,$AX$1,$BD$2,$A43,"L",,"USD","H")</f>
        <v>19525</v>
      </c>
      <c r="BI43" s="40" cm="1">
        <f t="array" ref="BI43">_xll.ciqfunctions.udf.CIQ(G$3,$AX$1,$BD$2,$A43,"L",,"USD","H")</f>
        <v>2775</v>
      </c>
      <c r="BJ43" s="43">
        <f t="shared" si="1"/>
        <v>-0.66811751904243744</v>
      </c>
      <c r="BK43" s="43">
        <f t="shared" si="2"/>
        <v>-0.46516064257028111</v>
      </c>
      <c r="BL43" s="43">
        <f t="shared" si="3"/>
        <v>-0.49028241724870936</v>
      </c>
      <c r="BM43" s="43">
        <f t="shared" si="4"/>
        <v>-0.7391445483974306</v>
      </c>
      <c r="BN43" s="43">
        <f t="shared" si="5"/>
        <v>-0.31044238683127567</v>
      </c>
      <c r="BO43" s="43">
        <f t="shared" si="6"/>
        <v>-0.80442583732057416</v>
      </c>
      <c r="BP43" s="42">
        <f t="shared" si="7"/>
        <v>-0.67937266306605726</v>
      </c>
      <c r="BQ43" s="42">
        <f t="shared" si="8"/>
        <v>-0.36777671811440471</v>
      </c>
      <c r="BR43" s="42">
        <f t="shared" si="9"/>
        <v>-0.49126334954754203</v>
      </c>
      <c r="BS43" s="42">
        <f t="shared" si="10"/>
        <v>6.1228952547565108E-4</v>
      </c>
      <c r="BT43" s="42">
        <f t="shared" si="11"/>
        <v>-0.33227317807188539</v>
      </c>
      <c r="BU43" s="42">
        <f t="shared" si="12"/>
        <v>-0.69353948094975149</v>
      </c>
      <c r="BV43" s="68" cm="1">
        <f t="array" ref="BV43">_xll.ciqfunctions.udf.CIQ(B$3,$BV$1,$BV$2,$A43,"L",,"USD","H")/100</f>
        <v>-0.26028000000000001</v>
      </c>
      <c r="BW43" s="68" cm="1">
        <f t="array" ref="BW43">_xll.ciqfunctions.udf.CIQ(C$3,$BV$1,$BV$2,$A43,"L",,"USD","H")/100</f>
        <v>-5.1359999999999991E-3</v>
      </c>
      <c r="BX43" s="68" cm="1">
        <f t="array" ref="BX43">_xll.ciqfunctions.udf.CIQ(D$3,$BV$1,$BV$2,$A43,"L",,"USD","H")/100</f>
        <v>-5.3859999999999998E-2</v>
      </c>
      <c r="BY43" s="68" cm="1">
        <f t="array" ref="BY43">_xll.ciqfunctions.udf.CIQ(E$3,$BV$1,$BV$2,$A43,"L",,"USD","H")/100</f>
        <v>-7.6660000000000006E-2</v>
      </c>
      <c r="BZ43" s="68" cm="1">
        <f t="array" ref="BZ43">_xll.ciqfunctions.udf.CIQ(F$3,$BV$1,$BV$2,$A43,"L",,"USD","H")/100</f>
        <v>-0.1244</v>
      </c>
      <c r="CA43" s="68" cm="1">
        <f t="array" ref="CA43">_xll.ciqfunctions.udf.CIQ(G$3,$BV$1,$BV$2,$A43,"L",,"USD","H")/100</f>
        <v>-0.71380799999999989</v>
      </c>
      <c r="CB43" s="68" cm="1">
        <f t="array" ref="CB43">_xll.ciqfunctions.udf.CIQ(B$3,$BV$1,$CB$2,$A43,"L",,"USD","H")/100</f>
        <v>-0.11576499999999999</v>
      </c>
      <c r="CC43" s="68" cm="1">
        <f t="array" ref="CC43">_xll.ciqfunctions.udf.CIQ(C$3,$BV$1,$CB$2,$A43,"L",,"USD","H")/100</f>
        <v>1.9074999999999998E-2</v>
      </c>
      <c r="CD43" s="68" cm="1">
        <f t="array" ref="CD43">_xll.ciqfunctions.udf.CIQ(D$3,$BV$1,$CB$2,$A43,"L",,"USD","H")/100</f>
        <v>-1.8089999999999998E-2</v>
      </c>
      <c r="CE43" s="68" cm="1">
        <f t="array" ref="CE43">_xll.ciqfunctions.udf.CIQ(E$3,$BV$1,$CB$2,$A43,"L",,"USD","H")/100</f>
        <v>-0.22634899999999999</v>
      </c>
      <c r="CF43" s="68" cm="1">
        <f t="array" ref="CF43">_xll.ciqfunctions.udf.CIQ(F$3,$BV$1,$CB$2,$A43,"L",,"USD","H")/100</f>
        <v>-8.2840999999999998E-2</v>
      </c>
      <c r="CG43" s="68" cm="1">
        <f t="array" ref="CG43">_xll.ciqfunctions.udf.CIQ(G$3,$BV$1,$CB$2,$A43,"L",,"USD","H")/100</f>
        <v>-0.43110999999999999</v>
      </c>
    </row>
    <row r="44" spans="1:85" x14ac:dyDescent="0.45">
      <c r="A44" s="3">
        <f>EDATE(A40,-12)</f>
        <v>42277</v>
      </c>
      <c r="B44" s="14" cm="1">
        <f t="array" ref="B44">_xll.ciqfunctions.udf.CIQ(B$3,$B$1,$B$2,$A44,"L",,"USD","H")</f>
        <v>7485</v>
      </c>
      <c r="C44" s="38" cm="1">
        <f t="array" ref="C44">_xll.ciqfunctions.udf.CIQ(C$3,$B$1,$B$2,$A44,"L",,"USD","H")</f>
        <v>59866</v>
      </c>
      <c r="D44" s="38" cm="1">
        <f t="array" ref="D44">_xll.ciqfunctions.udf.CIQ(D$3,$B$1,$B$2,$A44,"L",,"USD","H")</f>
        <v>30967</v>
      </c>
      <c r="E44" s="38" cm="1">
        <f t="array" ref="E44">_xll.ciqfunctions.udf.CIQ(E$3,$B$1,$B$2,$A44,"L",,"USD","H")</f>
        <v>2144.3739999999998</v>
      </c>
      <c r="F44" s="38" cm="1">
        <f t="array" ref="F44">_xll.ciqfunctions.udf.CIQ(F$3,$B$1,$B$2,$A44,"L",,"USD","H")</f>
        <v>55914</v>
      </c>
      <c r="G44" s="38" cm="1">
        <f t="array" ref="G44">_xll.ciqfunctions.udf.CIQ(G$3,$B$1,$B$2,$A44,"L",,"USD","H")</f>
        <v>3139</v>
      </c>
      <c r="H44" s="40" cm="1">
        <f t="array" ref="H44">_xll.ciqfunctions.udf.CIQ(B$3,$B$1,$H$2,$A44,"L",,"USD","H")</f>
        <v>35646</v>
      </c>
      <c r="I44" s="40" cm="1">
        <f t="array" ref="I44">_xll.ciqfunctions.udf.CIQ(C$3,$B$1,$H$2,$A44,"L",,"USD","H")</f>
        <v>261821</v>
      </c>
      <c r="J44" s="40" cm="1">
        <f t="array" ref="J44">_xll.ciqfunctions.udf.CIQ(D$3,$B$1,$H$2,$A44,"L",,"USD","H")</f>
        <v>136376</v>
      </c>
      <c r="K44" s="40" cm="1">
        <f t="array" ref="K44">_xll.ciqfunctions.udf.CIQ(E$3,$B$1,$H$2,$A44,"L",,"USD","H")</f>
        <v>10372.308000000001</v>
      </c>
      <c r="L44" s="40" cm="1">
        <f t="array" ref="L44">_xll.ciqfunctions.udf.CIQ(F$3,$B$1,$H$2,$A44,"L",,"USD","H")</f>
        <v>247531</v>
      </c>
      <c r="M44" s="40" cm="1">
        <f t="array" ref="M44">_xll.ciqfunctions.udf.CIQ(G$3,$B$1,$H$2,$A44,"L",,"USD","H")</f>
        <v>13708</v>
      </c>
      <c r="N44" s="13" cm="1">
        <f t="array" ref="N44">_xll.ciqfunctions.udf.CIQ(B$3,$N$1,$B$2,$A44,"L",,"USD","H")</f>
        <v>-42.035200000000003</v>
      </c>
      <c r="O44" s="13" cm="1">
        <f t="array" ref="O44">_xll.ciqfunctions.udf.CIQ(C$3,$N$1,$B$2,$A44,"L",,"USD","H")</f>
        <v>-37.435600000000001</v>
      </c>
      <c r="P44" s="13" cm="1">
        <f t="array" ref="P44">_xll.ciqfunctions.udf.CIQ(D$3,$N$1,$B$2,$A44,"L",,"USD","H")</f>
        <v>-37.6997</v>
      </c>
      <c r="Q44" s="13" cm="1">
        <f t="array" ref="Q44">_xll.ciqfunctions.udf.CIQ(E$3,$N$1,$B$2,$A44,"L",,"USD","H")</f>
        <v>-53.273000000000003</v>
      </c>
      <c r="R44" s="13" cm="1">
        <f t="array" ref="R44">_xll.ciqfunctions.udf.CIQ(F$3,$N$1,$B$2,$A44,"L",,"USD","H")</f>
        <v>-40.456299999999999</v>
      </c>
      <c r="S44" s="13" cm="1">
        <f t="array" ref="S44">_xll.ciqfunctions.udf.CIQ(G$3,$N$1,$B$2,$A44,"L",,"USD","H")</f>
        <v>-31.5824</v>
      </c>
      <c r="T44" s="94">
        <v>45772</v>
      </c>
      <c r="U44" s="41" cm="1">
        <f t="array" ref="U44">_xll.ciqfunctions.udf.CIQ(O$3,$N$1,$T$2,$A44,"L",,"USD","H")</f>
        <v>-32.133099999999999</v>
      </c>
      <c r="V44" s="41" cm="1">
        <f t="array" ref="V44">_xll.ciqfunctions.udf.CIQ(P$3,$N$1,$T$2,$A44,"L",,"USD","H")</f>
        <v>-33.156599999999997</v>
      </c>
      <c r="W44" s="41" cm="1">
        <f t="array" ref="W44">_xll.ciqfunctions.udf.CIQ(Q$3,$N$1,$T$2,$A44,"L",,"USD","H")</f>
        <v>-38.721699999999998</v>
      </c>
      <c r="X44" s="41" cm="1">
        <f t="array" ref="X44">_xll.ciqfunctions.udf.CIQ(R$3,$N$1,$T$2,$A44,"L",,"USD","H")</f>
        <v>-33.689100000000003</v>
      </c>
      <c r="Y44" s="41" cm="1">
        <f t="array" ref="Y44">_xll.ciqfunctions.udf.CIQ(S$3,$N$1,$T$2,$A44,"L",,"USD","H")</f>
        <v>-15.705399999999999</v>
      </c>
      <c r="Z44" s="38" cm="1">
        <f t="array" ref="Z44">_xll.ciqfunctions.udf.CIQ(B$3,$Z$1,$B$2,$A44,"L",,"USD","H")</f>
        <v>-1071</v>
      </c>
      <c r="AA44" s="38" cm="1">
        <f t="array" ref="AA44">_xll.ciqfunctions.udf.CIQ(C$3,$Z$1,$B$2,$A44,"L",,"USD","H")</f>
        <v>4240</v>
      </c>
      <c r="AB44" s="38" cm="1">
        <f t="array" ref="AB44">_xll.ciqfunctions.udf.CIQ(D$3,$Z$1,$B$2,$A44,"L",,"USD","H")</f>
        <v>2037</v>
      </c>
      <c r="AC44" s="38" cm="1">
        <f t="array" ref="AC44">_xll.ciqfunctions.udf.CIQ(E$3,$Z$1,$B$2,$A44,"L",,"USD","H")</f>
        <v>-4075.739</v>
      </c>
      <c r="AD44" s="38" cm="1">
        <f t="array" ref="AD44">_xll.ciqfunctions.udf.CIQ(F$3,$Z$1,$B$2,$A44,"L",,"USD","H")</f>
        <v>46</v>
      </c>
      <c r="AE44" s="38" cm="1">
        <f t="array" ref="AE44">_xll.ciqfunctions.udf.CIQ(G$3,$Z$1,$B$2,$A44,"L",,"USD","H")</f>
        <v>-3507</v>
      </c>
      <c r="AF44" s="40" cm="1">
        <f t="array" ref="AF44">_xll.ciqfunctions.udf.CIQ(B$3,$Z$1,$H$2,$A44,"L",,"USD","H")</f>
        <v>-1017</v>
      </c>
      <c r="AG44" s="40" cm="1">
        <f t="array" ref="AG44">_xll.ciqfunctions.udf.CIQ(C$3,$Z$1,$H$2,$A44,"L",,"USD","H")</f>
        <v>19940</v>
      </c>
      <c r="AH44" s="40" cm="1">
        <f t="array" ref="AH44">_xll.ciqfunctions.udf.CIQ(D$3,$Z$1,$H$2,$A44,"L",,"USD","H")</f>
        <v>8646</v>
      </c>
      <c r="AI44" s="40" cm="1">
        <f t="array" ref="AI44">_xll.ciqfunctions.udf.CIQ(E$3,$Z$1,$H$2,$A44,"L",,"USD","H")</f>
        <v>-3795.6309999999999</v>
      </c>
      <c r="AJ44" s="40" cm="1">
        <f t="array" ref="AJ44">_xll.ciqfunctions.udf.CIQ(F$3,$Z$1,$H$2,$A44,"L",,"USD","H")</f>
        <v>-7582</v>
      </c>
      <c r="AK44" s="40" cm="1">
        <f t="array" ref="AK44">_xll.ciqfunctions.udf.CIQ(G$3,$Z$1,$H$2,$A44,"L",,"USD","H")</f>
        <v>-10330</v>
      </c>
      <c r="AL44" s="13" t="str" cm="1">
        <f t="array" ref="AL44">_xll.ciqfunctions.udf.CIQ(B$3,$AL$1,$AL$2,$A44,"L",,"USD","H")</f>
        <v>NM</v>
      </c>
      <c r="AM44" s="13" cm="1">
        <f t="array" ref="AM44">_xll.ciqfunctions.udf.CIQ(C$3,$AL$1,$AL$2,$A44,"L",,"USD","H")</f>
        <v>-47.459800000000001</v>
      </c>
      <c r="AN44" s="13" cm="1">
        <f t="array" ref="AN44">_xll.ciqfunctions.udf.CIQ(D$3,$AL$1,$AL$2,$A44,"L",,"USD","H")</f>
        <v>-63.579500000000003</v>
      </c>
      <c r="AO44" s="13" t="str" cm="1">
        <f t="array" ref="AO44">_xll.ciqfunctions.udf.CIQ(E$3,$AL$1,$AL$2,$A44,"L",,"USD","H")</f>
        <v>NM</v>
      </c>
      <c r="AP44" s="13" cm="1">
        <f t="array" ref="AP44">_xll.ciqfunctions.udf.CIQ(F$3,$AL$1,$AL$2,$A44,"L",,"USD","H")</f>
        <v>-96.434200000000004</v>
      </c>
      <c r="AQ44" s="13" t="str" cm="1">
        <f t="array" ref="AQ44">_xll.ciqfunctions.udf.CIQ(G$3,$AL$1,$AL$2,$A44,"L",,"USD","H")</f>
        <v>NM</v>
      </c>
      <c r="AR44" s="41" t="str" cm="1">
        <f t="array" ref="AR44">_xll.ciqfunctions.udf.CIQ(B$3,$AL$1,$AR$2,$A44,"L",,"USD","H")</f>
        <v>NM</v>
      </c>
      <c r="AS44" s="41" cm="1">
        <f t="array" ref="AS44">_xll.ciqfunctions.udf.CIQ(C$3,$AL$1,$AR$2,$A44,"L",,"USD","H")</f>
        <v>-41.865900000000003</v>
      </c>
      <c r="AT44" s="41" cm="1">
        <f t="array" ref="AT44">_xll.ciqfunctions.udf.CIQ(D$3,$AL$1,$AR$2,$A44,"L",,"USD","H")</f>
        <v>-58.231900000000003</v>
      </c>
      <c r="AU44" s="41" t="str" cm="1">
        <f t="array" ref="AU44">_xll.ciqfunctions.udf.CIQ(E$3,$AL$1,$AR$2,$A44,"L",,"USD","H")</f>
        <v>NM</v>
      </c>
      <c r="AV44" s="41" t="str" cm="1">
        <f t="array" ref="AV44">_xll.ciqfunctions.udf.CIQ(F$3,$AL$1,$AR$2,$A44,"L",,"USD","H")</f>
        <v>NM</v>
      </c>
      <c r="AW44" s="41" t="str" cm="1">
        <f t="array" ref="AW44">_xll.ciqfunctions.udf.CIQ(G$3,$AL$1,$AR$2,$A44,"L",,"USD","H")</f>
        <v>NM</v>
      </c>
      <c r="AX44" s="38" cm="1">
        <f t="array" ref="AX44">_xll.ciqfunctions.udf.CIQ(B$3,$AX$1,$AX$2,$A44,"L",,"USD","H")</f>
        <v>1077</v>
      </c>
      <c r="AY44" s="38" cm="1">
        <f t="array" ref="AY44">_xll.ciqfunctions.udf.CIQ(C$3,$AX$1,$AX$2,$A44,"L",,"USD","H")</f>
        <v>8704</v>
      </c>
      <c r="AZ44" s="38" cm="1">
        <f t="array" ref="AZ44">_xll.ciqfunctions.udf.CIQ(D$3,$AX$1,$AX$2,$A44,"L",,"USD","H")</f>
        <v>5509</v>
      </c>
      <c r="BA44" s="38" cm="1">
        <f t="array" ref="BA44">_xll.ciqfunctions.udf.CIQ(E$3,$AX$1,$AX$2,$A44,"L",,"USD","H")</f>
        <v>807.82</v>
      </c>
      <c r="BB44" s="38" cm="1">
        <f t="array" ref="BB44">_xll.ciqfunctions.udf.CIQ(F$3,$AX$1,$AX$2,$A44,"L",,"USD","H")</f>
        <v>4436</v>
      </c>
      <c r="BC44" s="38" cm="1">
        <f t="array" ref="BC44">_xll.ciqfunctions.udf.CIQ(G$3,$AX$1,$AX$2,$A44,"L",,"USD","H")</f>
        <v>1151</v>
      </c>
      <c r="BD44" s="40" cm="1">
        <f t="array" ref="BD44">_xll.ciqfunctions.udf.CIQ(B$3,$AX$1,$BD$2,$A44,"L",,"USD","H")</f>
        <v>8425</v>
      </c>
      <c r="BE44" s="40" cm="1">
        <f t="array" ref="BE44">_xll.ciqfunctions.udf.CIQ(C$3,$AX$1,$BD$2,$A44,"L",,"USD","H")</f>
        <v>35564</v>
      </c>
      <c r="BF44" s="40" cm="1">
        <f t="array" ref="BF44">_xll.ciqfunctions.udf.CIQ(D$3,$AX$1,$BD$2,$A44,"L",,"USD","H")</f>
        <v>21950</v>
      </c>
      <c r="BG44" s="40">
        <f>_xll.ciqfunctions.udf.CIQ("COP", "IQ_PRICEDATE", "4/4/2025")</f>
        <v>45751</v>
      </c>
      <c r="BH44" s="40" cm="1">
        <f t="array" ref="BH44">_xll.ciqfunctions.udf.CIQ(F$3,$AX$1,$BD$2,$A44,"L",,"USD","H")</f>
        <v>20732</v>
      </c>
      <c r="BI44" s="40" cm="1">
        <f t="array" ref="BI44">_xll.ciqfunctions.udf.CIQ(G$3,$AX$1,$BD$2,$A44,"L",,"USD","H")</f>
        <v>6065</v>
      </c>
      <c r="BJ44" s="43">
        <f t="shared" si="1"/>
        <v>-0.78769958604376111</v>
      </c>
      <c r="BK44" s="43">
        <f t="shared" si="2"/>
        <v>-0.37543053960964412</v>
      </c>
      <c r="BL44" s="43">
        <f t="shared" si="3"/>
        <v>-0.4463872977590192</v>
      </c>
      <c r="BM44" s="43">
        <f t="shared" si="4"/>
        <v>-0.71367871563379004</v>
      </c>
      <c r="BN44" s="43">
        <f t="shared" si="5"/>
        <v>-0.4212654924983692</v>
      </c>
      <c r="BO44" s="43">
        <f t="shared" si="6"/>
        <v>-0.56368460955269151</v>
      </c>
      <c r="BP44" s="42">
        <f t="shared" si="7"/>
        <v>-0.61200147370360136</v>
      </c>
      <c r="BQ44" s="42">
        <f t="shared" si="8"/>
        <v>-0.35944957763729035</v>
      </c>
      <c r="BR44" s="42">
        <f t="shared" si="9"/>
        <v>-0.44896319726866496</v>
      </c>
      <c r="BS44" s="42">
        <f t="shared" si="10"/>
        <v>6.123832644402416E-4</v>
      </c>
      <c r="BT44" s="42">
        <f t="shared" si="11"/>
        <v>-0.34244663642995332</v>
      </c>
      <c r="BU44" s="42">
        <f t="shared" si="12"/>
        <v>-0.14093484419263458</v>
      </c>
      <c r="BV44" s="68" cm="1">
        <f t="array" ref="BV44">_xll.ciqfunctions.udf.CIQ(B$3,$BV$1,$BV$2,$A44,"L",,"USD","H")/100</f>
        <v>-0.11123200000000001</v>
      </c>
      <c r="BW44" s="68" cm="1">
        <f t="array" ref="BW44">_xll.ciqfunctions.udf.CIQ(C$3,$BV$1,$BV$2,$A44,"L",,"USD","H")/100</f>
        <v>2.2263999999999999E-2</v>
      </c>
      <c r="BX44" s="68" cm="1">
        <f t="array" ref="BX44">_xll.ciqfunctions.udf.CIQ(D$3,$BV$1,$BV$2,$A44,"L",,"USD","H")/100</f>
        <v>8.0000000000000004E-4</v>
      </c>
      <c r="BY44" s="68" cm="1">
        <f t="array" ref="BY44">_xll.ciqfunctions.udf.CIQ(E$3,$BV$1,$BV$2,$A44,"L",,"USD","H")/100</f>
        <v>-0.76563599999999998</v>
      </c>
      <c r="BZ44" s="68" cm="1">
        <f t="array" ref="BZ44">_xll.ciqfunctions.udf.CIQ(F$3,$BV$1,$BV$2,$A44,"L",,"USD","H")/100</f>
        <v>-4.1223999999999997E-2</v>
      </c>
      <c r="CA44" s="68" cm="1">
        <f t="array" ref="CA44">_xll.ciqfunctions.udf.CIQ(G$3,$BV$1,$BV$2,$A44,"L",,"USD","H")/100</f>
        <v>-0.480244</v>
      </c>
      <c r="CB44" s="68" cm="1">
        <f t="array" ref="CB44">_xll.ciqfunctions.udf.CIQ(B$3,$BV$1,$CB$2,$A44,"L",,"USD","H")/100</f>
        <v>-6.3774999999999998E-2</v>
      </c>
      <c r="CC44" s="68" cm="1">
        <f t="array" ref="CC44">_xll.ciqfunctions.udf.CIQ(C$3,$BV$1,$CB$2,$A44,"L",,"USD","H")/100</f>
        <v>3.7955999999999997E-2</v>
      </c>
      <c r="CD44" s="68" cm="1">
        <f t="array" ref="CD44">_xll.ciqfunctions.udf.CIQ(D$3,$BV$1,$CB$2,$A44,"L",,"USD","H")/100</f>
        <v>3.473E-3</v>
      </c>
      <c r="CE44" s="68" cm="1">
        <f t="array" ref="CE44">_xll.ciqfunctions.udf.CIQ(E$3,$BV$1,$CB$2,$A44,"L",,"USD","H")/100</f>
        <v>-0.192055</v>
      </c>
      <c r="CF44" s="68" cm="1">
        <f t="array" ref="CF44">_xll.ciqfunctions.udf.CIQ(F$3,$BV$1,$CB$2,$A44,"L",,"USD","H")/100</f>
        <v>-8.4749000000000005E-2</v>
      </c>
      <c r="CG44" s="68" cm="1">
        <f t="array" ref="CG44">_xll.ciqfunctions.udf.CIQ(G$3,$BV$1,$CB$2,$A44,"L",,"USD","H")/100</f>
        <v>-0.32157400000000003</v>
      </c>
    </row>
    <row r="45" spans="1:85" x14ac:dyDescent="0.45">
      <c r="A45" s="3">
        <f t="shared" si="13"/>
        <v>42185</v>
      </c>
      <c r="B45" s="14" cm="1">
        <f t="array" ref="B45">_xll.ciqfunctions.udf.CIQ(B$3,$B$1,$B$2,$A45,"L",,"USD","H")</f>
        <v>8551</v>
      </c>
      <c r="C45" s="38" cm="1">
        <f t="array" ref="C45">_xll.ciqfunctions.udf.CIQ(C$3,$B$1,$B$2,$A45,"L",,"USD","H")</f>
        <v>65395</v>
      </c>
      <c r="D45" s="38" cm="1">
        <f t="array" ref="D45">_xll.ciqfunctions.udf.CIQ(D$3,$B$1,$B$2,$A45,"L",,"USD","H")</f>
        <v>34864</v>
      </c>
      <c r="E45" s="38" cm="1">
        <f t="array" ref="E45">_xll.ciqfunctions.udf.CIQ(E$3,$B$1,$B$2,$A45,"L",,"USD","H")</f>
        <v>2523.7579999999998</v>
      </c>
      <c r="F45" s="38" cm="1">
        <f t="array" ref="F45">_xll.ciqfunctions.udf.CIQ(F$3,$B$1,$B$2,$A45,"L",,"USD","H")</f>
        <v>61878</v>
      </c>
      <c r="G45" s="38" cm="1">
        <f t="array" ref="G45">_xll.ciqfunctions.udf.CIQ(G$3,$B$1,$B$2,$A45,"L",,"USD","H")</f>
        <v>3616</v>
      </c>
      <c r="H45" s="40" cm="1">
        <f t="array" ref="H45">_xll.ciqfunctions.udf.CIQ(B$3,$B$1,$H$2,$A45,"L",,"USD","H")</f>
        <v>41074</v>
      </c>
      <c r="I45" s="40" cm="1">
        <f t="array" ref="I45">_xll.ciqfunctions.udf.CIQ(C$3,$B$1,$H$2,$A45,"L",,"USD","H")</f>
        <v>297642</v>
      </c>
      <c r="J45" s="40" cm="1">
        <f t="array" ref="J45">_xll.ciqfunctions.udf.CIQ(D$3,$B$1,$H$2,$A45,"L",,"USD","H")</f>
        <v>155115</v>
      </c>
      <c r="K45" s="40" cm="1">
        <f t="array" ref="K45">_xll.ciqfunctions.udf.CIQ(E$3,$B$1,$H$2,$A45,"L",,"USD","H")</f>
        <v>12817.079</v>
      </c>
      <c r="L45" s="40" cm="1">
        <f t="array" ref="L45">_xll.ciqfunctions.udf.CIQ(F$3,$B$1,$H$2,$A45,"L",,"USD","H")</f>
        <v>285521</v>
      </c>
      <c r="M45" s="40" cm="1">
        <f t="array" ref="M45">_xll.ciqfunctions.udf.CIQ(G$3,$B$1,$H$2,$A45,"L",,"USD","H")</f>
        <v>15157</v>
      </c>
      <c r="N45" s="13" cm="1">
        <f t="array" ref="N45">_xll.ciqfunctions.udf.CIQ(B$3,$N$1,$B$2,$A45,"L",,"USD","H")</f>
        <v>-41.806199999999997</v>
      </c>
      <c r="O45" s="13" cm="1">
        <f t="array" ref="O45">_xll.ciqfunctions.udf.CIQ(C$3,$N$1,$B$2,$A45,"L",,"USD","H")</f>
        <v>-33.166800000000002</v>
      </c>
      <c r="P45" s="13" cm="1">
        <f t="array" ref="P45">_xll.ciqfunctions.udf.CIQ(D$3,$N$1,$B$2,$A45,"L",,"USD","H")</f>
        <v>-34.788600000000002</v>
      </c>
      <c r="Q45" s="13" cm="1">
        <f t="array" ref="Q45">_xll.ciqfunctions.udf.CIQ(E$3,$N$1,$B$2,$A45,"L",,"USD","H")</f>
        <v>-42.810499999999998</v>
      </c>
      <c r="R45" s="13" cm="1">
        <f t="array" ref="R45">_xll.ciqfunctions.udf.CIQ(F$3,$N$1,$B$2,$A45,"L",,"USD","H")</f>
        <v>-34.142299999999999</v>
      </c>
      <c r="S45" s="13" cm="1">
        <f t="array" ref="S45">_xll.ciqfunctions.udf.CIQ(G$3,$N$1,$B$2,$A45,"L",,"USD","H")</f>
        <v>-26.339400000000001</v>
      </c>
      <c r="T45" s="94">
        <v>45764</v>
      </c>
      <c r="U45" s="41" cm="1">
        <f t="array" ref="U45">_xll.ciqfunctions.udf.CIQ(O$3,$N$1,$T$2,$A45,"L",,"USD","H")</f>
        <v>-23.8002</v>
      </c>
      <c r="V45" s="41" cm="1">
        <f t="array" ref="V45">_xll.ciqfunctions.udf.CIQ(P$3,$N$1,$T$2,$A45,"L",,"USD","H")</f>
        <v>-25.674600000000002</v>
      </c>
      <c r="W45" s="41" cm="1">
        <f t="array" ref="W45">_xll.ciqfunctions.udf.CIQ(Q$3,$N$1,$T$2,$A45,"L",,"USD","H")</f>
        <v>-20.706099999999999</v>
      </c>
      <c r="X45" s="41" cm="1">
        <f t="array" ref="X45">_xll.ciqfunctions.udf.CIQ(R$3,$N$1,$T$2,$A45,"L",,"USD","H")</f>
        <v>-24.060600000000001</v>
      </c>
      <c r="Y45" s="41" cm="1">
        <f t="array" ref="Y45">_xll.ciqfunctions.udf.CIQ(S$3,$N$1,$T$2,$A45,"L",,"USD","H")</f>
        <v>4.3223000000000003</v>
      </c>
      <c r="Z45" s="38" cm="1">
        <f t="array" ref="Z45">_xll.ciqfunctions.udf.CIQ(B$3,$Z$1,$B$2,$A45,"L",,"USD","H")</f>
        <v>-179</v>
      </c>
      <c r="AA45" s="38" cm="1">
        <f t="array" ref="AA45">_xll.ciqfunctions.udf.CIQ(C$3,$Z$1,$B$2,$A45,"L",,"USD","H")</f>
        <v>4190</v>
      </c>
      <c r="AB45" s="38" cm="1">
        <f t="array" ref="AB45">_xll.ciqfunctions.udf.CIQ(D$3,$Z$1,$B$2,$A45,"L",,"USD","H")</f>
        <v>571</v>
      </c>
      <c r="AC45" s="38" cm="1">
        <f t="array" ref="AC45">_xll.ciqfunctions.udf.CIQ(E$3,$Z$1,$B$2,$A45,"L",,"USD","H")</f>
        <v>5.2679999999999998</v>
      </c>
      <c r="AD45" s="38" cm="1">
        <f t="array" ref="AD45">_xll.ciqfunctions.udf.CIQ(F$3,$Z$1,$B$2,$A45,"L",,"USD","H")</f>
        <v>-5823</v>
      </c>
      <c r="AE45" s="38" cm="1">
        <f t="array" ref="AE45">_xll.ciqfunctions.udf.CIQ(G$3,$Z$1,$B$2,$A45,"L",,"USD","H")</f>
        <v>-2816</v>
      </c>
      <c r="AF45" s="40" cm="1">
        <f t="array" ref="AF45">_xll.ciqfunctions.udf.CIQ(B$3,$Z$1,$H$2,$A45,"L",,"USD","H")</f>
        <v>2758</v>
      </c>
      <c r="AG45" s="40" cm="1">
        <f t="array" ref="AG45">_xll.ciqfunctions.udf.CIQ(C$3,$Z$1,$H$2,$A45,"L",,"USD","H")</f>
        <v>23770</v>
      </c>
      <c r="AH45" s="40" cm="1">
        <f t="array" ref="AH45">_xll.ciqfunctions.udf.CIQ(D$3,$Z$1,$H$2,$A45,"L",,"USD","H")</f>
        <v>12202</v>
      </c>
      <c r="AI45" s="40" cm="1">
        <f t="array" ref="AI45">_xll.ciqfunctions.udf.CIQ(E$3,$Z$1,$H$2,$A45,"L",,"USD","H")</f>
        <v>1383.7260000000001</v>
      </c>
      <c r="AJ45" s="40" cm="1">
        <f t="array" ref="AJ45">_xll.ciqfunctions.udf.CIQ(F$3,$Z$1,$H$2,$A45,"L",,"USD","H")</f>
        <v>-6338</v>
      </c>
      <c r="AK45" s="40" cm="1">
        <f t="array" ref="AK45">_xll.ciqfunctions.udf.CIQ(G$3,$Z$1,$H$2,$A45,"L",,"USD","H")</f>
        <v>-5807</v>
      </c>
      <c r="AL45" s="13" t="str" cm="1">
        <f t="array" ref="AL45">_xll.ciqfunctions.udf.CIQ(B$3,$AL$1,$AL$2,$A45,"L",,"USD","H")</f>
        <v>NM</v>
      </c>
      <c r="AM45" s="13" cm="1">
        <f t="array" ref="AM45">_xll.ciqfunctions.udf.CIQ(C$3,$AL$1,$AL$2,$A45,"L",,"USD","H")</f>
        <v>-52.277999999999999</v>
      </c>
      <c r="AN45" s="13" cm="1">
        <f t="array" ref="AN45">_xll.ciqfunctions.udf.CIQ(D$3,$AL$1,$AL$2,$A45,"L",,"USD","H")</f>
        <v>-89.920599999999993</v>
      </c>
      <c r="AO45" s="13" cm="1">
        <f t="array" ref="AO45">_xll.ciqfunctions.udf.CIQ(E$3,$AL$1,$AL$2,$A45,"L",,"USD","H")</f>
        <v>-99.254199999999997</v>
      </c>
      <c r="AP45" s="13" t="str" cm="1">
        <f t="array" ref="AP45">_xll.ciqfunctions.udf.CIQ(F$3,$AL$1,$AL$2,$A45,"L",,"USD","H")</f>
        <v>NM</v>
      </c>
      <c r="AQ45" s="13" t="str" cm="1">
        <f t="array" ref="AQ45">_xll.ciqfunctions.udf.CIQ(G$3,$AL$1,$AL$2,$A45,"L",,"USD","H")</f>
        <v>NM</v>
      </c>
      <c r="AR45" s="41" cm="1">
        <f t="array" ref="AR45">_xll.ciqfunctions.udf.CIQ(B$3,$AL$1,$AR$2,$A45,"L",,"USD","H")</f>
        <v>-69.927000000000007</v>
      </c>
      <c r="AS45" s="41" cm="1">
        <f t="array" ref="AS45">_xll.ciqfunctions.udf.CIQ(C$3,$AL$1,$AR$2,$A45,"L",,"USD","H")</f>
        <v>-30.293299999999999</v>
      </c>
      <c r="AT45" s="41" cm="1">
        <f t="array" ref="AT45">_xll.ciqfunctions.udf.CIQ(D$3,$AL$1,$AR$2,$A45,"L",,"USD","H")</f>
        <v>-39.163400000000003</v>
      </c>
      <c r="AU45" s="41" cm="1">
        <f t="array" ref="AU45">_xll.ciqfunctions.udf.CIQ(E$3,$AL$1,$AR$2,$A45,"L",,"USD","H")</f>
        <v>-42.583399999999997</v>
      </c>
      <c r="AV45" s="41" t="str" cm="1">
        <f t="array" ref="AV45">_xll.ciqfunctions.udf.CIQ(F$3,$AL$1,$AR$2,$A45,"L",,"USD","H")</f>
        <v>NM</v>
      </c>
      <c r="AW45" s="41" t="str" cm="1">
        <f t="array" ref="AW45">_xll.ciqfunctions.udf.CIQ(G$3,$AL$1,$AR$2,$A45,"L",,"USD","H")</f>
        <v>NM</v>
      </c>
      <c r="AX45" s="38" cm="1">
        <f t="array" ref="AX45">_xll.ciqfunctions.udf.CIQ(B$3,$AX$1,$AX$2,$A45,"L",,"USD","H")</f>
        <v>2656</v>
      </c>
      <c r="AY45" s="38" cm="1">
        <f t="array" ref="AY45">_xll.ciqfunctions.udf.CIQ(C$3,$AX$1,$AX$2,$A45,"L",,"USD","H")</f>
        <v>8737</v>
      </c>
      <c r="AZ45" s="38" cm="1">
        <f t="array" ref="AZ45">_xll.ciqfunctions.udf.CIQ(D$3,$AX$1,$AX$2,$A45,"L",,"USD","H")</f>
        <v>4789</v>
      </c>
      <c r="BA45" s="38" cm="1">
        <f t="array" ref="BA45">_xll.ciqfunctions.udf.CIQ(E$3,$AX$1,$AX$2,$A45,"L",,"USD","H")</f>
        <v>1022.936</v>
      </c>
      <c r="BB45" s="38" cm="1">
        <f t="array" ref="BB45">_xll.ciqfunctions.udf.CIQ(F$3,$AX$1,$AX$2,$A45,"L",,"USD","H")</f>
        <v>6127</v>
      </c>
      <c r="BC45" s="38" cm="1">
        <f t="array" ref="BC45">_xll.ciqfunctions.udf.CIQ(G$3,$AX$1,$AX$2,$A45,"L",,"USD","H")</f>
        <v>619</v>
      </c>
      <c r="BD45" s="40" cm="1">
        <f t="array" ref="BD45">_xll.ciqfunctions.udf.CIQ(B$3,$AX$1,$BD$2,$A45,"L",,"USD","H")</f>
        <v>12421</v>
      </c>
      <c r="BE45" s="40" cm="1">
        <f t="array" ref="BE45">_xll.ciqfunctions.udf.CIQ(C$3,$AX$1,$BD$2,$A45,"L",,"USD","H")</f>
        <v>40796</v>
      </c>
      <c r="BF45" s="40" cm="1">
        <f t="array" ref="BF45">_xll.ciqfunctions.udf.CIQ(D$3,$AX$1,$BD$2,$A45,"L",,"USD","H")</f>
        <v>26392</v>
      </c>
      <c r="BG45" s="40">
        <f>_xll.ciqfunctions.udf.CIQ("COP", "IQ_PRICEDATE", "3/28/2025")</f>
        <v>45744</v>
      </c>
      <c r="BH45" s="40" cm="1">
        <f t="array" ref="BH45">_xll.ciqfunctions.udf.CIQ(F$3,$AX$1,$BD$2,$A45,"L",,"USD","H")</f>
        <v>23961</v>
      </c>
      <c r="BI45" s="40" cm="1">
        <f t="array" ref="BI45">_xll.ciqfunctions.udf.CIQ(G$3,$AX$1,$BD$2,$A45,"L",,"USD","H")</f>
        <v>7534</v>
      </c>
      <c r="BJ45" s="43">
        <f t="shared" si="1"/>
        <v>-0.54914276014259045</v>
      </c>
      <c r="BK45" s="43">
        <f t="shared" si="2"/>
        <v>-0.32849127661209743</v>
      </c>
      <c r="BL45" s="43">
        <f t="shared" si="3"/>
        <v>-0.54451207913258515</v>
      </c>
      <c r="BM45" s="43">
        <f t="shared" si="4"/>
        <v>-0.53001110492894354</v>
      </c>
      <c r="BN45" s="43">
        <f t="shared" si="5"/>
        <v>-0.28187998124706981</v>
      </c>
      <c r="BO45" s="43">
        <f t="shared" si="6"/>
        <v>-0.60598345003182685</v>
      </c>
      <c r="BP45" s="42">
        <f t="shared" si="7"/>
        <v>-0.43725081551286693</v>
      </c>
      <c r="BQ45" s="42">
        <f t="shared" si="8"/>
        <v>-0.27320019240704785</v>
      </c>
      <c r="BR45" s="42">
        <f t="shared" si="9"/>
        <v>-0.34799150155640102</v>
      </c>
      <c r="BS45" s="42">
        <f t="shared" si="10"/>
        <v>6.1247703211120275E-4</v>
      </c>
      <c r="BT45" s="42">
        <f t="shared" si="11"/>
        <v>-0.25759876065065845</v>
      </c>
      <c r="BU45" s="42">
        <f t="shared" si="12"/>
        <v>0.27759877904018992</v>
      </c>
      <c r="BV45" s="68" cm="1">
        <f t="array" ref="BV45">_xll.ciqfunctions.udf.CIQ(B$3,$BV$1,$BV$2,$A45,"L",,"USD","H")/100</f>
        <v>-5.9855999999999999E-2</v>
      </c>
      <c r="BW45" s="68" cm="1">
        <f t="array" ref="BW45">_xll.ciqfunctions.udf.CIQ(C$3,$BV$1,$BV$2,$A45,"L",,"USD","H")/100</f>
        <v>2.1252E-2</v>
      </c>
      <c r="BX45" s="68" cm="1">
        <f t="array" ref="BX45">_xll.ciqfunctions.udf.CIQ(D$3,$BV$1,$BV$2,$A45,"L",,"USD","H")/100</f>
        <v>-3.0120000000000001E-2</v>
      </c>
      <c r="BY45" s="68" cm="1">
        <f t="array" ref="BY45">_xll.ciqfunctions.udf.CIQ(E$3,$BV$1,$BV$2,$A45,"L",,"USD","H")/100</f>
        <v>-1.4303999999999999E-2</v>
      </c>
      <c r="BZ45" s="68" cm="1">
        <f t="array" ref="BZ45">_xll.ciqfunctions.udf.CIQ(F$3,$BV$1,$BV$2,$A45,"L",,"USD","H")/100</f>
        <v>-0.18013999999999999</v>
      </c>
      <c r="CA45" s="68" cm="1">
        <f t="array" ref="CA45">_xll.ciqfunctions.udf.CIQ(G$3,$BV$1,$BV$2,$A45,"L",,"USD","H")/100</f>
        <v>-0.347916</v>
      </c>
      <c r="CB45" s="68" cm="1">
        <f t="array" ref="CB45">_xll.ciqfunctions.udf.CIQ(B$3,$BV$1,$CB$2,$A45,"L",,"USD","H")/100</f>
        <v>-1.1603E-2</v>
      </c>
      <c r="CC45" s="68" cm="1">
        <f t="array" ref="CC45">_xll.ciqfunctions.udf.CIQ(C$3,$BV$1,$CB$2,$A45,"L",,"USD","H")/100</f>
        <v>5.6413000000000005E-2</v>
      </c>
      <c r="CD45" s="68" cm="1">
        <f t="array" ref="CD45">_xll.ciqfunctions.udf.CIQ(D$3,$BV$1,$CB$2,$A45,"L",,"USD","H")/100</f>
        <v>2.2911999999999998E-2</v>
      </c>
      <c r="CE45" s="68" cm="1">
        <f t="array" ref="CE45">_xll.ciqfunctions.udf.CIQ(E$3,$BV$1,$CB$2,$A45,"L",,"USD","H")/100</f>
        <v>4.4808000000000001E-2</v>
      </c>
      <c r="CF45" s="68" cm="1">
        <f t="array" ref="CF45">_xll.ciqfunctions.udf.CIQ(F$3,$BV$1,$CB$2,$A45,"L",,"USD","H")/100</f>
        <v>-7.1867E-2</v>
      </c>
      <c r="CG45" s="68" cm="1">
        <f t="array" ref="CG45">_xll.ciqfunctions.udf.CIQ(G$3,$BV$1,$CB$2,$A45,"L",,"USD","H")/100</f>
        <v>-0.175591</v>
      </c>
    </row>
    <row r="46" spans="1:85" x14ac:dyDescent="0.45">
      <c r="A46" s="3">
        <f t="shared" si="13"/>
        <v>42094</v>
      </c>
      <c r="B46" s="14" cm="1">
        <f t="array" ref="B46">_xll.ciqfunctions.udf.CIQ(B$3,$B$1,$B$2,$A46,"L",,"USD","H")</f>
        <v>7921</v>
      </c>
      <c r="C46" s="38" cm="1">
        <f t="array" ref="C46">_xll.ciqfunctions.udf.CIQ(C$3,$B$1,$B$2,$A46,"L",,"USD","H")</f>
        <v>59228</v>
      </c>
      <c r="D46" s="38" cm="1">
        <f t="array" ref="D46">_xll.ciqfunctions.udf.CIQ(D$3,$B$1,$B$2,$A46,"L",,"USD","H")</f>
        <v>30438</v>
      </c>
      <c r="E46" s="38" cm="1">
        <f t="array" ref="E46">_xll.ciqfunctions.udf.CIQ(E$3,$B$1,$B$2,$A46,"L",,"USD","H")</f>
        <v>2240.723</v>
      </c>
      <c r="F46" s="38" cm="1">
        <f t="array" ref="F46">_xll.ciqfunctions.udf.CIQ(F$3,$B$1,$B$2,$A46,"L",,"USD","H")</f>
        <v>55157</v>
      </c>
      <c r="G46" s="38" cm="1">
        <f t="array" ref="G46">_xll.ciqfunctions.udf.CIQ(G$3,$B$1,$B$2,$A46,"L",,"USD","H")</f>
        <v>2918</v>
      </c>
      <c r="H46" s="40" cm="1">
        <f t="array" ref="H46">_xll.ciqfunctions.udf.CIQ(B$3,$B$1,$H$2,$A46,"L",,"USD","H")</f>
        <v>47217</v>
      </c>
      <c r="I46" s="40" cm="1">
        <f t="array" ref="I46">_xll.ciqfunctions.udf.CIQ(C$3,$B$1,$H$2,$A46,"L",,"USD","H")</f>
        <v>330095</v>
      </c>
      <c r="J46" s="40" cm="1">
        <f t="array" ref="J46">_xll.ciqfunctions.udf.CIQ(D$3,$B$1,$H$2,$A46,"L",,"USD","H")</f>
        <v>173714</v>
      </c>
      <c r="K46" s="40" cm="1">
        <f t="array" ref="K46">_xll.ciqfunctions.udf.CIQ(E$3,$B$1,$H$2,$A46,"L",,"USD","H")</f>
        <v>14706.290999999999</v>
      </c>
      <c r="L46" s="40" cm="1">
        <f t="array" ref="L46">_xll.ciqfunctions.udf.CIQ(F$3,$B$1,$H$2,$A46,"L",,"USD","H")</f>
        <v>317600</v>
      </c>
      <c r="M46" s="40" cm="1">
        <f t="array" ref="M46">_xll.ciqfunctions.udf.CIQ(G$3,$B$1,$H$2,$A46,"L",,"USD","H")</f>
        <v>16450</v>
      </c>
      <c r="N46" s="13" cm="1">
        <f t="array" ref="N46">_xll.ciqfunctions.udf.CIQ(B$3,$N$1,$B$2,$A46,"L",,"USD","H")</f>
        <v>-50.614199999999997</v>
      </c>
      <c r="O46" s="13" cm="1">
        <f t="array" ref="O46">_xll.ciqfunctions.udf.CIQ(C$3,$N$1,$B$2,$A46,"L",,"USD","H")</f>
        <v>-36.921799999999998</v>
      </c>
      <c r="P46" s="13" cm="1">
        <f t="array" ref="P46">_xll.ciqfunctions.udf.CIQ(D$3,$N$1,$B$2,$A46,"L",,"USD","H")</f>
        <v>-37.922199999999997</v>
      </c>
      <c r="Q46" s="13" cm="1">
        <f t="array" ref="Q46">_xll.ciqfunctions.udf.CIQ(E$3,$N$1,$B$2,$A46,"L",,"USD","H")</f>
        <v>-47.0017</v>
      </c>
      <c r="R46" s="13" cm="1">
        <f t="array" ref="R46">_xll.ciqfunctions.udf.CIQ(F$3,$N$1,$B$2,$A46,"L",,"USD","H")</f>
        <v>-39.857199999999999</v>
      </c>
      <c r="S46" s="13" cm="1">
        <f t="array" ref="S46">_xll.ciqfunctions.udf.CIQ(G$3,$N$1,$B$2,$A46,"L",,"USD","H")</f>
        <v>-27.861599999999999</v>
      </c>
      <c r="T46" s="94">
        <v>45758</v>
      </c>
      <c r="U46" s="41" cm="1">
        <f t="array" ref="U46">_xll.ciqfunctions.udf.CIQ(O$3,$N$1,$T$2,$A46,"L",,"USD","H")</f>
        <v>-14.9803</v>
      </c>
      <c r="V46" s="41" cm="1">
        <f t="array" ref="V46">_xll.ciqfunctions.udf.CIQ(P$3,$N$1,$T$2,$A46,"L",,"USD","H")</f>
        <v>-16.6572</v>
      </c>
      <c r="W46" s="41" cm="1">
        <f t="array" ref="W46">_xll.ciqfunctions.udf.CIQ(Q$3,$N$1,$T$2,$A46,"L",,"USD","H")</f>
        <v>-4.4212999999999996</v>
      </c>
      <c r="X46" s="41" cm="1">
        <f t="array" ref="X46">_xll.ciqfunctions.udf.CIQ(R$3,$N$1,$T$2,$A46,"L",,"USD","H")</f>
        <v>-15.697699999999999</v>
      </c>
      <c r="Y46" s="41" cm="1">
        <f t="array" ref="Y46">_xll.ciqfunctions.udf.CIQ(S$3,$N$1,$T$2,$A46,"L",,"USD","H")</f>
        <v>33.284700000000001</v>
      </c>
      <c r="Z46" s="38" cm="1">
        <f t="array" ref="Z46">_xll.ciqfunctions.udf.CIQ(B$3,$Z$1,$B$2,$A46,"L",,"USD","H")</f>
        <v>272</v>
      </c>
      <c r="AA46" s="38" cm="1">
        <f t="array" ref="AA46">_xll.ciqfunctions.udf.CIQ(C$3,$Z$1,$B$2,$A46,"L",,"USD","H")</f>
        <v>4940</v>
      </c>
      <c r="AB46" s="38" cm="1">
        <f t="array" ref="AB46">_xll.ciqfunctions.udf.CIQ(D$3,$Z$1,$B$2,$A46,"L",,"USD","H")</f>
        <v>2567</v>
      </c>
      <c r="AC46" s="38" cm="1">
        <f t="array" ref="AC46">_xll.ciqfunctions.udf.CIQ(E$3,$Z$1,$B$2,$A46,"L",,"USD","H")</f>
        <v>-169.74799999999999</v>
      </c>
      <c r="AD46" s="38" cm="1">
        <f t="array" ref="AD46">_xll.ciqfunctions.udf.CIQ(F$3,$Z$1,$B$2,$A46,"L",,"USD","H")</f>
        <v>2602</v>
      </c>
      <c r="AE46" s="38" cm="1">
        <f t="array" ref="AE46">_xll.ciqfunctions.udf.CIQ(G$3,$Z$1,$B$2,$A46,"L",,"USD","H")</f>
        <v>-3599</v>
      </c>
      <c r="AF46" s="40" cm="1">
        <f t="array" ref="AF46">_xll.ciqfunctions.udf.CIQ(B$3,$Z$1,$H$2,$A46,"L",,"USD","H")</f>
        <v>5018</v>
      </c>
      <c r="AG46" s="40" cm="1">
        <f t="array" ref="AG46">_xll.ciqfunctions.udf.CIQ(C$3,$Z$1,$H$2,$A46,"L",,"USD","H")</f>
        <v>28360</v>
      </c>
      <c r="AH46" s="40" cm="1">
        <f t="array" ref="AH46">_xll.ciqfunctions.udf.CIQ(D$3,$Z$1,$H$2,$A46,"L",,"USD","H")</f>
        <v>17296</v>
      </c>
      <c r="AI46" s="40" cm="1">
        <f t="array" ref="AI46">_xll.ciqfunctions.udf.CIQ(E$3,$Z$1,$H$2,$A46,"L",,"USD","H")</f>
        <v>2084.8110000000001</v>
      </c>
      <c r="AJ46" s="40" cm="1">
        <f t="array" ref="AJ46">_xll.ciqfunctions.udf.CIQ(F$3,$Z$1,$H$2,$A46,"L",,"USD","H")</f>
        <v>2854</v>
      </c>
      <c r="AK46" s="40" cm="1">
        <f t="array" ref="AK46">_xll.ciqfunctions.udf.CIQ(G$3,$Z$1,$H$2,$A46,"L",,"USD","H")</f>
        <v>-2316</v>
      </c>
      <c r="AL46" s="13" cm="1">
        <f t="array" ref="AL46">_xll.ciqfunctions.udf.CIQ(B$3,$AL$1,$AL$2,$A46,"L",,"USD","H")</f>
        <v>-87.188000000000002</v>
      </c>
      <c r="AM46" s="13" cm="1">
        <f t="array" ref="AM46">_xll.ciqfunctions.udf.CIQ(C$3,$AL$1,$AL$2,$A46,"L",,"USD","H")</f>
        <v>-45.714300000000001</v>
      </c>
      <c r="AN46" s="13" cm="1">
        <f t="array" ref="AN46">_xll.ciqfunctions.udf.CIQ(D$3,$AL$1,$AL$2,$A46,"L",,"USD","H")</f>
        <v>-43.107300000000002</v>
      </c>
      <c r="AO46" s="13" t="str" cm="1">
        <f t="array" ref="AO46">_xll.ciqfunctions.udf.CIQ(E$3,$AL$1,$AL$2,$A46,"L",,"USD","H")</f>
        <v>NM</v>
      </c>
      <c r="AP46" s="13" cm="1">
        <f t="array" ref="AP46">_xll.ciqfunctions.udf.CIQ(F$3,$AL$1,$AL$2,$A46,"L",,"USD","H")</f>
        <v>-26.247199999999999</v>
      </c>
      <c r="AQ46" s="13" t="str" cm="1">
        <f t="array" ref="AQ46">_xll.ciqfunctions.udf.CIQ(G$3,$AL$1,$AL$2,$A46,"L",,"USD","H")</f>
        <v>NM</v>
      </c>
      <c r="AR46" s="41" cm="1">
        <f t="array" ref="AR46">_xll.ciqfunctions.udf.CIQ(B$3,$AL$1,$AR$2,$A46,"L",,"USD","H")</f>
        <v>-45.098500000000001</v>
      </c>
      <c r="AS46" s="41" cm="1">
        <f t="array" ref="AS46">_xll.ciqfunctions.udf.CIQ(C$3,$AL$1,$AR$2,$A46,"L",,"USD","H")</f>
        <v>-11.870799999999999</v>
      </c>
      <c r="AT46" s="41" cm="1">
        <f t="array" ref="AT46">_xll.ciqfunctions.udf.CIQ(D$3,$AL$1,$AR$2,$A46,"L",,"USD","H")</f>
        <v>-12.4564</v>
      </c>
      <c r="AU46" s="41" cm="1">
        <f t="array" ref="AU46">_xll.ciqfunctions.udf.CIQ(E$3,$AL$1,$AR$2,$A46,"L",,"USD","H")</f>
        <v>-11.7844</v>
      </c>
      <c r="AV46" s="41" cm="1">
        <f t="array" ref="AV46">_xll.ciqfunctions.udf.CIQ(F$3,$AL$1,$AR$2,$A46,"L",,"USD","H")</f>
        <v>-71.787300000000002</v>
      </c>
      <c r="AW46" s="41" t="str" cm="1">
        <f t="array" ref="AW46">_xll.ciqfunctions.udf.CIQ(G$3,$AL$1,$AR$2,$A46,"L",,"USD","H")</f>
        <v>NM</v>
      </c>
      <c r="AX46" s="38" cm="1">
        <f t="array" ref="AX46">_xll.ciqfunctions.udf.CIQ(B$3,$AX$1,$AX$2,$A46,"L",,"USD","H")</f>
        <v>1935</v>
      </c>
      <c r="AY46" s="38" cm="1">
        <f t="array" ref="AY46">_xll.ciqfunctions.udf.CIQ(C$3,$AX$1,$AX$2,$A46,"L",,"USD","H")</f>
        <v>8163</v>
      </c>
      <c r="AZ46" s="38" cm="1">
        <f t="array" ref="AZ46">_xll.ciqfunctions.udf.CIQ(D$3,$AX$1,$AX$2,$A46,"L",,"USD","H")</f>
        <v>5066</v>
      </c>
      <c r="BA46" s="38" cm="1">
        <f t="array" ref="BA46">_xll.ciqfunctions.udf.CIQ(E$3,$AX$1,$AX$2,$A46,"L",,"USD","H")</f>
        <v>807.62199999999996</v>
      </c>
      <c r="BB46" s="38" cm="1">
        <f t="array" ref="BB46">_xll.ciqfunctions.udf.CIQ(F$3,$AX$1,$AX$2,$A46,"L",,"USD","H")</f>
        <v>6281</v>
      </c>
      <c r="BC46" s="38" cm="1">
        <f t="array" ref="BC46">_xll.ciqfunctions.udf.CIQ(G$3,$AX$1,$AX$2,$A46,"L",,"USD","H")</f>
        <v>933</v>
      </c>
      <c r="BD46" s="40" cm="1">
        <f t="array" ref="BD46">_xll.ciqfunctions.udf.CIQ(B$3,$AX$1,$BD$2,$A46,"L",,"USD","H")</f>
        <v>15656</v>
      </c>
      <c r="BE46" s="40" cm="1">
        <f t="array" ref="BE46">_xll.ciqfunctions.udf.CIQ(C$3,$AX$1,$BD$2,$A46,"L",,"USD","H")</f>
        <v>45070</v>
      </c>
      <c r="BF46" s="40" cm="1">
        <f t="array" ref="BF46">_xll.ciqfunctions.udf.CIQ(D$3,$AX$1,$BD$2,$A46,"L",,"USD","H")</f>
        <v>32117</v>
      </c>
      <c r="BG46" s="40">
        <f>_xll.ciqfunctions.udf.CIQ("COP", "IQ_PRICEDATE", "3/21/2025")</f>
        <v>45737</v>
      </c>
      <c r="BH46" s="40" cm="1">
        <f t="array" ref="BH46">_xll.ciqfunctions.udf.CIQ(F$3,$AX$1,$BD$2,$A46,"L",,"USD","H")</f>
        <v>26366</v>
      </c>
      <c r="BI46" s="40" cm="1">
        <f t="array" ref="BI46">_xll.ciqfunctions.udf.CIQ(G$3,$AX$1,$BD$2,$A46,"L",,"USD","H")</f>
        <v>8486</v>
      </c>
      <c r="BJ46" s="43">
        <f t="shared" si="1"/>
        <v>-0.66735430634347603</v>
      </c>
      <c r="BK46" s="43">
        <f t="shared" si="2"/>
        <v>-0.43594527363184077</v>
      </c>
      <c r="BL46" s="43">
        <f t="shared" si="3"/>
        <v>-0.48030365203118586</v>
      </c>
      <c r="BM46" s="43">
        <f t="shared" si="4"/>
        <v>-0.62130286833224468</v>
      </c>
      <c r="BN46" s="43">
        <f t="shared" si="5"/>
        <v>-0.31400174748798604</v>
      </c>
      <c r="BO46" s="43">
        <f t="shared" si="6"/>
        <v>-0.37882822902796276</v>
      </c>
      <c r="BP46" s="42">
        <f t="shared" si="7"/>
        <v>-0.28354384038074321</v>
      </c>
      <c r="BQ46" s="42">
        <f t="shared" si="8"/>
        <v>-0.20598287586765796</v>
      </c>
      <c r="BR46" s="42">
        <f t="shared" si="9"/>
        <v>-0.19500213048600146</v>
      </c>
      <c r="BS46" s="42">
        <f t="shared" si="10"/>
        <v>6.1257082850207922E-4</v>
      </c>
      <c r="BT46" s="42">
        <f t="shared" si="11"/>
        <v>-0.15978330146590181</v>
      </c>
      <c r="BU46" s="42">
        <f t="shared" si="12"/>
        <v>0.37358368404014253</v>
      </c>
      <c r="BV46" s="68" cm="1">
        <f t="array" ref="BV46">_xll.ciqfunctions.udf.CIQ(B$3,$BV$1,$BV$2,$A46,"L",,"USD","H")/100</f>
        <v>-3.4872E-2</v>
      </c>
      <c r="BW46" s="68" cm="1">
        <f t="array" ref="BW46">_xll.ciqfunctions.udf.CIQ(C$3,$BV$1,$BV$2,$A46,"L",,"USD","H")/100</f>
        <v>3.8628000000000003E-2</v>
      </c>
      <c r="BX46" s="68" cm="1">
        <f t="array" ref="BX46">_xll.ciqfunctions.udf.CIQ(D$3,$BV$1,$BV$2,$A46,"L",,"USD","H")/100</f>
        <v>1.2159999999999999E-2</v>
      </c>
      <c r="BY46" s="68" cm="1">
        <f t="array" ref="BY46">_xll.ciqfunctions.udf.CIQ(E$3,$BV$1,$BV$2,$A46,"L",,"USD","H")/100</f>
        <v>-4.3572E-2</v>
      </c>
      <c r="BZ46" s="68" cm="1">
        <f t="array" ref="BZ46">_xll.ciqfunctions.udf.CIQ(F$3,$BV$1,$BV$2,$A46,"L",,"USD","H")/100</f>
        <v>2.1339999999999998E-2</v>
      </c>
      <c r="CA46" s="68" cm="1">
        <f t="array" ref="CA46">_xll.ciqfunctions.udf.CIQ(G$3,$BV$1,$BV$2,$A46,"L",,"USD","H")/100</f>
        <v>-0.40866000000000002</v>
      </c>
      <c r="CB46" s="68" cm="1">
        <f t="array" ref="CB46">_xll.ciqfunctions.udf.CIQ(B$3,$BV$1,$CB$2,$A46,"L",,"USD","H")/100</f>
        <v>1.9651999999999999E-2</v>
      </c>
      <c r="CC46" s="68" cm="1">
        <f t="array" ref="CC46">_xll.ciqfunctions.udf.CIQ(C$3,$BV$1,$CB$2,$A46,"L",,"USD","H")/100</f>
        <v>8.0168000000000003E-2</v>
      </c>
      <c r="CD46" s="68" cm="1">
        <f t="array" ref="CD46">_xll.ciqfunctions.udf.CIQ(D$3,$BV$1,$CB$2,$A46,"L",,"USD","H")/100</f>
        <v>5.0660999999999998E-2</v>
      </c>
      <c r="CE46" s="68" cm="1">
        <f t="array" ref="CE46">_xll.ciqfunctions.udf.CIQ(E$3,$BV$1,$CB$2,$A46,"L",,"USD","H")/100</f>
        <v>7.6228999999999991E-2</v>
      </c>
      <c r="CF46" s="68" cm="1">
        <f t="array" ref="CF46">_xll.ciqfunctions.udf.CIQ(F$3,$BV$1,$CB$2,$A46,"L",,"USD","H")/100</f>
        <v>-1.8588E-2</v>
      </c>
      <c r="CG46" s="68" cm="1">
        <f t="array" ref="CG46">_xll.ciqfunctions.udf.CIQ(G$3,$BV$1,$CB$2,$A46,"L",,"USD","H")/100</f>
        <v>-7.1959999999999996E-2</v>
      </c>
    </row>
    <row r="47" spans="1:85" x14ac:dyDescent="0.45">
      <c r="A47" s="3">
        <f t="shared" si="13"/>
        <v>42004</v>
      </c>
      <c r="B47" s="14" cm="1">
        <f t="array" ref="B47">_xll.ciqfunctions.udf.CIQ(B$3,$B$1,$B$2,$A47,"L",,"USD","H")</f>
        <v>11689</v>
      </c>
      <c r="C47" s="38" cm="1">
        <f t="array" ref="C47">_xll.ciqfunctions.udf.CIQ(C$3,$B$1,$B$2,$A47,"L",,"USD","H")</f>
        <v>77332</v>
      </c>
      <c r="D47" s="38" cm="1">
        <f t="array" ref="D47">_xll.ciqfunctions.udf.CIQ(D$3,$B$1,$B$2,$A47,"L",,"USD","H")</f>
        <v>40107</v>
      </c>
      <c r="E47" s="38" cm="1">
        <f t="array" ref="E47">_xll.ciqfunctions.udf.CIQ(E$3,$B$1,$B$2,$A47,"L",,"USD","H")</f>
        <v>3463.453</v>
      </c>
      <c r="F47" s="38" cm="1">
        <f t="array" ref="F47">_xll.ciqfunctions.udf.CIQ(F$3,$B$1,$B$2,$A47,"L",,"USD","H")</f>
        <v>74582</v>
      </c>
      <c r="G47" s="38" cm="1">
        <f t="array" ref="G47">_xll.ciqfunctions.udf.CIQ(G$3,$B$1,$B$2,$A47,"L",,"USD","H")</f>
        <v>4035</v>
      </c>
      <c r="H47" s="40" cm="1">
        <f t="array" ref="H47">_xll.ciqfunctions.udf.CIQ(B$3,$B$1,$H$2,$A47,"L",,"USD","H")</f>
        <v>55053</v>
      </c>
      <c r="I47" s="40" cm="1">
        <f t="array" ref="I47">_xll.ciqfunctions.udf.CIQ(C$3,$B$1,$H$2,$A47,"L",,"USD","H")</f>
        <v>364763</v>
      </c>
      <c r="J47" s="40" cm="1">
        <f t="array" ref="J47">_xll.ciqfunctions.udf.CIQ(D$3,$B$1,$H$2,$A47,"L",,"USD","H")</f>
        <v>192308</v>
      </c>
      <c r="K47" s="40" cm="1">
        <f t="array" ref="K47">_xll.ciqfunctions.udf.CIQ(E$3,$B$1,$H$2,$A47,"L",,"USD","H")</f>
        <v>16693.476999999999</v>
      </c>
      <c r="L47" s="40" cm="1">
        <f t="array" ref="L47">_xll.ciqfunctions.udf.CIQ(F$3,$B$1,$H$2,$A47,"L",,"USD","H")</f>
        <v>351195</v>
      </c>
      <c r="M47" s="40" cm="1">
        <f t="array" ref="M47">_xll.ciqfunctions.udf.CIQ(G$3,$B$1,$H$2,$A47,"L",,"USD","H")</f>
        <v>17217</v>
      </c>
      <c r="N47" s="13" cm="1">
        <f t="array" ref="N47">_xll.ciqfunctions.udf.CIQ(B$3,$N$1,$B$2,$A47,"L",,"USD","H")</f>
        <v>-14.6913</v>
      </c>
      <c r="O47" s="13" cm="1">
        <f t="array" ref="O47">_xll.ciqfunctions.udf.CIQ(C$3,$N$1,$B$2,$A47,"L",,"USD","H")</f>
        <v>-21.374700000000001</v>
      </c>
      <c r="P47" s="13" cm="1">
        <f t="array" ref="P47">_xll.ciqfunctions.udf.CIQ(D$3,$N$1,$B$2,$A47,"L",,"USD","H")</f>
        <v>-22.606300000000001</v>
      </c>
      <c r="Q47" s="13" cm="1">
        <f t="array" ref="Q47">_xll.ciqfunctions.udf.CIQ(E$3,$N$1,$B$2,$A47,"L",,"USD","H")</f>
        <v>-6.3052000000000001</v>
      </c>
      <c r="R47" s="13" cm="1">
        <f t="array" ref="R47">_xll.ciqfunctions.udf.CIQ(F$3,$N$1,$B$2,$A47,"L",,"USD","H")</f>
        <v>-20.417899999999999</v>
      </c>
      <c r="S47" s="13" cm="1">
        <f t="array" ref="S47">_xll.ciqfunctions.udf.CIQ(G$3,$N$1,$B$2,$A47,"L",,"USD","H")</f>
        <v>48.345500000000001</v>
      </c>
      <c r="T47" s="94">
        <v>45751</v>
      </c>
      <c r="U47" s="41" cm="1">
        <f t="array" ref="U47">_xll.ciqfunctions.udf.CIQ(O$3,$N$1,$T$2,$A47,"L",,"USD","H")</f>
        <v>-6.5303000000000004</v>
      </c>
      <c r="V47" s="41" cm="1">
        <f t="array" ref="V47">_xll.ciqfunctions.udf.CIQ(P$3,$N$1,$T$2,$A47,"L",,"USD","H")</f>
        <v>-9.1447000000000003</v>
      </c>
      <c r="W47" s="41" cm="1">
        <f t="array" ref="W47">_xll.ciqfunctions.udf.CIQ(Q$3,$N$1,$T$2,$A47,"L",,"USD","H")</f>
        <v>15.4786</v>
      </c>
      <c r="X47" s="41" cm="1">
        <f t="array" ref="X47">_xll.ciqfunctions.udf.CIQ(R$3,$N$1,$T$2,$A47,"L",,"USD","H")</f>
        <v>-7.4904999999999999</v>
      </c>
      <c r="Y47" s="41" cm="1">
        <f t="array" ref="Y47">_xll.ciqfunctions.udf.CIQ(S$3,$N$1,$T$2,$A47,"L",,"USD","H")</f>
        <v>62.608600000000003</v>
      </c>
      <c r="Z47" s="38" cm="1">
        <f t="array" ref="Z47">_xll.ciqfunctions.udf.CIQ(B$3,$Z$1,$B$2,$A47,"L",,"USD","H")</f>
        <v>-39</v>
      </c>
      <c r="AA47" s="38" cm="1">
        <f t="array" ref="AA47">_xll.ciqfunctions.udf.CIQ(C$3,$Z$1,$B$2,$A47,"L",,"USD","H")</f>
        <v>6570</v>
      </c>
      <c r="AB47" s="38" cm="1">
        <f t="array" ref="AB47">_xll.ciqfunctions.udf.CIQ(D$3,$Z$1,$B$2,$A47,"L",,"USD","H")</f>
        <v>3471</v>
      </c>
      <c r="AC47" s="38" cm="1">
        <f t="array" ref="AC47">_xll.ciqfunctions.udf.CIQ(E$3,$Z$1,$B$2,$A47,"L",,"USD","H")</f>
        <v>444.58800000000002</v>
      </c>
      <c r="AD47" s="38" cm="1">
        <f t="array" ref="AD47">_xll.ciqfunctions.udf.CIQ(F$3,$Z$1,$B$2,$A47,"L",,"USD","H")</f>
        <v>-4407</v>
      </c>
      <c r="AE47" s="38" cm="1">
        <f t="array" ref="AE47">_xll.ciqfunctions.udf.CIQ(G$3,$Z$1,$B$2,$A47,"L",,"USD","H")</f>
        <v>-408</v>
      </c>
      <c r="AF47" s="40" cm="1">
        <f t="array" ref="AF47">_xll.ciqfunctions.udf.CIQ(B$3,$Z$1,$H$2,$A47,"L",,"USD","H")</f>
        <v>6869</v>
      </c>
      <c r="AG47" s="40" cm="1">
        <f t="array" ref="AG47">_xll.ciqfunctions.udf.CIQ(C$3,$Z$1,$H$2,$A47,"L",,"USD","H")</f>
        <v>32520</v>
      </c>
      <c r="AH47" s="40" cm="1">
        <f t="array" ref="AH47">_xll.ciqfunctions.udf.CIQ(D$3,$Z$1,$H$2,$A47,"L",,"USD","H")</f>
        <v>19241</v>
      </c>
      <c r="AI47" s="40" cm="1">
        <f t="array" ref="AI47">_xll.ciqfunctions.udf.CIQ(E$3,$Z$1,$H$2,$A47,"L",,"USD","H")</f>
        <v>2915.4870000000001</v>
      </c>
      <c r="AJ47" s="40" cm="1">
        <f t="array" ref="AJ47">_xll.ciqfunctions.udf.CIQ(F$3,$Z$1,$H$2,$A47,"L",,"USD","H")</f>
        <v>3780</v>
      </c>
      <c r="AK47" s="40" cm="1">
        <f t="array" ref="AK47">_xll.ciqfunctions.udf.CIQ(G$3,$Z$1,$H$2,$A47,"L",,"USD","H")</f>
        <v>1607</v>
      </c>
      <c r="AL47" s="13" t="str" cm="1">
        <f t="array" ref="AL47">_xll.ciqfunctions.udf.CIQ(B$3,$AL$1,$AL$2,$A47,"L",,"USD","H")</f>
        <v>NM</v>
      </c>
      <c r="AM47" s="13" cm="1">
        <f t="array" ref="AM47">_xll.ciqfunctions.udf.CIQ(C$3,$AL$1,$AL$2,$A47,"L",,"USD","H")</f>
        <v>-21.317399999999999</v>
      </c>
      <c r="AN47" s="13" cm="1">
        <f t="array" ref="AN47">_xll.ciqfunctions.udf.CIQ(D$3,$AL$1,$AL$2,$A47,"L",,"USD","H")</f>
        <v>-29.5944</v>
      </c>
      <c r="AO47" s="13" cm="1">
        <f t="array" ref="AO47">_xll.ciqfunctions.udf.CIQ(E$3,$AL$1,$AL$2,$A47,"L",,"USD","H")</f>
        <v>-23.372599999999998</v>
      </c>
      <c r="AP47" s="13" t="str" cm="1">
        <f t="array" ref="AP47">_xll.ciqfunctions.udf.CIQ(F$3,$AL$1,$AL$2,$A47,"L",,"USD","H")</f>
        <v>NM</v>
      </c>
      <c r="AQ47" s="13" t="str" cm="1">
        <f t="array" ref="AQ47">_xll.ciqfunctions.udf.CIQ(G$3,$AL$1,$AL$2,$A47,"L",,"USD","H")</f>
        <v>NM</v>
      </c>
      <c r="AR47" s="41" cm="1">
        <f t="array" ref="AR47">_xll.ciqfunctions.udf.CIQ(B$3,$AL$1,$AR$2,$A47,"L",,"USD","H")</f>
        <v>-24.978200000000001</v>
      </c>
      <c r="AS47" s="41" cm="1">
        <f t="array" ref="AS47">_xll.ciqfunctions.udf.CIQ(C$3,$AL$1,$AR$2,$A47,"L",,"USD","H")</f>
        <v>-0.1842</v>
      </c>
      <c r="AT47" s="41" cm="1">
        <f t="array" ref="AT47">_xll.ciqfunctions.udf.CIQ(D$3,$AL$1,$AR$2,$A47,"L",,"USD","H")</f>
        <v>-10.1854</v>
      </c>
      <c r="AU47" s="41" cm="1">
        <f t="array" ref="AU47">_xll.ciqfunctions.udf.CIQ(E$3,$AL$1,$AR$2,$A47,"L",,"USD","H")</f>
        <v>32.6965</v>
      </c>
      <c r="AV47" s="41" cm="1">
        <f t="array" ref="AV47">_xll.ciqfunctions.udf.CIQ(F$3,$AL$1,$AR$2,$A47,"L",,"USD","H")</f>
        <v>-83.881299999999996</v>
      </c>
      <c r="AW47" s="41" t="str" cm="1">
        <f t="array" ref="AW47">_xll.ciqfunctions.udf.CIQ(G$3,$AL$1,$AR$2,$A47,"L",,"USD","H")</f>
        <v>NM</v>
      </c>
      <c r="AX47" s="38" cm="1">
        <f t="array" ref="AX47">_xll.ciqfunctions.udf.CIQ(B$3,$AX$1,$AX$2,$A47,"L",,"USD","H")</f>
        <v>2757</v>
      </c>
      <c r="AY47" s="38" cm="1">
        <f t="array" ref="AY47">_xll.ciqfunctions.udf.CIQ(C$3,$AX$1,$AX$2,$A47,"L",,"USD","H")</f>
        <v>9960</v>
      </c>
      <c r="AZ47" s="38" cm="1">
        <f t="array" ref="AZ47">_xll.ciqfunctions.udf.CIQ(D$3,$AX$1,$AX$2,$A47,"L",,"USD","H")</f>
        <v>6586</v>
      </c>
      <c r="BA47" s="38" cm="1">
        <f t="array" ref="BA47">_xll.ciqfunctions.udf.CIQ(E$3,$AX$1,$AX$2,$A47,"L",,"USD","H")</f>
        <v>2344.3290000000002</v>
      </c>
      <c r="BB47" s="38" cm="1">
        <f t="array" ref="BB47">_xll.ciqfunctions.udf.CIQ(F$3,$AX$1,$AX$2,$A47,"L",,"USD","H")</f>
        <v>3888</v>
      </c>
      <c r="BC47" s="38" cm="1">
        <f t="array" ref="BC47">_xll.ciqfunctions.udf.CIQ(G$3,$AX$1,$AX$2,$A47,"L",,"USD","H")</f>
        <v>3344</v>
      </c>
      <c r="BD47" s="40" cm="1">
        <f t="array" ref="BD47">_xll.ciqfunctions.udf.CIQ(B$3,$AX$1,$BD$2,$A47,"L",,"USD","H")</f>
        <v>19256</v>
      </c>
      <c r="BE47" s="40" cm="1">
        <f t="array" ref="BE47">_xll.ciqfunctions.udf.CIQ(C$3,$AX$1,$BD$2,$A47,"L",,"USD","H")</f>
        <v>51379</v>
      </c>
      <c r="BF47" s="40" cm="1">
        <f t="array" ref="BF47">_xll.ciqfunctions.udf.CIQ(D$3,$AX$1,$BD$2,$A47,"L",,"USD","H")</f>
        <v>36799</v>
      </c>
      <c r="BG47" s="40">
        <f>_xll.ciqfunctions.udf.CIQ("COP", "IQ_PRICEDATE", "3/14/2025")</f>
        <v>45730</v>
      </c>
      <c r="BH47" s="40" cm="1">
        <f t="array" ref="BH47">_xll.ciqfunctions.udf.CIQ(F$3,$AX$1,$BD$2,$A47,"L",,"USD","H")</f>
        <v>29241</v>
      </c>
      <c r="BI47" s="40" cm="1">
        <f t="array" ref="BI47">_xll.ciqfunctions.udf.CIQ(G$3,$AX$1,$BD$2,$A47,"L",,"USD","H")</f>
        <v>9055</v>
      </c>
      <c r="BJ47" s="43">
        <f t="shared" si="1"/>
        <v>-0.44111088587066694</v>
      </c>
      <c r="BK47" s="43">
        <f t="shared" si="2"/>
        <v>-0.29371720323358386</v>
      </c>
      <c r="BL47" s="43">
        <f t="shared" si="3"/>
        <v>-0.31545577382808443</v>
      </c>
      <c r="BM47" s="43">
        <f t="shared" si="4"/>
        <v>0.17622600840702951</v>
      </c>
      <c r="BN47" s="43">
        <f t="shared" si="5"/>
        <v>-0.3704663212435233</v>
      </c>
      <c r="BO47" s="43">
        <f t="shared" si="6"/>
        <v>1.4788732394366195</v>
      </c>
      <c r="BP47" s="42">
        <f t="shared" si="7"/>
        <v>-0.11600789606573936</v>
      </c>
      <c r="BQ47" s="42">
        <f t="shared" si="8"/>
        <v>-0.1061879164274655</v>
      </c>
      <c r="BR47" s="42">
        <f t="shared" si="9"/>
        <v>-0.11158591052847588</v>
      </c>
      <c r="BS47" s="42">
        <f t="shared" si="10"/>
        <v>6.1266465362574962E-4</v>
      </c>
      <c r="BT47" s="42">
        <f t="shared" si="11"/>
        <v>-0.11735941320293397</v>
      </c>
      <c r="BU47" s="42">
        <f t="shared" si="12"/>
        <v>0.64726214298708395</v>
      </c>
      <c r="BV47" s="68" cm="1">
        <f t="array" ref="BV47">_xll.ciqfunctions.udf.CIQ(B$3,$BV$1,$BV$2,$A47,"L",,"USD","H")/100</f>
        <v>-4.9892000000000006E-2</v>
      </c>
      <c r="BW47" s="68" cm="1">
        <f t="array" ref="BW47">_xll.ciqfunctions.udf.CIQ(C$3,$BV$1,$BV$2,$A47,"L",,"USD","H")/100</f>
        <v>6.9527999999999993E-2</v>
      </c>
      <c r="BX47" s="68" cm="1">
        <f t="array" ref="BX47">_xll.ciqfunctions.udf.CIQ(D$3,$BV$1,$BV$2,$A47,"L",,"USD","H")/100</f>
        <v>3.2016000000000003E-2</v>
      </c>
      <c r="BY47" s="68" cm="1">
        <f t="array" ref="BY47">_xll.ciqfunctions.udf.CIQ(E$3,$BV$1,$BV$2,$A47,"L",,"USD","H")/100</f>
        <v>5.9687999999999998E-2</v>
      </c>
      <c r="BZ47" s="68" cm="1">
        <f t="array" ref="BZ47">_xll.ciqfunctions.udf.CIQ(F$3,$BV$1,$BV$2,$A47,"L",,"USD","H")/100</f>
        <v>-0.141872</v>
      </c>
      <c r="CA47" s="68" cm="1">
        <f t="array" ref="CA47">_xll.ciqfunctions.udf.CIQ(G$3,$BV$1,$BV$2,$A47,"L",,"USD","H")/100</f>
        <v>-5.3048000000000005E-2</v>
      </c>
      <c r="CB47" s="68" cm="1">
        <f t="array" ref="CB47">_xll.ciqfunctions.udf.CIQ(B$3,$BV$1,$CB$2,$A47,"L",,"USD","H")/100</f>
        <v>4.4888000000000004E-2</v>
      </c>
      <c r="CC47" s="68" cm="1">
        <f t="array" ref="CC47">_xll.ciqfunctions.udf.CIQ(C$3,$BV$1,$CB$2,$A47,"L",,"USD","H")/100</f>
        <v>0.101369</v>
      </c>
      <c r="CD47" s="68" cm="1">
        <f t="array" ref="CD47">_xll.ciqfunctions.udf.CIQ(D$3,$BV$1,$CB$2,$A47,"L",,"USD","H")/100</f>
        <v>6.3758999999999996E-2</v>
      </c>
      <c r="CE47" s="68" cm="1">
        <f t="array" ref="CE47">_xll.ciqfunctions.udf.CIQ(E$3,$BV$1,$CB$2,$A47,"L",,"USD","H")/100</f>
        <v>0.11726300000000001</v>
      </c>
      <c r="CF47" s="68" cm="1">
        <f t="array" ref="CF47">_xll.ciqfunctions.udf.CIQ(F$3,$BV$1,$CB$2,$A47,"L",,"USD","H")/100</f>
        <v>-1.2024E-2</v>
      </c>
      <c r="CG47" s="68" cm="1">
        <f t="array" ref="CG47">_xll.ciqfunctions.udf.CIQ(G$3,$BV$1,$CB$2,$A47,"L",,"USD","H")/100</f>
        <v>3.4823E-2</v>
      </c>
    </row>
    <row r="48" spans="1:85" x14ac:dyDescent="0.45">
      <c r="A48" s="3">
        <f>EDATE(A44,-12)</f>
        <v>41912</v>
      </c>
      <c r="B48" s="14" cm="1">
        <f t="array" ref="B48">_xll.ciqfunctions.udf.CIQ(B$3,$B$1,$B$2,$A48,"L",,"USD","H")</f>
        <v>12913</v>
      </c>
      <c r="C48" s="38" cm="1">
        <f t="array" ref="C48">_xll.ciqfunctions.udf.CIQ(C$3,$B$1,$B$2,$A48,"L",,"USD","H")</f>
        <v>95687</v>
      </c>
      <c r="D48" s="38" cm="1">
        <f t="array" ref="D48">_xll.ciqfunctions.udf.CIQ(D$3,$B$1,$B$2,$A48,"L",,"USD","H")</f>
        <v>49706</v>
      </c>
      <c r="E48" s="38" cm="1">
        <f t="array" ref="E48">_xll.ciqfunctions.udf.CIQ(E$3,$B$1,$B$2,$A48,"L",,"USD","H")</f>
        <v>4589.1450000000004</v>
      </c>
      <c r="F48" s="38" cm="1">
        <f t="array" ref="F48">_xll.ciqfunctions.udf.CIQ(F$3,$B$1,$B$2,$A48,"L",,"USD","H")</f>
        <v>93904</v>
      </c>
      <c r="G48" s="38" cm="1">
        <f t="array" ref="G48">_xll.ciqfunctions.udf.CIQ(G$3,$B$1,$B$2,$A48,"L",,"USD","H")</f>
        <v>4588</v>
      </c>
      <c r="H48" s="40" cm="1">
        <f t="array" ref="H48">_xll.ciqfunctions.udf.CIQ(B$3,$B$1,$H$2,$A48,"L",,"USD","H")</f>
        <v>57348</v>
      </c>
      <c r="I48" s="40" cm="1">
        <f t="array" ref="I48">_xll.ciqfunctions.udf.CIQ(C$3,$B$1,$H$2,$A48,"L",,"USD","H")</f>
        <v>385786</v>
      </c>
      <c r="J48" s="40" cm="1">
        <f t="array" ref="J48">_xll.ciqfunctions.udf.CIQ(D$3,$B$1,$H$2,$A48,"L",,"USD","H")</f>
        <v>204023</v>
      </c>
      <c r="K48" s="40" cm="1">
        <f t="array" ref="K48">_xll.ciqfunctions.udf.CIQ(E$3,$B$1,$H$2,$A48,"L",,"USD","H")</f>
        <v>16926.546999999999</v>
      </c>
      <c r="L48" s="40" cm="1">
        <f t="array" ref="L48">_xll.ciqfunctions.udf.CIQ(F$3,$B$1,$H$2,$A48,"L",,"USD","H")</f>
        <v>373288</v>
      </c>
      <c r="M48" s="40" cm="1">
        <f t="array" ref="M48">_xll.ciqfunctions.udf.CIQ(G$3,$B$1,$H$2,$A48,"L",,"USD","H")</f>
        <v>16262</v>
      </c>
      <c r="N48" s="13" cm="1">
        <f t="array" ref="N48">_xll.ciqfunctions.udf.CIQ(B$3,$N$1,$B$2,$A48,"L",,"USD","H")</f>
        <v>-10.332700000000001</v>
      </c>
      <c r="O48" s="13" cm="1">
        <f t="array" ref="O48">_xll.ciqfunctions.udf.CIQ(C$3,$N$1,$B$2,$A48,"L",,"USD","H")</f>
        <v>-4.7967000000000004</v>
      </c>
      <c r="P48" s="13" cm="1">
        <f t="array" ref="P48">_xll.ciqfunctions.udf.CIQ(D$3,$N$1,$B$2,$A48,"L",,"USD","H")</f>
        <v>-8.5951000000000004</v>
      </c>
      <c r="Q48" s="13" cm="1">
        <f t="array" ref="Q48">_xll.ciqfunctions.udf.CIQ(E$3,$N$1,$B$2,$A48,"L",,"USD","H")</f>
        <v>19.927399999999999</v>
      </c>
      <c r="R48" s="13" cm="1">
        <f t="array" ref="R48">_xll.ciqfunctions.udf.CIQ(F$3,$N$1,$B$2,$A48,"L",,"USD","H")</f>
        <v>-2.7919</v>
      </c>
      <c r="S48" s="13" cm="1">
        <f t="array" ref="S48">_xll.ciqfunctions.udf.CIQ(G$3,$N$1,$B$2,$A48,"L",,"USD","H")</f>
        <v>60.700499999999998</v>
      </c>
      <c r="T48" s="94">
        <v>45744</v>
      </c>
      <c r="U48" s="41" cm="1">
        <f t="array" ref="U48">_xll.ciqfunctions.udf.CIQ(O$3,$N$1,$T$2,$A48,"L",,"USD","H")</f>
        <v>-1.9108000000000001</v>
      </c>
      <c r="V48" s="41" cm="1">
        <f t="array" ref="V48">_xll.ciqfunctions.udf.CIQ(P$3,$N$1,$T$2,$A48,"L",,"USD","H")</f>
        <v>-4.6462000000000003</v>
      </c>
      <c r="W48" s="41" cm="1">
        <f t="array" ref="W48">_xll.ciqfunctions.udf.CIQ(Q$3,$N$1,$T$2,$A48,"L",,"USD","H")</f>
        <v>23.010400000000001</v>
      </c>
      <c r="X48" s="41" cm="1">
        <f t="array" ref="X48">_xll.ciqfunctions.udf.CIQ(R$3,$N$1,$T$2,$A48,"L",,"USD","H")</f>
        <v>-1.9436</v>
      </c>
      <c r="Y48" s="41" cm="1">
        <f t="array" ref="Y48">_xll.ciqfunctions.udf.CIQ(S$3,$N$1,$T$2,$A48,"L",,"USD","H")</f>
        <v>55.855800000000002</v>
      </c>
      <c r="Z48" s="38" cm="1">
        <f t="array" ref="Z48">_xll.ciqfunctions.udf.CIQ(B$3,$Z$1,$B$2,$A48,"L",,"USD","H")</f>
        <v>2704</v>
      </c>
      <c r="AA48" s="38" cm="1">
        <f t="array" ref="AA48">_xll.ciqfunctions.udf.CIQ(C$3,$Z$1,$B$2,$A48,"L",,"USD","H")</f>
        <v>8070</v>
      </c>
      <c r="AB48" s="38" cm="1">
        <f t="array" ref="AB48">_xll.ciqfunctions.udf.CIQ(D$3,$Z$1,$B$2,$A48,"L",,"USD","H")</f>
        <v>5593</v>
      </c>
      <c r="AC48" s="38" cm="1">
        <f t="array" ref="AC48">_xll.ciqfunctions.udf.CIQ(E$3,$Z$1,$B$2,$A48,"L",,"USD","H")</f>
        <v>1103.6179999999999</v>
      </c>
      <c r="AD48" s="38" cm="1">
        <f t="array" ref="AD48">_xll.ciqfunctions.udf.CIQ(F$3,$Z$1,$B$2,$A48,"L",,"USD","H")</f>
        <v>1290</v>
      </c>
      <c r="AE48" s="38" cm="1">
        <f t="array" ref="AE48">_xll.ciqfunctions.udf.CIQ(G$3,$Z$1,$B$2,$A48,"L",,"USD","H")</f>
        <v>1016</v>
      </c>
      <c r="AF48" s="40" cm="1">
        <f t="array" ref="AF48">_xll.ciqfunctions.udf.CIQ(B$3,$Z$1,$H$2,$A48,"L",,"USD","H")</f>
        <v>9395</v>
      </c>
      <c r="AG48" s="40" cm="1">
        <f t="array" ref="AG48">_xll.ciqfunctions.udf.CIQ(C$3,$Z$1,$H$2,$A48,"L",,"USD","H")</f>
        <v>34300</v>
      </c>
      <c r="AH48" s="40" cm="1">
        <f t="array" ref="AH48">_xll.ciqfunctions.udf.CIQ(D$3,$Z$1,$H$2,$A48,"L",,"USD","H")</f>
        <v>20700</v>
      </c>
      <c r="AI48" s="40" cm="1">
        <f t="array" ref="AI48">_xll.ciqfunctions.udf.CIQ(E$3,$Z$1,$H$2,$A48,"L",,"USD","H")</f>
        <v>3051.0929999999998</v>
      </c>
      <c r="AJ48" s="40" cm="1">
        <f t="array" ref="AJ48">_xll.ciqfunctions.udf.CIQ(F$3,$Z$1,$H$2,$A48,"L",,"USD","H")</f>
        <v>9229</v>
      </c>
      <c r="AK48" s="40" cm="1">
        <f t="array" ref="AK48">_xll.ciqfunctions.udf.CIQ(G$3,$Z$1,$H$2,$A48,"L",,"USD","H")</f>
        <v>2222</v>
      </c>
      <c r="AL48" s="13" cm="1">
        <f t="array" ref="AL48">_xll.ciqfunctions.udf.CIQ(B$3,$AL$1,$AL$2,$A48,"L",,"USD","H")</f>
        <v>9.0321999999999996</v>
      </c>
      <c r="AM48" s="13" cm="1">
        <f t="array" ref="AM48">_xll.ciqfunctions.udf.CIQ(C$3,$AL$1,$AL$2,$A48,"L",,"USD","H")</f>
        <v>2.5411999999999999</v>
      </c>
      <c r="AN48" s="13" cm="1">
        <f t="array" ref="AN48">_xll.ciqfunctions.udf.CIQ(D$3,$AL$1,$AL$2,$A48,"L",,"USD","H")</f>
        <v>12.989800000000001</v>
      </c>
      <c r="AO48" s="13" cm="1">
        <f t="array" ref="AO48">_xll.ciqfunctions.udf.CIQ(E$3,$AL$1,$AL$2,$A48,"L",,"USD","H")</f>
        <v>138.62110000000001</v>
      </c>
      <c r="AP48" s="13" cm="1">
        <f t="array" ref="AP48">_xll.ciqfunctions.udf.CIQ(F$3,$AL$1,$AL$2,$A48,"L",,"USD","H")</f>
        <v>-63.185000000000002</v>
      </c>
      <c r="AQ48" s="13" cm="1">
        <f t="array" ref="AQ48">_xll.ciqfunctions.udf.CIQ(G$3,$AL$1,$AL$2,$A48,"L",,"USD","H")</f>
        <v>136.82980000000001</v>
      </c>
      <c r="AR48" s="41" cm="1">
        <f t="array" ref="AR48">_xll.ciqfunctions.udf.CIQ(B$3,$AL$1,$AR$2,$A48,"L",,"USD","H")</f>
        <v>16.059200000000001</v>
      </c>
      <c r="AS48" s="41" cm="1">
        <f t="array" ref="AS48">_xll.ciqfunctions.udf.CIQ(C$3,$AL$1,$AR$2,$A48,"L",,"USD","H")</f>
        <v>0.35099999999999998</v>
      </c>
      <c r="AT48" s="41" cm="1">
        <f t="array" ref="AT48">_xll.ciqfunctions.udf.CIQ(D$3,$AL$1,$AR$2,$A48,"L",,"USD","H")</f>
        <v>-12.7981</v>
      </c>
      <c r="AU48" s="41" cm="1">
        <f t="array" ref="AU48">_xll.ciqfunctions.udf.CIQ(E$3,$AL$1,$AR$2,$A48,"L",,"USD","H")</f>
        <v>174.39949999999999</v>
      </c>
      <c r="AV48" s="41" cm="1">
        <f t="array" ref="AV48">_xll.ciqfunctions.udf.CIQ(F$3,$AL$1,$AR$2,$A48,"L",,"USD","H")</f>
        <v>-61.380099999999999</v>
      </c>
      <c r="AW48" s="41" t="str" cm="1">
        <f t="array" ref="AW48">_xll.ciqfunctions.udf.CIQ(G$3,$AL$1,$AR$2,$A48,"L",,"USD","H")</f>
        <v>NM</v>
      </c>
      <c r="AX48" s="38" cm="1">
        <f t="array" ref="AX48">_xll.ciqfunctions.udf.CIQ(B$3,$AX$1,$AX$2,$A48,"L",,"USD","H")</f>
        <v>5073</v>
      </c>
      <c r="AY48" s="38" cm="1">
        <f t="array" ref="AY48">_xll.ciqfunctions.udf.CIQ(C$3,$AX$1,$AX$2,$A48,"L",,"USD","H")</f>
        <v>13936</v>
      </c>
      <c r="AZ48" s="38" cm="1">
        <f t="array" ref="AZ48">_xll.ciqfunctions.udf.CIQ(D$3,$AX$1,$AX$2,$A48,"L",,"USD","H")</f>
        <v>9951</v>
      </c>
      <c r="BA48" s="38" cm="1">
        <f t="array" ref="BA48">_xll.ciqfunctions.udf.CIQ(E$3,$AX$1,$AX$2,$A48,"L",,"USD","H")</f>
        <v>2821.3760000000002</v>
      </c>
      <c r="BB48" s="38" cm="1">
        <f t="array" ref="BB48">_xll.ciqfunctions.udf.CIQ(F$3,$AX$1,$AX$2,$A48,"L",,"USD","H")</f>
        <v>7665</v>
      </c>
      <c r="BC48" s="38" cm="1">
        <f t="array" ref="BC48">_xll.ciqfunctions.udf.CIQ(G$3,$AX$1,$AX$2,$A48,"L",,"USD","H")</f>
        <v>2638</v>
      </c>
      <c r="BD48" s="40" cm="1">
        <f t="array" ref="BD48">_xll.ciqfunctions.udf.CIQ(B$3,$AX$1,$BD$2,$A48,"L",,"USD","H")</f>
        <v>21714</v>
      </c>
      <c r="BE48" s="40" cm="1">
        <f t="array" ref="BE48">_xll.ciqfunctions.udf.CIQ(C$3,$AX$1,$BD$2,$A48,"L",,"USD","H")</f>
        <v>55521</v>
      </c>
      <c r="BF48" s="40" cm="1">
        <f t="array" ref="BF48">_xll.ciqfunctions.udf.CIQ(D$3,$AX$1,$BD$2,$A48,"L",,"USD","H")</f>
        <v>39834</v>
      </c>
      <c r="BG48" s="40">
        <f>_xll.ciqfunctions.udf.CIQ("COP", "IQ_PRICEDATE", "3/7/2025")</f>
        <v>45723</v>
      </c>
      <c r="BH48" s="40" cm="1">
        <f t="array" ref="BH48">_xll.ciqfunctions.udf.CIQ(F$3,$AX$1,$BD$2,$A48,"L",,"USD","H")</f>
        <v>31529</v>
      </c>
      <c r="BI48" s="40" cm="1">
        <f t="array" ref="BI48">_xll.ciqfunctions.udf.CIQ(G$3,$AX$1,$BD$2,$A48,"L",,"USD","H")</f>
        <v>7060</v>
      </c>
      <c r="BJ48" s="43">
        <f t="shared" si="1"/>
        <v>-6.5917878843675171E-2</v>
      </c>
      <c r="BK48" s="43">
        <f t="shared" si="2"/>
        <v>-4.193592740272245E-2</v>
      </c>
      <c r="BL48" s="43">
        <f t="shared" si="3"/>
        <v>-6.078338839075037E-2</v>
      </c>
      <c r="BM48" s="43">
        <f t="shared" si="4"/>
        <v>0.58834162865231887</v>
      </c>
      <c r="BN48" s="43">
        <f t="shared" si="5"/>
        <v>-8.8693377719652799E-2</v>
      </c>
      <c r="BO48" s="43">
        <f t="shared" si="6"/>
        <v>0.78847457627118644</v>
      </c>
      <c r="BP48" s="42">
        <f t="shared" si="7"/>
        <v>-2.8325949791918381E-2</v>
      </c>
      <c r="BQ48" s="42">
        <f t="shared" si="8"/>
        <v>-7.0995917274613518E-2</v>
      </c>
      <c r="BR48" s="42">
        <f t="shared" si="9"/>
        <v>-7.3498627715495202E-2</v>
      </c>
      <c r="BS48" s="42">
        <f t="shared" si="10"/>
        <v>6.1275850749531457E-4</v>
      </c>
      <c r="BT48" s="42">
        <f t="shared" si="11"/>
        <v>-0.13061820989356421</v>
      </c>
      <c r="BU48" s="42">
        <f t="shared" si="12"/>
        <v>0.28667760160379085</v>
      </c>
      <c r="BV48" s="68" cm="1">
        <f t="array" ref="BV48">_xll.ciqfunctions.udf.CIQ(B$3,$BV$1,$BV$2,$A48,"L",,"USD","H")/100</f>
        <v>9.3488000000000002E-2</v>
      </c>
      <c r="BW48" s="68" cm="1">
        <f t="array" ref="BW48">_xll.ciqfunctions.udf.CIQ(C$3,$BV$1,$BV$2,$A48,"L",,"USD","H")/100</f>
        <v>9.7780000000000006E-2</v>
      </c>
      <c r="BX48" s="68" cm="1">
        <f t="array" ref="BX48">_xll.ciqfunctions.udf.CIQ(D$3,$BV$1,$BV$2,$A48,"L",,"USD","H")/100</f>
        <v>7.9287999999999997E-2</v>
      </c>
      <c r="BY48" s="68" cm="1">
        <f t="array" ref="BY48">_xll.ciqfunctions.udf.CIQ(E$3,$BV$1,$BV$2,$A48,"L",,"USD","H")/100</f>
        <v>0.179144</v>
      </c>
      <c r="BZ48" s="68" cm="1">
        <f t="array" ref="BZ48">_xll.ciqfunctions.udf.CIQ(F$3,$BV$1,$BV$2,$A48,"L",,"USD","H")/100</f>
        <v>3.6680000000000003E-3</v>
      </c>
      <c r="CA48" s="68" cm="1">
        <f t="array" ref="CA48">_xll.ciqfunctions.udf.CIQ(G$3,$BV$1,$BV$2,$A48,"L",,"USD","H")/100</f>
        <v>9.5047999999999994E-2</v>
      </c>
      <c r="CB48" s="68" cm="1">
        <f t="array" ref="CB48">_xll.ciqfunctions.udf.CIQ(B$3,$BV$1,$CB$2,$A48,"L",,"USD","H")/100</f>
        <v>7.7408000000000005E-2</v>
      </c>
      <c r="CC48" s="68" cm="1">
        <f t="array" ref="CC48">_xll.ciqfunctions.udf.CIQ(C$3,$BV$1,$CB$2,$A48,"L",,"USD","H")/100</f>
        <v>0.11280900000000001</v>
      </c>
      <c r="CD48" s="68" cm="1">
        <f t="array" ref="CD48">_xll.ciqfunctions.udf.CIQ(D$3,$BV$1,$CB$2,$A48,"L",,"USD","H")/100</f>
        <v>7.4040999999999996E-2</v>
      </c>
      <c r="CE48" s="68" cm="1">
        <f t="array" ref="CE48">_xll.ciqfunctions.udf.CIQ(E$3,$BV$1,$CB$2,$A48,"L",,"USD","H")/100</f>
        <v>0.12551600000000002</v>
      </c>
      <c r="CF48" s="68" cm="1">
        <f t="array" ref="CF48">_xll.ciqfunctions.udf.CIQ(F$3,$BV$1,$CB$2,$A48,"L",,"USD","H")/100</f>
        <v>2.1732000000000001E-2</v>
      </c>
      <c r="CG48" s="68" cm="1">
        <f t="array" ref="CG48">_xll.ciqfunctions.udf.CIQ(G$3,$BV$1,$CB$2,$A48,"L",,"USD","H")/100</f>
        <v>5.3099E-2</v>
      </c>
    </row>
    <row r="49" spans="1:85" x14ac:dyDescent="0.45">
      <c r="A49" s="3">
        <f t="shared" si="13"/>
        <v>41820</v>
      </c>
      <c r="B49" s="14" cm="1">
        <f t="array" ref="B49">_xll.ciqfunctions.udf.CIQ(B$3,$B$1,$B$2,$A49,"L",,"USD","H")</f>
        <v>14694</v>
      </c>
      <c r="C49" s="38" cm="1">
        <f t="array" ref="C49">_xll.ciqfunctions.udf.CIQ(C$3,$B$1,$B$2,$A49,"L",,"USD","H")</f>
        <v>97848</v>
      </c>
      <c r="D49" s="38" cm="1">
        <f t="array" ref="D49">_xll.ciqfunctions.udf.CIQ(D$3,$B$1,$B$2,$A49,"L",,"USD","H")</f>
        <v>53463</v>
      </c>
      <c r="E49" s="38" cm="1">
        <f t="array" ref="E49">_xll.ciqfunctions.udf.CIQ(E$3,$B$1,$B$2,$A49,"L",,"USD","H")</f>
        <v>4412.97</v>
      </c>
      <c r="F49" s="38" cm="1">
        <f t="array" ref="F49">_xll.ciqfunctions.udf.CIQ(F$3,$B$1,$B$2,$A49,"L",,"USD","H")</f>
        <v>93957</v>
      </c>
      <c r="G49" s="38" cm="1">
        <f t="array" ref="G49">_xll.ciqfunctions.udf.CIQ(G$3,$B$1,$B$2,$A49,"L",,"USD","H")</f>
        <v>4909</v>
      </c>
      <c r="H49" s="40" cm="1">
        <f t="array" ref="H49">_xll.ciqfunctions.udf.CIQ(B$3,$B$1,$H$2,$A49,"L",,"USD","H")</f>
        <v>58836</v>
      </c>
      <c r="I49" s="40" cm="1">
        <f t="array" ref="I49">_xll.ciqfunctions.udf.CIQ(C$3,$B$1,$H$2,$A49,"L",,"USD","H")</f>
        <v>390607</v>
      </c>
      <c r="J49" s="40" cm="1">
        <f t="array" ref="J49">_xll.ciqfunctions.udf.CIQ(D$3,$B$1,$H$2,$A49,"L",,"USD","H")</f>
        <v>208697</v>
      </c>
      <c r="K49" s="40" cm="1">
        <f t="array" ref="K49">_xll.ciqfunctions.udf.CIQ(E$3,$B$1,$H$2,$A49,"L",,"USD","H")</f>
        <v>16164.002</v>
      </c>
      <c r="L49" s="40" cm="1">
        <f t="array" ref="L49">_xll.ciqfunctions.udf.CIQ(F$3,$B$1,$H$2,$A49,"L",,"USD","H")</f>
        <v>375985</v>
      </c>
      <c r="M49" s="40" cm="1">
        <f t="array" ref="M49">_xll.ciqfunctions.udf.CIQ(G$3,$B$1,$H$2,$A49,"L",,"USD","H")</f>
        <v>14529</v>
      </c>
      <c r="N49" s="13" cm="1">
        <f t="array" ref="N49">_xll.ciqfunctions.udf.CIQ(B$3,$N$1,$B$2,$A49,"L",,"USD","H")</f>
        <v>4.6059000000000001</v>
      </c>
      <c r="O49" s="13" cm="1">
        <f t="array" ref="O49">_xll.ciqfunctions.udf.CIQ(C$3,$N$1,$B$2,$A49,"L",,"USD","H")</f>
        <v>2.4607000000000001</v>
      </c>
      <c r="P49" s="13" cm="1">
        <f t="array" ref="P49">_xll.ciqfunctions.udf.CIQ(D$3,$N$1,$B$2,$A49,"L",,"USD","H")</f>
        <v>0.49619999999999997</v>
      </c>
      <c r="Q49" s="13" cm="1">
        <f t="array" ref="Q49">_xll.ciqfunctions.udf.CIQ(E$3,$N$1,$B$2,$A49,"L",,"USD","H")</f>
        <v>21.3841</v>
      </c>
      <c r="R49" s="13" cm="1">
        <f t="array" ref="R49">_xll.ciqfunctions.udf.CIQ(F$3,$N$1,$B$2,$A49,"L",,"USD","H")</f>
        <v>-0.79620000000000002</v>
      </c>
      <c r="S49" s="13" cm="1">
        <f t="array" ref="S49">_xll.ciqfunctions.udf.CIQ(G$3,$N$1,$B$2,$A49,"L",,"USD","H")</f>
        <v>80.345299999999995</v>
      </c>
      <c r="T49" s="94">
        <v>45737</v>
      </c>
      <c r="U49" s="41" cm="1">
        <f t="array" ref="U49">_xll.ciqfunctions.udf.CIQ(O$3,$N$1,$T$2,$A49,"L",,"USD","H")</f>
        <v>-1.2734000000000001</v>
      </c>
      <c r="V49" s="41" cm="1">
        <f t="array" ref="V49">_xll.ciqfunctions.udf.CIQ(P$3,$N$1,$T$2,$A49,"L",,"USD","H")</f>
        <v>-2.0575000000000001</v>
      </c>
      <c r="W49" s="41" cm="1">
        <f t="array" ref="W49">_xll.ciqfunctions.udf.CIQ(Q$3,$N$1,$T$2,$A49,"L",,"USD","H")</f>
        <v>26.1191</v>
      </c>
      <c r="X49" s="41" cm="1">
        <f t="array" ref="X49">_xll.ciqfunctions.udf.CIQ(R$3,$N$1,$T$2,$A49,"L",,"USD","H")</f>
        <v>-2.7400000000000001E-2</v>
      </c>
      <c r="Y49" s="41" cm="1">
        <f t="array" ref="Y49">_xll.ciqfunctions.udf.CIQ(S$3,$N$1,$T$2,$A49,"L",,"USD","H")</f>
        <v>50.108400000000003</v>
      </c>
      <c r="Z49" s="38" cm="1">
        <f t="array" ref="Z49">_xll.ciqfunctions.udf.CIQ(B$3,$Z$1,$B$2,$A49,"L",,"USD","H")</f>
        <v>2081</v>
      </c>
      <c r="AA49" s="38" cm="1">
        <f t="array" ref="AA49">_xll.ciqfunctions.udf.CIQ(C$3,$Z$1,$B$2,$A49,"L",,"USD","H")</f>
        <v>8780</v>
      </c>
      <c r="AB49" s="38" cm="1">
        <f t="array" ref="AB49">_xll.ciqfunctions.udf.CIQ(D$3,$Z$1,$B$2,$A49,"L",,"USD","H")</f>
        <v>5665</v>
      </c>
      <c r="AC49" s="38" cm="1">
        <f t="array" ref="AC49">_xll.ciqfunctions.udf.CIQ(E$3,$Z$1,$B$2,$A49,"L",,"USD","H")</f>
        <v>706.35299999999995</v>
      </c>
      <c r="AD49" s="38" cm="1">
        <f t="array" ref="AD49">_xll.ciqfunctions.udf.CIQ(F$3,$Z$1,$B$2,$A49,"L",,"USD","H")</f>
        <v>3369</v>
      </c>
      <c r="AE49" s="38" cm="1">
        <f t="array" ref="AE49">_xll.ciqfunctions.udf.CIQ(G$3,$Z$1,$B$2,$A49,"L",,"USD","H")</f>
        <v>675</v>
      </c>
      <c r="AF49" s="40" cm="1">
        <f t="array" ref="AF49">_xll.ciqfunctions.udf.CIQ(B$3,$Z$1,$H$2,$A49,"L",,"USD","H")</f>
        <v>9171</v>
      </c>
      <c r="AG49" s="40" cm="1">
        <f t="array" ref="AG49">_xll.ciqfunctions.udf.CIQ(C$3,$Z$1,$H$2,$A49,"L",,"USD","H")</f>
        <v>34100</v>
      </c>
      <c r="AH49" s="40" cm="1">
        <f t="array" ref="AH49">_xll.ciqfunctions.udf.CIQ(D$3,$Z$1,$H$2,$A49,"L",,"USD","H")</f>
        <v>20057</v>
      </c>
      <c r="AI49" s="40" cm="1">
        <f t="array" ref="AI49">_xll.ciqfunctions.udf.CIQ(E$3,$Z$1,$H$2,$A49,"L",,"USD","H")</f>
        <v>2409.973</v>
      </c>
      <c r="AJ49" s="40" cm="1">
        <f t="array" ref="AJ49">_xll.ciqfunctions.udf.CIQ(F$3,$Z$1,$H$2,$A49,"L",,"USD","H")</f>
        <v>11443</v>
      </c>
      <c r="AK49" s="40" cm="1">
        <f t="array" ref="AK49">_xll.ciqfunctions.udf.CIQ(G$3,$Z$1,$H$2,$A49,"L",,"USD","H")</f>
        <v>1635</v>
      </c>
      <c r="AL49" s="13" cm="1">
        <f t="array" ref="AL49">_xll.ciqfunctions.udf.CIQ(B$3,$AL$1,$AL$2,$A49,"L",,"USD","H")</f>
        <v>1.5121</v>
      </c>
      <c r="AM49" s="13" cm="1">
        <f t="array" ref="AM49">_xll.ciqfunctions.udf.CIQ(C$3,$AL$1,$AL$2,$A49,"L",,"USD","H")</f>
        <v>27.988299999999999</v>
      </c>
      <c r="AN49" s="13" cm="1">
        <f t="array" ref="AN49">_xll.ciqfunctions.udf.CIQ(D$3,$AL$1,$AL$2,$A49,"L",,"USD","H")</f>
        <v>5.5917000000000003</v>
      </c>
      <c r="AO49" s="13" cm="1">
        <f t="array" ref="AO49">_xll.ciqfunctions.udf.CIQ(E$3,$AL$1,$AL$2,$A49,"L",,"USD","H")</f>
        <v>7.0731000000000002</v>
      </c>
      <c r="AP49" s="13" cm="1">
        <f t="array" ref="AP49">_xll.ciqfunctions.udf.CIQ(F$3,$AL$1,$AL$2,$A49,"L",,"USD","H")</f>
        <v>64.985299999999995</v>
      </c>
      <c r="AQ49" s="13" cm="1">
        <f t="array" ref="AQ49">_xll.ciqfunctions.udf.CIQ(G$3,$AL$1,$AL$2,$A49,"L",,"USD","H")</f>
        <v>-1.1714</v>
      </c>
      <c r="AR49" s="41" cm="1">
        <f t="array" ref="AR49">_xll.ciqfunctions.udf.CIQ(B$3,$AL$1,$AR$2,$A49,"L",,"USD","H")</f>
        <v>23.715</v>
      </c>
      <c r="AS49" s="41" cm="1">
        <f t="array" ref="AS49">_xll.ciqfunctions.udf.CIQ(C$3,$AL$1,$AR$2,$A49,"L",,"USD","H")</f>
        <v>-4.9610000000000003</v>
      </c>
      <c r="AT49" s="41" cm="1">
        <f t="array" ref="AT49">_xll.ciqfunctions.udf.CIQ(D$3,$AL$1,$AR$2,$A49,"L",,"USD","H")</f>
        <v>-16.5717</v>
      </c>
      <c r="AU49" s="41" cm="1">
        <f t="array" ref="AU49">_xll.ciqfunctions.udf.CIQ(E$3,$AL$1,$AR$2,$A49,"L",,"USD","H")</f>
        <v>139.82</v>
      </c>
      <c r="AV49" s="41" cm="1">
        <f t="array" ref="AV49">_xll.ciqfunctions.udf.CIQ(F$3,$AL$1,$AR$2,$A49,"L",,"USD","H")</f>
        <v>-55.429699999999997</v>
      </c>
      <c r="AW49" s="41" t="str" cm="1">
        <f t="array" ref="AW49">_xll.ciqfunctions.udf.CIQ(G$3,$AL$1,$AR$2,$A49,"L",,"USD","H")</f>
        <v>NM</v>
      </c>
      <c r="AX49" s="38" cm="1">
        <f t="array" ref="AX49">_xll.ciqfunctions.udf.CIQ(B$3,$AX$1,$AX$2,$A49,"L",,"USD","H")</f>
        <v>5891</v>
      </c>
      <c r="AY49" s="38" cm="1">
        <f t="array" ref="AY49">_xll.ciqfunctions.udf.CIQ(C$3,$AX$1,$AX$2,$A49,"L",,"USD","H")</f>
        <v>13011</v>
      </c>
      <c r="AZ49" s="38" cm="1">
        <f t="array" ref="AZ49">_xll.ciqfunctions.udf.CIQ(D$3,$AX$1,$AX$2,$A49,"L",,"USD","H")</f>
        <v>10514</v>
      </c>
      <c r="BA49" s="38" cm="1">
        <f t="array" ref="BA49">_xll.ciqfunctions.udf.CIQ(E$3,$AX$1,$AX$2,$A49,"L",,"USD","H")</f>
        <v>2176.511</v>
      </c>
      <c r="BB49" s="38" cm="1">
        <f t="array" ref="BB49">_xll.ciqfunctions.udf.CIQ(F$3,$AX$1,$AX$2,$A49,"L",,"USD","H")</f>
        <v>8532</v>
      </c>
      <c r="BC49" s="38" cm="1">
        <f t="array" ref="BC49">_xll.ciqfunctions.udf.CIQ(G$3,$AX$1,$AX$2,$A49,"L",,"USD","H")</f>
        <v>1571</v>
      </c>
      <c r="BD49" s="40" cm="1">
        <f t="array" ref="BD49">_xll.ciqfunctions.udf.CIQ(B$3,$AX$1,$BD$2,$A49,"L",,"USD","H")</f>
        <v>22072</v>
      </c>
      <c r="BE49" s="40" cm="1">
        <f t="array" ref="BE49">_xll.ciqfunctions.udf.CIQ(C$3,$AX$1,$BD$2,$A49,"L",,"USD","H")</f>
        <v>56131</v>
      </c>
      <c r="BF49" s="40" cm="1">
        <f t="array" ref="BF49">_xll.ciqfunctions.udf.CIQ(D$3,$AX$1,$BD$2,$A49,"L",,"USD","H")</f>
        <v>40478</v>
      </c>
      <c r="BG49" s="40">
        <f>_xll.ciqfunctions.udf.CIQ("COP", "IQ_PRICEDATE", "2/28/2025")</f>
        <v>45716</v>
      </c>
      <c r="BH49" s="40" cm="1">
        <f t="array" ref="BH49">_xll.ciqfunctions.udf.CIQ(F$3,$AX$1,$BD$2,$A49,"L",,"USD","H")</f>
        <v>32275</v>
      </c>
      <c r="BI49" s="40" cm="1">
        <f t="array" ref="BI49">_xll.ciqfunctions.udf.CIQ(G$3,$AX$1,$BD$2,$A49,"L",,"USD","H")</f>
        <v>5897</v>
      </c>
      <c r="BJ49" s="43">
        <f t="shared" si="1"/>
        <v>3.8793863516134675E-2</v>
      </c>
      <c r="BK49" s="43">
        <f t="shared" si="2"/>
        <v>-4.6254214924497883E-2</v>
      </c>
      <c r="BL49" s="43">
        <f t="shared" si="3"/>
        <v>5.8491895701197949E-2</v>
      </c>
      <c r="BM49" s="43">
        <f t="shared" si="4"/>
        <v>7.3553718600623874E-2</v>
      </c>
      <c r="BN49" s="43">
        <f t="shared" si="5"/>
        <v>0.11719261490113908</v>
      </c>
      <c r="BO49" s="43">
        <f t="shared" si="6"/>
        <v>-0.15172786177105835</v>
      </c>
      <c r="BP49" s="42">
        <f t="shared" si="7"/>
        <v>-8.8908845981140461E-3</v>
      </c>
      <c r="BQ49" s="42">
        <f t="shared" si="8"/>
        <v>-0.10164527383886557</v>
      </c>
      <c r="BR49" s="42">
        <f t="shared" si="9"/>
        <v>-6.5691071923183464E-2</v>
      </c>
      <c r="BS49" s="42">
        <f t="shared" si="10"/>
        <v>6.128523901243188E-4</v>
      </c>
      <c r="BT49" s="42">
        <f t="shared" si="11"/>
        <v>-0.14280781897375971</v>
      </c>
      <c r="BU49" s="42">
        <f t="shared" si="12"/>
        <v>0.22293654085441728</v>
      </c>
      <c r="BV49" s="68" cm="1">
        <f t="array" ref="BV49">_xll.ciqfunctions.udf.CIQ(B$3,$BV$1,$BV$2,$A49,"L",,"USD","H")/100</f>
        <v>6.4579999999999999E-2</v>
      </c>
      <c r="BW49" s="68" cm="1">
        <f t="array" ref="BW49">_xll.ciqfunctions.udf.CIQ(C$3,$BV$1,$BV$2,$A49,"L",,"USD","H")/100</f>
        <v>0.112304</v>
      </c>
      <c r="BX49" s="68" cm="1">
        <f t="array" ref="BX49">_xll.ciqfunctions.udf.CIQ(D$3,$BV$1,$BV$2,$A49,"L",,"USD","H")/100</f>
        <v>8.2588000000000009E-2</v>
      </c>
      <c r="BY49" s="68" cm="1">
        <f t="array" ref="BY49">_xll.ciqfunctions.udf.CIQ(E$3,$BV$1,$BV$2,$A49,"L",,"USD","H")/100</f>
        <v>0.11462</v>
      </c>
      <c r="BZ49" s="68" cm="1">
        <f t="array" ref="BZ49">_xll.ciqfunctions.udf.CIQ(F$3,$BV$1,$BV$2,$A49,"L",,"USD","H")/100</f>
        <v>3.8924E-2</v>
      </c>
      <c r="CA49" s="68" cm="1">
        <f t="array" ref="CA49">_xll.ciqfunctions.udf.CIQ(G$3,$BV$1,$BV$2,$A49,"L",,"USD","H")/100</f>
        <v>5.8348000000000004E-2</v>
      </c>
      <c r="CB49" s="68" cm="1">
        <f t="array" ref="CB49">_xll.ciqfunctions.udf.CIQ(B$3,$BV$1,$CB$2,$A49,"L",,"USD","H")/100</f>
        <v>7.633899999999999E-2</v>
      </c>
      <c r="CC49" s="68" cm="1">
        <f t="array" ref="CC49">_xll.ciqfunctions.udf.CIQ(C$3,$BV$1,$CB$2,$A49,"L",,"USD","H")/100</f>
        <v>0.11416900000000001</v>
      </c>
      <c r="CD49" s="68" cm="1">
        <f t="array" ref="CD49">_xll.ciqfunctions.udf.CIQ(D$3,$BV$1,$CB$2,$A49,"L",,"USD","H")/100</f>
        <v>7.1985999999999994E-2</v>
      </c>
      <c r="CE49" s="68" cm="1">
        <f t="array" ref="CE49">_xll.ciqfunctions.udf.CIQ(E$3,$BV$1,$CB$2,$A49,"L",,"USD","H")/100</f>
        <v>0.101026</v>
      </c>
      <c r="CF49" s="68" cm="1">
        <f t="array" ref="CF49">_xll.ciqfunctions.udf.CIQ(F$3,$BV$1,$CB$2,$A49,"L",,"USD","H")/100</f>
        <v>3.3182999999999997E-2</v>
      </c>
      <c r="CG49" s="68" cm="1">
        <f t="array" ref="CG49">_xll.ciqfunctions.udf.CIQ(G$3,$BV$1,$CB$2,$A49,"L",,"USD","H")/100</f>
        <v>3.6950999999999998E-2</v>
      </c>
    </row>
    <row r="50" spans="1:85" x14ac:dyDescent="0.45">
      <c r="A50" s="3">
        <f t="shared" si="13"/>
        <v>41729</v>
      </c>
      <c r="B50" s="14" cm="1">
        <f t="array" ref="B50">_xll.ciqfunctions.udf.CIQ(B$3,$B$1,$B$2,$A50,"L",,"USD","H")</f>
        <v>16039</v>
      </c>
      <c r="C50" s="38" cm="1">
        <f t="array" ref="C50">_xll.ciqfunctions.udf.CIQ(C$3,$B$1,$B$2,$A50,"L",,"USD","H")</f>
        <v>93896</v>
      </c>
      <c r="D50" s="38" cm="1">
        <f t="array" ref="D50">_xll.ciqfunctions.udf.CIQ(D$3,$B$1,$B$2,$A50,"L",,"USD","H")</f>
        <v>49032</v>
      </c>
      <c r="E50" s="38" cm="1">
        <f t="array" ref="E50">_xll.ciqfunctions.udf.CIQ(E$3,$B$1,$B$2,$A50,"L",,"USD","H")</f>
        <v>4227.9089999999997</v>
      </c>
      <c r="F50" s="38" cm="1">
        <f t="array" ref="F50">_xll.ciqfunctions.udf.CIQ(F$3,$B$1,$B$2,$A50,"L",,"USD","H")</f>
        <v>91710</v>
      </c>
      <c r="G50" s="38" cm="1">
        <f t="array" ref="G50">_xll.ciqfunctions.udf.CIQ(G$3,$B$1,$B$2,$A50,"L",,"USD","H")</f>
        <v>4045</v>
      </c>
      <c r="H50" s="40" cm="1">
        <f t="array" ref="H50">_xll.ciqfunctions.udf.CIQ(B$3,$B$1,$H$2,$A50,"L",,"USD","H")</f>
        <v>58189</v>
      </c>
      <c r="I50" s="40" cm="1">
        <f t="array" ref="I50">_xll.ciqfunctions.udf.CIQ(C$3,$B$1,$H$2,$A50,"L",,"USD","H")</f>
        <v>388257</v>
      </c>
      <c r="J50" s="40" cm="1">
        <f t="array" ref="J50">_xll.ciqfunctions.udf.CIQ(D$3,$B$1,$H$2,$A50,"L",,"USD","H")</f>
        <v>208433</v>
      </c>
      <c r="K50" s="40" cm="1">
        <f t="array" ref="K50">_xll.ciqfunctions.udf.CIQ(E$3,$B$1,$H$2,$A50,"L",,"USD","H")</f>
        <v>15386.574000000001</v>
      </c>
      <c r="L50" s="40" cm="1">
        <f t="array" ref="L50">_xll.ciqfunctions.udf.CIQ(F$3,$B$1,$H$2,$A50,"L",,"USD","H")</f>
        <v>376739</v>
      </c>
      <c r="M50" s="40" cm="1">
        <f t="array" ref="M50">_xll.ciqfunctions.udf.CIQ(G$3,$B$1,$H$2,$A50,"L",,"USD","H")</f>
        <v>12342</v>
      </c>
      <c r="N50" s="13" cm="1">
        <f t="array" ref="N50">_xll.ciqfunctions.udf.CIQ(B$3,$N$1,$B$2,$A50,"L",,"USD","H")</f>
        <v>9.9087999999999994</v>
      </c>
      <c r="O50" s="13" cm="1">
        <f t="array" ref="O50">_xll.ciqfunctions.udf.CIQ(C$3,$N$1,$B$2,$A50,"L",,"USD","H")</f>
        <v>-2.0754000000000001</v>
      </c>
      <c r="P50" s="13" cm="1">
        <f t="array" ref="P50">_xll.ciqfunctions.udf.CIQ(D$3,$N$1,$B$2,$A50,"L",,"USD","H")</f>
        <v>-6.1821999999999999</v>
      </c>
      <c r="Q50" s="13" cm="1">
        <f t="array" ref="Q50">_xll.ciqfunctions.udf.CIQ(E$3,$N$1,$B$2,$A50,"L",,"USD","H")</f>
        <v>28.2258</v>
      </c>
      <c r="R50" s="13" cm="1">
        <f t="array" ref="R50">_xll.ciqfunctions.udf.CIQ(F$3,$N$1,$B$2,$A50,"L",,"USD","H")</f>
        <v>-2.5472000000000001</v>
      </c>
      <c r="S50" s="13" cm="1">
        <f t="array" ref="S50">_xll.ciqfunctions.udf.CIQ(G$3,$N$1,$B$2,$A50,"L",,"USD","H")</f>
        <v>76.560400000000001</v>
      </c>
      <c r="T50" s="94">
        <v>45730</v>
      </c>
      <c r="U50" s="41" cm="1">
        <f t="array" ref="U50">_xll.ciqfunctions.udf.CIQ(O$3,$N$1,$T$2,$A50,"L",,"USD","H")</f>
        <v>-3.9658000000000002</v>
      </c>
      <c r="V50" s="41" cm="1">
        <f t="array" ref="V50">_xll.ciqfunctions.udf.CIQ(P$3,$N$1,$T$2,$A50,"L",,"USD","H")</f>
        <v>-4.2713000000000001</v>
      </c>
      <c r="W50" s="41" cm="1">
        <f t="array" ref="W50">_xll.ciqfunctions.udf.CIQ(Q$3,$N$1,$T$2,$A50,"L",,"USD","H")</f>
        <v>30.521899999999999</v>
      </c>
      <c r="X50" s="41" cm="1">
        <f t="array" ref="X50">_xll.ciqfunctions.udf.CIQ(R$3,$N$1,$T$2,$A50,"L",,"USD","H")</f>
        <v>0.1028</v>
      </c>
      <c r="Y50" s="41" cm="1">
        <f t="array" ref="Y50">_xll.ciqfunctions.udf.CIQ(S$3,$N$1,$T$2,$A50,"L",,"USD","H")</f>
        <v>40.25</v>
      </c>
      <c r="Z50" s="38" cm="1">
        <f t="array" ref="Z50">_xll.ciqfunctions.udf.CIQ(B$3,$Z$1,$B$2,$A50,"L",,"USD","H")</f>
        <v>2123</v>
      </c>
      <c r="AA50" s="38" cm="1">
        <f t="array" ref="AA50">_xll.ciqfunctions.udf.CIQ(C$3,$Z$1,$B$2,$A50,"L",,"USD","H")</f>
        <v>9100</v>
      </c>
      <c r="AB50" s="38" cm="1">
        <f t="array" ref="AB50">_xll.ciqfunctions.udf.CIQ(D$3,$Z$1,$B$2,$A50,"L",,"USD","H")</f>
        <v>4512</v>
      </c>
      <c r="AC50" s="38" cm="1">
        <f t="array" ref="AC50">_xll.ciqfunctions.udf.CIQ(E$3,$Z$1,$B$2,$A50,"L",,"USD","H")</f>
        <v>660.928</v>
      </c>
      <c r="AD50" s="38" cm="1">
        <f t="array" ref="AD50">_xll.ciqfunctions.udf.CIQ(F$3,$Z$1,$B$2,$A50,"L",,"USD","H")</f>
        <v>3528</v>
      </c>
      <c r="AE50" s="38" cm="1">
        <f t="array" ref="AE50">_xll.ciqfunctions.udf.CIQ(G$3,$Z$1,$B$2,$A50,"L",,"USD","H")</f>
        <v>324</v>
      </c>
      <c r="AF50" s="40" cm="1">
        <f t="array" ref="AF50">_xll.ciqfunctions.udf.CIQ(B$3,$Z$1,$H$2,$A50,"L",,"USD","H")</f>
        <v>9140</v>
      </c>
      <c r="AG50" s="40" cm="1">
        <f t="array" ref="AG50">_xll.ciqfunctions.udf.CIQ(C$3,$Z$1,$H$2,$A50,"L",,"USD","H")</f>
        <v>32180</v>
      </c>
      <c r="AH50" s="40" cm="1">
        <f t="array" ref="AH50">_xll.ciqfunctions.udf.CIQ(D$3,$Z$1,$H$2,$A50,"L",,"USD","H")</f>
        <v>19757</v>
      </c>
      <c r="AI50" s="40" cm="1">
        <f t="array" ref="AI50">_xll.ciqfunctions.udf.CIQ(E$3,$Z$1,$H$2,$A50,"L",,"USD","H")</f>
        <v>2363.3119999999999</v>
      </c>
      <c r="AJ50" s="40" cm="1">
        <f t="array" ref="AJ50">_xll.ciqfunctions.udf.CIQ(F$3,$Z$1,$H$2,$A50,"L",,"USD","H")</f>
        <v>10116</v>
      </c>
      <c r="AK50" s="40" cm="1">
        <f t="array" ref="AK50">_xll.ciqfunctions.udf.CIQ(G$3,$Z$1,$H$2,$A50,"L",,"USD","H")</f>
        <v>1643</v>
      </c>
      <c r="AL50" s="13" cm="1">
        <f t="array" ref="AL50">_xll.ciqfunctions.udf.CIQ(B$3,$AL$1,$AL$2,$A50,"L",,"USD","H")</f>
        <v>-0.74809999999999999</v>
      </c>
      <c r="AM50" s="13" cm="1">
        <f t="array" ref="AM50">_xll.ciqfunctions.udf.CIQ(C$3,$AL$1,$AL$2,$A50,"L",,"USD","H")</f>
        <v>-4.2106000000000003</v>
      </c>
      <c r="AN50" s="13" cm="1">
        <f t="array" ref="AN50">_xll.ciqfunctions.udf.CIQ(D$3,$AL$1,$AL$2,$A50,"L",,"USD","H")</f>
        <v>-26.966699999999999</v>
      </c>
      <c r="AO50" s="13" cm="1">
        <f t="array" ref="AO50">_xll.ciqfunctions.udf.CIQ(E$3,$AL$1,$AL$2,$A50,"L",,"USD","H")</f>
        <v>33.594999999999999</v>
      </c>
      <c r="AP50" s="13" cm="1">
        <f t="array" ref="AP50">_xll.ciqfunctions.udf.CIQ(F$3,$AL$1,$AL$2,$A50,"L",,"USD","H")</f>
        <v>-79.078500000000005</v>
      </c>
      <c r="AQ50" s="13" t="str" cm="1">
        <f t="array" ref="AQ50">_xll.ciqfunctions.udf.CIQ(G$3,$AL$1,$AL$2,$A50,"L",,"USD","H")</f>
        <v>NM</v>
      </c>
      <c r="AR50" s="41" cm="1">
        <f t="array" ref="AR50">_xll.ciqfunctions.udf.CIQ(B$3,$AL$1,$AR$2,$A50,"L",,"USD","H")</f>
        <v>19.790299999999998</v>
      </c>
      <c r="AS50" s="41" cm="1">
        <f t="array" ref="AS50">_xll.ciqfunctions.udf.CIQ(C$3,$AL$1,$AR$2,$A50,"L",,"USD","H")</f>
        <v>-28.377500000000001</v>
      </c>
      <c r="AT50" s="41" cm="1">
        <f t="array" ref="AT50">_xll.ciqfunctions.udf.CIQ(D$3,$AL$1,$AR$2,$A50,"L",,"USD","H")</f>
        <v>-23.6769</v>
      </c>
      <c r="AU50" s="41" cm="1">
        <f t="array" ref="AU50">_xll.ciqfunctions.udf.CIQ(E$3,$AL$1,$AR$2,$A50,"L",,"USD","H")</f>
        <v>218.9376</v>
      </c>
      <c r="AV50" s="41" cm="1">
        <f t="array" ref="AV50">_xll.ciqfunctions.udf.CIQ(F$3,$AL$1,$AR$2,$A50,"L",,"USD","H")</f>
        <v>-54.2532</v>
      </c>
      <c r="AW50" s="41" t="str" cm="1">
        <f t="array" ref="AW50">_xll.ciqfunctions.udf.CIQ(G$3,$AL$1,$AR$2,$A50,"L",,"USD","H")</f>
        <v>NM</v>
      </c>
      <c r="AX50" s="38" cm="1">
        <f t="array" ref="AX50">_xll.ciqfunctions.udf.CIQ(B$3,$AX$1,$AX$2,$A50,"L",,"USD","H")</f>
        <v>5817</v>
      </c>
      <c r="AY50" s="38" cm="1">
        <f t="array" ref="AY50">_xll.ciqfunctions.udf.CIQ(C$3,$AX$1,$AX$2,$A50,"L",,"USD","H")</f>
        <v>14472</v>
      </c>
      <c r="AZ50" s="38" cm="1">
        <f t="array" ref="AZ50">_xll.ciqfunctions.udf.CIQ(D$3,$AX$1,$AX$2,$A50,"L",,"USD","H")</f>
        <v>9748</v>
      </c>
      <c r="BA50" s="38" cm="1">
        <f t="array" ref="BA50">_xll.ciqfunctions.udf.CIQ(E$3,$AX$1,$AX$2,$A50,"L",,"USD","H")</f>
        <v>2132.6329999999998</v>
      </c>
      <c r="BB50" s="38" cm="1">
        <f t="array" ref="BB50">_xll.ciqfunctions.udf.CIQ(F$3,$AX$1,$AX$2,$A50,"L",,"USD","H")</f>
        <v>9156</v>
      </c>
      <c r="BC50" s="38" cm="1">
        <f t="array" ref="BC50">_xll.ciqfunctions.udf.CIQ(G$3,$AX$1,$AX$2,$A50,"L",,"USD","H")</f>
        <v>1502</v>
      </c>
      <c r="BD50" s="40" cm="1">
        <f t="array" ref="BD50">_xll.ciqfunctions.udf.CIQ(B$3,$AX$1,$BD$2,$A50,"L",,"USD","H")</f>
        <v>21852</v>
      </c>
      <c r="BE50" s="40" cm="1">
        <f t="array" ref="BE50">_xll.ciqfunctions.udf.CIQ(C$3,$AX$1,$BD$2,$A50,"L",,"USD","H")</f>
        <v>56762</v>
      </c>
      <c r="BF50" s="40" cm="1">
        <f t="array" ref="BF50">_xll.ciqfunctions.udf.CIQ(D$3,$AX$1,$BD$2,$A50,"L",,"USD","H")</f>
        <v>39897</v>
      </c>
      <c r="BG50" s="40">
        <f>_xll.ciqfunctions.udf.CIQ("COP", "IQ_PRICEDATE", "2/21/2025")</f>
        <v>45709</v>
      </c>
      <c r="BH50" s="40" cm="1">
        <f t="array" ref="BH50">_xll.ciqfunctions.udf.CIQ(F$3,$AX$1,$BD$2,$A50,"L",,"USD","H")</f>
        <v>31380</v>
      </c>
      <c r="BI50" s="40" cm="1">
        <f t="array" ref="BI50">_xll.ciqfunctions.udf.CIQ(G$3,$AX$1,$BD$2,$A50,"L",,"USD","H")</f>
        <v>6178</v>
      </c>
      <c r="BJ50" s="43">
        <f t="shared" si="1"/>
        <v>2.7012711864406791E-2</v>
      </c>
      <c r="BK50" s="43">
        <f t="shared" si="2"/>
        <v>-4.7456065293227101E-2</v>
      </c>
      <c r="BL50" s="43">
        <f t="shared" si="3"/>
        <v>-0.13281736500311359</v>
      </c>
      <c r="BM50" s="43">
        <f t="shared" si="4"/>
        <v>0.35942393342074741</v>
      </c>
      <c r="BN50" s="43">
        <f t="shared" si="5"/>
        <v>-0.12046109510086456</v>
      </c>
      <c r="BO50" s="43">
        <f t="shared" si="6"/>
        <v>0.82060606060606056</v>
      </c>
      <c r="BP50" s="42">
        <f t="shared" si="7"/>
        <v>-4.7820740538324635E-3</v>
      </c>
      <c r="BQ50" s="42">
        <f t="shared" si="8"/>
        <v>-0.11808209813243842</v>
      </c>
      <c r="BR50" s="42">
        <f t="shared" si="9"/>
        <v>-0.13637249172024157</v>
      </c>
      <c r="BS50" s="42">
        <f t="shared" si="10"/>
        <v>6.1294630152586294E-4</v>
      </c>
      <c r="BT50" s="42">
        <f t="shared" si="11"/>
        <v>-0.1238063327190484</v>
      </c>
      <c r="BU50" s="42">
        <f t="shared" si="12"/>
        <v>0.36954112170250508</v>
      </c>
      <c r="BV50" s="68" cm="1">
        <f t="array" ref="BV50">_xll.ciqfunctions.udf.CIQ(B$3,$BV$1,$BV$2,$A50,"L",,"USD","H")/100</f>
        <v>6.8087999999999996E-2</v>
      </c>
      <c r="BW50" s="68" cm="1">
        <f t="array" ref="BW50">_xll.ciqfunctions.udf.CIQ(C$3,$BV$1,$BV$2,$A50,"L",,"USD","H")/100</f>
        <v>0.125028</v>
      </c>
      <c r="BX50" s="68" cm="1">
        <f t="array" ref="BX50">_xll.ciqfunctions.udf.CIQ(D$3,$BV$1,$BV$2,$A50,"L",,"USD","H")/100</f>
        <v>6.0555999999999999E-2</v>
      </c>
      <c r="BY50" s="68" cm="1">
        <f t="array" ref="BY50">_xll.ciqfunctions.udf.CIQ(E$3,$BV$1,$BV$2,$A50,"L",,"USD","H")/100</f>
        <v>0.112608</v>
      </c>
      <c r="BZ50" s="68" cm="1">
        <f t="array" ref="BZ50">_xll.ciqfunctions.udf.CIQ(F$3,$BV$1,$BV$2,$A50,"L",,"USD","H")/100</f>
        <v>4.6396E-2</v>
      </c>
      <c r="CA50" s="68" cm="1">
        <f t="array" ref="CA50">_xll.ciqfunctions.udf.CIQ(G$3,$BV$1,$BV$2,$A50,"L",,"USD","H")/100</f>
        <v>2.5611999999999999E-2</v>
      </c>
      <c r="CB50" s="68" cm="1">
        <f t="array" ref="CB50">_xll.ciqfunctions.udf.CIQ(B$3,$BV$1,$CB$2,$A50,"L",,"USD","H")/100</f>
        <v>7.7328999999999995E-2</v>
      </c>
      <c r="CC50" s="68" cm="1">
        <f t="array" ref="CC50">_xll.ciqfunctions.udf.CIQ(C$3,$BV$1,$CB$2,$A50,"L",,"USD","H")/100</f>
        <v>0.10817199999999999</v>
      </c>
      <c r="CD50" s="68" cm="1">
        <f t="array" ref="CD50">_xll.ciqfunctions.udf.CIQ(D$3,$BV$1,$CB$2,$A50,"L",,"USD","H")/100</f>
        <v>7.3362999999999998E-2</v>
      </c>
      <c r="CE50" s="68" cm="1">
        <f t="array" ref="CE50">_xll.ciqfunctions.udf.CIQ(E$3,$BV$1,$CB$2,$A50,"L",,"USD","H")/100</f>
        <v>0.102753</v>
      </c>
      <c r="CF50" s="68" cm="1">
        <f t="array" ref="CF50">_xll.ciqfunctions.udf.CIQ(F$3,$BV$1,$CB$2,$A50,"L",,"USD","H")/100</f>
        <v>2.6983E-2</v>
      </c>
      <c r="CG50" s="68" cm="1">
        <f t="array" ref="CG50">_xll.ciqfunctions.udf.CIQ(G$3,$BV$1,$CB$2,$A50,"L",,"USD","H")/100</f>
        <v>3.5514999999999998E-2</v>
      </c>
    </row>
    <row r="51" spans="1:85" x14ac:dyDescent="0.45">
      <c r="A51" s="3">
        <f t="shared" si="13"/>
        <v>41639</v>
      </c>
      <c r="B51" s="14" cm="1">
        <f t="array" ref="B51">_xll.ciqfunctions.udf.CIQ(B$3,$B$1,$B$2,$A51,"L",,"USD","H")</f>
        <v>13702</v>
      </c>
      <c r="C51" s="38" cm="1">
        <f t="array" ref="C51">_xll.ciqfunctions.udf.CIQ(C$3,$B$1,$B$2,$A51,"L",,"USD","H")</f>
        <v>98355</v>
      </c>
      <c r="D51" s="38" cm="1">
        <f t="array" ref="D51">_xll.ciqfunctions.udf.CIQ(D$3,$B$1,$B$2,$A51,"L",,"USD","H")</f>
        <v>51822</v>
      </c>
      <c r="E51" s="38" cm="1">
        <f t="array" ref="E51">_xll.ciqfunctions.udf.CIQ(E$3,$B$1,$B$2,$A51,"L",,"USD","H")</f>
        <v>3696.5230000000001</v>
      </c>
      <c r="F51" s="38" cm="1">
        <f t="array" ref="F51">_xll.ciqfunctions.udf.CIQ(F$3,$B$1,$B$2,$A51,"L",,"USD","H")</f>
        <v>93717</v>
      </c>
      <c r="G51" s="38" cm="1">
        <f t="array" ref="G51">_xll.ciqfunctions.udf.CIQ(G$3,$B$1,$B$2,$A51,"L",,"USD","H")</f>
        <v>2720</v>
      </c>
      <c r="H51" s="40" cm="1">
        <f t="array" ref="H51">_xll.ciqfunctions.udf.CIQ(B$3,$B$1,$H$2,$A51,"L",,"USD","H")</f>
        <v>56889</v>
      </c>
      <c r="I51" s="40" cm="1">
        <f t="array" ref="I51">_xll.ciqfunctions.udf.CIQ(C$3,$B$1,$H$2,$A51,"L",,"USD","H")</f>
        <v>390247</v>
      </c>
      <c r="J51" s="40" cm="1">
        <f t="array" ref="J51">_xll.ciqfunctions.udf.CIQ(D$3,$B$1,$H$2,$A51,"L",,"USD","H")</f>
        <v>211664</v>
      </c>
      <c r="K51" s="40" cm="1">
        <f t="array" ref="K51">_xll.ciqfunctions.udf.CIQ(E$3,$B$1,$H$2,$A51,"L",,"USD","H")</f>
        <v>14455.902</v>
      </c>
      <c r="L51" s="40" cm="1">
        <f t="array" ref="L51">_xll.ciqfunctions.udf.CIQ(F$3,$B$1,$H$2,$A51,"L",,"USD","H")</f>
        <v>379631</v>
      </c>
      <c r="M51" s="40" cm="1">
        <f t="array" ref="M51">_xll.ciqfunctions.udf.CIQ(G$3,$B$1,$H$2,$A51,"L",,"USD","H")</f>
        <v>10588</v>
      </c>
      <c r="N51" s="13" cm="1">
        <f t="array" ref="N51">_xll.ciqfunctions.udf.CIQ(B$3,$N$1,$B$2,$A51,"L",,"USD","H")</f>
        <v>-13.720800000000001</v>
      </c>
      <c r="O51" s="13" cm="1">
        <f t="array" ref="O51">_xll.ciqfunctions.udf.CIQ(C$3,$N$1,$B$2,$A51,"L",,"USD","H")</f>
        <v>-3.0116000000000001</v>
      </c>
      <c r="P51" s="13" cm="1">
        <f t="array" ref="P51">_xll.ciqfunctions.udf.CIQ(D$3,$N$1,$B$2,$A51,"L",,"USD","H")</f>
        <v>-4.2496999999999998</v>
      </c>
      <c r="Q51" s="13" cm="1">
        <f t="array" ref="Q51">_xll.ciqfunctions.udf.CIQ(E$3,$N$1,$B$2,$A51,"L",,"USD","H")</f>
        <v>23.181699999999999</v>
      </c>
      <c r="R51" s="13" cm="1">
        <f t="array" ref="R51">_xll.ciqfunctions.udf.CIQ(F$3,$N$1,$B$2,$A51,"L",,"USD","H")</f>
        <v>-1.6281000000000001</v>
      </c>
      <c r="S51" s="13" cm="1">
        <f t="array" ref="S51">_xll.ciqfunctions.udf.CIQ(G$3,$N$1,$B$2,$A51,"L",,"USD","H")</f>
        <v>6.0015000000000001</v>
      </c>
      <c r="T51" s="94">
        <v>45723</v>
      </c>
      <c r="U51" s="41" cm="1">
        <f t="array" ref="U51">_xll.ciqfunctions.udf.CIQ(O$3,$N$1,$T$2,$A51,"L",,"USD","H")</f>
        <v>-6.8845999999999998</v>
      </c>
      <c r="V51" s="41" cm="1">
        <f t="array" ref="V51">_xll.ciqfunctions.udf.CIQ(P$3,$N$1,$T$2,$A51,"L",,"USD","H")</f>
        <v>-4.9039000000000001</v>
      </c>
      <c r="W51" s="41" cm="1">
        <f t="array" ref="W51">_xll.ciqfunctions.udf.CIQ(Q$3,$N$1,$T$2,$A51,"L",,"USD","H")</f>
        <v>30.2775</v>
      </c>
      <c r="X51" s="41" cm="1">
        <f t="array" ref="X51">_xll.ciqfunctions.udf.CIQ(R$3,$N$1,$T$2,$A51,"L",,"USD","H")</f>
        <v>1.0287999999999999</v>
      </c>
      <c r="Y51" s="41" cm="1">
        <f t="array" ref="Y51">_xll.ciqfunctions.udf.CIQ(S$3,$N$1,$T$2,$A51,"L",,"USD","H")</f>
        <v>20.2089</v>
      </c>
      <c r="Z51" s="38" cm="1">
        <f t="array" ref="Z51">_xll.ciqfunctions.udf.CIQ(B$3,$Z$1,$B$2,$A51,"L",,"USD","H")</f>
        <v>2487</v>
      </c>
      <c r="AA51" s="38" cm="1">
        <f t="array" ref="AA51">_xll.ciqfunctions.udf.CIQ(C$3,$Z$1,$B$2,$A51,"L",,"USD","H")</f>
        <v>8350</v>
      </c>
      <c r="AB51" s="38" cm="1">
        <f t="array" ref="AB51">_xll.ciqfunctions.udf.CIQ(D$3,$Z$1,$B$2,$A51,"L",,"USD","H")</f>
        <v>4930</v>
      </c>
      <c r="AC51" s="38" cm="1">
        <f t="array" ref="AC51">_xll.ciqfunctions.udf.CIQ(E$3,$Z$1,$B$2,$A51,"L",,"USD","H")</f>
        <v>580.19399999999996</v>
      </c>
      <c r="AD51" s="38" cm="1">
        <f t="array" ref="AD51">_xll.ciqfunctions.udf.CIQ(F$3,$Z$1,$B$2,$A51,"L",,"USD","H")</f>
        <v>1042</v>
      </c>
      <c r="AE51" s="38" cm="1">
        <f t="array" ref="AE51">_xll.ciqfunctions.udf.CIQ(G$3,$Z$1,$B$2,$A51,"L",,"USD","H")</f>
        <v>207</v>
      </c>
      <c r="AF51" s="40" cm="1">
        <f t="array" ref="AF51">_xll.ciqfunctions.udf.CIQ(B$3,$Z$1,$H$2,$A51,"L",,"USD","H")</f>
        <v>9156</v>
      </c>
      <c r="AG51" s="40" cm="1">
        <f t="array" ref="AG51">_xll.ciqfunctions.udf.CIQ(C$3,$Z$1,$H$2,$A51,"L",,"USD","H")</f>
        <v>32580</v>
      </c>
      <c r="AH51" s="40" cm="1">
        <f t="array" ref="AH51">_xll.ciqfunctions.udf.CIQ(D$3,$Z$1,$H$2,$A51,"L",,"USD","H")</f>
        <v>21423</v>
      </c>
      <c r="AI51" s="40" cm="1">
        <f t="array" ref="AI51">_xll.ciqfunctions.udf.CIQ(E$3,$Z$1,$H$2,$A51,"L",,"USD","H")</f>
        <v>2197.1089999999999</v>
      </c>
      <c r="AJ51" s="40" cm="1">
        <f t="array" ref="AJ51">_xll.ciqfunctions.udf.CIQ(F$3,$Z$1,$H$2,$A51,"L",,"USD","H")</f>
        <v>23451</v>
      </c>
      <c r="AK51" s="40" cm="1">
        <f t="array" ref="AK51">_xll.ciqfunctions.udf.CIQ(G$3,$Z$1,$H$2,$A51,"L",,"USD","H")</f>
        <v>-20</v>
      </c>
      <c r="AL51" s="13" cm="1">
        <f t="array" ref="AL51">_xll.ciqfunctions.udf.CIQ(B$3,$AL$1,$AL$2,$A51,"L",,"USD","H")</f>
        <v>74.403899999999993</v>
      </c>
      <c r="AM51" s="13" cm="1">
        <f t="array" ref="AM51">_xll.ciqfunctions.udf.CIQ(C$3,$AL$1,$AL$2,$A51,"L",,"USD","H")</f>
        <v>-16.080500000000001</v>
      </c>
      <c r="AN51" s="13" cm="1">
        <f t="array" ref="AN51">_xll.ciqfunctions.udf.CIQ(D$3,$AL$1,$AL$2,$A51,"L",,"USD","H")</f>
        <v>-31.953099999999999</v>
      </c>
      <c r="AO51" s="13" t="str" cm="1">
        <f t="array" ref="AO51">_xll.ciqfunctions.udf.CIQ(E$3,$AL$1,$AL$2,$A51,"L",,"USD","H")</f>
        <v>NM</v>
      </c>
      <c r="AP51" s="13" cm="1">
        <f t="array" ref="AP51">_xll.ciqfunctions.udf.CIQ(F$3,$AL$1,$AL$2,$A51,"L",,"USD","H")</f>
        <v>-29.973199999999999</v>
      </c>
      <c r="AQ51" s="13" t="str" cm="1">
        <f t="array" ref="AQ51">_xll.ciqfunctions.udf.CIQ(G$3,$AL$1,$AL$2,$A51,"L",,"USD","H")</f>
        <v>NM</v>
      </c>
      <c r="AR51" s="41" cm="1">
        <f t="array" ref="AR51">_xll.ciqfunctions.udf.CIQ(B$3,$AL$1,$AR$2,$A51,"L",,"USD","H")</f>
        <v>8.6378000000000004</v>
      </c>
      <c r="AS51" s="41" cm="1">
        <f t="array" ref="AS51">_xll.ciqfunctions.udf.CIQ(C$3,$AL$1,$AR$2,$A51,"L",,"USD","H")</f>
        <v>-27.406500000000001</v>
      </c>
      <c r="AT51" s="41" cm="1">
        <f t="array" ref="AT51">_xll.ciqfunctions.udf.CIQ(D$3,$AL$1,$AR$2,$A51,"L",,"USD","H")</f>
        <v>-18.167300000000001</v>
      </c>
      <c r="AU51" s="41" cm="1">
        <f t="array" ref="AU51">_xll.ciqfunctions.udf.CIQ(E$3,$AL$1,$AR$2,$A51,"L",,"USD","H")</f>
        <v>285.26909999999998</v>
      </c>
      <c r="AV51" s="41" cm="1">
        <f t="array" ref="AV51">_xll.ciqfunctions.udf.CIQ(F$3,$AL$1,$AR$2,$A51,"L",,"USD","H")</f>
        <v>112.86190000000001</v>
      </c>
      <c r="AW51" s="41" t="str" cm="1">
        <f t="array" ref="AW51">_xll.ciqfunctions.udf.CIQ(G$3,$AL$1,$AR$2,$A51,"L",,"USD","H")</f>
        <v>NM</v>
      </c>
      <c r="AX51" s="38" cm="1">
        <f t="array" ref="AX51">_xll.ciqfunctions.udf.CIQ(B$3,$AX$1,$AX$2,$A51,"L",,"USD","H")</f>
        <v>4933</v>
      </c>
      <c r="AY51" s="38" cm="1">
        <f t="array" ref="AY51">_xll.ciqfunctions.udf.CIQ(C$3,$AX$1,$AX$2,$A51,"L",,"USD","H")</f>
        <v>14102</v>
      </c>
      <c r="AZ51" s="38" cm="1">
        <f t="array" ref="AZ51">_xll.ciqfunctions.udf.CIQ(D$3,$AX$1,$AX$2,$A51,"L",,"USD","H")</f>
        <v>9621</v>
      </c>
      <c r="BA51" s="38" cm="1">
        <f t="array" ref="BA51">_xll.ciqfunctions.udf.CIQ(E$3,$AX$1,$AX$2,$A51,"L",,"USD","H")</f>
        <v>1993.0940000000001</v>
      </c>
      <c r="BB51" s="38" cm="1">
        <f t="array" ref="BB51">_xll.ciqfunctions.udf.CIQ(F$3,$AX$1,$AX$2,$A51,"L",,"USD","H")</f>
        <v>6176</v>
      </c>
      <c r="BC51" s="38" cm="1">
        <f t="array" ref="BC51">_xll.ciqfunctions.udf.CIQ(G$3,$AX$1,$AX$2,$A51,"L",,"USD","H")</f>
        <v>1349</v>
      </c>
      <c r="BD51" s="40" cm="1">
        <f t="array" ref="BD51">_xll.ciqfunctions.udf.CIQ(B$3,$AX$1,$BD$2,$A51,"L",,"USD","H")</f>
        <v>21783</v>
      </c>
      <c r="BE51" s="40" cm="1">
        <f t="array" ref="BE51">_xll.ciqfunctions.udf.CIQ(C$3,$AX$1,$BD$2,$A51,"L",,"USD","H")</f>
        <v>57483</v>
      </c>
      <c r="BF51" s="40" cm="1">
        <f t="array" ref="BF51">_xll.ciqfunctions.udf.CIQ(D$3,$AX$1,$BD$2,$A51,"L",,"USD","H")</f>
        <v>41421</v>
      </c>
      <c r="BG51" s="40">
        <f>_xll.ciqfunctions.udf.CIQ("COP", "IQ_PRICEDATE", "2/14/2025")</f>
        <v>45702</v>
      </c>
      <c r="BH51" s="40" cm="1">
        <f t="array" ref="BH51">_xll.ciqfunctions.udf.CIQ(F$3,$AX$1,$BD$2,$A51,"L",,"USD","H")</f>
        <v>33129</v>
      </c>
      <c r="BI51" s="40" cm="1">
        <f t="array" ref="BI51">_xll.ciqfunctions.udf.CIQ(G$3,$AX$1,$BD$2,$A51,"L",,"USD","H")</f>
        <v>5497</v>
      </c>
      <c r="BJ51" s="43">
        <f t="shared" si="1"/>
        <v>-0.11610822433255685</v>
      </c>
      <c r="BK51" s="43">
        <f t="shared" si="2"/>
        <v>-0.13922968931209179</v>
      </c>
      <c r="BL51" s="43">
        <f t="shared" si="3"/>
        <v>-0.1428953229398664</v>
      </c>
      <c r="BM51" s="43">
        <f t="shared" si="4"/>
        <v>0.34282632408356273</v>
      </c>
      <c r="BN51" s="43">
        <f t="shared" si="5"/>
        <v>-0.37030995106035891</v>
      </c>
      <c r="BO51" s="43">
        <f t="shared" si="6"/>
        <v>1.048689138576786E-2</v>
      </c>
      <c r="BP51" s="42">
        <f t="shared" si="7"/>
        <v>-2.823875802997855E-2</v>
      </c>
      <c r="BQ51" s="42">
        <f t="shared" si="8"/>
        <v>-0.12598640696984897</v>
      </c>
      <c r="BR51" s="42">
        <f t="shared" si="9"/>
        <v>-0.1447596630327056</v>
      </c>
      <c r="BS51" s="42">
        <f t="shared" si="10"/>
        <v>6.1304024171304761E-4</v>
      </c>
      <c r="BT51" s="42">
        <f t="shared" si="11"/>
        <v>5.5500684996973249E-2</v>
      </c>
      <c r="BU51" s="42">
        <f t="shared" si="12"/>
        <v>8.229966528844268E-2</v>
      </c>
      <c r="BV51" s="68" cm="1">
        <f t="array" ref="BV51">_xll.ciqfunctions.udf.CIQ(B$3,$BV$1,$BV$2,$A51,"L",,"USD","H")/100</f>
        <v>8.6931999999999995E-2</v>
      </c>
      <c r="BW51" s="68" cm="1">
        <f t="array" ref="BW51">_xll.ciqfunctions.udf.CIQ(C$3,$BV$1,$BV$2,$A51,"L",,"USD","H")/100</f>
        <v>0.112008</v>
      </c>
      <c r="BX51" s="68" cm="1">
        <f t="array" ref="BX51">_xll.ciqfunctions.udf.CIQ(D$3,$BV$1,$BV$2,$A51,"L",,"USD","H")/100</f>
        <v>7.2176000000000004E-2</v>
      </c>
      <c r="BY51" s="68" cm="1">
        <f t="array" ref="BY51">_xll.ciqfunctions.udf.CIQ(E$3,$BV$1,$BV$2,$A51,"L",,"USD","H")/100</f>
        <v>9.9503999999999995E-2</v>
      </c>
      <c r="BZ51" s="68" cm="1">
        <f t="array" ref="BZ51">_xll.ciqfunctions.udf.CIQ(F$3,$BV$1,$BV$2,$A51,"L",,"USD","H")/100</f>
        <v>-2.928E-3</v>
      </c>
      <c r="CA51" s="68" cm="1">
        <f t="array" ref="CA51">_xll.ciqfunctions.udf.CIQ(G$3,$BV$1,$BV$2,$A51,"L",,"USD","H")/100</f>
        <v>1.4936E-2</v>
      </c>
      <c r="CB51" s="68" cm="1">
        <f t="array" ref="CB51">_xll.ciqfunctions.udf.CIQ(B$3,$BV$1,$CB$2,$A51,"L",,"USD","H")/100</f>
        <v>7.8734999999999999E-2</v>
      </c>
      <c r="CC51" s="68" cm="1">
        <f t="array" ref="CC51">_xll.ciqfunctions.udf.CIQ(C$3,$BV$1,$CB$2,$A51,"L",,"USD","H")/100</f>
        <v>0.11233399999999999</v>
      </c>
      <c r="CD51" s="68" cm="1">
        <f t="array" ref="CD51">_xll.ciqfunctions.udf.CIQ(D$3,$BV$1,$CB$2,$A51,"L",,"USD","H")/100</f>
        <v>8.6941000000000004E-2</v>
      </c>
      <c r="CE51" s="68" cm="1">
        <f t="array" ref="CE51">_xll.ciqfunctions.udf.CIQ(E$3,$BV$1,$CB$2,$A51,"L",,"USD","H")/100</f>
        <v>9.7617999999999996E-2</v>
      </c>
      <c r="CF51" s="68" cm="1">
        <f t="array" ref="CF51">_xll.ciqfunctions.udf.CIQ(F$3,$BV$1,$CB$2,$A51,"L",,"USD","H")/100</f>
        <v>0.103697</v>
      </c>
      <c r="CG51" s="68" cm="1">
        <f t="array" ref="CG51">_xll.ciqfunctions.udf.CIQ(G$3,$BV$1,$CB$2,$A51,"L",,"USD","H")/100</f>
        <v>-1.1246000000000001E-2</v>
      </c>
    </row>
    <row r="52" spans="1:85" x14ac:dyDescent="0.45">
      <c r="A52" s="3">
        <f>EDATE(A48,-12)</f>
        <v>41547</v>
      </c>
      <c r="B52" s="14" cm="1">
        <f t="array" ref="B52">_xll.ciqfunctions.udf.CIQ(B$3,$B$1,$B$2,$A52,"L",,"USD","H")</f>
        <v>14401</v>
      </c>
      <c r="C52" s="38" cm="1">
        <f t="array" ref="C52">_xll.ciqfunctions.udf.CIQ(C$3,$B$1,$B$2,$A52,"L",,"USD","H")</f>
        <v>100508</v>
      </c>
      <c r="D52" s="38" cm="1">
        <f t="array" ref="D52">_xll.ciqfunctions.udf.CIQ(D$3,$B$1,$B$2,$A52,"L",,"USD","H")</f>
        <v>54380</v>
      </c>
      <c r="E52" s="38" cm="1">
        <f t="array" ref="E52">_xll.ciqfunctions.udf.CIQ(E$3,$B$1,$B$2,$A52,"L",,"USD","H")</f>
        <v>3826.6</v>
      </c>
      <c r="F52" s="38" cm="1">
        <f t="array" ref="F52">_xll.ciqfunctions.udf.CIQ(F$3,$B$1,$B$2,$A52,"L",,"USD","H")</f>
        <v>96601</v>
      </c>
      <c r="G52" s="38" cm="1">
        <f t="array" ref="G52">_xll.ciqfunctions.udf.CIQ(G$3,$B$1,$B$2,$A52,"L",,"USD","H")</f>
        <v>2855</v>
      </c>
      <c r="H52" s="40" cm="1">
        <f t="array" ref="H52">_xll.ciqfunctions.udf.CIQ(B$3,$B$1,$H$2,$A52,"L",,"USD","H")</f>
        <v>58922</v>
      </c>
      <c r="I52" s="40" cm="1">
        <f t="array" ref="I52">_xll.ciqfunctions.udf.CIQ(C$3,$B$1,$H$2,$A52,"L",,"USD","H")</f>
        <v>393301</v>
      </c>
      <c r="J52" s="40" cm="1">
        <f t="array" ref="J52">_xll.ciqfunctions.udf.CIQ(D$3,$B$1,$H$2,$A52,"L",,"USD","H")</f>
        <v>213964</v>
      </c>
      <c r="K52" s="40" cm="1">
        <f t="array" ref="K52">_xll.ciqfunctions.udf.CIQ(E$3,$B$1,$H$2,$A52,"L",,"USD","H")</f>
        <v>13760.248</v>
      </c>
      <c r="L52" s="40" cm="1">
        <f t="array" ref="L52">_xll.ciqfunctions.udf.CIQ(F$3,$B$1,$H$2,$A52,"L",,"USD","H")</f>
        <v>380687</v>
      </c>
      <c r="M52" s="40" cm="1">
        <f t="array" ref="M52">_xll.ciqfunctions.udf.CIQ(G$3,$B$1,$H$2,$A52,"L",,"USD","H")</f>
        <v>10434</v>
      </c>
      <c r="N52" s="13" cm="1">
        <f t="array" ref="N52">_xll.ciqfunctions.udf.CIQ(B$3,$N$1,$B$2,$A52,"L",,"USD","H")</f>
        <v>-1.3292999999999999</v>
      </c>
      <c r="O52" s="13" cm="1">
        <f t="array" ref="O52">_xll.ciqfunctions.udf.CIQ(C$3,$N$1,$B$2,$A52,"L",,"USD","H")</f>
        <v>-2.2791000000000001</v>
      </c>
      <c r="P52" s="13" cm="1">
        <f t="array" ref="P52">_xll.ciqfunctions.udf.CIQ(D$3,$N$1,$B$2,$A52,"L",,"USD","H")</f>
        <v>1.6505000000000001</v>
      </c>
      <c r="Q52" s="13" cm="1">
        <f t="array" ref="Q52">_xll.ciqfunctions.udf.CIQ(E$3,$N$1,$B$2,$A52,"L",,"USD","H")</f>
        <v>32.738599999999998</v>
      </c>
      <c r="R52" s="13" cm="1">
        <f t="array" ref="R52">_xll.ciqfunctions.udf.CIQ(F$3,$N$1,$B$2,$A52,"L",,"USD","H")</f>
        <v>4.9988000000000001</v>
      </c>
      <c r="S52" s="13" cm="1">
        <f t="array" ref="S52">_xll.ciqfunctions.udf.CIQ(G$3,$N$1,$B$2,$A52,"L",,"USD","H")</f>
        <v>35.952300000000001</v>
      </c>
      <c r="T52" s="94">
        <v>45716</v>
      </c>
      <c r="U52" s="41" cm="1">
        <f t="array" ref="U52">_xll.ciqfunctions.udf.CIQ(O$3,$N$1,$T$2,$A52,"L",,"USD","H")</f>
        <v>-7.4825999999999997</v>
      </c>
      <c r="V52" s="41" cm="1">
        <f t="array" ref="V52">_xll.ciqfunctions.udf.CIQ(P$3,$N$1,$T$2,$A52,"L",,"USD","H")</f>
        <v>-4.8080999999999996</v>
      </c>
      <c r="W52" s="41" cm="1">
        <f t="array" ref="W52">_xll.ciqfunctions.udf.CIQ(Q$3,$N$1,$T$2,$A52,"L",,"USD","H")</f>
        <v>28.926500000000001</v>
      </c>
      <c r="X52" s="41" cm="1">
        <f t="array" ref="X52">_xll.ciqfunctions.udf.CIQ(R$3,$N$1,$T$2,$A52,"L",,"USD","H")</f>
        <v>1.4363999999999999</v>
      </c>
      <c r="Y52" s="41" cm="1">
        <f t="array" ref="Y52">_xll.ciqfunctions.udf.CIQ(S$3,$N$1,$T$2,$A52,"L",,"USD","H")</f>
        <v>17.619199999999999</v>
      </c>
      <c r="Z52" s="38" cm="1">
        <f t="array" ref="Z52">_xll.ciqfunctions.udf.CIQ(B$3,$Z$1,$B$2,$A52,"L",,"USD","H")</f>
        <v>2480</v>
      </c>
      <c r="AA52" s="38" cm="1">
        <f t="array" ref="AA52">_xll.ciqfunctions.udf.CIQ(C$3,$Z$1,$B$2,$A52,"L",,"USD","H")</f>
        <v>7870</v>
      </c>
      <c r="AB52" s="38" cm="1">
        <f t="array" ref="AB52">_xll.ciqfunctions.udf.CIQ(D$3,$Z$1,$B$2,$A52,"L",,"USD","H")</f>
        <v>4950</v>
      </c>
      <c r="AC52" s="38" cm="1">
        <f t="array" ref="AC52">_xll.ciqfunctions.udf.CIQ(E$3,$Z$1,$B$2,$A52,"L",,"USD","H")</f>
        <v>462.49799999999999</v>
      </c>
      <c r="AD52" s="38" cm="1">
        <f t="array" ref="AD52">_xll.ciqfunctions.udf.CIQ(F$3,$Z$1,$B$2,$A52,"L",,"USD","H")</f>
        <v>3504</v>
      </c>
      <c r="AE52" s="38" cm="1">
        <f t="array" ref="AE52">_xll.ciqfunctions.udf.CIQ(G$3,$Z$1,$B$2,$A52,"L",,"USD","H")</f>
        <v>429</v>
      </c>
      <c r="AF52" s="40" cm="1">
        <f t="array" ref="AF52">_xll.ciqfunctions.udf.CIQ(B$3,$Z$1,$H$2,$A52,"L",,"USD","H")</f>
        <v>8095</v>
      </c>
      <c r="AG52" s="40" cm="1">
        <f t="array" ref="AG52">_xll.ciqfunctions.udf.CIQ(C$3,$Z$1,$H$2,$A52,"L",,"USD","H")</f>
        <v>34180</v>
      </c>
      <c r="AH52" s="40" cm="1">
        <f t="array" ref="AH52">_xll.ciqfunctions.udf.CIQ(D$3,$Z$1,$H$2,$A52,"L",,"USD","H")</f>
        <v>23738</v>
      </c>
      <c r="AI52" s="40" cm="1">
        <f t="array" ref="AI52">_xll.ciqfunctions.udf.CIQ(E$3,$Z$1,$H$2,$A52,"L",,"USD","H")</f>
        <v>1111.9159999999999</v>
      </c>
      <c r="AJ52" s="40" cm="1">
        <f t="array" ref="AJ52">_xll.ciqfunctions.udf.CIQ(F$3,$Z$1,$H$2,$A52,"L",,"USD","H")</f>
        <v>23897</v>
      </c>
      <c r="AK52" s="40" cm="1">
        <f t="array" ref="AK52">_xll.ciqfunctions.udf.CIQ(G$3,$Z$1,$H$2,$A52,"L",,"USD","H")</f>
        <v>-584</v>
      </c>
      <c r="AL52" s="13" cm="1">
        <f t="array" ref="AL52">_xll.ciqfunctions.udf.CIQ(B$3,$AL$1,$AL$2,$A52,"L",,"USD","H")</f>
        <v>37.930999999999997</v>
      </c>
      <c r="AM52" s="13" cm="1">
        <f t="array" ref="AM52">_xll.ciqfunctions.udf.CIQ(C$3,$AL$1,$AL$2,$A52,"L",,"USD","H")</f>
        <v>-17.7639</v>
      </c>
      <c r="AN52" s="13" cm="1">
        <f t="array" ref="AN52">_xll.ciqfunctions.udf.CIQ(D$3,$AL$1,$AL$2,$A52,"L",,"USD","H")</f>
        <v>-5.7682000000000002</v>
      </c>
      <c r="AO52" s="13" cm="1">
        <f t="array" ref="AO52">_xll.ciqfunctions.udf.CIQ(E$3,$AL$1,$AL$2,$A52,"L",,"USD","H")</f>
        <v>30.101099999999999</v>
      </c>
      <c r="AP52" s="13" cm="1">
        <f t="array" ref="AP52">_xll.ciqfunctions.udf.CIQ(F$3,$AL$1,$AL$2,$A52,"L",,"USD","H")</f>
        <v>-33.649000000000001</v>
      </c>
      <c r="AQ52" s="13" t="str" cm="1">
        <f t="array" ref="AQ52">_xll.ciqfunctions.udf.CIQ(G$3,$AL$1,$AL$2,$A52,"L",,"USD","H")</f>
        <v>NM</v>
      </c>
      <c r="AR52" s="41" cm="1">
        <f t="array" ref="AR52">_xll.ciqfunctions.udf.CIQ(B$3,$AL$1,$AR$2,$A52,"L",,"USD","H")</f>
        <v>-22.1036</v>
      </c>
      <c r="AS52" s="41" cm="1">
        <f t="array" ref="AS52">_xll.ciqfunctions.udf.CIQ(C$3,$AL$1,$AR$2,$A52,"L",,"USD","H")</f>
        <v>-22.8965</v>
      </c>
      <c r="AT52" s="41" cm="1">
        <f t="array" ref="AT52">_xll.ciqfunctions.udf.CIQ(D$3,$AL$1,$AR$2,$A52,"L",,"USD","H")</f>
        <v>-1.3261000000000001</v>
      </c>
      <c r="AU52" s="41" cm="1">
        <f t="array" ref="AU52">_xll.ciqfunctions.udf.CIQ(E$3,$AL$1,$AR$2,$A52,"L",,"USD","H")</f>
        <v>-7.0286</v>
      </c>
      <c r="AV52" s="41" cm="1">
        <f t="array" ref="AV52">_xll.ciqfunctions.udf.CIQ(F$3,$AL$1,$AR$2,$A52,"L",,"USD","H")</f>
        <v>38.823</v>
      </c>
      <c r="AW52" s="41" t="str" cm="1">
        <f t="array" ref="AW52">_xll.ciqfunctions.udf.CIQ(G$3,$AL$1,$AR$2,$A52,"L",,"USD","H")</f>
        <v>NM</v>
      </c>
      <c r="AX52" s="38" cm="1">
        <f t="array" ref="AX52">_xll.ciqfunctions.udf.CIQ(B$3,$AX$1,$AX$2,$A52,"L",,"USD","H")</f>
        <v>5431</v>
      </c>
      <c r="AY52" s="38" cm="1">
        <f t="array" ref="AY52">_xll.ciqfunctions.udf.CIQ(C$3,$AX$1,$AX$2,$A52,"L",,"USD","H")</f>
        <v>14546</v>
      </c>
      <c r="AZ52" s="38" cm="1">
        <f t="array" ref="AZ52">_xll.ciqfunctions.udf.CIQ(D$3,$AX$1,$AX$2,$A52,"L",,"USD","H")</f>
        <v>10595</v>
      </c>
      <c r="BA52" s="38" cm="1">
        <f t="array" ref="BA52">_xll.ciqfunctions.udf.CIQ(E$3,$AX$1,$AX$2,$A52,"L",,"USD","H")</f>
        <v>1776.3030000000001</v>
      </c>
      <c r="BB52" s="38" cm="1">
        <f t="array" ref="BB52">_xll.ciqfunctions.udf.CIQ(F$3,$AX$1,$AX$2,$A52,"L",,"USD","H")</f>
        <v>8411</v>
      </c>
      <c r="BC52" s="38" cm="1">
        <f t="array" ref="BC52">_xll.ciqfunctions.udf.CIQ(G$3,$AX$1,$AX$2,$A52,"L",,"USD","H")</f>
        <v>1475</v>
      </c>
      <c r="BD52" s="40" cm="1">
        <f t="array" ref="BD52">_xll.ciqfunctions.udf.CIQ(B$3,$AX$1,$BD$2,$A52,"L",,"USD","H")</f>
        <v>22347</v>
      </c>
      <c r="BE52" s="40" cm="1">
        <f t="array" ref="BE52">_xll.ciqfunctions.udf.CIQ(C$3,$AX$1,$BD$2,$A52,"L",,"USD","H")</f>
        <v>59764</v>
      </c>
      <c r="BF52" s="40" cm="1">
        <f t="array" ref="BF52">_xll.ciqfunctions.udf.CIQ(D$3,$AX$1,$BD$2,$A52,"L",,"USD","H")</f>
        <v>42994</v>
      </c>
      <c r="BG52" s="40">
        <f>_xll.ciqfunctions.udf.CIQ("COP", "IQ_PRICEDATE", "2/7/2025")</f>
        <v>45695</v>
      </c>
      <c r="BH52" s="40" cm="1">
        <f t="array" ref="BH52">_xll.ciqfunctions.udf.CIQ(F$3,$AX$1,$BD$2,$A52,"L",,"USD","H")</f>
        <v>36266</v>
      </c>
      <c r="BI52" s="40" cm="1">
        <f t="array" ref="BI52">_xll.ciqfunctions.udf.CIQ(G$3,$AX$1,$BD$2,$A52,"L",,"USD","H")</f>
        <v>5487</v>
      </c>
      <c r="BJ52" s="43">
        <f t="shared" si="1"/>
        <v>1.4381770638774771E-2</v>
      </c>
      <c r="BK52" s="43">
        <f t="shared" si="2"/>
        <v>-0.1574374420759963</v>
      </c>
      <c r="BL52" s="43">
        <f t="shared" si="3"/>
        <v>-2.9850746268656692E-2</v>
      </c>
      <c r="BM52" s="43">
        <f t="shared" si="4"/>
        <v>0.24469675151724113</v>
      </c>
      <c r="BN52" s="43">
        <f t="shared" si="5"/>
        <v>-0.14147187914667758</v>
      </c>
      <c r="BO52" s="43">
        <f t="shared" si="6"/>
        <v>0.82098765432098775</v>
      </c>
      <c r="BP52" s="42">
        <f t="shared" si="7"/>
        <v>5.8948964602189236E-2</v>
      </c>
      <c r="BQ52" s="42">
        <f t="shared" si="8"/>
        <v>-7.8810672503352497E-2</v>
      </c>
      <c r="BR52" s="42">
        <f t="shared" si="9"/>
        <v>-0.11390944127285096</v>
      </c>
      <c r="BS52" s="42">
        <f t="shared" si="10"/>
        <v>6.1313421069919549E-4</v>
      </c>
      <c r="BT52" s="42">
        <f t="shared" si="11"/>
        <v>2.5854265670966381E-2</v>
      </c>
      <c r="BU52" s="42">
        <f t="shared" si="12"/>
        <v>6.1931488291077974E-2</v>
      </c>
      <c r="BV52" s="68" cm="1">
        <f t="array" ref="BV52">_xll.ciqfunctions.udf.CIQ(B$3,$BV$1,$BV$2,$A52,"L",,"USD","H")/100</f>
        <v>8.6788000000000004E-2</v>
      </c>
      <c r="BW52" s="68" cm="1">
        <f t="array" ref="BW52">_xll.ciqfunctions.udf.CIQ(C$3,$BV$1,$BV$2,$A52,"L",,"USD","H")/100</f>
        <v>0.105228</v>
      </c>
      <c r="BX52" s="68" cm="1">
        <f t="array" ref="BX52">_xll.ciqfunctions.udf.CIQ(D$3,$BV$1,$BV$2,$A52,"L",,"USD","H")/100</f>
        <v>7.3847999999999997E-2</v>
      </c>
      <c r="BY52" s="68" cm="1">
        <f t="array" ref="BY52">_xll.ciqfunctions.udf.CIQ(E$3,$BV$1,$BV$2,$A52,"L",,"USD","H")/100</f>
        <v>7.8663999999999998E-2</v>
      </c>
      <c r="BZ52" s="68" cm="1">
        <f t="array" ref="BZ52">_xll.ciqfunctions.udf.CIQ(F$3,$BV$1,$BV$2,$A52,"L",,"USD","H")/100</f>
        <v>5.0339999999999996E-2</v>
      </c>
      <c r="CA52" s="68" cm="1">
        <f t="array" ref="CA52">_xll.ciqfunctions.udf.CIQ(G$3,$BV$1,$BV$2,$A52,"L",,"USD","H")/100</f>
        <v>4.4664000000000002E-2</v>
      </c>
      <c r="CB52" s="68" cm="1">
        <f t="array" ref="CB52">_xll.ciqfunctions.udf.CIQ(B$3,$BV$1,$CB$2,$A52,"L",,"USD","H")/100</f>
        <v>6.4507000000000009E-2</v>
      </c>
      <c r="CC52" s="68" cm="1">
        <f t="array" ref="CC52">_xll.ciqfunctions.udf.CIQ(C$3,$BV$1,$CB$2,$A52,"L",,"USD","H")/100</f>
        <v>0.122987</v>
      </c>
      <c r="CD52" s="68" cm="1">
        <f t="array" ref="CD52">_xll.ciqfunctions.udf.CIQ(D$3,$BV$1,$CB$2,$A52,"L",,"USD","H")/100</f>
        <v>0.10553499999999999</v>
      </c>
      <c r="CE52" s="68" cm="1">
        <f t="array" ref="CE52">_xll.ciqfunctions.udf.CIQ(E$3,$BV$1,$CB$2,$A52,"L",,"USD","H")/100</f>
        <v>4.4446000000000006E-2</v>
      </c>
      <c r="CF52" s="68" cm="1">
        <f t="array" ref="CF52">_xll.ciqfunctions.udf.CIQ(F$3,$BV$1,$CB$2,$A52,"L",,"USD","H")/100</f>
        <v>0.10540200000000001</v>
      </c>
      <c r="CG52" s="68" cm="1">
        <f t="array" ref="CG52">_xll.ciqfunctions.udf.CIQ(G$3,$BV$1,$CB$2,$A52,"L",,"USD","H")/100</f>
        <v>-2.9044E-2</v>
      </c>
    </row>
    <row r="53" spans="1:85" x14ac:dyDescent="0.45">
      <c r="A53" s="3">
        <f t="shared" si="13"/>
        <v>41455</v>
      </c>
      <c r="B53" s="14" cm="1">
        <f t="array" ref="B53">_xll.ciqfunctions.udf.CIQ(B$3,$B$1,$B$2,$A53,"L",,"USD","H")</f>
        <v>14047</v>
      </c>
      <c r="C53" s="38" cm="1">
        <f t="array" ref="C53">_xll.ciqfunctions.udf.CIQ(C$3,$B$1,$B$2,$A53,"L",,"USD","H")</f>
        <v>95498</v>
      </c>
      <c r="D53" s="38" cm="1">
        <f t="array" ref="D53">_xll.ciqfunctions.udf.CIQ(D$3,$B$1,$B$2,$A53,"L",,"USD","H")</f>
        <v>53199</v>
      </c>
      <c r="E53" s="38" cm="1">
        <f t="array" ref="E53">_xll.ciqfunctions.udf.CIQ(E$3,$B$1,$B$2,$A53,"L",,"USD","H")</f>
        <v>3635.5419999999999</v>
      </c>
      <c r="F53" s="38" cm="1">
        <f t="array" ref="F53">_xll.ciqfunctions.udf.CIQ(F$3,$B$1,$B$2,$A53,"L",,"USD","H")</f>
        <v>94711</v>
      </c>
      <c r="G53" s="38" cm="1">
        <f t="array" ref="G53">_xll.ciqfunctions.udf.CIQ(G$3,$B$1,$B$2,$A53,"L",,"USD","H")</f>
        <v>2722</v>
      </c>
      <c r="H53" s="40" cm="1">
        <f t="array" ref="H53">_xll.ciqfunctions.udf.CIQ(B$3,$B$1,$H$2,$A53,"L",,"USD","H")</f>
        <v>59116</v>
      </c>
      <c r="I53" s="40" cm="1">
        <f t="array" ref="I53">_xll.ciqfunctions.udf.CIQ(C$3,$B$1,$H$2,$A53,"L",,"USD","H")</f>
        <v>395645</v>
      </c>
      <c r="J53" s="40" cm="1">
        <f t="array" ref="J53">_xll.ciqfunctions.udf.CIQ(D$3,$B$1,$H$2,$A53,"L",,"USD","H")</f>
        <v>213081</v>
      </c>
      <c r="K53" s="40" cm="1">
        <f t="array" ref="K53">_xll.ciqfunctions.udf.CIQ(E$3,$B$1,$H$2,$A53,"L",,"USD","H")</f>
        <v>12816.456</v>
      </c>
      <c r="L53" s="40" cm="1">
        <f t="array" ref="L53">_xll.ciqfunctions.udf.CIQ(F$3,$B$1,$H$2,$A53,"L",,"USD","H")</f>
        <v>376088</v>
      </c>
      <c r="M53" s="40" cm="1">
        <f t="array" ref="M53">_xll.ciqfunctions.udf.CIQ(G$3,$B$1,$H$2,$A53,"L",,"USD","H")</f>
        <v>9679</v>
      </c>
      <c r="N53" s="13" cm="1">
        <f t="array" ref="N53">_xll.ciqfunctions.udf.CIQ(B$3,$N$1,$B$2,$A53,"L",,"USD","H")</f>
        <v>-1.4867999999999999</v>
      </c>
      <c r="O53" s="13" cm="1">
        <f t="array" ref="O53">_xll.ciqfunctions.udf.CIQ(C$3,$N$1,$B$2,$A53,"L",,"USD","H")</f>
        <v>-8.3010999999999999</v>
      </c>
      <c r="P53" s="13" cm="1">
        <f t="array" ref="P53">_xll.ciqfunctions.udf.CIQ(D$3,$N$1,$B$2,$A53,"L",,"USD","H")</f>
        <v>-8.0413999999999994</v>
      </c>
      <c r="Q53" s="13" cm="1">
        <f t="array" ref="Q53">_xll.ciqfunctions.udf.CIQ(E$3,$N$1,$B$2,$A53,"L",,"USD","H")</f>
        <v>39.421999999999997</v>
      </c>
      <c r="R53" s="13" cm="1">
        <f t="array" ref="R53">_xll.ciqfunctions.udf.CIQ(F$3,$N$1,$B$2,$A53,"L",,"USD","H")</f>
        <v>-0.27800000000000002</v>
      </c>
      <c r="S53" s="13" cm="1">
        <f t="array" ref="S53">_xll.ciqfunctions.udf.CIQ(G$3,$N$1,$B$2,$A53,"L",,"USD","H")</f>
        <v>47.693899999999999</v>
      </c>
      <c r="T53" s="94">
        <v>45709</v>
      </c>
      <c r="U53" s="41" cm="1">
        <f t="array" ref="U53">_xll.ciqfunctions.udf.CIQ(O$3,$N$1,$T$2,$A53,"L",,"USD","H")</f>
        <v>-8.8899000000000008</v>
      </c>
      <c r="V53" s="41" cm="1">
        <f t="array" ref="V53">_xll.ciqfunctions.udf.CIQ(P$3,$N$1,$T$2,$A53,"L",,"USD","H")</f>
        <v>-7.5815999999999999</v>
      </c>
      <c r="W53" s="41" cm="1">
        <f t="array" ref="W53">_xll.ciqfunctions.udf.CIQ(Q$3,$N$1,$T$2,$A53,"L",,"USD","H")</f>
        <v>26.7608</v>
      </c>
      <c r="X53" s="41" cm="1">
        <f t="array" ref="X53">_xll.ciqfunctions.udf.CIQ(R$3,$N$1,$T$2,$A53,"L",,"USD","H")</f>
        <v>-0.68369999999999997</v>
      </c>
      <c r="Y53" s="41" cm="1">
        <f t="array" ref="Y53">_xll.ciqfunctions.udf.CIQ(S$3,$N$1,$T$2,$A53,"L",,"USD","H")</f>
        <v>2.1852999999999998</v>
      </c>
      <c r="Z53" s="38" cm="1">
        <f t="array" ref="Z53">_xll.ciqfunctions.udf.CIQ(B$3,$Z$1,$B$2,$A53,"L",,"USD","H")</f>
        <v>2050</v>
      </c>
      <c r="AA53" s="38" cm="1">
        <f t="array" ref="AA53">_xll.ciqfunctions.udf.CIQ(C$3,$Z$1,$B$2,$A53,"L",,"USD","H")</f>
        <v>6860</v>
      </c>
      <c r="AB53" s="38" cm="1">
        <f t="array" ref="AB53">_xll.ciqfunctions.udf.CIQ(D$3,$Z$1,$B$2,$A53,"L",,"USD","H")</f>
        <v>5365</v>
      </c>
      <c r="AC53" s="38" cm="1">
        <f t="array" ref="AC53">_xll.ciqfunctions.udf.CIQ(E$3,$Z$1,$B$2,$A53,"L",,"USD","H")</f>
        <v>659.69200000000001</v>
      </c>
      <c r="AD53" s="38" cm="1">
        <f t="array" ref="AD53">_xll.ciqfunctions.udf.CIQ(F$3,$Z$1,$B$2,$A53,"L",,"USD","H")</f>
        <v>2042</v>
      </c>
      <c r="AE53" s="38" cm="1">
        <f t="array" ref="AE53">_xll.ciqfunctions.udf.CIQ(G$3,$Z$1,$B$2,$A53,"L",,"USD","H")</f>
        <v>683</v>
      </c>
      <c r="AF53" s="40" cm="1">
        <f t="array" ref="AF53">_xll.ciqfunctions.udf.CIQ(B$3,$Z$1,$H$2,$A53,"L",,"USD","H")</f>
        <v>7413</v>
      </c>
      <c r="AG53" s="40" cm="1">
        <f t="array" ref="AG53">_xll.ciqfunctions.udf.CIQ(C$3,$Z$1,$H$2,$A53,"L",,"USD","H")</f>
        <v>35880</v>
      </c>
      <c r="AH53" s="40" cm="1">
        <f t="array" ref="AH53">_xll.ciqfunctions.udf.CIQ(D$3,$Z$1,$H$2,$A53,"L",,"USD","H")</f>
        <v>24041</v>
      </c>
      <c r="AI53" s="40" cm="1">
        <f t="array" ref="AI53">_xll.ciqfunctions.udf.CIQ(E$3,$Z$1,$H$2,$A53,"L",,"USD","H")</f>
        <v>1004.909</v>
      </c>
      <c r="AJ53" s="40" cm="1">
        <f t="array" ref="AJ53">_xll.ciqfunctions.udf.CIQ(F$3,$Z$1,$H$2,$A53,"L",,"USD","H")</f>
        <v>25674</v>
      </c>
      <c r="AK53" s="40" cm="1">
        <f t="array" ref="AK53">_xll.ciqfunctions.udf.CIQ(G$3,$Z$1,$H$2,$A53,"L",,"USD","H")</f>
        <v>-1732</v>
      </c>
      <c r="AL53" s="13" cm="1">
        <f t="array" ref="AL53">_xll.ciqfunctions.udf.CIQ(B$3,$AL$1,$AL$2,$A53,"L",,"USD","H")</f>
        <v>-9.5722000000000005</v>
      </c>
      <c r="AM53" s="13" cm="1">
        <f t="array" ref="AM53">_xll.ciqfunctions.udf.CIQ(C$3,$AL$1,$AL$2,$A53,"L",,"USD","H")</f>
        <v>-56.8825</v>
      </c>
      <c r="AN53" s="13" cm="1">
        <f t="array" ref="AN53">_xll.ciqfunctions.udf.CIQ(D$3,$AL$1,$AL$2,$A53,"L",,"USD","H")</f>
        <v>-25.589500000000001</v>
      </c>
      <c r="AO53" s="13" cm="1">
        <f t="array" ref="AO53">_xll.ciqfunctions.udf.CIQ(E$3,$AL$1,$AL$2,$A53,"L",,"USD","H")</f>
        <v>66.682299999999998</v>
      </c>
      <c r="AP53" s="13" t="str" cm="1">
        <f t="array" ref="AP53">_xll.ciqfunctions.udf.CIQ(F$3,$AL$1,$AL$2,$A53,"L",,"USD","H")</f>
        <v>NM</v>
      </c>
      <c r="AQ53" s="13" cm="1">
        <f t="array" ref="AQ53">_xll.ciqfunctions.udf.CIQ(G$3,$AL$1,$AL$2,$A53,"L",,"USD","H")</f>
        <v>43.186500000000002</v>
      </c>
      <c r="AR53" s="41" cm="1">
        <f t="array" ref="AR53">_xll.ciqfunctions.udf.CIQ(B$3,$AL$1,$AR$2,$A53,"L",,"USD","H")</f>
        <v>-33.871600000000001</v>
      </c>
      <c r="AS53" s="41" cm="1">
        <f t="array" ref="AS53">_xll.ciqfunctions.udf.CIQ(C$3,$AL$1,$AR$2,$A53,"L",,"USD","H")</f>
        <v>-20.425899999999999</v>
      </c>
      <c r="AT53" s="41" cm="1">
        <f t="array" ref="AT53">_xll.ciqfunctions.udf.CIQ(D$3,$AL$1,$AR$2,$A53,"L",,"USD","H")</f>
        <v>-9.7323000000000004</v>
      </c>
      <c r="AU53" s="41" cm="1">
        <f t="array" ref="AU53">_xll.ciqfunctions.udf.CIQ(E$3,$AL$1,$AR$2,$A53,"L",,"USD","H")</f>
        <v>-27.252400000000002</v>
      </c>
      <c r="AV53" s="41" cm="1">
        <f t="array" ref="AV53">_xll.ciqfunctions.udf.CIQ(F$3,$AL$1,$AR$2,$A53,"L",,"USD","H")</f>
        <v>51.237000000000002</v>
      </c>
      <c r="AW53" s="41" t="str" cm="1">
        <f t="array" ref="AW53">_xll.ciqfunctions.udf.CIQ(G$3,$AL$1,$AR$2,$A53,"L",,"USD","H")</f>
        <v>NM</v>
      </c>
      <c r="AX53" s="38" cm="1">
        <f t="array" ref="AX53">_xll.ciqfunctions.udf.CIQ(B$3,$AX$1,$AX$2,$A53,"L",,"USD","H")</f>
        <v>5671</v>
      </c>
      <c r="AY53" s="38" cm="1">
        <f t="array" ref="AY53">_xll.ciqfunctions.udf.CIQ(C$3,$AX$1,$AX$2,$A53,"L",,"USD","H")</f>
        <v>13642</v>
      </c>
      <c r="AZ53" s="38" cm="1">
        <f t="array" ref="AZ53">_xll.ciqfunctions.udf.CIQ(D$3,$AX$1,$AX$2,$A53,"L",,"USD","H")</f>
        <v>9933</v>
      </c>
      <c r="BA53" s="38" cm="1">
        <f t="array" ref="BA53">_xll.ciqfunctions.udf.CIQ(E$3,$AX$1,$AX$2,$A53,"L",,"USD","H")</f>
        <v>2027.3889999999999</v>
      </c>
      <c r="BB53" s="38" cm="1">
        <f t="array" ref="BB53">_xll.ciqfunctions.udf.CIQ(F$3,$AX$1,$AX$2,$A53,"L",,"USD","H")</f>
        <v>7637</v>
      </c>
      <c r="BC53" s="38" cm="1">
        <f t="array" ref="BC53">_xll.ciqfunctions.udf.CIQ(G$3,$AX$1,$AX$2,$A53,"L",,"USD","H")</f>
        <v>1852</v>
      </c>
      <c r="BD53" s="40" cm="1">
        <f t="array" ref="BD53">_xll.ciqfunctions.udf.CIQ(B$3,$AX$1,$BD$2,$A53,"L",,"USD","H")</f>
        <v>22270</v>
      </c>
      <c r="BE53" s="40" cm="1">
        <f t="array" ref="BE53">_xll.ciqfunctions.udf.CIQ(C$3,$AX$1,$BD$2,$A53,"L",,"USD","H")</f>
        <v>62482</v>
      </c>
      <c r="BF53" s="40" cm="1">
        <f t="array" ref="BF53">_xll.ciqfunctions.udf.CIQ(D$3,$AX$1,$BD$2,$A53,"L",,"USD","H")</f>
        <v>43324</v>
      </c>
      <c r="BG53" s="40">
        <f>_xll.ciqfunctions.udf.CIQ("COP", "IQ_PRICEDATE", "1/31/2025")</f>
        <v>45688</v>
      </c>
      <c r="BH53" s="40" cm="1">
        <f t="array" ref="BH53">_xll.ciqfunctions.udf.CIQ(F$3,$AX$1,$BD$2,$A53,"L",,"USD","H")</f>
        <v>37652</v>
      </c>
      <c r="BI53" s="40" cm="1">
        <f t="array" ref="BI53">_xll.ciqfunctions.udf.CIQ(G$3,$AX$1,$BD$2,$A53,"L",,"USD","H")</f>
        <v>4822</v>
      </c>
      <c r="BJ53" s="43">
        <f t="shared" si="1"/>
        <v>6.4976525821596187E-2</v>
      </c>
      <c r="BK53" s="43">
        <f t="shared" si="2"/>
        <v>-0.121118412575699</v>
      </c>
      <c r="BL53" s="43">
        <f t="shared" si="3"/>
        <v>-0.22465069081258293</v>
      </c>
      <c r="BM53" s="43">
        <f t="shared" si="4"/>
        <v>0.40592608619370862</v>
      </c>
      <c r="BN53" s="43">
        <f t="shared" si="5"/>
        <v>0.31695119848249709</v>
      </c>
      <c r="BO53" s="43">
        <f t="shared" si="6"/>
        <v>0.20181700194678776</v>
      </c>
      <c r="BP53" s="42">
        <f t="shared" si="7"/>
        <v>3.2021873117382693E-2</v>
      </c>
      <c r="BQ53" s="42">
        <f t="shared" si="8"/>
        <v>-4.4646952692578235E-2</v>
      </c>
      <c r="BR53" s="42">
        <f t="shared" si="9"/>
        <v>-0.15017653981953705</v>
      </c>
      <c r="BS53" s="42">
        <f t="shared" si="10"/>
        <v>6.1322820849762927E-4</v>
      </c>
      <c r="BT53" s="42">
        <f t="shared" si="11"/>
        <v>9.4757654173814432E-2</v>
      </c>
      <c r="BU53" s="42">
        <f t="shared" si="12"/>
        <v>-0.26505105928974237</v>
      </c>
      <c r="BV53" s="68" cm="1">
        <f t="array" ref="BV53">_xll.ciqfunctions.udf.CIQ(B$3,$BV$1,$BV$2,$A53,"L",,"USD","H")/100</f>
        <v>6.6740000000000008E-2</v>
      </c>
      <c r="BW53" s="68" cm="1">
        <f t="array" ref="BW53">_xll.ciqfunctions.udf.CIQ(C$3,$BV$1,$BV$2,$A53,"L",,"USD","H")/100</f>
        <v>8.6180000000000007E-2</v>
      </c>
      <c r="BX53" s="68" cm="1">
        <f t="array" ref="BX53">_xll.ciqfunctions.udf.CIQ(D$3,$BV$1,$BV$2,$A53,"L",,"USD","H")/100</f>
        <v>8.6164000000000004E-2</v>
      </c>
      <c r="BY53" s="68" cm="1">
        <f t="array" ref="BY53">_xll.ciqfunctions.udf.CIQ(E$3,$BV$1,$BV$2,$A53,"L",,"USD","H")/100</f>
        <v>0.119476</v>
      </c>
      <c r="BZ53" s="68" cm="1">
        <f t="array" ref="BZ53">_xll.ciqfunctions.udf.CIQ(F$3,$BV$1,$BV$2,$A53,"L",,"USD","H")/100</f>
        <v>1.4523999999999999E-2</v>
      </c>
      <c r="CA53" s="68" cm="1">
        <f t="array" ref="CA53">_xll.ciqfunctions.udf.CIQ(G$3,$BV$1,$BV$2,$A53,"L",,"USD","H")/100</f>
        <v>7.6548000000000005E-2</v>
      </c>
      <c r="CB53" s="68" cm="1">
        <f t="array" ref="CB53">_xll.ciqfunctions.udf.CIQ(B$3,$BV$1,$CB$2,$A53,"L",,"USD","H")/100</f>
        <v>5.6593999999999998E-2</v>
      </c>
      <c r="CC53" s="68" cm="1">
        <f t="array" ref="CC53">_xll.ciqfunctions.udf.CIQ(C$3,$BV$1,$CB$2,$A53,"L",,"USD","H")/100</f>
        <v>0.13516800000000001</v>
      </c>
      <c r="CD53" s="68" cm="1">
        <f t="array" ref="CD53">_xll.ciqfunctions.udf.CIQ(D$3,$BV$1,$CB$2,$A53,"L",,"USD","H")/100</f>
        <v>0.110512</v>
      </c>
      <c r="CE53" s="68" cm="1">
        <f t="array" ref="CE53">_xll.ciqfunctions.udf.CIQ(E$3,$BV$1,$CB$2,$A53,"L",,"USD","H")/100</f>
        <v>4.1756000000000001E-2</v>
      </c>
      <c r="CF53" s="68" cm="1">
        <f t="array" ref="CF53">_xll.ciqfunctions.udf.CIQ(F$3,$BV$1,$CB$2,$A53,"L",,"USD","H")/100</f>
        <v>0.11841699999999999</v>
      </c>
      <c r="CG53" s="68" cm="1">
        <f t="array" ref="CG53">_xll.ciqfunctions.udf.CIQ(G$3,$BV$1,$CB$2,$A53,"L",,"USD","H")/100</f>
        <v>-6.5477999999999995E-2</v>
      </c>
    </row>
    <row r="54" spans="1:85" x14ac:dyDescent="0.45">
      <c r="A54" s="3">
        <f t="shared" si="13"/>
        <v>41364</v>
      </c>
      <c r="B54" s="14" cm="1">
        <f t="array" ref="B54">_xll.ciqfunctions.udf.CIQ(B$3,$B$1,$B$2,$A54,"L",,"USD","H")</f>
        <v>14593</v>
      </c>
      <c r="C54" s="38" cm="1">
        <f t="array" ref="C54">_xll.ciqfunctions.udf.CIQ(C$3,$B$1,$B$2,$A54,"L",,"USD","H")</f>
        <v>95886</v>
      </c>
      <c r="D54" s="38" cm="1">
        <f t="array" ref="D54">_xll.ciqfunctions.udf.CIQ(D$3,$B$1,$B$2,$A54,"L",,"USD","H")</f>
        <v>52263</v>
      </c>
      <c r="E54" s="38" cm="1">
        <f t="array" ref="E54">_xll.ciqfunctions.udf.CIQ(E$3,$B$1,$B$2,$A54,"L",,"USD","H")</f>
        <v>3297.2370000000001</v>
      </c>
      <c r="F54" s="38" cm="1">
        <f t="array" ref="F54">_xll.ciqfunctions.udf.CIQ(F$3,$B$1,$B$2,$A54,"L",,"USD","H")</f>
        <v>94107</v>
      </c>
      <c r="G54" s="38" cm="1">
        <f t="array" ref="G54">_xll.ciqfunctions.udf.CIQ(G$3,$B$1,$B$2,$A54,"L",,"USD","H")</f>
        <v>2291</v>
      </c>
      <c r="H54" s="40" cm="1">
        <f t="array" ref="H54">_xll.ciqfunctions.udf.CIQ(B$3,$B$1,$H$2,$A54,"L",,"USD","H")</f>
        <v>59328</v>
      </c>
      <c r="I54" s="40" cm="1">
        <f t="array" ref="I54">_xll.ciqfunctions.udf.CIQ(C$3,$B$1,$H$2,$A54,"L",,"USD","H")</f>
        <v>404290</v>
      </c>
      <c r="J54" s="40" cm="1">
        <f t="array" ref="J54">_xll.ciqfunctions.udf.CIQ(D$3,$B$1,$H$2,$A54,"L",,"USD","H")</f>
        <v>217733</v>
      </c>
      <c r="K54" s="40" cm="1">
        <f t="array" ref="K54">_xll.ciqfunctions.udf.CIQ(E$3,$B$1,$H$2,$A54,"L",,"USD","H")</f>
        <v>11788.494000000001</v>
      </c>
      <c r="L54" s="40" cm="1">
        <f t="array" ref="L54">_xll.ciqfunctions.udf.CIQ(F$3,$B$1,$H$2,$A54,"L",,"USD","H")</f>
        <v>376352</v>
      </c>
      <c r="M54" s="40" cm="1">
        <f t="array" ref="M54">_xll.ciqfunctions.udf.CIQ(G$3,$B$1,$H$2,$A54,"L",,"USD","H")</f>
        <v>8800</v>
      </c>
      <c r="N54" s="13" cm="1">
        <f t="array" ref="N54">_xll.ciqfunctions.udf.CIQ(B$3,$N$1,$B$2,$A54,"L",,"USD","H")</f>
        <v>-3.6320999999999999</v>
      </c>
      <c r="O54" s="13" cm="1">
        <f t="array" ref="O54">_xll.ciqfunctions.udf.CIQ(C$3,$N$1,$B$2,$A54,"L",,"USD","H")</f>
        <v>-13.379</v>
      </c>
      <c r="P54" s="13" cm="1">
        <f t="array" ref="P54">_xll.ciqfunctions.udf.CIQ(D$3,$N$1,$B$2,$A54,"L",,"USD","H")</f>
        <v>-8.4855999999999998</v>
      </c>
      <c r="Q54" s="13" cm="1">
        <f t="array" ref="Q54">_xll.ciqfunctions.udf.CIQ(E$3,$N$1,$B$2,$A54,"L",,"USD","H")</f>
        <v>26.5746</v>
      </c>
      <c r="R54" s="13" cm="1">
        <f t="array" ref="R54">_xll.ciqfunctions.udf.CIQ(F$3,$N$1,$B$2,$A54,"L",,"USD","H")</f>
        <v>-0.81269999999999998</v>
      </c>
      <c r="S54" s="13" cm="1">
        <f t="array" ref="S54">_xll.ciqfunctions.udf.CIQ(G$3,$N$1,$B$2,$A54,"L",,"USD","H")</f>
        <v>-0.34799999999999998</v>
      </c>
      <c r="T54" s="94">
        <v>45702</v>
      </c>
      <c r="U54" s="41" cm="1">
        <f t="array" ref="U54">_xll.ciqfunctions.udf.CIQ(O$3,$N$1,$T$2,$A54,"L",,"USD","H")</f>
        <v>-8.7149000000000001</v>
      </c>
      <c r="V54" s="41" cm="1">
        <f t="array" ref="V54">_xll.ciqfunctions.udf.CIQ(P$3,$N$1,$T$2,$A54,"L",,"USD","H")</f>
        <v>-8.1748999999999992</v>
      </c>
      <c r="W54" s="41" cm="1">
        <f t="array" ref="W54">_xll.ciqfunctions.udf.CIQ(Q$3,$N$1,$T$2,$A54,"L",,"USD","H")</f>
        <v>21.2805</v>
      </c>
      <c r="X54" s="41" cm="1">
        <f t="array" ref="X54">_xll.ciqfunctions.udf.CIQ(R$3,$N$1,$T$2,$A54,"L",,"USD","H")</f>
        <v>-2.2629999999999999</v>
      </c>
      <c r="Y54" s="41" cm="1">
        <f t="array" ref="Y54">_xll.ciqfunctions.udf.CIQ(S$3,$N$1,$T$2,$A54,"L",,"USD","H")</f>
        <v>-15.0989</v>
      </c>
      <c r="Z54" s="38" cm="1">
        <f t="array" ref="Z54">_xll.ciqfunctions.udf.CIQ(B$3,$Z$1,$B$2,$A54,"L",,"USD","H")</f>
        <v>2139</v>
      </c>
      <c r="AA54" s="38" cm="1">
        <f t="array" ref="AA54">_xll.ciqfunctions.udf.CIQ(C$3,$Z$1,$B$2,$A54,"L",,"USD","H")</f>
        <v>9500</v>
      </c>
      <c r="AB54" s="38" cm="1">
        <f t="array" ref="AB54">_xll.ciqfunctions.udf.CIQ(D$3,$Z$1,$B$2,$A54,"L",,"USD","H")</f>
        <v>6178</v>
      </c>
      <c r="AC54" s="38" cm="1">
        <f t="array" ref="AC54">_xll.ciqfunctions.udf.CIQ(E$3,$Z$1,$B$2,$A54,"L",,"USD","H")</f>
        <v>494.72500000000002</v>
      </c>
      <c r="AD54" s="38" cm="1">
        <f t="array" ref="AD54">_xll.ciqfunctions.udf.CIQ(F$3,$Z$1,$B$2,$A54,"L",,"USD","H")</f>
        <v>16863</v>
      </c>
      <c r="AE54" s="38" cm="1">
        <f t="array" ref="AE54">_xll.ciqfunctions.udf.CIQ(G$3,$Z$1,$B$2,$A54,"L",,"USD","H")</f>
        <v>-1339</v>
      </c>
      <c r="AF54" s="40" cm="1">
        <f t="array" ref="AF54">_xll.ciqfunctions.udf.CIQ(B$3,$Z$1,$H$2,$A54,"L",,"USD","H")</f>
        <v>7630</v>
      </c>
      <c r="AG54" s="40" cm="1">
        <f t="array" ref="AG54">_xll.ciqfunctions.udf.CIQ(C$3,$Z$1,$H$2,$A54,"L",,"USD","H")</f>
        <v>44930</v>
      </c>
      <c r="AH54" s="40" cm="1">
        <f t="array" ref="AH54">_xll.ciqfunctions.udf.CIQ(D$3,$Z$1,$H$2,$A54,"L",,"USD","H")</f>
        <v>25886</v>
      </c>
      <c r="AI54" s="40" cm="1">
        <f t="array" ref="AI54">_xll.ciqfunctions.udf.CIQ(E$3,$Z$1,$H$2,$A54,"L",,"USD","H")</f>
        <v>740.995</v>
      </c>
      <c r="AJ54" s="40" cm="1">
        <f t="array" ref="AJ54">_xll.ciqfunctions.udf.CIQ(F$3,$Z$1,$H$2,$A54,"L",,"USD","H")</f>
        <v>22113</v>
      </c>
      <c r="AK54" s="40" cm="1">
        <f t="array" ref="AK54">_xll.ciqfunctions.udf.CIQ(G$3,$Z$1,$H$2,$A54,"L",,"USD","H")</f>
        <v>-1938</v>
      </c>
      <c r="AL54" s="13" cm="1">
        <f t="array" ref="AL54">_xll.ciqfunctions.udf.CIQ(B$3,$AL$1,$AL$2,$A54,"L",,"USD","H")</f>
        <v>-27.1706</v>
      </c>
      <c r="AM54" s="13" cm="1">
        <f t="array" ref="AM54">_xll.ciqfunctions.udf.CIQ(C$3,$AL$1,$AL$2,$A54,"L",,"USD","H")</f>
        <v>0.52910000000000001</v>
      </c>
      <c r="AN54" s="13" cm="1">
        <f t="array" ref="AN54">_xll.ciqfunctions.udf.CIQ(D$3,$AL$1,$AL$2,$A54,"L",,"USD","H")</f>
        <v>-4.5278999999999998</v>
      </c>
      <c r="AO54" s="13" cm="1">
        <f t="array" ref="AO54">_xll.ciqfunctions.udf.CIQ(E$3,$AL$1,$AL$2,$A54,"L",,"USD","H")</f>
        <v>52.688600000000001</v>
      </c>
      <c r="AP54" s="13" cm="1">
        <f t="array" ref="AP54">_xll.ciqfunctions.udf.CIQ(F$3,$AL$1,$AL$2,$A54,"L",,"USD","H")</f>
        <v>192.405</v>
      </c>
      <c r="AQ54" s="13" t="str" cm="1">
        <f t="array" ref="AQ54">_xll.ciqfunctions.udf.CIQ(G$3,$AL$1,$AL$2,$A54,"L",,"USD","H")</f>
        <v>NM</v>
      </c>
      <c r="AR54" s="41" cm="1">
        <f t="array" ref="AR54">_xll.ciqfunctions.udf.CIQ(B$3,$AL$1,$AR$2,$A54,"L",,"USD","H")</f>
        <v>-38.1937</v>
      </c>
      <c r="AS54" s="41" cm="1">
        <f t="array" ref="AS54">_xll.ciqfunctions.udf.CIQ(C$3,$AL$1,$AR$2,$A54,"L",,"USD","H")</f>
        <v>12.7195</v>
      </c>
      <c r="AT54" s="41" cm="1">
        <f t="array" ref="AT54">_xll.ciqfunctions.udf.CIQ(D$3,$AL$1,$AR$2,$A54,"L",,"USD","H")</f>
        <v>-4.6731999999999996</v>
      </c>
      <c r="AU54" s="41" cm="1">
        <f t="array" ref="AU54">_xll.ciqfunctions.udf.CIQ(E$3,$AL$1,$AR$2,$A54,"L",,"USD","H")</f>
        <v>-42.162199999999999</v>
      </c>
      <c r="AV54" s="41" cm="1">
        <f t="array" ref="AV54">_xll.ciqfunctions.udf.CIQ(F$3,$AL$1,$AR$2,$A54,"L",,"USD","H")</f>
        <v>-8.6730999999999998</v>
      </c>
      <c r="AW54" s="41" t="str" cm="1">
        <f t="array" ref="AW54">_xll.ciqfunctions.udf.CIQ(G$3,$AL$1,$AR$2,$A54,"L",,"USD","H")</f>
        <v>NM</v>
      </c>
      <c r="AX54" s="38" cm="1">
        <f t="array" ref="AX54">_xll.ciqfunctions.udf.CIQ(B$3,$AX$1,$AX$2,$A54,"L",,"USD","H")</f>
        <v>5664</v>
      </c>
      <c r="AY54" s="38" cm="1">
        <f t="array" ref="AY54">_xll.ciqfunctions.udf.CIQ(C$3,$AX$1,$AX$2,$A54,"L",,"USD","H")</f>
        <v>15193</v>
      </c>
      <c r="AZ54" s="38" cm="1">
        <f t="array" ref="AZ54">_xll.ciqfunctions.udf.CIQ(D$3,$AX$1,$AX$2,$A54,"L",,"USD","H")</f>
        <v>11241</v>
      </c>
      <c r="BA54" s="38" cm="1">
        <f t="array" ref="BA54">_xll.ciqfunctions.udf.CIQ(E$3,$AX$1,$AX$2,$A54,"L",,"USD","H")</f>
        <v>1568.777</v>
      </c>
      <c r="BB54" s="38" cm="1">
        <f t="array" ref="BB54">_xll.ciqfunctions.udf.CIQ(F$3,$AX$1,$AX$2,$A54,"L",,"USD","H")</f>
        <v>10410</v>
      </c>
      <c r="BC54" s="38" cm="1">
        <f t="array" ref="BC54">_xll.ciqfunctions.udf.CIQ(G$3,$AX$1,$AX$2,$A54,"L",,"USD","H")</f>
        <v>825</v>
      </c>
      <c r="BD54" s="40" cm="1">
        <f t="array" ref="BD54">_xll.ciqfunctions.udf.CIQ(B$3,$AX$1,$BD$2,$A54,"L",,"USD","H")</f>
        <v>21957</v>
      </c>
      <c r="BE54" s="40" cm="1">
        <f t="array" ref="BE54">_xll.ciqfunctions.udf.CIQ(C$3,$AX$1,$BD$2,$A54,"L",,"USD","H")</f>
        <v>64362</v>
      </c>
      <c r="BF54" s="40" cm="1">
        <f t="array" ref="BF54">_xll.ciqfunctions.udf.CIQ(D$3,$AX$1,$BD$2,$A54,"L",,"USD","H")</f>
        <v>46197</v>
      </c>
      <c r="BG54" s="40">
        <f>_xll.ciqfunctions.udf.CIQ("COP", "IQ_PRICEDATE", "1/24/2025")</f>
        <v>45681</v>
      </c>
      <c r="BH54" s="40" cm="1">
        <f t="array" ref="BH54">_xll.ciqfunctions.udf.CIQ(F$3,$AX$1,$BD$2,$A54,"L",,"USD","H")</f>
        <v>35814</v>
      </c>
      <c r="BI54" s="40" cm="1">
        <f t="array" ref="BI54">_xll.ciqfunctions.udf.CIQ(G$3,$AX$1,$BD$2,$A54,"L",,"USD","H")</f>
        <v>4511</v>
      </c>
      <c r="BJ54" s="43">
        <f t="shared" si="1"/>
        <v>-2.6302217637957703E-2</v>
      </c>
      <c r="BK54" s="43">
        <f t="shared" si="2"/>
        <v>-8.4759036144578359E-2</v>
      </c>
      <c r="BL54" s="43">
        <f t="shared" si="3"/>
        <v>-0.16547884187082407</v>
      </c>
      <c r="BM54" s="43">
        <f t="shared" si="4"/>
        <v>0.14159791121195409</v>
      </c>
      <c r="BN54" s="43">
        <f t="shared" si="5"/>
        <v>4.7599879239206944E-2</v>
      </c>
      <c r="BO54" s="43">
        <f t="shared" si="6"/>
        <v>-0.40817790530846487</v>
      </c>
      <c r="BP54" s="42">
        <f t="shared" si="7"/>
        <v>-2.9524861878453046E-2</v>
      </c>
      <c r="BQ54" s="42">
        <f t="shared" si="8"/>
        <v>-5.8112478597456607E-2</v>
      </c>
      <c r="BR54" s="42">
        <f t="shared" si="9"/>
        <v>-0.11772120471343173</v>
      </c>
      <c r="BS54" s="42">
        <f t="shared" si="10"/>
        <v>6.1332223512144957E-4</v>
      </c>
      <c r="BT54" s="42">
        <f t="shared" si="11"/>
        <v>-7.1959783369179298E-2</v>
      </c>
      <c r="BU54" s="42">
        <f t="shared" si="12"/>
        <v>-0.36455838850542333</v>
      </c>
      <c r="BV54" s="68" cm="1">
        <f t="array" ref="BV54">_xll.ciqfunctions.udf.CIQ(B$3,$BV$1,$BV$2,$A54,"L",,"USD","H")/100</f>
        <v>7.1548E-2</v>
      </c>
      <c r="BW54" s="68" cm="1">
        <f t="array" ref="BW54">_xll.ciqfunctions.udf.CIQ(C$3,$BV$1,$BV$2,$A54,"L",,"USD","H")/100</f>
        <v>0.15014</v>
      </c>
      <c r="BX54" s="68" cm="1">
        <f t="array" ref="BX54">_xll.ciqfunctions.udf.CIQ(D$3,$BV$1,$BV$2,$A54,"L",,"USD","H")/100</f>
        <v>0.116288</v>
      </c>
      <c r="BY54" s="68" cm="1">
        <f t="array" ref="BY54">_xll.ciqfunctions.udf.CIQ(E$3,$BV$1,$BV$2,$A54,"L",,"USD","H")/100</f>
        <v>9.0440000000000006E-2</v>
      </c>
      <c r="BZ54" s="68" cm="1">
        <f t="array" ref="BZ54">_xll.ciqfunctions.udf.CIQ(F$3,$BV$1,$BV$2,$A54,"L",,"USD","H")/100</f>
        <v>0.35232799999999997</v>
      </c>
      <c r="CA54" s="68" cm="1">
        <f t="array" ref="CA54">_xll.ciqfunctions.udf.CIQ(G$3,$BV$1,$BV$2,$A54,"L",,"USD","H")/100</f>
        <v>-0.17535599999999998</v>
      </c>
      <c r="CB54" s="68" cm="1">
        <f t="array" ref="CB54">_xll.ciqfunctions.udf.CIQ(B$3,$BV$1,$CB$2,$A54,"L",,"USD","H")/100</f>
        <v>5.0391000000000005E-2</v>
      </c>
      <c r="CC54" s="68" cm="1">
        <f t="array" ref="CC54">_xll.ciqfunctions.udf.CIQ(C$3,$BV$1,$CB$2,$A54,"L",,"USD","H")/100</f>
        <v>0.18838100000000002</v>
      </c>
      <c r="CD54" s="68" cm="1">
        <f t="array" ref="CD54">_xll.ciqfunctions.udf.CIQ(D$3,$BV$1,$CB$2,$A54,"L",,"USD","H")/100</f>
        <v>0.129773</v>
      </c>
      <c r="CE54" s="68" cm="1">
        <f t="array" ref="CE54">_xll.ciqfunctions.udf.CIQ(E$3,$BV$1,$CB$2,$A54,"L",,"USD","H")/100</f>
        <v>2.9251999999999997E-2</v>
      </c>
      <c r="CF54" s="68" cm="1">
        <f t="array" ref="CF54">_xll.ciqfunctions.udf.CIQ(F$3,$BV$1,$CB$2,$A54,"L",,"USD","H")/100</f>
        <v>9.5623E-2</v>
      </c>
      <c r="CG54" s="68" cm="1">
        <f t="array" ref="CG54">_xll.ciqfunctions.udf.CIQ(G$3,$BV$1,$CB$2,$A54,"L",,"USD","H")/100</f>
        <v>-7.0002000000000009E-2</v>
      </c>
    </row>
    <row r="55" spans="1:85" x14ac:dyDescent="0.45">
      <c r="A55" s="3">
        <f t="shared" si="13"/>
        <v>41274</v>
      </c>
      <c r="B55" s="14" cm="1">
        <f t="array" ref="B55">_xll.ciqfunctions.udf.CIQ(B$3,$B$1,$B$2,$A55,"L",,"USD","H")</f>
        <v>15881</v>
      </c>
      <c r="C55" s="38" cm="1">
        <f t="array" ref="C55">_xll.ciqfunctions.udf.CIQ(C$3,$B$1,$B$2,$A55,"L",,"USD","H")</f>
        <v>101409</v>
      </c>
      <c r="D55" s="38" cm="1">
        <f t="array" ref="D55">_xll.ciqfunctions.udf.CIQ(D$3,$B$1,$B$2,$A55,"L",,"USD","H")</f>
        <v>54122</v>
      </c>
      <c r="E55" s="38" cm="1">
        <f t="array" ref="E55">_xll.ciqfunctions.udf.CIQ(E$3,$B$1,$B$2,$A55,"L",,"USD","H")</f>
        <v>3000.8690000000001</v>
      </c>
      <c r="F55" s="38" cm="1">
        <f t="array" ref="F55">_xll.ciqfunctions.udf.CIQ(F$3,$B$1,$B$2,$A55,"L",,"USD","H")</f>
        <v>95268</v>
      </c>
      <c r="G55" s="38" cm="1">
        <f t="array" ref="G55">_xll.ciqfunctions.udf.CIQ(G$3,$B$1,$B$2,$A55,"L",,"USD","H")</f>
        <v>2566</v>
      </c>
      <c r="H55" s="40" cm="1">
        <f t="array" ref="H55">_xll.ciqfunctions.udf.CIQ(B$3,$B$1,$H$2,$A55,"L",,"USD","H")</f>
        <v>60184</v>
      </c>
      <c r="I55" s="40" cm="1">
        <f t="array" ref="I55">_xll.ciqfunctions.udf.CIQ(C$3,$B$1,$H$2,$A55,"L",,"USD","H")</f>
        <v>419100</v>
      </c>
      <c r="J55" s="40" cm="1">
        <f t="array" ref="J55">_xll.ciqfunctions.udf.CIQ(D$3,$B$1,$H$2,$A55,"L",,"USD","H")</f>
        <v>222579</v>
      </c>
      <c r="K55" s="40" cm="1">
        <f t="array" ref="K55">_xll.ciqfunctions.udf.CIQ(E$3,$B$1,$H$2,$A55,"L",,"USD","H")</f>
        <v>11096.232</v>
      </c>
      <c r="L55" s="40" cm="1">
        <f t="array" ref="L55">_xll.ciqfunctions.udf.CIQ(F$3,$B$1,$H$2,$A55,"L",,"USD","H")</f>
        <v>375765</v>
      </c>
      <c r="M55" s="40" cm="1">
        <f t="array" ref="M55">_xll.ciqfunctions.udf.CIQ(G$3,$B$1,$H$2,$A55,"L",,"USD","H")</f>
        <v>8808</v>
      </c>
      <c r="N55" s="13" cm="1">
        <f t="array" ref="N55">_xll.ciqfunctions.udf.CIQ(B$3,$N$1,$B$2,$A55,"L",,"USD","H")</f>
        <v>6.4337999999999997</v>
      </c>
      <c r="O55" s="13" cm="1">
        <f t="array" ref="O55">_xll.ciqfunctions.udf.CIQ(C$3,$N$1,$B$2,$A55,"L",,"USD","H")</f>
        <v>-5.5949999999999998</v>
      </c>
      <c r="P55" s="13" cm="1">
        <f t="array" ref="P55">_xll.ciqfunctions.udf.CIQ(D$3,$N$1,$B$2,$A55,"L",,"USD","H")</f>
        <v>-3.8925000000000001</v>
      </c>
      <c r="Q55" s="13" cm="1">
        <f t="array" ref="Q55">_xll.ciqfunctions.udf.CIQ(E$3,$N$1,$B$2,$A55,"L",,"USD","H")</f>
        <v>16.4222</v>
      </c>
      <c r="R55" s="13" cm="1">
        <f t="array" ref="R55">_xll.ciqfunctions.udf.CIQ(F$3,$N$1,$B$2,$A55,"L",,"USD","H")</f>
        <v>1.9552</v>
      </c>
      <c r="S55" s="13" cm="1">
        <f t="array" ref="S55">_xll.ciqfunctions.udf.CIQ(G$3,$N$1,$B$2,$A55,"L",,"USD","H")</f>
        <v>-2.3963999999999999</v>
      </c>
      <c r="T55" s="94">
        <v>45695</v>
      </c>
      <c r="U55" s="41" cm="1">
        <f t="array" ref="U55">_xll.ciqfunctions.udf.CIQ(O$3,$N$1,$T$2,$A55,"L",,"USD","H")</f>
        <v>-3.3275999999999999</v>
      </c>
      <c r="V55" s="41" cm="1">
        <f t="array" ref="V55">_xll.ciqfunctions.udf.CIQ(P$3,$N$1,$T$2,$A55,"L",,"USD","H")</f>
        <v>-5.8010999999999999</v>
      </c>
      <c r="W55" s="41" cm="1">
        <f t="array" ref="W55">_xll.ciqfunctions.udf.CIQ(Q$3,$N$1,$T$2,$A55,"L",,"USD","H")</f>
        <v>23.1935</v>
      </c>
      <c r="X55" s="41" cm="1">
        <f t="array" ref="X55">_xll.ciqfunctions.udf.CIQ(R$3,$N$1,$T$2,$A55,"L",,"USD","H")</f>
        <v>-0.1043</v>
      </c>
      <c r="Y55" s="41" cm="1">
        <f t="array" ref="Y55">_xll.ciqfunctions.udf.CIQ(S$3,$N$1,$T$2,$A55,"L",,"USD","H")</f>
        <v>-16.622499999999999</v>
      </c>
      <c r="Z55" s="38" cm="1">
        <f t="array" ref="Z55">_xll.ciqfunctions.udf.CIQ(B$3,$Z$1,$B$2,$A55,"L",,"USD","H")</f>
        <v>1426</v>
      </c>
      <c r="AA55" s="38" cm="1">
        <f t="array" ref="AA55">_xll.ciqfunctions.udf.CIQ(C$3,$Z$1,$B$2,$A55,"L",,"USD","H")</f>
        <v>9950</v>
      </c>
      <c r="AB55" s="38" cm="1">
        <f t="array" ref="AB55">_xll.ciqfunctions.udf.CIQ(D$3,$Z$1,$B$2,$A55,"L",,"USD","H")</f>
        <v>7245</v>
      </c>
      <c r="AC55" s="38" cm="1">
        <f t="array" ref="AC55">_xll.ciqfunctions.udf.CIQ(E$3,$Z$1,$B$2,$A55,"L",,"USD","H")</f>
        <v>-504.99900000000002</v>
      </c>
      <c r="AD55" s="38" cm="1">
        <f t="array" ref="AD55">_xll.ciqfunctions.udf.CIQ(F$3,$Z$1,$B$2,$A55,"L",,"USD","H")</f>
        <v>1488</v>
      </c>
      <c r="AE55" s="38" cm="1">
        <f t="array" ref="AE55">_xll.ciqfunctions.udf.CIQ(G$3,$Z$1,$B$2,$A55,"L",,"USD","H")</f>
        <v>-357</v>
      </c>
      <c r="AF55" s="40" cm="1">
        <f t="array" ref="AF55">_xll.ciqfunctions.udf.CIQ(B$3,$Z$1,$H$2,$A55,"L",,"USD","H")</f>
        <v>8428</v>
      </c>
      <c r="AG55" s="40" cm="1">
        <f t="array" ref="AG55">_xll.ciqfunctions.udf.CIQ(C$3,$Z$1,$H$2,$A55,"L",,"USD","H")</f>
        <v>44880</v>
      </c>
      <c r="AH55" s="40" cm="1">
        <f t="array" ref="AH55">_xll.ciqfunctions.udf.CIQ(D$3,$Z$1,$H$2,$A55,"L",,"USD","H")</f>
        <v>26179</v>
      </c>
      <c r="AI55" s="40" cm="1">
        <f t="array" ref="AI55">_xll.ciqfunctions.udf.CIQ(E$3,$Z$1,$H$2,$A55,"L",,"USD","H")</f>
        <v>570.279</v>
      </c>
      <c r="AJ55" s="40" cm="1">
        <f t="array" ref="AJ55">_xll.ciqfunctions.udf.CIQ(F$3,$Z$1,$H$2,$A55,"L",,"USD","H")</f>
        <v>11017</v>
      </c>
      <c r="AK55" s="40" cm="1">
        <f t="array" ref="AK55">_xll.ciqfunctions.udf.CIQ(G$3,$Z$1,$H$2,$A55,"L",,"USD","H")</f>
        <v>-206</v>
      </c>
      <c r="AL55" s="13" cm="1">
        <f t="array" ref="AL55">_xll.ciqfunctions.udf.CIQ(B$3,$AL$1,$AL$2,$A55,"L",,"USD","H")</f>
        <v>-57.935200000000002</v>
      </c>
      <c r="AM55" s="13" cm="1">
        <f t="array" ref="AM55">_xll.ciqfunctions.udf.CIQ(C$3,$AL$1,$AL$2,$A55,"L",,"USD","H")</f>
        <v>5.851</v>
      </c>
      <c r="AN55" s="13" cm="1">
        <f t="array" ref="AN55">_xll.ciqfunctions.udf.CIQ(D$3,$AL$1,$AL$2,$A55,"L",,"USD","H")</f>
        <v>41.420999999999999</v>
      </c>
      <c r="AO55" s="13" t="str" cm="1">
        <f t="array" ref="AO55">_xll.ciqfunctions.udf.CIQ(E$3,$AL$1,$AL$2,$A55,"L",,"USD","H")</f>
        <v>NM</v>
      </c>
      <c r="AP55" s="13" cm="1">
        <f t="array" ref="AP55">_xll.ciqfunctions.udf.CIQ(F$3,$AL$1,$AL$2,$A55,"L",,"USD","H")</f>
        <v>-80.637699999999995</v>
      </c>
      <c r="AQ55" s="13" t="str" cm="1">
        <f t="array" ref="AQ55">_xll.ciqfunctions.udf.CIQ(G$3,$AL$1,$AL$2,$A55,"L",,"USD","H")</f>
        <v>NM</v>
      </c>
      <c r="AR55" s="41" cm="1">
        <f t="array" ref="AR55">_xll.ciqfunctions.udf.CIQ(B$3,$AL$1,$AR$2,$A55,"L",,"USD","H")</f>
        <v>-32.229100000000003</v>
      </c>
      <c r="AS55" s="41" cm="1">
        <f t="array" ref="AS55">_xll.ciqfunctions.udf.CIQ(C$3,$AL$1,$AR$2,$A55,"L",,"USD","H")</f>
        <v>9.3033999999999999</v>
      </c>
      <c r="AT55" s="41" cm="1">
        <f t="array" ref="AT55">_xll.ciqfunctions.udf.CIQ(D$3,$AL$1,$AR$2,$A55,"L",,"USD","H")</f>
        <v>-2.6623000000000001</v>
      </c>
      <c r="AU55" s="41" cm="1">
        <f t="array" ref="AU55">_xll.ciqfunctions.udf.CIQ(E$3,$AL$1,$AR$2,$A55,"L",,"USD","H")</f>
        <v>-47.734699999999997</v>
      </c>
      <c r="AV55" s="41" cm="1">
        <f t="array" ref="AV55">_xll.ciqfunctions.udf.CIQ(F$3,$AL$1,$AR$2,$A55,"L",,"USD","H")</f>
        <v>-56.302599999999998</v>
      </c>
      <c r="AW55" s="41" t="str" cm="1">
        <f t="array" ref="AW55">_xll.ciqfunctions.udf.CIQ(G$3,$AL$1,$AR$2,$A55,"L",,"USD","H")</f>
        <v>NM</v>
      </c>
      <c r="AX55" s="38" cm="1">
        <f t="array" ref="AX55">_xll.ciqfunctions.udf.CIQ(B$3,$AX$1,$AX$2,$A55,"L",,"USD","H")</f>
        <v>5581</v>
      </c>
      <c r="AY55" s="38" cm="1">
        <f t="array" ref="AY55">_xll.ciqfunctions.udf.CIQ(C$3,$AX$1,$AX$2,$A55,"L",,"USD","H")</f>
        <v>16383</v>
      </c>
      <c r="AZ55" s="38" cm="1">
        <f t="array" ref="AZ55">_xll.ciqfunctions.udf.CIQ(D$3,$AX$1,$AX$2,$A55,"L",,"USD","H")</f>
        <v>11225</v>
      </c>
      <c r="BA55" s="38" cm="1">
        <f t="array" ref="BA55">_xll.ciqfunctions.udf.CIQ(E$3,$AX$1,$AX$2,$A55,"L",,"USD","H")</f>
        <v>1484.2529999999999</v>
      </c>
      <c r="BB55" s="38" cm="1">
        <f t="array" ref="BB55">_xll.ciqfunctions.udf.CIQ(F$3,$AX$1,$AX$2,$A55,"L",,"USD","H")</f>
        <v>9808</v>
      </c>
      <c r="BC55" s="38" cm="1">
        <f t="array" ref="BC55">_xll.ciqfunctions.udf.CIQ(G$3,$AX$1,$AX$2,$A55,"L",,"USD","H")</f>
        <v>1335</v>
      </c>
      <c r="BD55" s="40" cm="1">
        <f t="array" ref="BD55">_xll.ciqfunctions.udf.CIQ(B$3,$AX$1,$BD$2,$A55,"L",,"USD","H")</f>
        <v>22416</v>
      </c>
      <c r="BE55" s="40" cm="1">
        <f t="array" ref="BE55">_xll.ciqfunctions.udf.CIQ(C$3,$AX$1,$BD$2,$A55,"L",,"USD","H")</f>
        <v>65769</v>
      </c>
      <c r="BF55" s="40" cm="1">
        <f t="array" ref="BF55">_xll.ciqfunctions.udf.CIQ(D$3,$AX$1,$BD$2,$A55,"L",,"USD","H")</f>
        <v>48432</v>
      </c>
      <c r="BG55" s="40">
        <f>_xll.ciqfunctions.udf.CIQ("COP", "IQ_PRICEDATE", "1/17/2025")</f>
        <v>45674</v>
      </c>
      <c r="BH55" s="40" cm="1">
        <f t="array" ref="BH55">_xll.ciqfunctions.udf.CIQ(F$3,$AX$1,$BD$2,$A55,"L",,"USD","H")</f>
        <v>31387</v>
      </c>
      <c r="BI55" s="40" cm="1">
        <f t="array" ref="BI55">_xll.ciqfunctions.udf.CIQ(G$3,$AX$1,$BD$2,$A55,"L",,"USD","H")</f>
        <v>5079</v>
      </c>
      <c r="BJ55" s="43">
        <f t="shared" si="1"/>
        <v>0.22015741145605605</v>
      </c>
      <c r="BK55" s="43">
        <f t="shared" si="2"/>
        <v>5.7581821702924252E-2</v>
      </c>
      <c r="BL55" s="43">
        <f t="shared" si="3"/>
        <v>-8.3922261484098426E-3</v>
      </c>
      <c r="BM55" s="43">
        <f t="shared" si="4"/>
        <v>2.6597768152950785E-2</v>
      </c>
      <c r="BN55" s="43">
        <f t="shared" si="5"/>
        <v>-1.1202770139525642E-3</v>
      </c>
      <c r="BO55" s="43">
        <f t="shared" si="6"/>
        <v>-6.1181434599156148E-2</v>
      </c>
      <c r="BP55" s="42">
        <f t="shared" si="7"/>
        <v>-2.8432732316227449E-2</v>
      </c>
      <c r="BQ55" s="42">
        <f t="shared" si="8"/>
        <v>-5.6222824917129488E-2</v>
      </c>
      <c r="BR55" s="42">
        <f t="shared" si="9"/>
        <v>-5.4247217340363196E-2</v>
      </c>
      <c r="BS55" s="42">
        <f t="shared" si="10"/>
        <v>6.1341629058397906E-4</v>
      </c>
      <c r="BT55" s="42">
        <f t="shared" si="11"/>
        <v>-0.23003140025512703</v>
      </c>
      <c r="BU55" s="42">
        <f t="shared" si="12"/>
        <v>-0.26198779424585872</v>
      </c>
      <c r="BV55" s="68" cm="1">
        <f t="array" ref="BV55">_xll.ciqfunctions.udf.CIQ(B$3,$BV$1,$BV$2,$A55,"L",,"USD","H")/100</f>
        <v>3.3692E-2</v>
      </c>
      <c r="BW55" s="68" cm="1">
        <f t="array" ref="BW55">_xll.ciqfunctions.udf.CIQ(C$3,$BV$1,$BV$2,$A55,"L",,"USD","H")/100</f>
        <v>0.159944</v>
      </c>
      <c r="BX55" s="68" cm="1">
        <f t="array" ref="BX55">_xll.ciqfunctions.udf.CIQ(D$3,$BV$1,$BV$2,$A55,"L",,"USD","H")/100</f>
        <v>0.14835599999999999</v>
      </c>
      <c r="BY55" s="68" cm="1">
        <f t="array" ref="BY55">_xll.ciqfunctions.udf.CIQ(E$3,$BV$1,$BV$2,$A55,"L",,"USD","H")/100</f>
        <v>-0.111136</v>
      </c>
      <c r="BZ55" s="68" cm="1">
        <f t="array" ref="BZ55">_xll.ciqfunctions.udf.CIQ(F$3,$BV$1,$BV$2,$A55,"L",,"USD","H")/100</f>
        <v>6.4440000000000001E-3</v>
      </c>
      <c r="CA55" s="68" cm="1">
        <f t="array" ref="CA55">_xll.ciqfunctions.udf.CIQ(G$3,$BV$1,$BV$2,$A55,"L",,"USD","H")/100</f>
        <v>-5.3259999999999995E-2</v>
      </c>
      <c r="CB55" s="68" cm="1">
        <f t="array" ref="CB55">_xll.ciqfunctions.udf.CIQ(B$3,$BV$1,$CB$2,$A55,"L",,"USD","H")/100</f>
        <v>6.1891000000000002E-2</v>
      </c>
      <c r="CC55" s="68" cm="1">
        <f t="array" ref="CC55">_xll.ciqfunctions.udf.CIQ(C$3,$BV$1,$CB$2,$A55,"L",,"USD","H")/100</f>
        <v>0.19272099999999998</v>
      </c>
      <c r="CD55" s="68" cm="1">
        <f t="array" ref="CD55">_xll.ciqfunctions.udf.CIQ(D$3,$BV$1,$CB$2,$A55,"L",,"USD","H")/100</f>
        <v>0.13695399999999999</v>
      </c>
      <c r="CE55" s="68" cm="1">
        <f t="array" ref="CE55">_xll.ciqfunctions.udf.CIQ(E$3,$BV$1,$CB$2,$A55,"L",,"USD","H")/100</f>
        <v>2.0893999999999999E-2</v>
      </c>
      <c r="CF55" s="68" cm="1">
        <f t="array" ref="CF55">_xll.ciqfunctions.udf.CIQ(F$3,$BV$1,$CB$2,$A55,"L",,"USD","H")/100</f>
        <v>3.5180999999999997E-2</v>
      </c>
      <c r="CG55" s="68" cm="1">
        <f t="array" ref="CG55">_xll.ciqfunctions.udf.CIQ(G$3,$BV$1,$CB$2,$A55,"L",,"USD","H")/100</f>
        <v>-1.6528000000000001E-2</v>
      </c>
    </row>
    <row r="56" spans="1:85" x14ac:dyDescent="0.45">
      <c r="A56" s="3">
        <f>EDATE(A52,-12)</f>
        <v>41182</v>
      </c>
      <c r="B56" s="14" cm="1">
        <f t="array" ref="B56">_xll.ciqfunctions.udf.CIQ(B$3,$B$1,$B$2,$A56,"L",,"USD","H")</f>
        <v>14595</v>
      </c>
      <c r="C56" s="38" cm="1">
        <f t="array" ref="C56">_xll.ciqfunctions.udf.CIQ(C$3,$B$1,$B$2,$A56,"L",,"USD","H")</f>
        <v>102852</v>
      </c>
      <c r="D56" s="38" cm="1">
        <f t="array" ref="D56">_xll.ciqfunctions.udf.CIQ(D$3,$B$1,$B$2,$A56,"L",,"USD","H")</f>
        <v>53497</v>
      </c>
      <c r="E56" s="38" cm="1">
        <f t="array" ref="E56">_xll.ciqfunctions.udf.CIQ(E$3,$B$1,$B$2,$A56,"L",,"USD","H")</f>
        <v>2882.808</v>
      </c>
      <c r="F56" s="38" cm="1">
        <f t="array" ref="F56">_xll.ciqfunctions.udf.CIQ(F$3,$B$1,$B$2,$A56,"L",,"USD","H")</f>
        <v>92002</v>
      </c>
      <c r="G56" s="38" cm="1">
        <f t="array" ref="G56">_xll.ciqfunctions.udf.CIQ(G$3,$B$1,$B$2,$A56,"L",,"USD","H")</f>
        <v>2100</v>
      </c>
      <c r="H56" s="40" cm="1">
        <f t="array" ref="H56">_xll.ciqfunctions.udf.CIQ(B$3,$B$1,$H$2,$A56,"L",,"USD","H")</f>
        <v>58918</v>
      </c>
      <c r="I56" s="40" cm="1">
        <f t="array" ref="I56">_xll.ciqfunctions.udf.CIQ(C$3,$B$1,$H$2,$A56,"L",,"USD","H")</f>
        <v>425110</v>
      </c>
      <c r="J56" s="40" cm="1">
        <f t="array" ref="J56">_xll.ciqfunctions.udf.CIQ(D$3,$B$1,$H$2,$A56,"L",,"USD","H")</f>
        <v>224771</v>
      </c>
      <c r="K56" s="40" cm="1">
        <f t="array" ref="K56">_xll.ciqfunctions.udf.CIQ(E$3,$B$1,$H$2,$A56,"L",,"USD","H")</f>
        <v>10672.936</v>
      </c>
      <c r="L56" s="40" cm="1">
        <f t="array" ref="L56">_xll.ciqfunctions.udf.CIQ(F$3,$B$1,$H$2,$A56,"L",,"USD","H")</f>
        <v>375296</v>
      </c>
      <c r="M56" s="40" cm="1">
        <f t="array" ref="M56">_xll.ciqfunctions.udf.CIQ(G$3,$B$1,$H$2,$A56,"L",,"USD","H")</f>
        <v>8871</v>
      </c>
      <c r="N56" s="13" cm="1">
        <f t="array" ref="N56">_xll.ciqfunctions.udf.CIQ(B$3,$N$1,$B$2,$A56,"L",,"USD","H")</f>
        <v>-13.9192</v>
      </c>
      <c r="O56" s="13" cm="1">
        <f t="array" ref="O56">_xll.ciqfunctions.udf.CIQ(C$3,$N$1,$B$2,$A56,"L",,"USD","H")</f>
        <v>-8.1605000000000008</v>
      </c>
      <c r="P56" s="13" cm="1">
        <f t="array" ref="P56">_xll.ciqfunctions.udf.CIQ(D$3,$N$1,$B$2,$A56,"L",,"USD","H")</f>
        <v>-9.7660999999999998</v>
      </c>
      <c r="Q56" s="13" cm="1">
        <f t="array" ref="Q56">_xll.ciqfunctions.udf.CIQ(E$3,$N$1,$B$2,$A56,"L",,"USD","H")</f>
        <v>24.226099999999999</v>
      </c>
      <c r="R56" s="13" cm="1">
        <f t="array" ref="R56">_xll.ciqfunctions.udf.CIQ(F$3,$N$1,$B$2,$A56,"L",,"USD","H")</f>
        <v>-3.5447000000000002</v>
      </c>
      <c r="S56" s="13" cm="1">
        <f t="array" ref="S56">_xll.ciqfunctions.udf.CIQ(G$3,$N$1,$B$2,$A56,"L",,"USD","H")</f>
        <v>-22.251100000000001</v>
      </c>
      <c r="T56" s="94">
        <v>45688</v>
      </c>
      <c r="U56" s="41" cm="1">
        <f t="array" ref="U56">_xll.ciqfunctions.udf.CIQ(O$3,$N$1,$T$2,$A56,"L",,"USD","H")</f>
        <v>1.3288</v>
      </c>
      <c r="V56" s="41" cm="1">
        <f t="array" ref="V56">_xll.ciqfunctions.udf.CIQ(P$3,$N$1,$T$2,$A56,"L",,"USD","H")</f>
        <v>-2.1408</v>
      </c>
      <c r="W56" s="41" cm="1">
        <f t="array" ref="W56">_xll.ciqfunctions.udf.CIQ(Q$3,$N$1,$T$2,$A56,"L",,"USD","H")</f>
        <v>31.577000000000002</v>
      </c>
      <c r="X56" s="41" cm="1">
        <f t="array" ref="X56">_xll.ciqfunctions.udf.CIQ(R$3,$N$1,$T$2,$A56,"L",,"USD","H")</f>
        <v>3.6198999999999999</v>
      </c>
      <c r="Y56" s="41" cm="1">
        <f t="array" ref="Y56">_xll.ciqfunctions.udf.CIQ(S$3,$N$1,$T$2,$A56,"L",,"USD","H")</f>
        <v>-9.8475999999999999</v>
      </c>
      <c r="Z56" s="38" cm="1">
        <f t="array" ref="Z56">_xll.ciqfunctions.udf.CIQ(B$3,$Z$1,$B$2,$A56,"L",,"USD","H")</f>
        <v>1798</v>
      </c>
      <c r="AA56" s="38" cm="1">
        <f t="array" ref="AA56">_xll.ciqfunctions.udf.CIQ(C$3,$Z$1,$B$2,$A56,"L",,"USD","H")</f>
        <v>9570</v>
      </c>
      <c r="AB56" s="38" cm="1">
        <f t="array" ref="AB56">_xll.ciqfunctions.udf.CIQ(D$3,$Z$1,$B$2,$A56,"L",,"USD","H")</f>
        <v>5253</v>
      </c>
      <c r="AC56" s="38" cm="1">
        <f t="array" ref="AC56">_xll.ciqfunctions.udf.CIQ(E$3,$Z$1,$B$2,$A56,"L",,"USD","H")</f>
        <v>355.49099999999999</v>
      </c>
      <c r="AD56" s="38" cm="1">
        <f t="array" ref="AD56">_xll.ciqfunctions.udf.CIQ(F$3,$Z$1,$B$2,$A56,"L",,"USD","H")</f>
        <v>5281</v>
      </c>
      <c r="AE56" s="38" cm="1">
        <f t="array" ref="AE56">_xll.ciqfunctions.udf.CIQ(G$3,$Z$1,$B$2,$A56,"L",,"USD","H")</f>
        <v>-719</v>
      </c>
      <c r="AF56" s="40" cm="1">
        <f t="array" ref="AF56">_xll.ciqfunctions.udf.CIQ(B$3,$Z$1,$H$2,$A56,"L",,"USD","H")</f>
        <v>10392</v>
      </c>
      <c r="AG56" s="40" cm="1">
        <f t="array" ref="AG56">_xll.ciqfunctions.udf.CIQ(C$3,$Z$1,$H$2,$A56,"L",,"USD","H")</f>
        <v>44330</v>
      </c>
      <c r="AH56" s="40" cm="1">
        <f t="array" ref="AH56">_xll.ciqfunctions.udf.CIQ(D$3,$Z$1,$H$2,$A56,"L",,"USD","H")</f>
        <v>24057</v>
      </c>
      <c r="AI56" s="40" cm="1">
        <f t="array" ref="AI56">_xll.ciqfunctions.udf.CIQ(E$3,$Z$1,$H$2,$A56,"L",,"USD","H")</f>
        <v>1195.9760000000001</v>
      </c>
      <c r="AJ56" s="40" cm="1">
        <f t="array" ref="AJ56">_xll.ciqfunctions.udf.CIQ(F$3,$Z$1,$H$2,$A56,"L",,"USD","H")</f>
        <v>17214</v>
      </c>
      <c r="AK56" s="40" cm="1">
        <f t="array" ref="AK56">_xll.ciqfunctions.udf.CIQ(G$3,$Z$1,$H$2,$A56,"L",,"USD","H")</f>
        <v>658</v>
      </c>
      <c r="AL56" s="13" cm="1">
        <f t="array" ref="AL56">_xll.ciqfunctions.udf.CIQ(B$3,$AL$1,$AL$2,$A56,"L",,"USD","H")</f>
        <v>-31.269200000000001</v>
      </c>
      <c r="AM56" s="13" cm="1">
        <f t="array" ref="AM56">_xll.ciqfunctions.udf.CIQ(C$3,$AL$1,$AL$2,$A56,"L",,"USD","H")</f>
        <v>-7.3573000000000004</v>
      </c>
      <c r="AN56" s="13" cm="1">
        <f t="array" ref="AN56">_xll.ciqfunctions.udf.CIQ(D$3,$AL$1,$AL$2,$A56,"L",,"USD","H")</f>
        <v>-32.903399999999998</v>
      </c>
      <c r="AO56" s="13" cm="1">
        <f t="array" ref="AO56">_xll.ciqfunctions.udf.CIQ(E$3,$AL$1,$AL$2,$A56,"L",,"USD","H")</f>
        <v>-34.275199999999998</v>
      </c>
      <c r="AP56" s="13" cm="1">
        <f t="array" ref="AP56">_xll.ciqfunctions.udf.CIQ(F$3,$AL$1,$AL$2,$A56,"L",,"USD","H")</f>
        <v>4.7194000000000003</v>
      </c>
      <c r="AQ56" s="13" t="str" cm="1">
        <f t="array" ref="AQ56">_xll.ciqfunctions.udf.CIQ(G$3,$AL$1,$AL$2,$A56,"L",,"USD","H")</f>
        <v>NM</v>
      </c>
      <c r="AR56" s="41" cm="1">
        <f t="array" ref="AR56">_xll.ciqfunctions.udf.CIQ(B$3,$AL$1,$AR$2,$A56,"L",,"USD","H")</f>
        <v>-6.2686999999999999</v>
      </c>
      <c r="AS56" s="41" cm="1">
        <f t="array" ref="AS56">_xll.ciqfunctions.udf.CIQ(C$3,$AL$1,$AR$2,$A56,"L",,"USD","H")</f>
        <v>8.3597999999999999</v>
      </c>
      <c r="AT56" s="41" cm="1">
        <f t="array" ref="AT56">_xll.ciqfunctions.udf.CIQ(D$3,$AL$1,$AR$2,$A56,"L",,"USD","H")</f>
        <v>-11.1206</v>
      </c>
      <c r="AU56" s="41" cm="1">
        <f t="array" ref="AU56">_xll.ciqfunctions.udf.CIQ(E$3,$AL$1,$AR$2,$A56,"L",,"USD","H")</f>
        <v>16.783300000000001</v>
      </c>
      <c r="AV56" s="41" cm="1">
        <f t="array" ref="AV56">_xll.ciqfunctions.udf.CIQ(F$3,$AL$1,$AR$2,$A56,"L",,"USD","H")</f>
        <v>-27.003699999999998</v>
      </c>
      <c r="AW56" s="41" cm="1">
        <f t="array" ref="AW56">_xll.ciqfunctions.udf.CIQ(G$3,$AL$1,$AR$2,$A56,"L",,"USD","H")</f>
        <v>-86.173599999999993</v>
      </c>
      <c r="AX56" s="38" cm="1">
        <f t="array" ref="AX56">_xll.ciqfunctions.udf.CIQ(B$3,$AX$1,$AX$2,$A56,"L",,"USD","H")</f>
        <v>5354</v>
      </c>
      <c r="AY56" s="38" cm="1">
        <f t="array" ref="AY56">_xll.ciqfunctions.udf.CIQ(C$3,$AX$1,$AX$2,$A56,"L",,"USD","H")</f>
        <v>17264</v>
      </c>
      <c r="AZ56" s="38" cm="1">
        <f t="array" ref="AZ56">_xll.ciqfunctions.udf.CIQ(D$3,$AX$1,$AX$2,$A56,"L",,"USD","H")</f>
        <v>10921</v>
      </c>
      <c r="BA56" s="38" cm="1">
        <f t="array" ref="BA56">_xll.ciqfunctions.udf.CIQ(E$3,$AX$1,$AX$2,$A56,"L",,"USD","H")</f>
        <v>1427.097</v>
      </c>
      <c r="BB56" s="38" cm="1">
        <f t="array" ref="BB56">_xll.ciqfunctions.udf.CIQ(F$3,$AX$1,$AX$2,$A56,"L",,"USD","H")</f>
        <v>9797</v>
      </c>
      <c r="BC56" s="38" cm="1">
        <f t="array" ref="BC56">_xll.ciqfunctions.udf.CIQ(G$3,$AX$1,$AX$2,$A56,"L",,"USD","H")</f>
        <v>810</v>
      </c>
      <c r="BD56" s="40" cm="1">
        <f t="array" ref="BD56">_xll.ciqfunctions.udf.CIQ(B$3,$AX$1,$BD$2,$A56,"L",,"USD","H")</f>
        <v>21103</v>
      </c>
      <c r="BE56" s="40" cm="1">
        <f t="array" ref="BE56">_xll.ciqfunctions.udf.CIQ(C$3,$AX$1,$BD$2,$A56,"L",,"USD","H")</f>
        <v>64877</v>
      </c>
      <c r="BF56" s="40" cm="1">
        <f t="array" ref="BF56">_xll.ciqfunctions.udf.CIQ(D$3,$AX$1,$BD$2,$A56,"L",,"USD","H")</f>
        <v>48521</v>
      </c>
      <c r="BG56" s="40">
        <f>_xll.ciqfunctions.udf.CIQ("COP", "IQ_PRICEDATE", "1/10/2025")</f>
        <v>45667</v>
      </c>
      <c r="BH56" s="40" cm="1">
        <f t="array" ref="BH56">_xll.ciqfunctions.udf.CIQ(F$3,$AX$1,$BD$2,$A56,"L",,"USD","H")</f>
        <v>35352</v>
      </c>
      <c r="BI56" s="40" cm="1">
        <f t="array" ref="BI56">_xll.ciqfunctions.udf.CIQ(G$3,$AX$1,$BD$2,$A56,"L",,"USD","H")</f>
        <v>5167</v>
      </c>
      <c r="BJ56" s="43">
        <f t="shared" si="1"/>
        <v>-8.1646655231560894E-2</v>
      </c>
      <c r="BK56" s="43">
        <f t="shared" si="2"/>
        <v>-2.951262015852496E-2</v>
      </c>
      <c r="BL56" s="43">
        <f t="shared" si="3"/>
        <v>-0.18402570233114168</v>
      </c>
      <c r="BM56" s="43">
        <f t="shared" si="4"/>
        <v>-3.4229401959968153E-2</v>
      </c>
      <c r="BN56" s="43">
        <f t="shared" si="5"/>
        <v>0.10850871237836612</v>
      </c>
      <c r="BO56" s="43">
        <f t="shared" si="6"/>
        <v>-0.64015992892047979</v>
      </c>
      <c r="BP56" s="42">
        <f t="shared" si="7"/>
        <v>-0.14065235981593838</v>
      </c>
      <c r="BQ56" s="42">
        <f t="shared" si="8"/>
        <v>-6.9983801373299515E-2</v>
      </c>
      <c r="BR56" s="42">
        <f t="shared" si="9"/>
        <v>-2.8102716128515337E-2</v>
      </c>
      <c r="BS56" s="42">
        <f t="shared" si="10"/>
        <v>6.1351037489876248E-4</v>
      </c>
      <c r="BT56" s="42">
        <f t="shared" si="11"/>
        <v>-0.14550903993038766</v>
      </c>
      <c r="BU56" s="42">
        <f t="shared" si="12"/>
        <v>-0.21030108512914569</v>
      </c>
      <c r="BV56" s="68" cm="1">
        <f t="array" ref="BV56">_xll.ciqfunctions.udf.CIQ(B$3,$BV$1,$BV$2,$A56,"L",,"USD","H")/100</f>
        <v>5.4184000000000003E-2</v>
      </c>
      <c r="BW56" s="68" cm="1">
        <f t="array" ref="BW56">_xll.ciqfunctions.udf.CIQ(C$3,$BV$1,$BV$2,$A56,"L",,"USD","H")/100</f>
        <v>0.15090000000000001</v>
      </c>
      <c r="BX56" s="68" cm="1">
        <f t="array" ref="BX56">_xll.ciqfunctions.udf.CIQ(D$3,$BV$1,$BV$2,$A56,"L",,"USD","H")/100</f>
        <v>9.7248000000000001E-2</v>
      </c>
      <c r="BY56" s="68" cm="1">
        <f t="array" ref="BY56">_xll.ciqfunctions.udf.CIQ(E$3,$BV$1,$BV$2,$A56,"L",,"USD","H")/100</f>
        <v>6.4439999999999997E-2</v>
      </c>
      <c r="BZ56" s="68" cm="1">
        <f t="array" ref="BZ56">_xll.ciqfunctions.udf.CIQ(F$3,$BV$1,$BV$2,$A56,"L",,"USD","H")/100</f>
        <v>9.3979999999999994E-2</v>
      </c>
      <c r="CA56" s="68" cm="1">
        <f t="array" ref="CA56">_xll.ciqfunctions.udf.CIQ(G$3,$BV$1,$BV$2,$A56,"L",,"USD","H")/100</f>
        <v>-9.7075999999999996E-2</v>
      </c>
      <c r="CB56" s="68" cm="1">
        <f t="array" ref="CB56">_xll.ciqfunctions.udf.CIQ(B$3,$BV$1,$CB$2,$A56,"L",,"USD","H")/100</f>
        <v>8.4591E-2</v>
      </c>
      <c r="CC56" s="68" cm="1">
        <f t="array" ref="CC56">_xll.ciqfunctions.udf.CIQ(C$3,$BV$1,$CB$2,$A56,"L",,"USD","H")/100</f>
        <v>0.19014500000000001</v>
      </c>
      <c r="CD56" s="68" cm="1">
        <f t="array" ref="CD56">_xll.ciqfunctions.udf.CIQ(D$3,$BV$1,$CB$2,$A56,"L",,"USD","H")/100</f>
        <v>0.12492399999999999</v>
      </c>
      <c r="CE56" s="68" cm="1">
        <f t="array" ref="CE56">_xll.ciqfunctions.udf.CIQ(E$3,$BV$1,$CB$2,$A56,"L",,"USD","H")/100</f>
        <v>5.3837999999999997E-2</v>
      </c>
      <c r="CF56" s="68" cm="1">
        <f t="array" ref="CF56">_xll.ciqfunctions.udf.CIQ(F$3,$BV$1,$CB$2,$A56,"L",,"USD","H")/100</f>
        <v>7.3542999999999997E-2</v>
      </c>
      <c r="CG56" s="68" cm="1">
        <f t="array" ref="CG56">_xll.ciqfunctions.udf.CIQ(G$3,$BV$1,$CB$2,$A56,"L",,"USD","H")/100</f>
        <v>1.095E-2</v>
      </c>
    </row>
    <row r="57" spans="1:85" x14ac:dyDescent="0.45">
      <c r="A57" s="3">
        <f t="shared" si="13"/>
        <v>41090</v>
      </c>
      <c r="B57" s="14" cm="1">
        <f t="array" ref="B57">_xll.ciqfunctions.udf.CIQ(B$3,$B$1,$B$2,$A57,"L",,"USD","H")</f>
        <v>14259</v>
      </c>
      <c r="C57" s="38" cm="1">
        <f t="array" ref="C57">_xll.ciqfunctions.udf.CIQ(C$3,$B$1,$B$2,$A57,"L",,"USD","H")</f>
        <v>104143</v>
      </c>
      <c r="D57" s="38" cm="1">
        <f t="array" ref="D57">_xll.ciqfunctions.udf.CIQ(D$3,$B$1,$B$2,$A57,"L",,"USD","H")</f>
        <v>57851</v>
      </c>
      <c r="E57" s="38" cm="1">
        <f t="array" ref="E57">_xll.ciqfunctions.udf.CIQ(E$3,$B$1,$B$2,$A57,"L",,"USD","H")</f>
        <v>2607.58</v>
      </c>
      <c r="F57" s="38" cm="1">
        <f t="array" ref="F57">_xll.ciqfunctions.udf.CIQ(F$3,$B$1,$B$2,$A57,"L",,"USD","H")</f>
        <v>94975</v>
      </c>
      <c r="G57" s="38" cm="1">
        <f t="array" ref="G57">_xll.ciqfunctions.udf.CIQ(G$3,$B$1,$B$2,$A57,"L",,"USD","H")</f>
        <v>1843</v>
      </c>
      <c r="H57" s="40" cm="1">
        <f t="array" ref="H57">_xll.ciqfunctions.udf.CIQ(B$3,$B$1,$H$2,$A57,"L",,"USD","H")</f>
        <v>61278</v>
      </c>
      <c r="I57" s="40" cm="1">
        <f t="array" ref="I57">_xll.ciqfunctions.udf.CIQ(C$3,$B$1,$H$2,$A57,"L",,"USD","H")</f>
        <v>434249</v>
      </c>
      <c r="J57" s="40" cm="1">
        <f t="array" ref="J57">_xll.ciqfunctions.udf.CIQ(D$3,$B$1,$H$2,$A57,"L",,"USD","H")</f>
        <v>230561</v>
      </c>
      <c r="K57" s="40" cm="1">
        <f t="array" ref="K57">_xll.ciqfunctions.udf.CIQ(E$3,$B$1,$H$2,$A57,"L",,"USD","H")</f>
        <v>10110.74</v>
      </c>
      <c r="L57" s="40" cm="1">
        <f t="array" ref="L57">_xll.ciqfunctions.udf.CIQ(F$3,$B$1,$H$2,$A57,"L",,"USD","H")</f>
        <v>378677</v>
      </c>
      <c r="M57" s="40" cm="1">
        <f t="array" ref="M57">_xll.ciqfunctions.udf.CIQ(G$3,$B$1,$H$2,$A57,"L",,"USD","H")</f>
        <v>9472</v>
      </c>
      <c r="N57" s="13" cm="1">
        <f t="array" ref="N57">_xll.ciqfunctions.udf.CIQ(B$3,$N$1,$B$2,$A57,"L",,"USD","H")</f>
        <v>-19.134599999999999</v>
      </c>
      <c r="O57" s="13" cm="1">
        <f t="array" ref="O57">_xll.ciqfunctions.udf.CIQ(C$3,$N$1,$B$2,$A57,"L",,"USD","H")</f>
        <v>-7.6590999999999996</v>
      </c>
      <c r="P57" s="13" cm="1">
        <f t="array" ref="P57">_xll.ciqfunctions.udf.CIQ(D$3,$N$1,$B$2,$A57,"L",,"USD","H")</f>
        <v>-10.1791</v>
      </c>
      <c r="Q57" s="13" cm="1">
        <f t="array" ref="Q57">_xll.ciqfunctions.udf.CIQ(E$3,$N$1,$B$2,$A57,"L",,"USD","H")</f>
        <v>17.625</v>
      </c>
      <c r="R57" s="13" cm="1">
        <f t="array" ref="R57">_xll.ciqfunctions.udf.CIQ(F$3,$N$1,$B$2,$A57,"L",,"USD","H")</f>
        <v>-6.3030999999999997</v>
      </c>
      <c r="S57" s="13" cm="1">
        <f t="array" ref="S57">_xll.ciqfunctions.udf.CIQ(G$3,$N$1,$B$2,$A57,"L",,"USD","H")</f>
        <v>-32.6389</v>
      </c>
      <c r="T57" s="94">
        <v>45681</v>
      </c>
      <c r="U57" s="41" cm="1">
        <f t="array" ref="U57">_xll.ciqfunctions.udf.CIQ(O$3,$N$1,$T$2,$A57,"L",,"USD","H")</f>
        <v>10.5733</v>
      </c>
      <c r="V57" s="41" cm="1">
        <f t="array" ref="V57">_xll.ciqfunctions.udf.CIQ(P$3,$N$1,$T$2,$A57,"L",,"USD","H")</f>
        <v>6.3605</v>
      </c>
      <c r="W57" s="41" cm="1">
        <f t="array" ref="W57">_xll.ciqfunctions.udf.CIQ(Q$3,$N$1,$T$2,$A57,"L",,"USD","H")</f>
        <v>39.512300000000003</v>
      </c>
      <c r="X57" s="41" cm="1">
        <f t="array" ref="X57">_xll.ciqfunctions.udf.CIQ(R$3,$N$1,$T$2,$A57,"L",,"USD","H")</f>
        <v>12.230499999999999</v>
      </c>
      <c r="Y57" s="41" cm="1">
        <f t="array" ref="Y57">_xll.ciqfunctions.udf.CIQ(S$3,$N$1,$T$2,$A57,"L",,"USD","H")</f>
        <v>2.5996000000000001</v>
      </c>
      <c r="Z57" s="38" cm="1">
        <f t="array" ref="Z57">_xll.ciqfunctions.udf.CIQ(B$3,$Z$1,$B$2,$A57,"L",,"USD","H")</f>
        <v>2267</v>
      </c>
      <c r="AA57" s="38" cm="1">
        <f t="array" ref="AA57">_xll.ciqfunctions.udf.CIQ(C$3,$Z$1,$B$2,$A57,"L",,"USD","H")</f>
        <v>15910</v>
      </c>
      <c r="AB57" s="38" cm="1">
        <f t="array" ref="AB57">_xll.ciqfunctions.udf.CIQ(D$3,$Z$1,$B$2,$A57,"L",,"USD","H")</f>
        <v>7210</v>
      </c>
      <c r="AC57" s="38" cm="1">
        <f t="array" ref="AC57">_xll.ciqfunctions.udf.CIQ(E$3,$Z$1,$B$2,$A57,"L",,"USD","H")</f>
        <v>395.77800000000002</v>
      </c>
      <c r="AD57" s="38" cm="1">
        <f t="array" ref="AD57">_xll.ciqfunctions.udf.CIQ(F$3,$Z$1,$B$2,$A57,"L",,"USD","H")</f>
        <v>-1519</v>
      </c>
      <c r="AE57" s="38" cm="1">
        <f t="array" ref="AE57">_xll.ciqfunctions.udf.CIQ(G$3,$Z$1,$B$2,$A57,"L",,"USD","H")</f>
        <v>477</v>
      </c>
      <c r="AF57" s="40" cm="1">
        <f t="array" ref="AF57">_xll.ciqfunctions.udf.CIQ(B$3,$Z$1,$H$2,$A57,"L",,"USD","H")</f>
        <v>11210</v>
      </c>
      <c r="AG57" s="40" cm="1">
        <f t="array" ref="AG57">_xll.ciqfunctions.udf.CIQ(C$3,$Z$1,$H$2,$A57,"L",,"USD","H")</f>
        <v>45090</v>
      </c>
      <c r="AH57" s="40" cm="1">
        <f t="array" ref="AH57">_xll.ciqfunctions.udf.CIQ(D$3,$Z$1,$H$2,$A57,"L",,"USD","H")</f>
        <v>26633</v>
      </c>
      <c r="AI57" s="40" cm="1">
        <f t="array" ref="AI57">_xll.ciqfunctions.udf.CIQ(E$3,$Z$1,$H$2,$A57,"L",,"USD","H")</f>
        <v>1381.3630000000001</v>
      </c>
      <c r="AJ57" s="40" cm="1">
        <f t="array" ref="AJ57">_xll.ciqfunctions.udf.CIQ(F$3,$Z$1,$H$2,$A57,"L",,"USD","H")</f>
        <v>16976</v>
      </c>
      <c r="AK57" s="40" cm="1">
        <f t="array" ref="AK57">_xll.ciqfunctions.udf.CIQ(G$3,$Z$1,$H$2,$A57,"L",,"USD","H")</f>
        <v>2415</v>
      </c>
      <c r="AL57" s="13" cm="1">
        <f t="array" ref="AL57">_xll.ciqfunctions.udf.CIQ(B$3,$AL$1,$AL$2,$A57,"L",,"USD","H")</f>
        <v>-33.3628</v>
      </c>
      <c r="AM57" s="13" cm="1">
        <f t="array" ref="AM57">_xll.ciqfunctions.udf.CIQ(C$3,$AL$1,$AL$2,$A57,"L",,"USD","H")</f>
        <v>48.97</v>
      </c>
      <c r="AN57" s="13" cm="1">
        <f t="array" ref="AN57">_xll.ciqfunctions.udf.CIQ(D$3,$AL$1,$AL$2,$A57,"L",,"USD","H")</f>
        <v>-6.7511999999999999</v>
      </c>
      <c r="AO57" s="13" cm="1">
        <f t="array" ref="AO57">_xll.ciqfunctions.udf.CIQ(E$3,$AL$1,$AL$2,$A57,"L",,"USD","H")</f>
        <v>33.901400000000002</v>
      </c>
      <c r="AP57" s="13" t="str" cm="1">
        <f t="array" ref="AP57">_xll.ciqfunctions.udf.CIQ(F$3,$AL$1,$AL$2,$A57,"L",,"USD","H")</f>
        <v>NM</v>
      </c>
      <c r="AQ57" s="13" cm="1">
        <f t="array" ref="AQ57">_xll.ciqfunctions.udf.CIQ(G$3,$AL$1,$AL$2,$A57,"L",,"USD","H")</f>
        <v>-82.610299999999995</v>
      </c>
      <c r="AR57" s="41" cm="1">
        <f t="array" ref="AR57">_xll.ciqfunctions.udf.CIQ(B$3,$AL$1,$AR$2,$A57,"L",,"USD","H")</f>
        <v>-2.7416999999999998</v>
      </c>
      <c r="AS57" s="41" cm="1">
        <f t="array" ref="AS57">_xll.ciqfunctions.udf.CIQ(C$3,$AL$1,$AR$2,$A57,"L",,"USD","H")</f>
        <v>18.876799999999999</v>
      </c>
      <c r="AT57" s="41" cm="1">
        <f t="array" ref="AT57">_xll.ciqfunctions.udf.CIQ(D$3,$AL$1,$AR$2,$A57,"L",,"USD","H")</f>
        <v>15.7654</v>
      </c>
      <c r="AU57" s="41" cm="1">
        <f t="array" ref="AU57">_xll.ciqfunctions.udf.CIQ(E$3,$AL$1,$AR$2,$A57,"L",,"USD","H")</f>
        <v>235.02690000000001</v>
      </c>
      <c r="AV57" s="41" cm="1">
        <f t="array" ref="AV57">_xll.ciqfunctions.udf.CIQ(F$3,$AL$1,$AR$2,$A57,"L",,"USD","H")</f>
        <v>-16.473199999999999</v>
      </c>
      <c r="AW57" s="41" cm="1">
        <f t="array" ref="AW57">_xll.ciqfunctions.udf.CIQ(G$3,$AL$1,$AR$2,$A57,"L",,"USD","H")</f>
        <v>-58.440899999999999</v>
      </c>
      <c r="AX57" s="38" cm="1">
        <f t="array" ref="AX57">_xll.ciqfunctions.udf.CIQ(B$3,$AX$1,$AX$2,$A57,"L",,"USD","H")</f>
        <v>5325</v>
      </c>
      <c r="AY57" s="38" cm="1">
        <f t="array" ref="AY57">_xll.ciqfunctions.udf.CIQ(C$3,$AX$1,$AX$2,$A57,"L",,"USD","H")</f>
        <v>15522</v>
      </c>
      <c r="AZ57" s="38" cm="1">
        <f t="array" ref="AZ57">_xll.ciqfunctions.udf.CIQ(D$3,$AX$1,$AX$2,$A57,"L",,"USD","H")</f>
        <v>12811</v>
      </c>
      <c r="BA57" s="38" cm="1">
        <f t="array" ref="BA57">_xll.ciqfunctions.udf.CIQ(E$3,$AX$1,$AX$2,$A57,"L",,"USD","H")</f>
        <v>1442.0309999999999</v>
      </c>
      <c r="BB57" s="38" cm="1">
        <f t="array" ref="BB57">_xll.ciqfunctions.udf.CIQ(F$3,$AX$1,$AX$2,$A57,"L",,"USD","H")</f>
        <v>5799</v>
      </c>
      <c r="BC57" s="38" cm="1">
        <f t="array" ref="BC57">_xll.ciqfunctions.udf.CIQ(G$3,$AX$1,$AX$2,$A57,"L",,"USD","H")</f>
        <v>1541</v>
      </c>
      <c r="BD57" s="40" cm="1">
        <f t="array" ref="BD57">_xll.ciqfunctions.udf.CIQ(B$3,$AX$1,$BD$2,$A57,"L",,"USD","H")</f>
        <v>21579</v>
      </c>
      <c r="BE57" s="40" cm="1">
        <f t="array" ref="BE57">_xll.ciqfunctions.udf.CIQ(C$3,$AX$1,$BD$2,$A57,"L",,"USD","H")</f>
        <v>65402</v>
      </c>
      <c r="BF57" s="40" cm="1">
        <f t="array" ref="BF57">_xll.ciqfunctions.udf.CIQ(D$3,$AX$1,$BD$2,$A57,"L",,"USD","H")</f>
        <v>50980</v>
      </c>
      <c r="BG57" s="40">
        <f>_xll.ciqfunctions.udf.CIQ("COP", "IQ_PRICEDATE", "1/3/2025")</f>
        <v>45660</v>
      </c>
      <c r="BH57" s="40" cm="1">
        <f t="array" ref="BH57">_xll.ciqfunctions.udf.CIQ(F$3,$AX$1,$BD$2,$A57,"L",,"USD","H")</f>
        <v>34393</v>
      </c>
      <c r="BI57" s="40" cm="1">
        <f t="array" ref="BI57">_xll.ciqfunctions.udf.CIQ(G$3,$AX$1,$BD$2,$A57,"L",,"USD","H")</f>
        <v>6561</v>
      </c>
      <c r="BJ57" s="43">
        <f t="shared" si="1"/>
        <v>-0.16848844472204871</v>
      </c>
      <c r="BK57" s="43">
        <f t="shared" si="2"/>
        <v>-0.15883596163225489</v>
      </c>
      <c r="BL57" s="43">
        <f t="shared" si="3"/>
        <v>-9.6990202297878358E-2</v>
      </c>
      <c r="BM57" s="43">
        <f t="shared" si="4"/>
        <v>4.0366356920235491E-2</v>
      </c>
      <c r="BN57" s="43">
        <f t="shared" si="5"/>
        <v>-0.41992597779333796</v>
      </c>
      <c r="BO57" s="43">
        <f t="shared" si="6"/>
        <v>-0.25877825877825877</v>
      </c>
      <c r="BP57" s="42">
        <f t="shared" si="7"/>
        <v>-0.14565682160107685</v>
      </c>
      <c r="BQ57" s="42">
        <f t="shared" si="8"/>
        <v>-5.761542086620719E-3</v>
      </c>
      <c r="BR57" s="42">
        <f t="shared" si="9"/>
        <v>0.11653781291749721</v>
      </c>
      <c r="BS57" s="42">
        <f t="shared" si="10"/>
        <v>6.1360448807845636E-4</v>
      </c>
      <c r="BT57" s="42">
        <f t="shared" si="11"/>
        <v>-0.16540076196947273</v>
      </c>
      <c r="BU57" s="42">
        <f t="shared" si="12"/>
        <v>0.14803149606299204</v>
      </c>
      <c r="BV57" s="68" cm="1">
        <f t="array" ref="BV57">_xll.ciqfunctions.udf.CIQ(B$3,$BV$1,$BV$2,$A57,"L",,"USD","H")/100</f>
        <v>6.7028000000000004E-2</v>
      </c>
      <c r="BW57" s="68" cm="1">
        <f t="array" ref="BW57">_xll.ciqfunctions.udf.CIQ(C$3,$BV$1,$BV$2,$A57,"L",,"USD","H")/100</f>
        <v>0.29180800000000001</v>
      </c>
      <c r="BX57" s="68" cm="1">
        <f t="array" ref="BX57">_xll.ciqfunctions.udf.CIQ(D$3,$BV$1,$BV$2,$A57,"L",,"USD","H")/100</f>
        <v>0.157388</v>
      </c>
      <c r="BY57" s="68" cm="1">
        <f t="array" ref="BY57">_xll.ciqfunctions.udf.CIQ(E$3,$BV$1,$BV$2,$A57,"L",,"USD","H")/100</f>
        <v>7.6999999999999999E-2</v>
      </c>
      <c r="BZ57" s="68" cm="1">
        <f t="array" ref="BZ57">_xll.ciqfunctions.udf.CIQ(F$3,$BV$1,$BV$2,$A57,"L",,"USD","H")/100</f>
        <v>-7.2632000000000002E-2</v>
      </c>
      <c r="CA57" s="68" cm="1">
        <f t="array" ref="CA57">_xll.ciqfunctions.udf.CIQ(G$3,$BV$1,$BV$2,$A57,"L",,"USD","H")/100</f>
        <v>4.8152E-2</v>
      </c>
      <c r="CB57" s="68" cm="1">
        <f t="array" ref="CB57">_xll.ciqfunctions.udf.CIQ(B$3,$BV$1,$CB$2,$A57,"L",,"USD","H")/100</f>
        <v>9.0523000000000006E-2</v>
      </c>
      <c r="CC57" s="68" cm="1">
        <f t="array" ref="CC57">_xll.ciqfunctions.udf.CIQ(C$3,$BV$1,$CB$2,$A57,"L",,"USD","H")/100</f>
        <v>0.19723099999999999</v>
      </c>
      <c r="CD57" s="68" cm="1">
        <f t="array" ref="CD57">_xll.ciqfunctions.udf.CIQ(D$3,$BV$1,$CB$2,$A57,"L",,"USD","H")/100</f>
        <v>0.14948600000000001</v>
      </c>
      <c r="CE57" s="68" cm="1">
        <f t="array" ref="CE57">_xll.ciqfunctions.udf.CIQ(E$3,$BV$1,$CB$2,$A57,"L",,"USD","H")/100</f>
        <v>6.7655999999999994E-2</v>
      </c>
      <c r="CF57" s="68" cm="1">
        <f t="array" ref="CF57">_xll.ciqfunctions.udf.CIQ(F$3,$BV$1,$CB$2,$A57,"L",,"USD","H")/100</f>
        <v>7.492E-2</v>
      </c>
      <c r="CG57" s="68" cm="1">
        <f t="array" ref="CG57">_xll.ciqfunctions.udf.CIQ(G$3,$BV$1,$CB$2,$A57,"L",,"USD","H")/100</f>
        <v>6.8020999999999998E-2</v>
      </c>
    </row>
    <row r="58" spans="1:85" x14ac:dyDescent="0.45">
      <c r="A58" s="3">
        <f t="shared" si="13"/>
        <v>40999</v>
      </c>
      <c r="B58" s="14" cm="1">
        <f t="array" ref="B58">_xll.ciqfunctions.udf.CIQ(B$3,$B$1,$B$2,$A58,"L",,"USD","H")</f>
        <v>15143</v>
      </c>
      <c r="C58" s="38" cm="1">
        <f t="array" ref="C58">_xll.ciqfunctions.udf.CIQ(C$3,$B$1,$B$2,$A58,"L",,"USD","H")</f>
        <v>110696</v>
      </c>
      <c r="D58" s="38" cm="1">
        <f t="array" ref="D58">_xll.ciqfunctions.udf.CIQ(D$3,$B$1,$B$2,$A58,"L",,"USD","H")</f>
        <v>57109</v>
      </c>
      <c r="E58" s="38" cm="1">
        <f t="array" ref="E58">_xll.ciqfunctions.udf.CIQ(E$3,$B$1,$B$2,$A58,"L",,"USD","H")</f>
        <v>2604.9749999999999</v>
      </c>
      <c r="F58" s="38" cm="1">
        <f t="array" ref="F58">_xll.ciqfunctions.udf.CIQ(F$3,$B$1,$B$2,$A58,"L",,"USD","H")</f>
        <v>94878</v>
      </c>
      <c r="G58" s="38" cm="1">
        <f t="array" ref="G58">_xll.ciqfunctions.udf.CIQ(G$3,$B$1,$B$2,$A58,"L",,"USD","H")</f>
        <v>2299</v>
      </c>
      <c r="H58" s="40" cm="1">
        <f t="array" ref="H58">_xll.ciqfunctions.udf.CIQ(B$3,$B$1,$H$2,$A58,"L",,"USD","H")</f>
        <v>64652</v>
      </c>
      <c r="I58" s="40" cm="1">
        <f t="array" ref="I58">_xll.ciqfunctions.udf.CIQ(C$3,$B$1,$H$2,$A58,"L",,"USD","H")</f>
        <v>442887</v>
      </c>
      <c r="J58" s="40" cm="1">
        <f t="array" ref="J58">_xll.ciqfunctions.udf.CIQ(D$3,$B$1,$H$2,$A58,"L",,"USD","H")</f>
        <v>237117</v>
      </c>
      <c r="K58" s="40" cm="1">
        <f t="array" ref="K58">_xll.ciqfunctions.udf.CIQ(E$3,$B$1,$H$2,$A58,"L",,"USD","H")</f>
        <v>9720.018</v>
      </c>
      <c r="L58" s="40" cm="1">
        <f t="array" ref="L58">_xll.ciqfunctions.udf.CIQ(F$3,$B$1,$H$2,$A58,"L",,"USD","H")</f>
        <v>385066</v>
      </c>
      <c r="M58" s="40" cm="1">
        <f t="array" ref="M58">_xll.ciqfunctions.udf.CIQ(G$3,$B$1,$H$2,$A58,"L",,"USD","H")</f>
        <v>10365</v>
      </c>
      <c r="N58" s="13" cm="1">
        <f t="array" ref="N58">_xll.ciqfunctions.udf.CIQ(B$3,$N$1,$B$2,$A58,"L",,"USD","H")</f>
        <v>-6.4669999999999996</v>
      </c>
      <c r="O58" s="13" cm="1">
        <f t="array" ref="O58">_xll.ciqfunctions.udf.CIQ(C$3,$N$1,$B$2,$A58,"L",,"USD","H")</f>
        <v>9.2376000000000005</v>
      </c>
      <c r="P58" s="13" cm="1">
        <f t="array" ref="P58">_xll.ciqfunctions.udf.CIQ(D$3,$N$1,$B$2,$A58,"L",,"USD","H")</f>
        <v>1.4764999999999999</v>
      </c>
      <c r="Q58" s="13" cm="1">
        <f t="array" ref="Q58">_xll.ciqfunctions.udf.CIQ(E$3,$N$1,$B$2,$A58,"L",,"USD","H")</f>
        <v>37.675600000000003</v>
      </c>
      <c r="R58" s="13" cm="1">
        <f t="array" ref="R58">_xll.ciqfunctions.udf.CIQ(F$3,$N$1,$B$2,$A58,"L",,"USD","H")</f>
        <v>11.190799999999999</v>
      </c>
      <c r="S58" s="13" cm="1">
        <f t="array" ref="S58">_xll.ciqfunctions.udf.CIQ(G$3,$N$1,$B$2,$A58,"L",,"USD","H")</f>
        <v>1.7706</v>
      </c>
      <c r="T58" s="94">
        <v>45674</v>
      </c>
      <c r="U58" s="41" cm="1">
        <f t="array" ref="U58">_xll.ciqfunctions.udf.CIQ(O$3,$N$1,$T$2,$A58,"L",,"USD","H")</f>
        <v>22.1113</v>
      </c>
      <c r="V58" s="41" cm="1">
        <f t="array" ref="V58">_xll.ciqfunctions.udf.CIQ(P$3,$N$1,$T$2,$A58,"L",,"USD","H")</f>
        <v>17.841999999999999</v>
      </c>
      <c r="W58" s="41" cm="1">
        <f t="array" ref="W58">_xll.ciqfunctions.udf.CIQ(Q$3,$N$1,$T$2,$A58,"L",,"USD","H")</f>
        <v>53.240299999999998</v>
      </c>
      <c r="X58" s="41" cm="1">
        <f t="array" ref="X58">_xll.ciqfunctions.udf.CIQ(R$3,$N$1,$T$2,$A58,"L",,"USD","H")</f>
        <v>24.3066</v>
      </c>
      <c r="Y58" s="41" cm="1">
        <f t="array" ref="Y58">_xll.ciqfunctions.udf.CIQ(S$3,$N$1,$T$2,$A58,"L",,"USD","H")</f>
        <v>20.006900000000002</v>
      </c>
      <c r="Z58" s="38" cm="1">
        <f t="array" ref="Z58">_xll.ciqfunctions.udf.CIQ(B$3,$Z$1,$B$2,$A58,"L",,"USD","H")</f>
        <v>2937</v>
      </c>
      <c r="AA58" s="38" cm="1">
        <f t="array" ref="AA58">_xll.ciqfunctions.udf.CIQ(C$3,$Z$1,$B$2,$A58,"L",,"USD","H")</f>
        <v>9450</v>
      </c>
      <c r="AB58" s="38" cm="1">
        <f t="array" ref="AB58">_xll.ciqfunctions.udf.CIQ(D$3,$Z$1,$B$2,$A58,"L",,"USD","H")</f>
        <v>6471</v>
      </c>
      <c r="AC58" s="38" cm="1">
        <f t="array" ref="AC58">_xll.ciqfunctions.udf.CIQ(E$3,$Z$1,$B$2,$A58,"L",,"USD","H")</f>
        <v>324.00900000000001</v>
      </c>
      <c r="AD58" s="38" cm="1">
        <f t="array" ref="AD58">_xll.ciqfunctions.udf.CIQ(F$3,$Z$1,$B$2,$A58,"L",,"USD","H")</f>
        <v>5767</v>
      </c>
      <c r="AE58" s="38" cm="1">
        <f t="array" ref="AE58">_xll.ciqfunctions.udf.CIQ(G$3,$Z$1,$B$2,$A58,"L",,"USD","H")</f>
        <v>393</v>
      </c>
      <c r="AF58" s="40" cm="1">
        <f t="array" ref="AF58">_xll.ciqfunctions.udf.CIQ(B$3,$Z$1,$H$2,$A58,"L",,"USD","H")</f>
        <v>12345</v>
      </c>
      <c r="AG58" s="40" cm="1">
        <f t="array" ref="AG58">_xll.ciqfunctions.udf.CIQ(C$3,$Z$1,$H$2,$A58,"L",,"USD","H")</f>
        <v>39860</v>
      </c>
      <c r="AH58" s="40" cm="1">
        <f t="array" ref="AH58">_xll.ciqfunctions.udf.CIQ(D$3,$Z$1,$H$2,$A58,"L",,"USD","H")</f>
        <v>27155</v>
      </c>
      <c r="AI58" s="40" cm="1">
        <f t="array" ref="AI58">_xll.ciqfunctions.udf.CIQ(E$3,$Z$1,$H$2,$A58,"L",,"USD","H")</f>
        <v>1281.1590000000001</v>
      </c>
      <c r="AJ58" s="40" cm="1">
        <f t="array" ref="AJ58">_xll.ciqfunctions.udf.CIQ(F$3,$Z$1,$H$2,$A58,"L",,"USD","H")</f>
        <v>24213</v>
      </c>
      <c r="AK58" s="40" cm="1">
        <f t="array" ref="AK58">_xll.ciqfunctions.udf.CIQ(G$3,$Z$1,$H$2,$A58,"L",,"USD","H")</f>
        <v>4681</v>
      </c>
      <c r="AL58" s="13" cm="1">
        <f t="array" ref="AL58">_xll.ciqfunctions.udf.CIQ(B$3,$AL$1,$AL$2,$A58,"L",,"USD","H")</f>
        <v>-3.0053000000000001</v>
      </c>
      <c r="AM58" s="13" cm="1">
        <f t="array" ref="AM58">_xll.ciqfunctions.udf.CIQ(C$3,$AL$1,$AL$2,$A58,"L",,"USD","H")</f>
        <v>-11.2677</v>
      </c>
      <c r="AN58" s="13" cm="1">
        <f t="array" ref="AN58">_xll.ciqfunctions.udf.CIQ(D$3,$AL$1,$AL$2,$A58,"L",,"USD","H")</f>
        <v>4.1860999999999997</v>
      </c>
      <c r="AO58" s="13" cm="1">
        <f t="array" ref="AO58">_xll.ciqfunctions.udf.CIQ(E$3,$AL$1,$AL$2,$A58,"L",,"USD","H")</f>
        <v>141.84639999999999</v>
      </c>
      <c r="AP58" s="13" cm="1">
        <f t="array" ref="AP58">_xll.ciqfunctions.udf.CIQ(F$3,$AL$1,$AL$2,$A58,"L",,"USD","H")</f>
        <v>-20.499099999999999</v>
      </c>
      <c r="AQ58" s="13" cm="1">
        <f t="array" ref="AQ58">_xll.ciqfunctions.udf.CIQ(G$3,$AL$1,$AL$2,$A58,"L",,"USD","H")</f>
        <v>-5.5289000000000001</v>
      </c>
      <c r="AR58" s="41" cm="1">
        <f t="array" ref="AR58">_xll.ciqfunctions.udf.CIQ(B$3,$AL$1,$AR$2,$A58,"L",,"USD","H")</f>
        <v>0.46379999999999999</v>
      </c>
      <c r="AS58" s="41" cm="1">
        <f t="array" ref="AS58">_xll.ciqfunctions.udf.CIQ(C$3,$AL$1,$AR$2,$A58,"L",,"USD","H")</f>
        <v>14.507300000000001</v>
      </c>
      <c r="AT58" s="41" cm="1">
        <f t="array" ref="AT58">_xll.ciqfunctions.udf.CIQ(D$3,$AL$1,$AR$2,$A58,"L",,"USD","H")</f>
        <v>31.2913</v>
      </c>
      <c r="AU58" s="41" cm="1">
        <f t="array" ref="AU58">_xll.ciqfunctions.udf.CIQ(E$3,$AL$1,$AR$2,$A58,"L",,"USD","H")</f>
        <v>625.40880000000004</v>
      </c>
      <c r="AV58" s="41" t="str" cm="1">
        <f t="array" ref="AV58">_xll.ciqfunctions.udf.CIQ(F$3,$AL$1,$AR$2,$A58,"L",,"USD","H")</f>
        <v>NM</v>
      </c>
      <c r="AW58" s="41" cm="1">
        <f t="array" ref="AW58">_xll.ciqfunctions.udf.CIQ(G$3,$AL$1,$AR$2,$A58,"L",,"USD","H")</f>
        <v>24.032800000000002</v>
      </c>
      <c r="AX58" s="38" cm="1">
        <f t="array" ref="AX58">_xll.ciqfunctions.udf.CIQ(B$3,$AX$1,$AX$2,$A58,"L",,"USD","H")</f>
        <v>5817</v>
      </c>
      <c r="AY58" s="38" cm="1">
        <f t="array" ref="AY58">_xll.ciqfunctions.udf.CIQ(C$3,$AX$1,$AX$2,$A58,"L",,"USD","H")</f>
        <v>16600</v>
      </c>
      <c r="AZ58" s="38" cm="1">
        <f t="array" ref="AZ58">_xll.ciqfunctions.udf.CIQ(D$3,$AX$1,$AX$2,$A58,"L",,"USD","H")</f>
        <v>13470</v>
      </c>
      <c r="BA58" s="38" cm="1">
        <f t="array" ref="BA58">_xll.ciqfunctions.udf.CIQ(E$3,$AX$1,$AX$2,$A58,"L",,"USD","H")</f>
        <v>1374.194</v>
      </c>
      <c r="BB58" s="38" cm="1">
        <f t="array" ref="BB58">_xll.ciqfunctions.udf.CIQ(F$3,$AX$1,$AX$2,$A58,"L",,"USD","H")</f>
        <v>9937</v>
      </c>
      <c r="BC58" s="38" cm="1">
        <f t="array" ref="BC58">_xll.ciqfunctions.udf.CIQ(G$3,$AX$1,$AX$2,$A58,"L",,"USD","H")</f>
        <v>1394</v>
      </c>
      <c r="BD58" s="40" cm="1">
        <f t="array" ref="BD58">_xll.ciqfunctions.udf.CIQ(B$3,$AX$1,$BD$2,$A58,"L",,"USD","H")</f>
        <v>22625</v>
      </c>
      <c r="BE58" s="40" cm="1">
        <f t="array" ref="BE58">_xll.ciqfunctions.udf.CIQ(C$3,$AX$1,$BD$2,$A58,"L",,"USD","H")</f>
        <v>68333</v>
      </c>
      <c r="BF58" s="40" cm="1">
        <f t="array" ref="BF58">_xll.ciqfunctions.udf.CIQ(D$3,$AX$1,$BD$2,$A58,"L",,"USD","H")</f>
        <v>52361</v>
      </c>
      <c r="BG58" s="40">
        <f>_xll.ciqfunctions.udf.CIQ("COP", "IQ_PRICEDATE", "12/27/2024")</f>
        <v>45653</v>
      </c>
      <c r="BH58" s="40" cm="1">
        <f t="array" ref="BH58">_xll.ciqfunctions.udf.CIQ(F$3,$AX$1,$BD$2,$A58,"L",,"USD","H")</f>
        <v>38591</v>
      </c>
      <c r="BI58" s="40" cm="1">
        <f t="array" ref="BI58">_xll.ciqfunctions.udf.CIQ(G$3,$AX$1,$BD$2,$A58,"L",,"USD","H")</f>
        <v>7099</v>
      </c>
      <c r="BJ58" s="43">
        <f t="shared" si="1"/>
        <v>-0.10548977395048442</v>
      </c>
      <c r="BK58" s="43">
        <f t="shared" si="2"/>
        <v>-7.541494931491588E-2</v>
      </c>
      <c r="BL58" s="43">
        <f t="shared" si="3"/>
        <v>9.3432908515301616E-2</v>
      </c>
      <c r="BM58" s="43">
        <f t="shared" si="4"/>
        <v>0.60113391815795381</v>
      </c>
      <c r="BN58" s="43">
        <f t="shared" si="5"/>
        <v>-0.16291803554881645</v>
      </c>
      <c r="BO58" s="43">
        <f t="shared" si="6"/>
        <v>0.18638297872340415</v>
      </c>
      <c r="BP58" s="42">
        <f t="shared" si="7"/>
        <v>-0.12792938637064444</v>
      </c>
      <c r="BQ58" s="42">
        <f t="shared" si="8"/>
        <v>0.12673339159397834</v>
      </c>
      <c r="BR58" s="42">
        <f t="shared" si="9"/>
        <v>0.26344617908935164</v>
      </c>
      <c r="BS58" s="42">
        <f t="shared" si="10"/>
        <v>6.1369863013704951E-4</v>
      </c>
      <c r="BT58" s="42">
        <f t="shared" si="11"/>
        <v>-3.1933574152117172E-2</v>
      </c>
      <c r="BU58" s="42">
        <f t="shared" si="12"/>
        <v>0.44171405361494709</v>
      </c>
      <c r="BV58" s="68" cm="1">
        <f t="array" ref="BV58">_xll.ciqfunctions.udf.CIQ(B$3,$BV$1,$BV$2,$A58,"L",,"USD","H")/100</f>
        <v>8.7148000000000003E-2</v>
      </c>
      <c r="BW58" s="68" cm="1">
        <f t="array" ref="BW58">_xll.ciqfunctions.udf.CIQ(C$3,$BV$1,$BV$2,$A58,"L",,"USD","H")/100</f>
        <v>0.161744</v>
      </c>
      <c r="BX58" s="68" cm="1">
        <f t="array" ref="BX58">_xll.ciqfunctions.udf.CIQ(D$3,$BV$1,$BV$2,$A58,"L",,"USD","H")/100</f>
        <v>0.145736</v>
      </c>
      <c r="BY58" s="68" cm="1">
        <f t="array" ref="BY58">_xll.ciqfunctions.udf.CIQ(E$3,$BV$1,$BV$2,$A58,"L",,"USD","H")/100</f>
        <v>6.2983999999999998E-2</v>
      </c>
      <c r="BZ58" s="68" cm="1">
        <f t="array" ref="BZ58">_xll.ciqfunctions.udf.CIQ(F$3,$BV$1,$BV$2,$A58,"L",,"USD","H")/100</f>
        <v>0.11303200000000001</v>
      </c>
      <c r="CA58" s="68" cm="1">
        <f t="array" ref="CA58">_xll.ciqfunctions.udf.CIQ(G$3,$BV$1,$BV$2,$A58,"L",,"USD","H")/100</f>
        <v>3.9120000000000002E-2</v>
      </c>
      <c r="CB58" s="68" cm="1">
        <f t="array" ref="CB58">_xll.ciqfunctions.udf.CIQ(B$3,$BV$1,$CB$2,$A58,"L",,"USD","H")/100</f>
        <v>8.8981999999999992E-2</v>
      </c>
      <c r="CC58" s="68" cm="1">
        <f t="array" ref="CC58">_xll.ciqfunctions.udf.CIQ(C$3,$BV$1,$CB$2,$A58,"L",,"USD","H")/100</f>
        <v>0.17445699999999997</v>
      </c>
      <c r="CD58" s="68" cm="1">
        <f t="array" ref="CD58">_xll.ciqfunctions.udf.CIQ(D$3,$BV$1,$CB$2,$A58,"L",,"USD","H")/100</f>
        <v>0.16172699999999998</v>
      </c>
      <c r="CE58" s="68" cm="1">
        <f t="array" ref="CE58">_xll.ciqfunctions.udf.CIQ(E$3,$BV$1,$CB$2,$A58,"L",,"USD","H")/100</f>
        <v>6.3274999999999998E-2</v>
      </c>
      <c r="CF58" s="68" cm="1">
        <f t="array" ref="CF58">_xll.ciqfunctions.udf.CIQ(F$3,$BV$1,$CB$2,$A58,"L",,"USD","H")/100</f>
        <v>0.124927</v>
      </c>
      <c r="CG58" s="68" cm="1">
        <f t="array" ref="CG58">_xll.ciqfunctions.udf.CIQ(G$3,$BV$1,$CB$2,$A58,"L",,"USD","H")/100</f>
        <v>0.149285</v>
      </c>
    </row>
    <row r="59" spans="1:85" x14ac:dyDescent="0.45">
      <c r="A59" s="3">
        <f t="shared" si="13"/>
        <v>40908</v>
      </c>
      <c r="B59" s="14" cm="1">
        <f t="array" ref="B59">_xll.ciqfunctions.udf.CIQ(B$3,$B$1,$B$2,$A59,"L",,"USD","H")</f>
        <v>14921</v>
      </c>
      <c r="C59" s="38" cm="1">
        <f t="array" ref="C59">_xll.ciqfunctions.udf.CIQ(C$3,$B$1,$B$2,$A59,"L",,"USD","H")</f>
        <v>107419</v>
      </c>
      <c r="D59" s="38" cm="1">
        <f t="array" ref="D59">_xll.ciqfunctions.udf.CIQ(D$3,$B$1,$B$2,$A59,"L",,"USD","H")</f>
        <v>56314</v>
      </c>
      <c r="E59" s="38" cm="1">
        <f t="array" ref="E59">_xll.ciqfunctions.udf.CIQ(E$3,$B$1,$B$2,$A59,"L",,"USD","H")</f>
        <v>2577.5729999999999</v>
      </c>
      <c r="F59" s="38" cm="1">
        <f t="array" ref="F59">_xll.ciqfunctions.udf.CIQ(F$3,$B$1,$B$2,$A59,"L",,"USD","H")</f>
        <v>93441</v>
      </c>
      <c r="G59" s="38" cm="1">
        <f t="array" ref="G59">_xll.ciqfunctions.udf.CIQ(G$3,$B$1,$B$2,$A59,"L",,"USD","H")</f>
        <v>2629</v>
      </c>
      <c r="H59" s="40" cm="1">
        <f t="array" ref="H59">_xll.ciqfunctions.udf.CIQ(B$3,$B$1,$H$2,$A59,"L",,"USD","H")</f>
        <v>65435</v>
      </c>
      <c r="I59" s="40" cm="1">
        <f t="array" ref="I59">_xll.ciqfunctions.udf.CIQ(C$3,$B$1,$H$2,$A59,"L",,"USD","H")</f>
        <v>433526</v>
      </c>
      <c r="J59" s="40" cm="1">
        <f t="array" ref="J59">_xll.ciqfunctions.udf.CIQ(D$3,$B$1,$H$2,$A59,"L",,"USD","H")</f>
        <v>236286</v>
      </c>
      <c r="K59" s="40" cm="1">
        <f t="array" ref="K59">_xll.ciqfunctions.udf.CIQ(E$3,$B$1,$H$2,$A59,"L",,"USD","H")</f>
        <v>9007.1530000000002</v>
      </c>
      <c r="L59" s="40" cm="1">
        <f t="array" ref="L59">_xll.ciqfunctions.udf.CIQ(F$3,$B$1,$H$2,$A59,"L",,"USD","H")</f>
        <v>376157</v>
      </c>
      <c r="M59" s="40" cm="1">
        <f t="array" ref="M59">_xll.ciqfunctions.udf.CIQ(G$3,$B$1,$H$2,$A59,"L",,"USD","H")</f>
        <v>10564</v>
      </c>
      <c r="N59" s="13" cm="1">
        <f t="array" ref="N59">_xll.ciqfunctions.udf.CIQ(B$3,$N$1,$B$2,$A59,"L",,"USD","H")</f>
        <v>-69.283900000000003</v>
      </c>
      <c r="O59" s="13" cm="1">
        <f t="array" ref="O59">_xll.ciqfunctions.udf.CIQ(C$3,$N$1,$B$2,$A59,"L",,"USD","H")</f>
        <v>14.975099999999999</v>
      </c>
      <c r="P59" s="13" cm="1">
        <f t="array" ref="P59">_xll.ciqfunctions.udf.CIQ(D$3,$N$1,$B$2,$A59,"L",,"USD","H")</f>
        <v>13.2713</v>
      </c>
      <c r="Q59" s="13" cm="1">
        <f t="array" ref="Q59">_xll.ciqfunctions.udf.CIQ(E$3,$N$1,$B$2,$A59,"L",,"USD","H")</f>
        <v>53.247500000000002</v>
      </c>
      <c r="R59" s="13" cm="1">
        <f t="array" ref="R59">_xll.ciqfunctions.udf.CIQ(F$3,$N$1,$B$2,$A59,"L",,"USD","H")</f>
        <v>16.642299999999999</v>
      </c>
      <c r="S59" s="13" cm="1">
        <f t="array" ref="S59">_xll.ciqfunctions.udf.CIQ(G$3,$N$1,$B$2,$A59,"L",,"USD","H")</f>
        <v>22.621200000000002</v>
      </c>
      <c r="T59" s="94">
        <v>45667</v>
      </c>
      <c r="U59" s="41" cm="1">
        <f t="array" ref="U59">_xll.ciqfunctions.udf.CIQ(O$3,$N$1,$T$2,$A59,"L",,"USD","H")</f>
        <v>26.918500000000002</v>
      </c>
      <c r="V59" s="41" cm="1">
        <f t="array" ref="V59">_xll.ciqfunctions.udf.CIQ(P$3,$N$1,$T$2,$A59,"L",,"USD","H")</f>
        <v>24.6188</v>
      </c>
      <c r="W59" s="41" cm="1">
        <f t="array" ref="W59">_xll.ciqfunctions.udf.CIQ(Q$3,$N$1,$T$2,$A59,"L",,"USD","H")</f>
        <v>54.9099</v>
      </c>
      <c r="X59" s="41" cm="1">
        <f t="array" ref="X59">_xll.ciqfunctions.udf.CIQ(R$3,$N$1,$T$2,$A59,"L",,"USD","H")</f>
        <v>26.6065</v>
      </c>
      <c r="Y59" s="41" cm="1">
        <f t="array" ref="Y59">_xll.ciqfunctions.udf.CIQ(S$3,$N$1,$T$2,$A59,"L",,"USD","H")</f>
        <v>18.4437</v>
      </c>
      <c r="Z59" s="38" cm="1">
        <f t="array" ref="Z59">_xll.ciqfunctions.udf.CIQ(B$3,$Z$1,$B$2,$A59,"L",,"USD","H")</f>
        <v>3390</v>
      </c>
      <c r="AA59" s="38" cm="1">
        <f t="array" ref="AA59">_xll.ciqfunctions.udf.CIQ(C$3,$Z$1,$B$2,$A59,"L",,"USD","H")</f>
        <v>9400</v>
      </c>
      <c r="AB59" s="38" cm="1">
        <f t="array" ref="AB59">_xll.ciqfunctions.udf.CIQ(D$3,$Z$1,$B$2,$A59,"L",,"USD","H")</f>
        <v>5123</v>
      </c>
      <c r="AC59" s="38" cm="1">
        <f t="array" ref="AC59">_xll.ciqfunctions.udf.CIQ(E$3,$Z$1,$B$2,$A59,"L",,"USD","H")</f>
        <v>120.69799999999999</v>
      </c>
      <c r="AD59" s="38" cm="1">
        <f t="array" ref="AD59">_xll.ciqfunctions.udf.CIQ(F$3,$Z$1,$B$2,$A59,"L",,"USD","H")</f>
        <v>7685</v>
      </c>
      <c r="AE59" s="38" cm="1">
        <f t="array" ref="AE59">_xll.ciqfunctions.udf.CIQ(G$3,$Z$1,$B$2,$A59,"L",,"USD","H")</f>
        <v>507</v>
      </c>
      <c r="AF59" s="40" cm="1">
        <f t="array" ref="AF59">_xll.ciqfunctions.udf.CIQ(B$3,$Z$1,$H$2,$A59,"L",,"USD","H")</f>
        <v>12436</v>
      </c>
      <c r="AG59" s="40" cm="1">
        <f t="array" ref="AG59">_xll.ciqfunctions.udf.CIQ(C$3,$Z$1,$H$2,$A59,"L",,"USD","H")</f>
        <v>41060</v>
      </c>
      <c r="AH59" s="40" cm="1">
        <f t="array" ref="AH59">_xll.ciqfunctions.udf.CIQ(D$3,$Z$1,$H$2,$A59,"L",,"USD","H")</f>
        <v>26895</v>
      </c>
      <c r="AI59" s="40" cm="1">
        <f t="array" ref="AI59">_xll.ciqfunctions.udf.CIQ(E$3,$Z$1,$H$2,$A59,"L",,"USD","H")</f>
        <v>1091.123</v>
      </c>
      <c r="AJ59" s="40" cm="1">
        <f t="array" ref="AJ59">_xll.ciqfunctions.udf.CIQ(F$3,$Z$1,$H$2,$A59,"L",,"USD","H")</f>
        <v>25212</v>
      </c>
      <c r="AK59" s="40" cm="1">
        <f t="array" ref="AK59">_xll.ciqfunctions.udf.CIQ(G$3,$Z$1,$H$2,$A59,"L",,"USD","H")</f>
        <v>4704</v>
      </c>
      <c r="AL59" s="13" cm="1">
        <f t="array" ref="AL59">_xll.ciqfunctions.udf.CIQ(B$3,$AL$1,$AL$2,$A59,"L",,"USD","H")</f>
        <v>66.094999999999999</v>
      </c>
      <c r="AM59" s="13" cm="1">
        <f t="array" ref="AM59">_xll.ciqfunctions.udf.CIQ(C$3,$AL$1,$AL$2,$A59,"L",,"USD","H")</f>
        <v>1.6215999999999999</v>
      </c>
      <c r="AN59" s="13" cm="1">
        <f t="array" ref="AN59">_xll.ciqfunctions.udf.CIQ(D$3,$AL$1,$AL$2,$A59,"L",,"USD","H")</f>
        <v>-3.2484000000000002</v>
      </c>
      <c r="AO59" s="13" cm="1">
        <f t="array" ref="AO59">_xll.ciqfunctions.udf.CIQ(E$3,$AL$1,$AL$2,$A59,"L",,"USD","H")</f>
        <v>124.87649999999999</v>
      </c>
      <c r="AP59" s="13" cm="1">
        <f t="array" ref="AP59">_xll.ciqfunctions.udf.CIQ(F$3,$AL$1,$AL$2,$A59,"L",,"USD","H")</f>
        <v>38.0456</v>
      </c>
      <c r="AQ59" s="13" cm="1">
        <f t="array" ref="AQ59">_xll.ciqfunctions.udf.CIQ(G$3,$AL$1,$AL$2,$A59,"L",,"USD","H")</f>
        <v>-9.7865000000000002</v>
      </c>
      <c r="AR59" s="41" cm="1">
        <f t="array" ref="AR59">_xll.ciqfunctions.udf.CIQ(B$3,$AL$1,$AR$2,$A59,"L",,"USD","H")</f>
        <v>9.4910999999999994</v>
      </c>
      <c r="AS59" s="41" cm="1">
        <f t="array" ref="AS59">_xll.ciqfunctions.udf.CIQ(C$3,$AL$1,$AR$2,$A59,"L",,"USD","H")</f>
        <v>34.799700000000001</v>
      </c>
      <c r="AT59" s="41" cm="1">
        <f t="array" ref="AT59">_xll.ciqfunctions.udf.CIQ(D$3,$AL$1,$AR$2,$A59,"L",,"USD","H")</f>
        <v>41.374000000000002</v>
      </c>
      <c r="AU59" s="41" cm="1">
        <f t="array" ref="AU59">_xll.ciqfunctions.udf.CIQ(E$3,$AL$1,$AR$2,$A59,"L",,"USD","H")</f>
        <v>579.17570000000001</v>
      </c>
      <c r="AV59" s="41" t="str" cm="1">
        <f t="array" ref="AV59">_xll.ciqfunctions.udf.CIQ(F$3,$AL$1,$AR$2,$A59,"L",,"USD","H")</f>
        <v>NM</v>
      </c>
      <c r="AW59" s="41" cm="1">
        <f t="array" ref="AW59">_xll.ciqfunctions.udf.CIQ(G$3,$AL$1,$AR$2,$A59,"L",,"USD","H")</f>
        <v>3.3845999999999998</v>
      </c>
      <c r="AX59" s="38" cm="1">
        <f t="array" ref="AX59">_xll.ciqfunctions.udf.CIQ(B$3,$AX$1,$AX$2,$A59,"L",,"USD","H")</f>
        <v>4574</v>
      </c>
      <c r="AY59" s="38" cm="1">
        <f t="array" ref="AY59">_xll.ciqfunctions.udf.CIQ(C$3,$AX$1,$AX$2,$A59,"L",,"USD","H")</f>
        <v>15491</v>
      </c>
      <c r="AZ59" s="38" cm="1">
        <f t="array" ref="AZ59">_xll.ciqfunctions.udf.CIQ(D$3,$AX$1,$AX$2,$A59,"L",,"USD","H")</f>
        <v>11320</v>
      </c>
      <c r="BA59" s="38" cm="1">
        <f t="array" ref="BA59">_xll.ciqfunctions.udf.CIQ(E$3,$AX$1,$AX$2,$A59,"L",,"USD","H")</f>
        <v>1445.798</v>
      </c>
      <c r="BB59" s="38" cm="1">
        <f t="array" ref="BB59">_xll.ciqfunctions.udf.CIQ(F$3,$AX$1,$AX$2,$A59,"L",,"USD","H")</f>
        <v>9819</v>
      </c>
      <c r="BC59" s="38" cm="1">
        <f t="array" ref="BC59">_xll.ciqfunctions.udf.CIQ(G$3,$AX$1,$AX$2,$A59,"L",,"USD","H")</f>
        <v>1422</v>
      </c>
      <c r="BD59" s="40" cm="1">
        <f t="array" ref="BD59">_xll.ciqfunctions.udf.CIQ(B$3,$AX$1,$BD$2,$A59,"L",,"USD","H")</f>
        <v>23072</v>
      </c>
      <c r="BE59" s="40" cm="1">
        <f t="array" ref="BE59">_xll.ciqfunctions.udf.CIQ(C$3,$AX$1,$BD$2,$A59,"L",,"USD","H")</f>
        <v>69687</v>
      </c>
      <c r="BF59" s="40" cm="1">
        <f t="array" ref="BF59">_xll.ciqfunctions.udf.CIQ(D$3,$AX$1,$BD$2,$A59,"L",,"USD","H")</f>
        <v>51210</v>
      </c>
      <c r="BG59" s="40">
        <f>_xll.ciqfunctions.udf.CIQ("COP", "IQ_PRICEDATE", "12/20/2024")</f>
        <v>45646</v>
      </c>
      <c r="BH59" s="40" cm="1">
        <f t="array" ref="BH59">_xll.ciqfunctions.udf.CIQ(F$3,$AX$1,$BD$2,$A59,"L",,"USD","H")</f>
        <v>40764</v>
      </c>
      <c r="BI59" s="40" cm="1">
        <f t="array" ref="BI59">_xll.ciqfunctions.udf.CIQ(G$3,$AX$1,$BD$2,$A59,"L",,"USD","H")</f>
        <v>6882</v>
      </c>
      <c r="BJ59" s="43">
        <f t="shared" si="1"/>
        <v>-0.21408934707903782</v>
      </c>
      <c r="BK59" s="43">
        <f t="shared" si="2"/>
        <v>-4.6263573861080598E-3</v>
      </c>
      <c r="BL59" s="43">
        <f t="shared" si="3"/>
        <v>0.1281642415786326</v>
      </c>
      <c r="BM59" s="43">
        <f t="shared" si="4"/>
        <v>0.79138256813098984</v>
      </c>
      <c r="BN59" s="43">
        <f t="shared" si="5"/>
        <v>-7.9411213200825004E-2</v>
      </c>
      <c r="BO59" s="43">
        <f t="shared" si="6"/>
        <v>0.31059907834101375</v>
      </c>
      <c r="BP59" s="42">
        <f t="shared" si="7"/>
        <v>6.2246777163904143E-2</v>
      </c>
      <c r="BQ59" s="42">
        <f t="shared" si="8"/>
        <v>0.26976057723843883</v>
      </c>
      <c r="BR59" s="42">
        <f t="shared" si="9"/>
        <v>0.33227535251573959</v>
      </c>
      <c r="BS59" s="42">
        <f t="shared" si="10"/>
        <v>6.1379280108719847E-4</v>
      </c>
      <c r="BT59" s="42">
        <f t="shared" si="11"/>
        <v>3.6091907279381941E-2</v>
      </c>
      <c r="BU59" s="42">
        <f t="shared" si="12"/>
        <v>0.14891485809682803</v>
      </c>
      <c r="BV59" s="68" cm="1">
        <f t="array" ref="BV59">_xll.ciqfunctions.udf.CIQ(B$3,$BV$1,$BV$2,$A59,"L",,"USD","H")/100</f>
        <v>0.107964</v>
      </c>
      <c r="BW59" s="68" cm="1">
        <f t="array" ref="BW59">_xll.ciqfunctions.udf.CIQ(C$3,$BV$1,$BV$2,$A59,"L",,"USD","H")/100</f>
        <v>0.16039999999999999</v>
      </c>
      <c r="BX59" s="68" cm="1">
        <f t="array" ref="BX59">_xll.ciqfunctions.udf.CIQ(D$3,$BV$1,$BV$2,$A59,"L",,"USD","H")/100</f>
        <v>0.10700799999999999</v>
      </c>
      <c r="BY59" s="68" cm="1">
        <f t="array" ref="BY59">_xll.ciqfunctions.udf.CIQ(E$3,$BV$1,$BV$2,$A59,"L",,"USD","H")/100</f>
        <v>1.7559999999999999E-2</v>
      </c>
      <c r="BZ59" s="68" cm="1">
        <f t="array" ref="BZ59">_xll.ciqfunctions.udf.CIQ(F$3,$BV$1,$BV$2,$A59,"L",,"USD","H")/100</f>
        <v>0.16500800000000002</v>
      </c>
      <c r="CA59" s="68" cm="1">
        <f t="array" ref="CA59">_xll.ciqfunctions.udf.CIQ(G$3,$BV$1,$BV$2,$A59,"L",,"USD","H")/100</f>
        <v>5.6908E-2</v>
      </c>
      <c r="CB59" s="68" cm="1">
        <f t="array" ref="CB59">_xll.ciqfunctions.udf.CIQ(B$3,$BV$1,$CB$2,$A59,"L",,"USD","H")/100</f>
        <v>9.2479999999999993E-2</v>
      </c>
      <c r="CC59" s="68" cm="1">
        <f t="array" ref="CC59">_xll.ciqfunctions.udf.CIQ(C$3,$BV$1,$CB$2,$A59,"L",,"USD","H")/100</f>
        <v>0.18548600000000001</v>
      </c>
      <c r="CD59" s="68" cm="1">
        <f t="array" ref="CD59">_xll.ciqfunctions.udf.CIQ(D$3,$BV$1,$CB$2,$A59,"L",,"USD","H")/100</f>
        <v>0.166324</v>
      </c>
      <c r="CE59" s="68" cm="1">
        <f t="array" ref="CE59">_xll.ciqfunctions.udf.CIQ(E$3,$BV$1,$CB$2,$A59,"L",,"USD","H")/100</f>
        <v>5.5814000000000002E-2</v>
      </c>
      <c r="CF59" s="68" cm="1">
        <f t="array" ref="CF59">_xll.ciqfunctions.udf.CIQ(F$3,$BV$1,$CB$2,$A59,"L",,"USD","H")/100</f>
        <v>0.141869</v>
      </c>
      <c r="CG59" s="68" cm="1">
        <f t="array" ref="CG59">_xll.ciqfunctions.udf.CIQ(G$3,$BV$1,$CB$2,$A59,"L",,"USD","H")/100</f>
        <v>0.157809</v>
      </c>
    </row>
    <row r="60" spans="1:85" x14ac:dyDescent="0.45">
      <c r="A60" s="3">
        <f>EDATE(A56,-12)</f>
        <v>40816</v>
      </c>
      <c r="B60" s="14" cm="1">
        <f t="array" ref="B60">_xll.ciqfunctions.udf.CIQ(B$3,$B$1,$B$2,$A60,"L",,"USD","H")</f>
        <v>16955</v>
      </c>
      <c r="C60" s="38" cm="1">
        <f t="array" ref="C60">_xll.ciqfunctions.udf.CIQ(C$3,$B$1,$B$2,$A60,"L",,"USD","H")</f>
        <v>111991</v>
      </c>
      <c r="D60" s="38" cm="1">
        <f t="array" ref="D60">_xll.ciqfunctions.udf.CIQ(D$3,$B$1,$B$2,$A60,"L",,"USD","H")</f>
        <v>59287</v>
      </c>
      <c r="E60" s="38" cm="1">
        <f t="array" ref="E60">_xll.ciqfunctions.udf.CIQ(E$3,$B$1,$B$2,$A60,"L",,"USD","H")</f>
        <v>2320.6120000000001</v>
      </c>
      <c r="F60" s="38" cm="1">
        <f t="array" ref="F60">_xll.ciqfunctions.udf.CIQ(F$3,$B$1,$B$2,$A60,"L",,"USD","H")</f>
        <v>95383</v>
      </c>
      <c r="G60" s="38" cm="1">
        <f t="array" ref="G60">_xll.ciqfunctions.udf.CIQ(G$3,$B$1,$B$2,$A60,"L",,"USD","H")</f>
        <v>2701</v>
      </c>
      <c r="H60" s="40" cm="1">
        <f t="array" ref="H60">_xll.ciqfunctions.udf.CIQ(B$3,$B$1,$H$2,$A60,"L",,"USD","H")</f>
        <v>99355</v>
      </c>
      <c r="I60" s="40" cm="1">
        <f t="array" ref="I60">_xll.ciqfunctions.udf.CIQ(C$3,$B$1,$H$2,$A60,"L",,"USD","H")</f>
        <v>419535</v>
      </c>
      <c r="J60" s="40" cm="1">
        <f t="array" ref="J60">_xll.ciqfunctions.udf.CIQ(D$3,$B$1,$H$2,$A60,"L",,"USD","H")</f>
        <v>229688</v>
      </c>
      <c r="K60" s="40" cm="1">
        <f t="array" ref="K60">_xll.ciqfunctions.udf.CIQ(E$3,$B$1,$H$2,$A60,"L",,"USD","H")</f>
        <v>8111.5469999999996</v>
      </c>
      <c r="L60" s="40" cm="1">
        <f t="array" ref="L60">_xll.ciqfunctions.udf.CIQ(F$3,$B$1,$H$2,$A60,"L",,"USD","H")</f>
        <v>362185</v>
      </c>
      <c r="M60" s="40" cm="1">
        <f t="array" ref="M60">_xll.ciqfunctions.udf.CIQ(G$3,$B$1,$H$2,$A60,"L",,"USD","H")</f>
        <v>9840</v>
      </c>
      <c r="N60" s="13" cm="1">
        <f t="array" ref="N60">_xll.ciqfunctions.udf.CIQ(B$3,$N$1,$B$2,$A60,"L",,"USD","H")</f>
        <v>-61.990299999999998</v>
      </c>
      <c r="O60" s="13" cm="1">
        <f t="array" ref="O60">_xll.ciqfunctions.udf.CIQ(C$3,$N$1,$B$2,$A60,"L",,"USD","H")</f>
        <v>31.4741</v>
      </c>
      <c r="P60" s="13" cm="1">
        <f t="array" ref="P60">_xll.ciqfunctions.udf.CIQ(D$3,$N$1,$B$2,$A60,"L",,"USD","H")</f>
        <v>27.8508</v>
      </c>
      <c r="Q60" s="13" cm="1">
        <f t="array" ref="Q60">_xll.ciqfunctions.udf.CIQ(E$3,$N$1,$B$2,$A60,"L",,"USD","H")</f>
        <v>59.353299999999997</v>
      </c>
      <c r="R60" s="13" cm="1">
        <f t="array" ref="R60">_xll.ciqfunctions.udf.CIQ(F$3,$N$1,$B$2,$A60,"L",,"USD","H")</f>
        <v>35.088000000000001</v>
      </c>
      <c r="S60" s="13" cm="1">
        <f t="array" ref="S60">_xll.ciqfunctions.udf.CIQ(G$3,$N$1,$B$2,$A60,"L",,"USD","H")</f>
        <v>29.049199999999999</v>
      </c>
      <c r="T60" s="94">
        <v>45660</v>
      </c>
      <c r="U60" s="41" cm="1">
        <f t="array" ref="U60">_xll.ciqfunctions.udf.CIQ(O$3,$N$1,$T$2,$A60,"L",,"USD","H")</f>
        <v>27.807200000000002</v>
      </c>
      <c r="V60" s="41" cm="1">
        <f t="array" ref="V60">_xll.ciqfunctions.udf.CIQ(P$3,$N$1,$T$2,$A60,"L",,"USD","H")</f>
        <v>23.892399999999999</v>
      </c>
      <c r="W60" s="41" cm="1">
        <f t="array" ref="W60">_xll.ciqfunctions.udf.CIQ(Q$3,$N$1,$T$2,$A60,"L",,"USD","H")</f>
        <v>52.115600000000001</v>
      </c>
      <c r="X60" s="41" cm="1">
        <f t="array" ref="X60">_xll.ciqfunctions.udf.CIQ(R$3,$N$1,$T$2,$A60,"L",,"USD","H")</f>
        <v>25.3582</v>
      </c>
      <c r="Y60" s="41" cm="1">
        <f t="array" ref="Y60">_xll.ciqfunctions.udf.CIQ(S$3,$N$1,$T$2,$A60,"L",,"USD","H")</f>
        <v>10.6363</v>
      </c>
      <c r="Z60" s="38" cm="1">
        <f t="array" ref="Z60">_xll.ciqfunctions.udf.CIQ(B$3,$Z$1,$B$2,$A60,"L",,"USD","H")</f>
        <v>2616</v>
      </c>
      <c r="AA60" s="38" cm="1">
        <f t="array" ref="AA60">_xll.ciqfunctions.udf.CIQ(C$3,$Z$1,$B$2,$A60,"L",,"USD","H")</f>
        <v>10330</v>
      </c>
      <c r="AB60" s="38" cm="1">
        <f t="array" ref="AB60">_xll.ciqfunctions.udf.CIQ(D$3,$Z$1,$B$2,$A60,"L",,"USD","H")</f>
        <v>7829</v>
      </c>
      <c r="AC60" s="38" cm="1">
        <f t="array" ref="AC60">_xll.ciqfunctions.udf.CIQ(E$3,$Z$1,$B$2,$A60,"L",,"USD","H")</f>
        <v>540.87800000000004</v>
      </c>
      <c r="AD60" s="38" cm="1">
        <f t="array" ref="AD60">_xll.ciqfunctions.udf.CIQ(F$3,$Z$1,$B$2,$A60,"L",,"USD","H")</f>
        <v>5043</v>
      </c>
      <c r="AE60" s="38" cm="1">
        <f t="array" ref="AE60">_xll.ciqfunctions.udf.CIQ(G$3,$Z$1,$B$2,$A60,"L",,"USD","H")</f>
        <v>1038</v>
      </c>
      <c r="AF60" s="40" cm="1">
        <f t="array" ref="AF60">_xll.ciqfunctions.udf.CIQ(B$3,$Z$1,$H$2,$A60,"L",,"USD","H")</f>
        <v>11087</v>
      </c>
      <c r="AG60" s="40" cm="1">
        <f t="array" ref="AG60">_xll.ciqfunctions.udf.CIQ(C$3,$Z$1,$H$2,$A60,"L",,"USD","H")</f>
        <v>40910</v>
      </c>
      <c r="AH60" s="40" cm="1">
        <f t="array" ref="AH60">_xll.ciqfunctions.udf.CIQ(D$3,$Z$1,$H$2,$A60,"L",,"USD","H")</f>
        <v>27067</v>
      </c>
      <c r="AI60" s="40" cm="1">
        <f t="array" ref="AI60">_xll.ciqfunctions.udf.CIQ(E$3,$Z$1,$H$2,$A60,"L",,"USD","H")</f>
        <v>1024.098</v>
      </c>
      <c r="AJ60" s="40" cm="1">
        <f t="array" ref="AJ60">_xll.ciqfunctions.udf.CIQ(F$3,$Z$1,$H$2,$A60,"L",,"USD","H")</f>
        <v>23582</v>
      </c>
      <c r="AK60" s="40" cm="1">
        <f t="array" ref="AK60">_xll.ciqfunctions.udf.CIQ(G$3,$Z$1,$H$2,$A60,"L",,"USD","H")</f>
        <v>4759</v>
      </c>
      <c r="AL60" s="13" cm="1">
        <f t="array" ref="AL60">_xll.ciqfunctions.udf.CIQ(B$3,$AL$1,$AL$2,$A60,"L",,"USD","H")</f>
        <v>-14.369899999999999</v>
      </c>
      <c r="AM60" s="13" cm="1">
        <f t="array" ref="AM60">_xll.ciqfunctions.udf.CIQ(C$3,$AL$1,$AL$2,$A60,"L",,"USD","H")</f>
        <v>40.544199999999996</v>
      </c>
      <c r="AN60" s="13" cm="1">
        <f t="array" ref="AN60">_xll.ciqfunctions.udf.CIQ(D$3,$AL$1,$AL$2,$A60,"L",,"USD","H")</f>
        <v>107.776</v>
      </c>
      <c r="AO60" s="13" t="str" cm="1">
        <f t="array" ref="AO60">_xll.ciqfunctions.udf.CIQ(E$3,$AL$1,$AL$2,$A60,"L",,"USD","H")</f>
        <v>NM</v>
      </c>
      <c r="AP60" s="13" cm="1">
        <f t="array" ref="AP60">_xll.ciqfunctions.udf.CIQ(F$3,$AL$1,$AL$2,$A60,"L",,"USD","H")</f>
        <v>182.52099999999999</v>
      </c>
      <c r="AQ60" s="13" cm="1">
        <f t="array" ref="AQ60">_xll.ciqfunctions.udf.CIQ(G$3,$AL$1,$AL$2,$A60,"L",,"USD","H")</f>
        <v>-50.335000000000001</v>
      </c>
      <c r="AR60" s="41" cm="1">
        <f t="array" ref="AR60">_xll.ciqfunctions.udf.CIQ(B$3,$AL$1,$AR$2,$A60,"L",,"USD","H")</f>
        <v>4.5746000000000002</v>
      </c>
      <c r="AS60" s="41" cm="1">
        <f t="array" ref="AS60">_xll.ciqfunctions.udf.CIQ(C$3,$AL$1,$AR$2,$A60,"L",,"USD","H")</f>
        <v>50.073300000000003</v>
      </c>
      <c r="AT60" s="41" cm="1">
        <f t="array" ref="AT60">_xll.ciqfunctions.udf.CIQ(D$3,$AL$1,$AR$2,$A60,"L",,"USD","H")</f>
        <v>61.122599999999998</v>
      </c>
      <c r="AU60" s="41" cm="1">
        <f t="array" ref="AU60">_xll.ciqfunctions.udf.CIQ(E$3,$AL$1,$AR$2,$A60,"L",,"USD","H")</f>
        <v>101.8292</v>
      </c>
      <c r="AV60" s="41" t="str" cm="1">
        <f t="array" ref="AV60">_xll.ciqfunctions.udf.CIQ(F$3,$AL$1,$AR$2,$A60,"L",,"USD","H")</f>
        <v>NM</v>
      </c>
      <c r="AW60" s="41" cm="1">
        <f t="array" ref="AW60">_xll.ciqfunctions.udf.CIQ(G$3,$AL$1,$AR$2,$A60,"L",,"USD","H")</f>
        <v>2.2341000000000002</v>
      </c>
      <c r="AX60" s="38" cm="1">
        <f t="array" ref="AX60">_xll.ciqfunctions.udf.CIQ(B$3,$AX$1,$AX$2,$A60,"L",,"USD","H")</f>
        <v>5830</v>
      </c>
      <c r="AY60" s="38" cm="1">
        <f t="array" ref="AY60">_xll.ciqfunctions.udf.CIQ(C$3,$AX$1,$AX$2,$A60,"L",,"USD","H")</f>
        <v>17789</v>
      </c>
      <c r="AZ60" s="38" cm="1">
        <f t="array" ref="AZ60">_xll.ciqfunctions.udf.CIQ(D$3,$AX$1,$AX$2,$A60,"L",,"USD","H")</f>
        <v>13384</v>
      </c>
      <c r="BA60" s="38" cm="1">
        <f t="array" ref="BA60">_xll.ciqfunctions.udf.CIQ(E$3,$AX$1,$AX$2,$A60,"L",,"USD","H")</f>
        <v>1477.6769999999999</v>
      </c>
      <c r="BB60" s="38" cm="1">
        <f t="array" ref="BB60">_xll.ciqfunctions.udf.CIQ(F$3,$AX$1,$AX$2,$A60,"L",,"USD","H")</f>
        <v>8838</v>
      </c>
      <c r="BC60" s="38" cm="1">
        <f t="array" ref="BC60">_xll.ciqfunctions.udf.CIQ(G$3,$AX$1,$AX$2,$A60,"L",,"USD","H")</f>
        <v>2251</v>
      </c>
      <c r="BD60" s="40" cm="1">
        <f t="array" ref="BD60">_xll.ciqfunctions.udf.CIQ(B$3,$AX$1,$BD$2,$A60,"L",,"USD","H")</f>
        <v>24557</v>
      </c>
      <c r="BE60" s="40" cm="1">
        <f t="array" ref="BE60">_xll.ciqfunctions.udf.CIQ(C$3,$AX$1,$BD$2,$A60,"L",,"USD","H")</f>
        <v>69759</v>
      </c>
      <c r="BF60" s="40" cm="1">
        <f t="array" ref="BF60">_xll.ciqfunctions.udf.CIQ(D$3,$AX$1,$BD$2,$A60,"L",,"USD","H")</f>
        <v>49924</v>
      </c>
      <c r="BG60" s="40">
        <f>_xll.ciqfunctions.udf.CIQ("COP", "IQ_PRICEDATE", "12/13/2024")</f>
        <v>45639</v>
      </c>
      <c r="BH60" s="40" cm="1">
        <f t="array" ref="BH60">_xll.ciqfunctions.udf.CIQ(F$3,$AX$1,$BD$2,$A60,"L",,"USD","H")</f>
        <v>41372</v>
      </c>
      <c r="BI60" s="40" cm="1">
        <f t="array" ref="BI60">_xll.ciqfunctions.udf.CIQ(G$3,$AX$1,$BD$2,$A60,"L",,"USD","H")</f>
        <v>6543</v>
      </c>
      <c r="BJ60" s="43">
        <f t="shared" si="1"/>
        <v>-0.10733425202878577</v>
      </c>
      <c r="BK60" s="43">
        <f t="shared" si="2"/>
        <v>0.2880312794149591</v>
      </c>
      <c r="BL60" s="43">
        <f t="shared" si="3"/>
        <v>0.46770479219212624</v>
      </c>
      <c r="BM60" s="43">
        <f t="shared" si="4"/>
        <v>0.90105777494172057</v>
      </c>
      <c r="BN60" s="43">
        <f t="shared" si="5"/>
        <v>1.8789625360230655E-2</v>
      </c>
      <c r="BO60" s="43">
        <f t="shared" si="6"/>
        <v>0.63590116279069764</v>
      </c>
      <c r="BP60" s="42">
        <f t="shared" si="7"/>
        <v>-7.111245602753713E-2</v>
      </c>
      <c r="BQ60" s="42">
        <f t="shared" si="8"/>
        <v>0.39439913648356928</v>
      </c>
      <c r="BR60" s="42">
        <f t="shared" si="9"/>
        <v>0.37558206816741513</v>
      </c>
      <c r="BS60" s="42">
        <f t="shared" si="10"/>
        <v>6.1388700094267001E-4</v>
      </c>
      <c r="BT60" s="42">
        <f t="shared" si="11"/>
        <v>8.0011486151356115E-2</v>
      </c>
      <c r="BU60" s="42">
        <f t="shared" si="12"/>
        <v>2.635294117647069E-2</v>
      </c>
      <c r="BV60" s="68" cm="1">
        <f t="array" ref="BV60">_xll.ciqfunctions.udf.CIQ(B$3,$BV$1,$BV$2,$A60,"L",,"USD","H")/100</f>
        <v>7.1348000000000009E-2</v>
      </c>
      <c r="BW60" s="68" cm="1">
        <f t="array" ref="BW60">_xll.ciqfunctions.udf.CIQ(C$3,$BV$1,$BV$2,$A60,"L",,"USD","H")/100</f>
        <v>0.180308</v>
      </c>
      <c r="BX60" s="68" cm="1">
        <f t="array" ref="BX60">_xll.ciqfunctions.udf.CIQ(D$3,$BV$1,$BV$2,$A60,"L",,"USD","H")/100</f>
        <v>0.19370000000000001</v>
      </c>
      <c r="BY60" s="68" cm="1">
        <f t="array" ref="BY60">_xll.ciqfunctions.udf.CIQ(E$3,$BV$1,$BV$2,$A60,"L",,"USD","H")/100</f>
        <v>0.113792</v>
      </c>
      <c r="BZ60" s="68" cm="1">
        <f t="array" ref="BZ60">_xll.ciqfunctions.udf.CIQ(F$3,$BV$1,$BV$2,$A60,"L",,"USD","H")/100</f>
        <v>9.8248000000000002E-2</v>
      </c>
      <c r="CA60" s="68" cm="1">
        <f t="array" ref="CA60">_xll.ciqfunctions.udf.CIQ(G$3,$BV$1,$BV$2,$A60,"L",,"USD","H")/100</f>
        <v>0.12981199999999998</v>
      </c>
      <c r="CB60" s="68" cm="1">
        <f t="array" ref="CB60">_xll.ciqfunctions.udf.CIQ(B$3,$BV$1,$CB$2,$A60,"L",,"USD","H")/100</f>
        <v>7.8135999999999997E-2</v>
      </c>
      <c r="CC60" s="68" cm="1">
        <f t="array" ref="CC60">_xll.ciqfunctions.udf.CIQ(C$3,$BV$1,$CB$2,$A60,"L",,"USD","H")/100</f>
        <v>0.18354600000000001</v>
      </c>
      <c r="CD60" s="68" cm="1">
        <f t="array" ref="CD60">_xll.ciqfunctions.udf.CIQ(D$3,$BV$1,$CB$2,$A60,"L",,"USD","H")/100</f>
        <v>0.17212</v>
      </c>
      <c r="CE60" s="68" cm="1">
        <f t="array" ref="CE60">_xll.ciqfunctions.udf.CIQ(E$3,$BV$1,$CB$2,$A60,"L",,"USD","H")/100</f>
        <v>5.4469999999999998E-2</v>
      </c>
      <c r="CF60" s="68" cm="1">
        <f t="array" ref="CF60">_xll.ciqfunctions.udf.CIQ(F$3,$BV$1,$CB$2,$A60,"L",,"USD","H")/100</f>
        <v>0.14517099999999999</v>
      </c>
      <c r="CG60" s="68" cm="1">
        <f t="array" ref="CG60">_xll.ciqfunctions.udf.CIQ(G$3,$BV$1,$CB$2,$A60,"L",,"USD","H")/100</f>
        <v>0.16386800000000001</v>
      </c>
    </row>
    <row r="61" spans="1:85" x14ac:dyDescent="0.45">
      <c r="A61" s="3">
        <f t="shared" si="13"/>
        <v>40724</v>
      </c>
      <c r="B61" s="14" cm="1">
        <f t="array" ref="B61">_xll.ciqfunctions.udf.CIQ(B$3,$B$1,$B$2,$A61,"L",,"USD","H")</f>
        <v>17633</v>
      </c>
      <c r="C61" s="38" cm="1">
        <f t="array" ref="C61">_xll.ciqfunctions.udf.CIQ(C$3,$B$1,$B$2,$A61,"L",,"USD","H")</f>
        <v>112781</v>
      </c>
      <c r="D61" s="38" cm="1">
        <f t="array" ref="D61">_xll.ciqfunctions.udf.CIQ(D$3,$B$1,$B$2,$A61,"L",,"USD","H")</f>
        <v>64407</v>
      </c>
      <c r="E61" s="38" cm="1">
        <f t="array" ref="E61">_xll.ciqfunctions.udf.CIQ(E$3,$B$1,$B$2,$A61,"L",,"USD","H")</f>
        <v>2216.8580000000002</v>
      </c>
      <c r="F61" s="38" cm="1">
        <f t="array" ref="F61">_xll.ciqfunctions.udf.CIQ(F$3,$B$1,$B$2,$A61,"L",,"USD","H")</f>
        <v>101364</v>
      </c>
      <c r="G61" s="38" cm="1">
        <f t="array" ref="G61">_xll.ciqfunctions.udf.CIQ(G$3,$B$1,$B$2,$A61,"L",,"USD","H")</f>
        <v>2736</v>
      </c>
      <c r="H61" s="40" cm="1">
        <f t="array" ref="H61">_xll.ciqfunctions.udf.CIQ(B$3,$B$1,$H$2,$A61,"L",,"USD","H")</f>
        <v>127007</v>
      </c>
      <c r="I61" s="40" cm="1">
        <f t="array" ref="I61">_xll.ciqfunctions.udf.CIQ(C$3,$B$1,$H$2,$A61,"L",,"USD","H")</f>
        <v>392725</v>
      </c>
      <c r="J61" s="40" cm="1">
        <f t="array" ref="J61">_xll.ciqfunctions.udf.CIQ(D$3,$B$1,$H$2,$A61,"L",,"USD","H")</f>
        <v>216773</v>
      </c>
      <c r="K61" s="40" cm="1">
        <f t="array" ref="K61">_xll.ciqfunctions.udf.CIQ(E$3,$B$1,$H$2,$A61,"L",,"USD","H")</f>
        <v>7247.2030000000004</v>
      </c>
      <c r="L61" s="40" cm="1">
        <f t="array" ref="L61">_xll.ciqfunctions.udf.CIQ(F$3,$B$1,$H$2,$A61,"L",,"USD","H")</f>
        <v>337410</v>
      </c>
      <c r="M61" s="40" cm="1">
        <f t="array" ref="M61">_xll.ciqfunctions.udf.CIQ(G$3,$B$1,$H$2,$A61,"L",,"USD","H")</f>
        <v>9232</v>
      </c>
      <c r="N61" s="13" cm="1">
        <f t="array" ref="N61">_xll.ciqfunctions.udf.CIQ(B$3,$N$1,$B$2,$A61,"L",,"USD","H")</f>
        <v>-59.427999999999997</v>
      </c>
      <c r="O61" s="13" cm="1">
        <f t="array" ref="O61">_xll.ciqfunctions.udf.CIQ(C$3,$N$1,$B$2,$A61,"L",,"USD","H")</f>
        <v>36.296100000000003</v>
      </c>
      <c r="P61" s="13" cm="1">
        <f t="array" ref="P61">_xll.ciqfunctions.udf.CIQ(D$3,$N$1,$B$2,$A61,"L",,"USD","H")</f>
        <v>31.846399999999999</v>
      </c>
      <c r="Q61" s="13" cm="1">
        <f t="array" ref="Q61">_xll.ciqfunctions.udf.CIQ(E$3,$N$1,$B$2,$A61,"L",,"USD","H")</f>
        <v>68.884600000000006</v>
      </c>
      <c r="R61" s="13" cm="1">
        <f t="array" ref="R61">_xll.ciqfunctions.udf.CIQ(F$3,$N$1,$B$2,$A61,"L",,"USD","H")</f>
        <v>37.4893</v>
      </c>
      <c r="S61" s="13" cm="1">
        <f t="array" ref="S61">_xll.ciqfunctions.udf.CIQ(G$3,$N$1,$B$2,$A61,"L",,"USD","H")</f>
        <v>27.790700000000001</v>
      </c>
      <c r="T61" s="94">
        <v>45653</v>
      </c>
      <c r="U61" s="41" cm="1">
        <f t="array" ref="U61">_xll.ciqfunctions.udf.CIQ(O$3,$N$1,$T$2,$A61,"L",,"USD","H")</f>
        <v>24.1386</v>
      </c>
      <c r="V61" s="41" cm="1">
        <f t="array" ref="V61">_xll.ciqfunctions.udf.CIQ(P$3,$N$1,$T$2,$A61,"L",,"USD","H")</f>
        <v>19.026199999999999</v>
      </c>
      <c r="W61" s="41" cm="1">
        <f t="array" ref="W61">_xll.ciqfunctions.udf.CIQ(Q$3,$N$1,$T$2,$A61,"L",,"USD","H")</f>
        <v>49.067799999999998</v>
      </c>
      <c r="X61" s="41" cm="1">
        <f t="array" ref="X61">_xll.ciqfunctions.udf.CIQ(R$3,$N$1,$T$2,$A61,"L",,"USD","H")</f>
        <v>18.585000000000001</v>
      </c>
      <c r="Y61" s="41" cm="1">
        <f t="array" ref="Y61">_xll.ciqfunctions.udf.CIQ(S$3,$N$1,$T$2,$A61,"L",,"USD","H")</f>
        <v>7.0251999999999999</v>
      </c>
      <c r="Z61" s="38" cm="1">
        <f t="array" ref="Z61">_xll.ciqfunctions.udf.CIQ(B$3,$Z$1,$B$2,$A61,"L",,"USD","H")</f>
        <v>3402</v>
      </c>
      <c r="AA61" s="38" cm="1">
        <f t="array" ref="AA61">_xll.ciqfunctions.udf.CIQ(C$3,$Z$1,$B$2,$A61,"L",,"USD","H")</f>
        <v>10680</v>
      </c>
      <c r="AB61" s="38" cm="1">
        <f t="array" ref="AB61">_xll.ciqfunctions.udf.CIQ(D$3,$Z$1,$B$2,$A61,"L",,"USD","H")</f>
        <v>7732</v>
      </c>
      <c r="AC61" s="38" cm="1">
        <f t="array" ref="AC61">_xll.ciqfunctions.udf.CIQ(E$3,$Z$1,$B$2,$A61,"L",,"USD","H")</f>
        <v>295.57400000000001</v>
      </c>
      <c r="AD61" s="38" cm="1">
        <f t="array" ref="AD61">_xll.ciqfunctions.udf.CIQ(F$3,$Z$1,$B$2,$A61,"L",,"USD","H")</f>
        <v>5718</v>
      </c>
      <c r="AE61" s="38" cm="1">
        <f t="array" ref="AE61">_xll.ciqfunctions.udf.CIQ(G$3,$Z$1,$B$2,$A61,"L",,"USD","H")</f>
        <v>2743</v>
      </c>
      <c r="AF61" s="40" cm="1">
        <f t="array" ref="AF61">_xll.ciqfunctions.udf.CIQ(B$3,$Z$1,$H$2,$A61,"L",,"USD","H")</f>
        <v>11526</v>
      </c>
      <c r="AG61" s="40" cm="1">
        <f t="array" ref="AG61">_xll.ciqfunctions.udf.CIQ(C$3,$Z$1,$H$2,$A61,"L",,"USD","H")</f>
        <v>37930</v>
      </c>
      <c r="AH61" s="40" cm="1">
        <f t="array" ref="AH61">_xll.ciqfunctions.udf.CIQ(D$3,$Z$1,$H$2,$A61,"L",,"USD","H")</f>
        <v>23006</v>
      </c>
      <c r="AI61" s="40" cm="1">
        <f t="array" ref="AI61">_xll.ciqfunctions.udf.CIQ(E$3,$Z$1,$H$2,$A61,"L",,"USD","H")</f>
        <v>412.31400000000002</v>
      </c>
      <c r="AJ61" s="40" cm="1">
        <f t="array" ref="AJ61">_xll.ciqfunctions.udf.CIQ(F$3,$Z$1,$H$2,$A61,"L",,"USD","H")</f>
        <v>20324</v>
      </c>
      <c r="AK61" s="40" cm="1">
        <f t="array" ref="AK61">_xll.ciqfunctions.udf.CIQ(G$3,$Z$1,$H$2,$A61,"L",,"USD","H")</f>
        <v>5811</v>
      </c>
      <c r="AL61" s="13" cm="1">
        <f t="array" ref="AL61">_xll.ciqfunctions.udf.CIQ(B$3,$AL$1,$AL$2,$A61,"L",,"USD","H")</f>
        <v>-18.299800000000001</v>
      </c>
      <c r="AM61" s="13" cm="1">
        <f t="array" ref="AM61">_xll.ciqfunctions.udf.CIQ(C$3,$AL$1,$AL$2,$A61,"L",,"USD","H")</f>
        <v>41.269799999999996</v>
      </c>
      <c r="AN61" s="13" cm="1">
        <f t="array" ref="AN61">_xll.ciqfunctions.udf.CIQ(D$3,$AL$1,$AL$2,$A61,"L",,"USD","H")</f>
        <v>42.946899999999999</v>
      </c>
      <c r="AO61" s="13" cm="1">
        <f t="array" ref="AO61">_xll.ciqfunctions.udf.CIQ(E$3,$AL$1,$AL$2,$A61,"L",,"USD","H")</f>
        <v>393.67649999999998</v>
      </c>
      <c r="AP61" s="13" t="str" cm="1">
        <f t="array" ref="AP61">_xll.ciqfunctions.udf.CIQ(F$3,$AL$1,$AL$2,$A61,"L",,"USD","H")</f>
        <v>NM</v>
      </c>
      <c r="AQ61" s="13" cm="1">
        <f t="array" ref="AQ61">_xll.ciqfunctions.udf.CIQ(G$3,$AL$1,$AL$2,$A61,"L",,"USD","H")</f>
        <v>288.52690000000001</v>
      </c>
      <c r="AR61" s="41" cm="1">
        <f t="array" ref="AR61">_xll.ciqfunctions.udf.CIQ(B$3,$AL$1,$AR$2,$A61,"L",,"USD","H")</f>
        <v>27.825199999999999</v>
      </c>
      <c r="AS61" s="41" cm="1">
        <f t="array" ref="AS61">_xll.ciqfunctions.udf.CIQ(C$3,$AL$1,$AR$2,$A61,"L",,"USD","H")</f>
        <v>53.936599999999999</v>
      </c>
      <c r="AT61" s="41" cm="1">
        <f t="array" ref="AT61">_xll.ciqfunctions.udf.CIQ(D$3,$AL$1,$AR$2,$A61,"L",,"USD","H")</f>
        <v>36.436900000000001</v>
      </c>
      <c r="AU61" s="41" cm="1">
        <f t="array" ref="AU61">_xll.ciqfunctions.udf.CIQ(E$3,$AL$1,$AR$2,$A61,"L",,"USD","H")</f>
        <v>-29.217700000000001</v>
      </c>
      <c r="AV61" s="41" t="str" cm="1">
        <f t="array" ref="AV61">_xll.ciqfunctions.udf.CIQ(F$3,$AL$1,$AR$2,$A61,"L",,"USD","H")</f>
        <v>NM</v>
      </c>
      <c r="AW61" s="41" cm="1">
        <f t="array" ref="AW61">_xll.ciqfunctions.udf.CIQ(G$3,$AL$1,$AR$2,$A61,"L",,"USD","H")</f>
        <v>89.653999999999996</v>
      </c>
      <c r="AX61" s="38" cm="1">
        <f t="array" ref="AX61">_xll.ciqfunctions.udf.CIQ(B$3,$AX$1,$AX$2,$A61,"L",,"USD","H")</f>
        <v>6404</v>
      </c>
      <c r="AY61" s="38" cm="1">
        <f t="array" ref="AY61">_xll.ciqfunctions.udf.CIQ(C$3,$AX$1,$AX$2,$A61,"L",,"USD","H")</f>
        <v>18453</v>
      </c>
      <c r="AZ61" s="38" cm="1">
        <f t="array" ref="AZ61">_xll.ciqfunctions.udf.CIQ(D$3,$AX$1,$AX$2,$A61,"L",,"USD","H")</f>
        <v>14187</v>
      </c>
      <c r="BA61" s="38" cm="1">
        <f t="array" ref="BA61">_xll.ciqfunctions.udf.CIQ(E$3,$AX$1,$AX$2,$A61,"L",,"USD","H")</f>
        <v>1386.08</v>
      </c>
      <c r="BB61" s="38" cm="1">
        <f t="array" ref="BB61">_xll.ciqfunctions.udf.CIQ(F$3,$AX$1,$AX$2,$A61,"L",,"USD","H")</f>
        <v>9997</v>
      </c>
      <c r="BC61" s="38" cm="1">
        <f t="array" ref="BC61">_xll.ciqfunctions.udf.CIQ(G$3,$AX$1,$AX$2,$A61,"L",,"USD","H")</f>
        <v>2079</v>
      </c>
      <c r="BD61" s="40" cm="1">
        <f t="array" ref="BD61">_xll.ciqfunctions.udf.CIQ(B$3,$AX$1,$BD$2,$A61,"L",,"USD","H")</f>
        <v>25258</v>
      </c>
      <c r="BE61" s="40" cm="1">
        <f t="array" ref="BE61">_xll.ciqfunctions.udf.CIQ(C$3,$AX$1,$BD$2,$A61,"L",,"USD","H")</f>
        <v>65781</v>
      </c>
      <c r="BF61" s="40" cm="1">
        <f t="array" ref="BF61">_xll.ciqfunctions.udf.CIQ(D$3,$AX$1,$BD$2,$A61,"L",,"USD","H")</f>
        <v>45659</v>
      </c>
      <c r="BG61" s="40">
        <f>_xll.ciqfunctions.udf.CIQ("COP", "IQ_PRICEDATE", "12/6/2024")</f>
        <v>45632</v>
      </c>
      <c r="BH61" s="40" cm="1">
        <f t="array" ref="BH61">_xll.ciqfunctions.udf.CIQ(F$3,$AX$1,$BD$2,$A61,"L",,"USD","H")</f>
        <v>41209</v>
      </c>
      <c r="BI61" s="40" cm="1">
        <f t="array" ref="BI61">_xll.ciqfunctions.udf.CIQ(G$3,$AX$1,$BD$2,$A61,"L",,"USD","H")</f>
        <v>5715</v>
      </c>
      <c r="BJ61" s="43">
        <f t="shared" si="1"/>
        <v>-0.11104941699056081</v>
      </c>
      <c r="BK61" s="43">
        <f t="shared" si="2"/>
        <v>0.38546437420226742</v>
      </c>
      <c r="BL61" s="43">
        <f t="shared" si="3"/>
        <v>0.42282619596830817</v>
      </c>
      <c r="BM61" s="43">
        <f t="shared" si="4"/>
        <v>1.0446703712499943</v>
      </c>
      <c r="BN61" s="43">
        <f t="shared" si="5"/>
        <v>0.1554553860379102</v>
      </c>
      <c r="BO61" s="43">
        <f t="shared" si="6"/>
        <v>0.61413043478260865</v>
      </c>
      <c r="BP61" s="42">
        <f t="shared" si="7"/>
        <v>-1.6739333540953028E-2</v>
      </c>
      <c r="BQ61" s="42">
        <f t="shared" si="8"/>
        <v>0.42259948096885802</v>
      </c>
      <c r="BR61" s="42">
        <f t="shared" si="9"/>
        <v>0.30756894527334699</v>
      </c>
      <c r="BS61" s="42">
        <f t="shared" si="10"/>
        <v>6.1398122971678681E-4</v>
      </c>
      <c r="BT61" s="42">
        <f t="shared" si="11"/>
        <v>5.669521513923792E-2</v>
      </c>
      <c r="BU61" s="42">
        <f t="shared" si="12"/>
        <v>-3.9657200470509135E-2</v>
      </c>
      <c r="BV61" s="68" cm="1">
        <f t="array" ref="BV61">_xll.ciqfunctions.udf.CIQ(B$3,$BV$1,$BV$2,$A61,"L",,"USD","H")/100</f>
        <v>0.13814399999999999</v>
      </c>
      <c r="BW61" s="68" cm="1">
        <f t="array" ref="BW61">_xll.ciqfunctions.udf.CIQ(C$3,$BV$1,$BV$2,$A61,"L",,"USD","H")/100</f>
        <v>0.190416</v>
      </c>
      <c r="BX61" s="68" cm="1">
        <f t="array" ref="BX61">_xll.ciqfunctions.udf.CIQ(D$3,$BV$1,$BV$2,$A61,"L",,"USD","H")/100</f>
        <v>0.19733200000000001</v>
      </c>
      <c r="BY61" s="68" cm="1">
        <f t="array" ref="BY61">_xll.ciqfunctions.udf.CIQ(E$3,$BV$1,$BV$2,$A61,"L",,"USD","H")/100</f>
        <v>5.8880000000000002E-2</v>
      </c>
      <c r="BZ61" s="68" cm="1">
        <f t="array" ref="BZ61">_xll.ciqfunctions.udf.CIQ(F$3,$BV$1,$BV$2,$A61,"L",,"USD","H")/100</f>
        <v>0.12887999999999999</v>
      </c>
      <c r="CA61" s="68" cm="1">
        <f t="array" ref="CA61">_xll.ciqfunctions.udf.CIQ(G$3,$BV$1,$BV$2,$A61,"L",,"USD","H")/100</f>
        <v>0.385772</v>
      </c>
      <c r="CB61" s="68" cm="1">
        <f t="array" ref="CB61">_xll.ciqfunctions.udf.CIQ(B$3,$BV$1,$CB$2,$A61,"L",,"USD","H")/100</f>
        <v>8.2139000000000004E-2</v>
      </c>
      <c r="CC61" s="68" cm="1">
        <f t="array" ref="CC61">_xll.ciqfunctions.udf.CIQ(C$3,$BV$1,$CB$2,$A61,"L",,"USD","H")/100</f>
        <v>0.16847500000000001</v>
      </c>
      <c r="CD61" s="68" cm="1">
        <f t="array" ref="CD61">_xll.ciqfunctions.udf.CIQ(D$3,$BV$1,$CB$2,$A61,"L",,"USD","H")/100</f>
        <v>0.14355200000000001</v>
      </c>
      <c r="CE61" s="68" cm="1">
        <f t="array" ref="CE61">_xll.ciqfunctions.udf.CIQ(E$3,$BV$1,$CB$2,$A61,"L",,"USD","H")/100</f>
        <v>1.6212999999999998E-2</v>
      </c>
      <c r="CF61" s="68" cm="1">
        <f t="array" ref="CF61">_xll.ciqfunctions.udf.CIQ(F$3,$BV$1,$CB$2,$A61,"L",,"USD","H")/100</f>
        <v>0.13752500000000001</v>
      </c>
      <c r="CG61" s="68" cm="1">
        <f t="array" ref="CG61">_xll.ciqfunctions.udf.CIQ(G$3,$BV$1,$CB$2,$A61,"L",,"USD","H")/100</f>
        <v>0.21354099999999998</v>
      </c>
    </row>
    <row r="62" spans="1:85" x14ac:dyDescent="0.45">
      <c r="A62" s="3">
        <f t="shared" si="13"/>
        <v>40633</v>
      </c>
      <c r="B62" s="14" cm="1">
        <f t="array" ref="B62">_xll.ciqfunctions.udf.CIQ(B$3,$B$1,$B$2,$A62,"L",,"USD","H")</f>
        <v>16190</v>
      </c>
      <c r="C62" s="38" cm="1">
        <f t="array" ref="C62">_xll.ciqfunctions.udf.CIQ(C$3,$B$1,$B$2,$A62,"L",,"USD","H")</f>
        <v>101335</v>
      </c>
      <c r="D62" s="38" cm="1">
        <f t="array" ref="D62">_xll.ciqfunctions.udf.CIQ(D$3,$B$1,$B$2,$A62,"L",,"USD","H")</f>
        <v>56278</v>
      </c>
      <c r="E62" s="38" cm="1">
        <f t="array" ref="E62">_xll.ciqfunctions.udf.CIQ(E$3,$B$1,$B$2,$A62,"L",,"USD","H")</f>
        <v>1892.11</v>
      </c>
      <c r="F62" s="38" cm="1">
        <f t="array" ref="F62">_xll.ciqfunctions.udf.CIQ(F$3,$B$1,$B$2,$A62,"L",,"USD","H")</f>
        <v>85329</v>
      </c>
      <c r="G62" s="38" cm="1">
        <f t="array" ref="G62">_xll.ciqfunctions.udf.CIQ(G$3,$B$1,$B$2,$A62,"L",,"USD","H")</f>
        <v>2259</v>
      </c>
      <c r="H62" s="40" cm="1">
        <f t="array" ref="H62">_xll.ciqfunctions.udf.CIQ(B$3,$B$1,$H$2,$A62,"L",,"USD","H")</f>
        <v>152835</v>
      </c>
      <c r="I62" s="40" cm="1">
        <f t="array" ref="I62">_xll.ciqfunctions.udf.CIQ(C$3,$B$1,$H$2,$A62,"L",,"USD","H")</f>
        <v>362691</v>
      </c>
      <c r="J62" s="40" cm="1">
        <f t="array" ref="J62">_xll.ciqfunctions.udf.CIQ(D$3,$B$1,$H$2,$A62,"L",,"USD","H")</f>
        <v>201216</v>
      </c>
      <c r="K62" s="40" cm="1">
        <f t="array" ref="K62">_xll.ciqfunctions.udf.CIQ(E$3,$B$1,$H$2,$A62,"L",,"USD","H")</f>
        <v>6342.99</v>
      </c>
      <c r="L62" s="40" cm="1">
        <f t="array" ref="L62">_xll.ciqfunctions.udf.CIQ(F$3,$B$1,$H$2,$A62,"L",,"USD","H")</f>
        <v>309771</v>
      </c>
      <c r="M62" s="40" cm="1">
        <f t="array" ref="M62">_xll.ciqfunctions.udf.CIQ(G$3,$B$1,$H$2,$A62,"L",,"USD","H")</f>
        <v>8637</v>
      </c>
      <c r="N62" s="13" cm="1">
        <f t="array" ref="N62">_xll.ciqfunctions.udf.CIQ(B$3,$N$1,$B$2,$A62,"L",,"USD","H")</f>
        <v>-61.9221</v>
      </c>
      <c r="O62" s="13" cm="1">
        <f t="array" ref="O62">_xll.ciqfunctions.udf.CIQ(C$3,$N$1,$B$2,$A62,"L",,"USD","H")</f>
        <v>26.318200000000001</v>
      </c>
      <c r="P62" s="13" cm="1">
        <f t="array" ref="P62">_xll.ciqfunctions.udf.CIQ(D$3,$N$1,$B$2,$A62,"L",,"USD","H")</f>
        <v>25.988900000000001</v>
      </c>
      <c r="Q62" s="13" cm="1">
        <f t="array" ref="Q62">_xll.ciqfunctions.udf.CIQ(E$3,$N$1,$B$2,$A62,"L",,"USD","H")</f>
        <v>38.761800000000001</v>
      </c>
      <c r="R62" s="13" cm="1">
        <f t="array" ref="R62">_xll.ciqfunctions.udf.CIQ(F$3,$N$1,$B$2,$A62,"L",,"USD","H")</f>
        <v>16.775400000000001</v>
      </c>
      <c r="S62" s="13" cm="1">
        <f t="array" ref="S62">_xll.ciqfunctions.udf.CIQ(G$3,$N$1,$B$2,$A62,"L",,"USD","H")</f>
        <v>-11.098000000000001</v>
      </c>
      <c r="T62" s="94">
        <v>45646</v>
      </c>
      <c r="U62" s="41" cm="1">
        <f t="array" ref="U62">_xll.ciqfunctions.udf.CIQ(O$3,$N$1,$T$2,$A62,"L",,"USD","H")</f>
        <v>21.072900000000001</v>
      </c>
      <c r="V62" s="41" cm="1">
        <f t="array" ref="V62">_xll.ciqfunctions.udf.CIQ(P$3,$N$1,$T$2,$A62,"L",,"USD","H")</f>
        <v>17.749300000000002</v>
      </c>
      <c r="W62" s="41" cm="1">
        <f t="array" ref="W62">_xll.ciqfunctions.udf.CIQ(Q$3,$N$1,$T$2,$A62,"L",,"USD","H")</f>
        <v>44.932699999999997</v>
      </c>
      <c r="X62" s="41" cm="1">
        <f t="array" ref="X62">_xll.ciqfunctions.udf.CIQ(R$3,$N$1,$T$2,$A62,"L",,"USD","H")</f>
        <v>16.638500000000001</v>
      </c>
      <c r="Y62" s="41" cm="1">
        <f t="array" ref="Y62">_xll.ciqfunctions.udf.CIQ(S$3,$N$1,$T$2,$A62,"L",,"USD","H")</f>
        <v>3.7351999999999999</v>
      </c>
      <c r="Z62" s="38" cm="1">
        <f t="array" ref="Z62">_xll.ciqfunctions.udf.CIQ(B$3,$Z$1,$B$2,$A62,"L",,"USD","H")</f>
        <v>3028</v>
      </c>
      <c r="AA62" s="38" cm="1">
        <f t="array" ref="AA62">_xll.ciqfunctions.udf.CIQ(C$3,$Z$1,$B$2,$A62,"L",,"USD","H")</f>
        <v>10650</v>
      </c>
      <c r="AB62" s="38" cm="1">
        <f t="array" ref="AB62">_xll.ciqfunctions.udf.CIQ(D$3,$Z$1,$B$2,$A62,"L",,"USD","H")</f>
        <v>6211</v>
      </c>
      <c r="AC62" s="38" cm="1">
        <f t="array" ref="AC62">_xll.ciqfunctions.udf.CIQ(E$3,$Z$1,$B$2,$A62,"L",,"USD","H")</f>
        <v>133.97300000000001</v>
      </c>
      <c r="AD62" s="38" cm="1">
        <f t="array" ref="AD62">_xll.ciqfunctions.udf.CIQ(F$3,$Z$1,$B$2,$A62,"L",,"USD","H")</f>
        <v>7254</v>
      </c>
      <c r="AE62" s="38" cm="1">
        <f t="array" ref="AE62">_xll.ciqfunctions.udf.CIQ(G$3,$Z$1,$B$2,$A62,"L",,"USD","H")</f>
        <v>416</v>
      </c>
      <c r="AF62" s="40" cm="1">
        <f t="array" ref="AF62">_xll.ciqfunctions.udf.CIQ(B$3,$Z$1,$H$2,$A62,"L",,"USD","H")</f>
        <v>12288</v>
      </c>
      <c r="AG62" s="40" cm="1">
        <f t="array" ref="AG62">_xll.ciqfunctions.udf.CIQ(C$3,$Z$1,$H$2,$A62,"L",,"USD","H")</f>
        <v>34810</v>
      </c>
      <c r="AH62" s="40" cm="1">
        <f t="array" ref="AH62">_xll.ciqfunctions.udf.CIQ(D$3,$Z$1,$H$2,$A62,"L",,"USD","H")</f>
        <v>20683</v>
      </c>
      <c r="AI62" s="40" cm="1">
        <f t="array" ref="AI62">_xll.ciqfunctions.udf.CIQ(E$3,$Z$1,$H$2,$A62,"L",,"USD","H")</f>
        <v>176.61199999999999</v>
      </c>
      <c r="AJ62" s="40" cm="1">
        <f t="array" ref="AJ62">_xll.ciqfunctions.udf.CIQ(F$3,$Z$1,$H$2,$A62,"L",,"USD","H")</f>
        <v>-2544</v>
      </c>
      <c r="AK62" s="40" cm="1">
        <f t="array" ref="AK62">_xll.ciqfunctions.udf.CIQ(G$3,$Z$1,$H$2,$A62,"L",,"USD","H")</f>
        <v>3774</v>
      </c>
      <c r="AL62" s="13" cm="1">
        <f t="array" ref="AL62">_xll.ciqfunctions.udf.CIQ(B$3,$AL$1,$AL$2,$A62,"L",,"USD","H")</f>
        <v>44.3279</v>
      </c>
      <c r="AM62" s="13" cm="1">
        <f t="array" ref="AM62">_xll.ciqfunctions.udf.CIQ(C$3,$AL$1,$AL$2,$A62,"L",,"USD","H")</f>
        <v>69.047600000000003</v>
      </c>
      <c r="AN62" s="13" cm="1">
        <f t="array" ref="AN62">_xll.ciqfunctions.udf.CIQ(D$3,$AL$1,$AL$2,$A62,"L",,"USD","H")</f>
        <v>36.445500000000003</v>
      </c>
      <c r="AO62" s="13" cm="1">
        <f t="array" ref="AO62">_xll.ciqfunctions.udf.CIQ(E$3,$AL$1,$AL$2,$A62,"L",,"USD","H")</f>
        <v>13.522</v>
      </c>
      <c r="AP62" s="13" cm="1">
        <f t="array" ref="AP62">_xll.ciqfunctions.udf.CIQ(F$3,$AL$1,$AL$2,$A62,"L",,"USD","H")</f>
        <v>19.328800000000001</v>
      </c>
      <c r="AQ62" s="13" cm="1">
        <f t="array" ref="AQ62">_xll.ciqfunctions.udf.CIQ(G$3,$AL$1,$AL$2,$A62,"L",,"USD","H")</f>
        <v>-65.100700000000003</v>
      </c>
      <c r="AR62" s="41" cm="1">
        <f t="array" ref="AR62">_xll.ciqfunctions.udf.CIQ(B$3,$AL$1,$AR$2,$A62,"L",,"USD","H")</f>
        <v>115.126</v>
      </c>
      <c r="AS62" s="41" cm="1">
        <f t="array" ref="AS62">_xll.ciqfunctions.udf.CIQ(C$3,$AL$1,$AR$2,$A62,"L",,"USD","H")</f>
        <v>65.525400000000005</v>
      </c>
      <c r="AT62" s="41" cm="1">
        <f t="array" ref="AT62">_xll.ciqfunctions.udf.CIQ(D$3,$AL$1,$AR$2,$A62,"L",,"USD","H")</f>
        <v>56.713099999999997</v>
      </c>
      <c r="AU62" s="41" cm="1">
        <f t="array" ref="AU62">_xll.ciqfunctions.udf.CIQ(E$3,$AL$1,$AR$2,$A62,"L",,"USD","H")</f>
        <v>-65.091800000000006</v>
      </c>
      <c r="AV62" s="41" t="str" cm="1">
        <f t="array" ref="AV62">_xll.ciqfunctions.udf.CIQ(F$3,$AL$1,$AR$2,$A62,"L",,"USD","H")</f>
        <v>NM</v>
      </c>
      <c r="AW62" s="41" cm="1">
        <f t="array" ref="AW62">_xll.ciqfunctions.udf.CIQ(G$3,$AL$1,$AR$2,$A62,"L",,"USD","H")</f>
        <v>41.2425</v>
      </c>
      <c r="AX62" s="38" cm="1">
        <f t="array" ref="AX62">_xll.ciqfunctions.udf.CIQ(B$3,$AX$1,$AX$2,$A62,"L",,"USD","H")</f>
        <v>6503</v>
      </c>
      <c r="AY62" s="38" cm="1">
        <f t="array" ref="AY62">_xll.ciqfunctions.udf.CIQ(C$3,$AX$1,$AX$2,$A62,"L",,"USD","H")</f>
        <v>17954</v>
      </c>
      <c r="AZ62" s="38" cm="1">
        <f t="array" ref="AZ62">_xll.ciqfunctions.udf.CIQ(D$3,$AX$1,$AX$2,$A62,"L",,"USD","H")</f>
        <v>12319</v>
      </c>
      <c r="BA62" s="38" cm="1">
        <f t="array" ref="BA62">_xll.ciqfunctions.udf.CIQ(E$3,$AX$1,$AX$2,$A62,"L",,"USD","H")</f>
        <v>858.26300000000003</v>
      </c>
      <c r="BB62" s="38" cm="1">
        <f t="array" ref="BB62">_xll.ciqfunctions.udf.CIQ(F$3,$AX$1,$AX$2,$A62,"L",,"USD","H")</f>
        <v>11871</v>
      </c>
      <c r="BC62" s="38" cm="1">
        <f t="array" ref="BC62">_xll.ciqfunctions.udf.CIQ(G$3,$AX$1,$AX$2,$A62,"L",,"USD","H")</f>
        <v>1175</v>
      </c>
      <c r="BD62" s="40" cm="1">
        <f t="array" ref="BD62">_xll.ciqfunctions.udf.CIQ(B$3,$AX$1,$BD$2,$A62,"L",,"USD","H")</f>
        <v>25944</v>
      </c>
      <c r="BE62" s="40" cm="1">
        <f t="array" ref="BE62">_xll.ciqfunctions.udf.CIQ(C$3,$AX$1,$BD$2,$A62,"L",,"USD","H")</f>
        <v>60647</v>
      </c>
      <c r="BF62" s="40" cm="1">
        <f t="array" ref="BF62">_xll.ciqfunctions.udf.CIQ(D$3,$AX$1,$BD$2,$A62,"L",,"USD","H")</f>
        <v>41443</v>
      </c>
      <c r="BG62" s="40">
        <f>_xll.ciqfunctions.udf.CIQ("COP", "IQ_PRICEDATE", "11/29/2024")</f>
        <v>45625</v>
      </c>
      <c r="BH62" s="40" cm="1">
        <f t="array" ref="BH62">_xll.ciqfunctions.udf.CIQ(F$3,$AX$1,$BD$2,$A62,"L",,"USD","H")</f>
        <v>39864</v>
      </c>
      <c r="BI62" s="40" cm="1">
        <f t="array" ref="BI62">_xll.ciqfunctions.udf.CIQ(G$3,$AX$1,$BD$2,$A62,"L",,"USD","H")</f>
        <v>4924</v>
      </c>
      <c r="BJ62" s="43">
        <f t="shared" si="1"/>
        <v>-5.2869210602971117E-2</v>
      </c>
      <c r="BK62" s="43">
        <f t="shared" si="2"/>
        <v>0.47296742964968419</v>
      </c>
      <c r="BL62" s="43">
        <f t="shared" si="3"/>
        <v>0.32263259609190476</v>
      </c>
      <c r="BM62" s="43">
        <f t="shared" si="4"/>
        <v>0.18859986234193227</v>
      </c>
      <c r="BN62" s="43">
        <f t="shared" si="5"/>
        <v>3.8582677165354351E-2</v>
      </c>
      <c r="BO62" s="43">
        <f t="shared" si="6"/>
        <v>-0.45852534562211977</v>
      </c>
      <c r="BP62" s="42">
        <f t="shared" si="7"/>
        <v>0.11745703579273803</v>
      </c>
      <c r="BQ62" s="42">
        <f t="shared" si="8"/>
        <v>0.46154958428726345</v>
      </c>
      <c r="BR62" s="42">
        <f t="shared" si="9"/>
        <v>0.34376317240037602</v>
      </c>
      <c r="BS62" s="42">
        <f t="shared" si="10"/>
        <v>6.1407548742242746E-4</v>
      </c>
      <c r="BT62" s="42">
        <f t="shared" si="11"/>
        <v>2.436016034535915E-2</v>
      </c>
      <c r="BU62" s="42">
        <f t="shared" si="12"/>
        <v>-0.1123129619614206</v>
      </c>
      <c r="BV62" s="68" cm="1">
        <f t="array" ref="BV62">_xll.ciqfunctions.udf.CIQ(B$3,$BV$1,$BV$2,$A62,"L",,"USD","H")/100</f>
        <v>8.4940000000000002E-2</v>
      </c>
      <c r="BW62" s="68" cm="1">
        <f t="array" ref="BW62">_xll.ciqfunctions.udf.CIQ(C$3,$BV$1,$BV$2,$A62,"L",,"USD","H")/100</f>
        <v>0.19846</v>
      </c>
      <c r="BX62" s="68" cm="1">
        <f t="array" ref="BX62">_xll.ciqfunctions.udf.CIQ(D$3,$BV$1,$BV$2,$A62,"L",,"USD","H")/100</f>
        <v>0.159356</v>
      </c>
      <c r="BY62" s="68" cm="1">
        <f t="array" ref="BY62">_xll.ciqfunctions.udf.CIQ(E$3,$BV$1,$BV$2,$A62,"L",,"USD","H")/100</f>
        <v>2.3355999999999998E-2</v>
      </c>
      <c r="BZ62" s="68" cm="1">
        <f t="array" ref="BZ62">_xll.ciqfunctions.udf.CIQ(F$3,$BV$1,$BV$2,$A62,"L",,"USD","H")/100</f>
        <v>0.176896</v>
      </c>
      <c r="CA62" s="68" cm="1">
        <f t="array" ref="CA62">_xll.ciqfunctions.udf.CIQ(G$3,$BV$1,$BV$2,$A62,"L",,"USD","H")/100</f>
        <v>5.4676000000000002E-2</v>
      </c>
      <c r="CB62" s="68" cm="1">
        <f t="array" ref="CB62">_xll.ciqfunctions.udf.CIQ(B$3,$BV$1,$CB$2,$A62,"L",,"USD","H")/100</f>
        <v>9.0726000000000001E-2</v>
      </c>
      <c r="CC62" s="68" cm="1">
        <f t="array" ref="CC62">_xll.ciqfunctions.udf.CIQ(C$3,$BV$1,$CB$2,$A62,"L",,"USD","H")/100</f>
        <v>0.173763</v>
      </c>
      <c r="CD62" s="68" cm="1">
        <f t="array" ref="CD62">_xll.ciqfunctions.udf.CIQ(D$3,$BV$1,$CB$2,$A62,"L",,"USD","H")/100</f>
        <v>0.130471</v>
      </c>
      <c r="CE62" s="68" cm="1">
        <f t="array" ref="CE62">_xll.ciqfunctions.udf.CIQ(E$3,$BV$1,$CB$2,$A62,"L",,"USD","H")/100</f>
        <v>1.3750000000000001E-3</v>
      </c>
      <c r="CF62" s="68" cm="1">
        <f t="array" ref="CF62">_xll.ciqfunctions.udf.CIQ(F$3,$BV$1,$CB$2,$A62,"L",,"USD","H")/100</f>
        <v>-2.3332000000000002E-2</v>
      </c>
      <c r="CG62" s="68" cm="1">
        <f t="array" ref="CG62">_xll.ciqfunctions.udf.CIQ(G$3,$BV$1,$CB$2,$A62,"L",,"USD","H")/100</f>
        <v>0.14252499999999999</v>
      </c>
    </row>
    <row r="63" spans="1:85" x14ac:dyDescent="0.45">
      <c r="A63" s="3">
        <f t="shared" si="13"/>
        <v>40543</v>
      </c>
      <c r="B63" s="14" cm="1">
        <f t="array" ref="B63">_xll.ciqfunctions.udf.CIQ(B$3,$B$1,$B$2,$A63,"L",,"USD","H")</f>
        <v>48577</v>
      </c>
      <c r="C63" s="38" cm="1">
        <f t="array" ref="C63">_xll.ciqfunctions.udf.CIQ(C$3,$B$1,$B$2,$A63,"L",,"USD","H")</f>
        <v>93428</v>
      </c>
      <c r="D63" s="38" cm="1">
        <f t="array" ref="D63">_xll.ciqfunctions.udf.CIQ(D$3,$B$1,$B$2,$A63,"L",,"USD","H")</f>
        <v>49716</v>
      </c>
      <c r="E63" s="38" cm="1">
        <f t="array" ref="E63">_xll.ciqfunctions.udf.CIQ(E$3,$B$1,$B$2,$A63,"L",,"USD","H")</f>
        <v>1681.9670000000001</v>
      </c>
      <c r="F63" s="38" cm="1">
        <f t="array" ref="F63">_xll.ciqfunctions.udf.CIQ(F$3,$B$1,$B$2,$A63,"L",,"USD","H")</f>
        <v>80109</v>
      </c>
      <c r="G63" s="38" cm="1">
        <f t="array" ref="G63">_xll.ciqfunctions.udf.CIQ(G$3,$B$1,$B$2,$A63,"L",,"USD","H")</f>
        <v>2144</v>
      </c>
      <c r="H63" s="40" cm="1">
        <f t="array" ref="H63">_xll.ciqfunctions.udf.CIQ(B$3,$B$1,$H$2,$A63,"L",,"USD","H")</f>
        <v>57772</v>
      </c>
      <c r="I63" s="40" cm="1">
        <f t="array" ref="I63">_xll.ciqfunctions.udf.CIQ(C$3,$B$1,$H$2,$A63,"L",,"USD","H")</f>
        <v>341578</v>
      </c>
      <c r="J63" s="40" cm="1">
        <f t="array" ref="J63">_xll.ciqfunctions.udf.CIQ(D$3,$B$1,$H$2,$A63,"L",,"USD","H")</f>
        <v>189607</v>
      </c>
      <c r="K63" s="40" cm="1">
        <f t="array" ref="K63">_xll.ciqfunctions.udf.CIQ(E$3,$B$1,$H$2,$A63,"L",,"USD","H")</f>
        <v>5814.4459999999999</v>
      </c>
      <c r="L63" s="40" cm="1">
        <f t="array" ref="L63">_xll.ciqfunctions.udf.CIQ(F$3,$B$1,$H$2,$A63,"L",,"USD","H")</f>
        <v>297107</v>
      </c>
      <c r="M63" s="40" cm="1">
        <f t="array" ref="M63">_xll.ciqfunctions.udf.CIQ(G$3,$B$1,$H$2,$A63,"L",,"USD","H")</f>
        <v>8919</v>
      </c>
      <c r="N63" s="13" cm="1">
        <f t="array" ref="N63">_xll.ciqfunctions.udf.CIQ(B$3,$N$1,$B$2,$A63,"L",,"USD","H")</f>
        <v>21.0671</v>
      </c>
      <c r="O63" s="13" cm="1">
        <f t="array" ref="O63">_xll.ciqfunctions.udf.CIQ(C$3,$N$1,$B$2,$A63,"L",,"USD","H")</f>
        <v>16.630400000000002</v>
      </c>
      <c r="P63" s="13" cm="1">
        <f t="array" ref="P63">_xll.ciqfunctions.udf.CIQ(D$3,$N$1,$B$2,$A63,"L",,"USD","H")</f>
        <v>9.2611000000000008</v>
      </c>
      <c r="Q63" s="13" cm="1">
        <f t="array" ref="Q63">_xll.ciqfunctions.udf.CIQ(E$3,$N$1,$B$2,$A63,"L",,"USD","H")</f>
        <v>40.162799999999997</v>
      </c>
      <c r="R63" s="13" cm="1">
        <f t="array" ref="R63">_xll.ciqfunctions.udf.CIQ(F$3,$N$1,$B$2,$A63,"L",,"USD","H")</f>
        <v>12.0154</v>
      </c>
      <c r="S63" s="13" cm="1">
        <f t="array" ref="S63">_xll.ciqfunctions.udf.CIQ(G$3,$N$1,$B$2,$A63,"L",,"USD","H")</f>
        <v>1.1798</v>
      </c>
      <c r="T63" s="94">
        <v>45639</v>
      </c>
      <c r="U63" s="41" cm="1">
        <f t="array" ref="U63">_xll.ciqfunctions.udf.CIQ(O$3,$N$1,$T$2,$A63,"L",,"USD","H")</f>
        <v>23.9559</v>
      </c>
      <c r="V63" s="41" cm="1">
        <f t="array" ref="V63">_xll.ciqfunctions.udf.CIQ(P$3,$N$1,$T$2,$A63,"L",,"USD","H")</f>
        <v>19.0303</v>
      </c>
      <c r="W63" s="41" cm="1">
        <f t="array" ref="W63">_xll.ciqfunctions.udf.CIQ(Q$3,$N$1,$T$2,$A63,"L",,"USD","H")</f>
        <v>52.219900000000003</v>
      </c>
      <c r="X63" s="41" cm="1">
        <f t="array" ref="X63">_xll.ciqfunctions.udf.CIQ(R$3,$N$1,$T$2,$A63,"L",,"USD","H")</f>
        <v>23.894200000000001</v>
      </c>
      <c r="Y63" s="41" cm="1">
        <f t="array" ref="Y63">_xll.ciqfunctions.udf.CIQ(S$3,$N$1,$T$2,$A63,"L",,"USD","H")</f>
        <v>18.9358</v>
      </c>
      <c r="Z63" s="38" cm="1">
        <f t="array" ref="Z63">_xll.ciqfunctions.udf.CIQ(B$3,$Z$1,$B$2,$A63,"L",,"USD","H")</f>
        <v>2041</v>
      </c>
      <c r="AA63" s="38" cm="1">
        <f t="array" ref="AA63">_xll.ciqfunctions.udf.CIQ(C$3,$Z$1,$B$2,$A63,"L",,"USD","H")</f>
        <v>9250</v>
      </c>
      <c r="AB63" s="38" cm="1">
        <f t="array" ref="AB63">_xll.ciqfunctions.udf.CIQ(D$3,$Z$1,$B$2,$A63,"L",,"USD","H")</f>
        <v>5295</v>
      </c>
      <c r="AC63" s="38" cm="1">
        <f t="array" ref="AC63">_xll.ciqfunctions.udf.CIQ(E$3,$Z$1,$B$2,$A63,"L",,"USD","H")</f>
        <v>53.673000000000002</v>
      </c>
      <c r="AD63" s="38" cm="1">
        <f t="array" ref="AD63">_xll.ciqfunctions.udf.CIQ(F$3,$Z$1,$B$2,$A63,"L",,"USD","H")</f>
        <v>5567</v>
      </c>
      <c r="AE63" s="38" cm="1">
        <f t="array" ref="AE63">_xll.ciqfunctions.udf.CIQ(G$3,$Z$1,$B$2,$A63,"L",,"USD","H")</f>
        <v>562</v>
      </c>
      <c r="AF63" s="40" cm="1">
        <f t="array" ref="AF63">_xll.ciqfunctions.udf.CIQ(B$3,$Z$1,$H$2,$A63,"L",,"USD","H")</f>
        <v>11358</v>
      </c>
      <c r="AG63" s="40" cm="1">
        <f t="array" ref="AG63">_xll.ciqfunctions.udf.CIQ(C$3,$Z$1,$H$2,$A63,"L",,"USD","H")</f>
        <v>30460</v>
      </c>
      <c r="AH63" s="40" cm="1">
        <f t="array" ref="AH63">_xll.ciqfunctions.udf.CIQ(D$3,$Z$1,$H$2,$A63,"L",,"USD","H")</f>
        <v>19024</v>
      </c>
      <c r="AI63" s="40" cm="1">
        <f t="array" ref="AI63">_xll.ciqfunctions.udf.CIQ(E$3,$Z$1,$H$2,$A63,"L",,"USD","H")</f>
        <v>160.654</v>
      </c>
      <c r="AJ63" s="40" cm="1">
        <f t="array" ref="AJ63">_xll.ciqfunctions.udf.CIQ(F$3,$Z$1,$H$2,$A63,"L",,"USD","H")</f>
        <v>-3719</v>
      </c>
      <c r="AK63" s="40" cm="1">
        <f t="array" ref="AK63">_xll.ciqfunctions.udf.CIQ(G$3,$Z$1,$H$2,$A63,"L",,"USD","H")</f>
        <v>4550</v>
      </c>
      <c r="AL63" s="13" cm="1">
        <f t="array" ref="AL63">_xll.ciqfunctions.udf.CIQ(B$3,$AL$1,$AL$2,$A63,"L",,"USD","H")</f>
        <v>58.832599999999999</v>
      </c>
      <c r="AM63" s="13" cm="1">
        <f t="array" ref="AM63">_xll.ciqfunctions.udf.CIQ(C$3,$AL$1,$AL$2,$A63,"L",,"USD","H")</f>
        <v>52.892499999999998</v>
      </c>
      <c r="AN63" s="13" cm="1">
        <f t="array" ref="AN63">_xll.ciqfunctions.udf.CIQ(D$3,$AL$1,$AL$2,$A63,"L",,"USD","H")</f>
        <v>72.475499999999997</v>
      </c>
      <c r="AO63" s="13" cm="1">
        <f t="array" ref="AO63">_xll.ciqfunctions.udf.CIQ(E$3,$AL$1,$AL$2,$A63,"L",,"USD","H")</f>
        <v>-86.596100000000007</v>
      </c>
      <c r="AP63" s="13" cm="1">
        <f t="array" ref="AP63">_xll.ciqfunctions.udf.CIQ(F$3,$AL$1,$AL$2,$A63,"L",,"USD","H")</f>
        <v>29.6158</v>
      </c>
      <c r="AQ63" s="13" cm="1">
        <f t="array" ref="AQ63">_xll.ciqfunctions.udf.CIQ(G$3,$AL$1,$AL$2,$A63,"L",,"USD","H")</f>
        <v>-15.7422</v>
      </c>
      <c r="AR63" s="41" cm="1">
        <f t="array" ref="AR63">_xll.ciqfunctions.udf.CIQ(B$3,$AL$1,$AR$2,$A63,"L",,"USD","H")</f>
        <v>157.3176</v>
      </c>
      <c r="AS63" s="41" cm="1">
        <f t="array" ref="AS63">_xll.ciqfunctions.udf.CIQ(C$3,$AL$1,$AR$2,$A63,"L",,"USD","H")</f>
        <v>57.987499999999997</v>
      </c>
      <c r="AT63" s="41" cm="1">
        <f t="array" ref="AT63">_xll.ciqfunctions.udf.CIQ(D$3,$AL$1,$AR$2,$A63,"L",,"USD","H")</f>
        <v>81.474699999999999</v>
      </c>
      <c r="AU63" s="41" cm="1">
        <f t="array" ref="AU63">_xll.ciqfunctions.udf.CIQ(E$3,$AL$1,$AR$2,$A63,"L",,"USD","H")</f>
        <v>-70.61</v>
      </c>
      <c r="AV63" s="41" t="str" cm="1">
        <f t="array" ref="AV63">_xll.ciqfunctions.udf.CIQ(F$3,$AL$1,$AR$2,$A63,"L",,"USD","H")</f>
        <v>NM</v>
      </c>
      <c r="AW63" s="41" t="str" cm="1">
        <f t="array" ref="AW63">_xll.ciqfunctions.udf.CIQ(G$3,$AL$1,$AR$2,$A63,"L",,"USD","H")</f>
        <v>NM</v>
      </c>
      <c r="AX63" s="38" cm="1">
        <f t="array" ref="AX63">_xll.ciqfunctions.udf.CIQ(B$3,$AX$1,$AX$2,$A63,"L",,"USD","H")</f>
        <v>5820</v>
      </c>
      <c r="AY63" s="38" cm="1">
        <f t="array" ref="AY63">_xll.ciqfunctions.udf.CIQ(C$3,$AX$1,$AX$2,$A63,"L",,"USD","H")</f>
        <v>15563</v>
      </c>
      <c r="AZ63" s="38" cm="1">
        <f t="array" ref="AZ63">_xll.ciqfunctions.udf.CIQ(D$3,$AX$1,$AX$2,$A63,"L",,"USD","H")</f>
        <v>10034</v>
      </c>
      <c r="BA63" s="38" cm="1">
        <f t="array" ref="BA63">_xll.ciqfunctions.udf.CIQ(E$3,$AX$1,$AX$2,$A63,"L",,"USD","H")</f>
        <v>807.08500000000004</v>
      </c>
      <c r="BB63" s="38" cm="1">
        <f t="array" ref="BB63">_xll.ciqfunctions.udf.CIQ(F$3,$AX$1,$AX$2,$A63,"L",,"USD","H")</f>
        <v>10666</v>
      </c>
      <c r="BC63" s="38" cm="1">
        <f t="array" ref="BC63">_xll.ciqfunctions.udf.CIQ(G$3,$AX$1,$AX$2,$A63,"L",,"USD","H")</f>
        <v>1085</v>
      </c>
      <c r="BD63" s="40" cm="1">
        <f t="array" ref="BD63">_xll.ciqfunctions.udf.CIQ(B$3,$AX$1,$BD$2,$A63,"L",,"USD","H")</f>
        <v>21720</v>
      </c>
      <c r="BE63" s="40" cm="1">
        <f t="array" ref="BE63">_xll.ciqfunctions.udf.CIQ(C$3,$AX$1,$BD$2,$A63,"L",,"USD","H")</f>
        <v>54882</v>
      </c>
      <c r="BF63" s="40" cm="1">
        <f t="array" ref="BF63">_xll.ciqfunctions.udf.CIQ(D$3,$AX$1,$BD$2,$A63,"L",,"USD","H")</f>
        <v>38438</v>
      </c>
      <c r="BG63" s="40">
        <f>_xll.ciqfunctions.udf.CIQ("COP", "IQ_PRICEDATE", "11/22/2024")</f>
        <v>45618</v>
      </c>
      <c r="BH63" s="40" cm="1">
        <f t="array" ref="BH63">_xll.ciqfunctions.udf.CIQ(F$3,$AX$1,$BD$2,$A63,"L",,"USD","H")</f>
        <v>39344</v>
      </c>
      <c r="BI63" s="40" cm="1">
        <f t="array" ref="BI63">_xll.ciqfunctions.udf.CIQ(G$3,$AX$1,$BD$2,$A63,"L",,"USD","H")</f>
        <v>5990</v>
      </c>
      <c r="BJ63" s="43">
        <f t="shared" si="1"/>
        <v>-2.1848739495798353E-2</v>
      </c>
      <c r="BK63" s="43">
        <f t="shared" si="2"/>
        <v>0.4532636100476235</v>
      </c>
      <c r="BL63" s="43">
        <f t="shared" si="3"/>
        <v>0.27189757890733923</v>
      </c>
      <c r="BM63" s="43">
        <f t="shared" si="4"/>
        <v>0.25708300235191506</v>
      </c>
      <c r="BN63" s="43">
        <f t="shared" si="5"/>
        <v>0.11685863874345559</v>
      </c>
      <c r="BO63" s="43">
        <f t="shared" si="6"/>
        <v>-0.29591174561972744</v>
      </c>
      <c r="BP63" s="42">
        <f t="shared" si="7"/>
        <v>4.7150708706971356E-2</v>
      </c>
      <c r="BQ63" s="42">
        <f t="shared" si="8"/>
        <v>0.43835831848202123</v>
      </c>
      <c r="BR63" s="42">
        <f t="shared" si="9"/>
        <v>0.45422215496368046</v>
      </c>
      <c r="BS63" s="42">
        <f t="shared" si="10"/>
        <v>6.1416977407335871E-4</v>
      </c>
      <c r="BT63" s="42">
        <f t="shared" si="11"/>
        <v>0.15395219240357827</v>
      </c>
      <c r="BU63" s="42">
        <f t="shared" si="12"/>
        <v>0.34365186182144458</v>
      </c>
      <c r="BV63" s="68" cm="1">
        <f t="array" ref="BV63">_xll.ciqfunctions.udf.CIQ(B$3,$BV$1,$BV$2,$A63,"L",,"USD","H")/100</f>
        <v>5.0587999999999994E-2</v>
      </c>
      <c r="BW63" s="68" cm="1">
        <f t="array" ref="BW63">_xll.ciqfunctions.udf.CIQ(C$3,$BV$1,$BV$2,$A63,"L",,"USD","H")/100</f>
        <v>0.16727599999999998</v>
      </c>
      <c r="BX63" s="68" cm="1">
        <f t="array" ref="BX63">_xll.ciqfunctions.udf.CIQ(D$3,$BV$1,$BV$2,$A63,"L",,"USD","H")/100</f>
        <v>0.133544</v>
      </c>
      <c r="BY63" s="68" cm="1">
        <f t="array" ref="BY63">_xll.ciqfunctions.udf.CIQ(E$3,$BV$1,$BV$2,$A63,"L",,"USD","H")/100</f>
        <v>4.0080000000000003E-3</v>
      </c>
      <c r="BZ63" s="68" cm="1">
        <f t="array" ref="BZ63">_xll.ciqfunctions.udf.CIQ(F$3,$BV$1,$BV$2,$A63,"L",,"USD","H")/100</f>
        <v>0.163992</v>
      </c>
      <c r="CA63" s="68" cm="1">
        <f t="array" ref="CA63">_xll.ciqfunctions.udf.CIQ(G$3,$BV$1,$BV$2,$A63,"L",,"USD","H")/100</f>
        <v>7.9995999999999998E-2</v>
      </c>
      <c r="CB63" s="68" cm="1">
        <f t="array" ref="CB63">_xll.ciqfunctions.udf.CIQ(B$3,$BV$1,$CB$2,$A63,"L",,"USD","H")/100</f>
        <v>8.4080999999999989E-2</v>
      </c>
      <c r="CC63" s="68" cm="1">
        <f t="array" ref="CC63">_xll.ciqfunctions.udf.CIQ(C$3,$BV$1,$CB$2,$A63,"L",,"USD","H")/100</f>
        <v>0.15007000000000001</v>
      </c>
      <c r="CD63" s="68" cm="1">
        <f t="array" ref="CD63">_xll.ciqfunctions.udf.CIQ(D$3,$BV$1,$CB$2,$A63,"L",,"USD","H")/100</f>
        <v>0.12120900000000001</v>
      </c>
      <c r="CE63" s="68" cm="1">
        <f t="array" ref="CE63">_xll.ciqfunctions.udf.CIQ(E$3,$BV$1,$CB$2,$A63,"L",,"USD","H")/100</f>
        <v>5.2400000000000005E-4</v>
      </c>
      <c r="CF63" s="68" cm="1">
        <f t="array" ref="CF63">_xll.ciqfunctions.udf.CIQ(F$3,$BV$1,$CB$2,$A63,"L",,"USD","H")/100</f>
        <v>-4.5659999999999999E-2</v>
      </c>
      <c r="CG63" s="68" cm="1">
        <f t="array" ref="CG63">_xll.ciqfunctions.udf.CIQ(G$3,$BV$1,$CB$2,$A63,"L",,"USD","H")/100</f>
        <v>0.178873</v>
      </c>
    </row>
    <row r="64" spans="1:85" x14ac:dyDescent="0.45">
      <c r="A64" s="3">
        <f>EDATE(A60,-12)</f>
        <v>40451</v>
      </c>
      <c r="B64" s="14" cm="1">
        <f t="array" ref="B64">_xll.ciqfunctions.udf.CIQ(B$3,$B$1,$B$2,$A64,"L",,"USD","H")</f>
        <v>44607</v>
      </c>
      <c r="C64" s="38" cm="1">
        <f t="array" ref="C64">_xll.ciqfunctions.udf.CIQ(C$3,$B$1,$B$2,$A64,"L",,"USD","H")</f>
        <v>85181</v>
      </c>
      <c r="D64" s="38" cm="1">
        <f t="array" ref="D64">_xll.ciqfunctions.udf.CIQ(D$3,$B$1,$B$2,$A64,"L",,"USD","H")</f>
        <v>46372</v>
      </c>
      <c r="E64" s="38" cm="1">
        <f t="array" ref="E64">_xll.ciqfunctions.udf.CIQ(E$3,$B$1,$B$2,$A64,"L",,"USD","H")</f>
        <v>1456.268</v>
      </c>
      <c r="F64" s="38" cm="1">
        <f t="array" ref="F64">_xll.ciqfunctions.udf.CIQ(F$3,$B$1,$B$2,$A64,"L",,"USD","H")</f>
        <v>70608</v>
      </c>
      <c r="G64" s="38" cm="1">
        <f t="array" ref="G64">_xll.ciqfunctions.udf.CIQ(G$3,$B$1,$B$2,$A64,"L",,"USD","H")</f>
        <v>2093</v>
      </c>
      <c r="H64" s="40" cm="1">
        <f t="array" ref="H64">_xll.ciqfunctions.udf.CIQ(B$3,$B$1,$H$2,$A64,"L",,"USD","H")</f>
        <v>170710</v>
      </c>
      <c r="I64" s="40" cm="1">
        <f t="array" ref="I64">_xll.ciqfunctions.udf.CIQ(C$3,$B$1,$H$2,$A64,"L",,"USD","H")</f>
        <v>328256</v>
      </c>
      <c r="J64" s="40" cm="1">
        <f t="array" ref="J64">_xll.ciqfunctions.udf.CIQ(D$3,$B$1,$H$2,$A64,"L",,"USD","H")</f>
        <v>185393</v>
      </c>
      <c r="K64" s="40" cm="1">
        <f t="array" ref="K64">_xll.ciqfunctions.udf.CIQ(E$3,$B$1,$H$2,$A64,"L",,"USD","H")</f>
        <v>5332.4880000000003</v>
      </c>
      <c r="L64" s="40" cm="1">
        <f t="array" ref="L64">_xll.ciqfunctions.udf.CIQ(F$3,$B$1,$H$2,$A64,"L",,"USD","H")</f>
        <v>288920</v>
      </c>
      <c r="M64" s="40" cm="1">
        <f t="array" ref="M64">_xll.ciqfunctions.udf.CIQ(G$3,$B$1,$H$2,$A64,"L",,"USD","H")</f>
        <v>8894</v>
      </c>
      <c r="N64" s="13" cm="1">
        <f t="array" ref="N64">_xll.ciqfunctions.udf.CIQ(B$3,$N$1,$B$2,$A64,"L",,"USD","H")</f>
        <v>18.217400000000001</v>
      </c>
      <c r="O64" s="13" cm="1">
        <f t="array" ref="O64">_xll.ciqfunctions.udf.CIQ(C$3,$N$1,$B$2,$A64,"L",,"USD","H")</f>
        <v>16.232500000000002</v>
      </c>
      <c r="P64" s="13" cm="1">
        <f t="array" ref="P64">_xll.ciqfunctions.udf.CIQ(D$3,$N$1,$B$2,$A64,"L",,"USD","H")</f>
        <v>7.5891000000000002</v>
      </c>
      <c r="Q64" s="13" cm="1">
        <f t="array" ref="Q64">_xll.ciqfunctions.udf.CIQ(E$3,$N$1,$B$2,$A64,"L",,"USD","H")</f>
        <v>47.663899999999998</v>
      </c>
      <c r="R64" s="13" cm="1">
        <f t="array" ref="R64">_xll.ciqfunctions.udf.CIQ(F$3,$N$1,$B$2,$A64,"L",,"USD","H")</f>
        <v>6.6295999999999999</v>
      </c>
      <c r="S64" s="13" cm="1">
        <f t="array" ref="S64">_xll.ciqfunctions.udf.CIQ(G$3,$N$1,$B$2,$A64,"L",,"USD","H")</f>
        <v>14.684900000000001</v>
      </c>
      <c r="T64" s="94">
        <v>45632</v>
      </c>
      <c r="U64" s="41" cm="1">
        <f t="array" ref="U64">_xll.ciqfunctions.udf.CIQ(O$3,$N$1,$T$2,$A64,"L",,"USD","H")</f>
        <v>22.145399999999999</v>
      </c>
      <c r="V64" s="41" cm="1">
        <f t="array" ref="V64">_xll.ciqfunctions.udf.CIQ(P$3,$N$1,$T$2,$A64,"L",,"USD","H")</f>
        <v>19.720300000000002</v>
      </c>
      <c r="W64" s="41" cm="1">
        <f t="array" ref="W64">_xll.ciqfunctions.udf.CIQ(Q$3,$N$1,$T$2,$A64,"L",,"USD","H")</f>
        <v>42.994</v>
      </c>
      <c r="X64" s="41" cm="1">
        <f t="array" ref="X64">_xll.ciqfunctions.udf.CIQ(R$3,$N$1,$T$2,$A64,"L",,"USD","H")</f>
        <v>25.6906</v>
      </c>
      <c r="Y64" s="41" cm="1">
        <f t="array" ref="Y64">_xll.ciqfunctions.udf.CIQ(S$3,$N$1,$T$2,$A64,"L",,"USD","H")</f>
        <v>34.026499999999999</v>
      </c>
      <c r="Z64" s="38" cm="1">
        <f t="array" ref="Z64">_xll.ciqfunctions.udf.CIQ(B$3,$Z$1,$B$2,$A64,"L",,"USD","H")</f>
        <v>3055</v>
      </c>
      <c r="AA64" s="38" cm="1">
        <f t="array" ref="AA64">_xll.ciqfunctions.udf.CIQ(C$3,$Z$1,$B$2,$A64,"L",,"USD","H")</f>
        <v>7350</v>
      </c>
      <c r="AB64" s="38" cm="1">
        <f t="array" ref="AB64">_xll.ciqfunctions.udf.CIQ(D$3,$Z$1,$B$2,$A64,"L",,"USD","H")</f>
        <v>3768</v>
      </c>
      <c r="AC64" s="38" cm="1">
        <f t="array" ref="AC64">_xll.ciqfunctions.udf.CIQ(E$3,$Z$1,$B$2,$A64,"L",,"USD","H")</f>
        <v>-70.906000000000006</v>
      </c>
      <c r="AD64" s="38" cm="1">
        <f t="array" ref="AD64">_xll.ciqfunctions.udf.CIQ(F$3,$Z$1,$B$2,$A64,"L",,"USD","H")</f>
        <v>1785</v>
      </c>
      <c r="AE64" s="38" cm="1">
        <f t="array" ref="AE64">_xll.ciqfunctions.udf.CIQ(G$3,$Z$1,$B$2,$A64,"L",,"USD","H")</f>
        <v>2090</v>
      </c>
      <c r="AF64" s="40" cm="1">
        <f t="array" ref="AF64">_xll.ciqfunctions.udf.CIQ(B$3,$Z$1,$H$2,$A64,"L",,"USD","H")</f>
        <v>10602</v>
      </c>
      <c r="AG64" s="40" cm="1">
        <f t="array" ref="AG64">_xll.ciqfunctions.udf.CIQ(C$3,$Z$1,$H$2,$A64,"L",,"USD","H")</f>
        <v>27260</v>
      </c>
      <c r="AH64" s="40" cm="1">
        <f t="array" ref="AH64">_xll.ciqfunctions.udf.CIQ(D$3,$Z$1,$H$2,$A64,"L",,"USD","H")</f>
        <v>16799</v>
      </c>
      <c r="AI64" s="40" cm="1">
        <f t="array" ref="AI64">_xll.ciqfunctions.udf.CIQ(E$3,$Z$1,$H$2,$A64,"L",,"USD","H")</f>
        <v>507.40800000000002</v>
      </c>
      <c r="AJ64" s="40" cm="1">
        <f t="array" ref="AJ64">_xll.ciqfunctions.udf.CIQ(F$3,$Z$1,$H$2,$A64,"L",,"USD","H")</f>
        <v>-4991</v>
      </c>
      <c r="AK64" s="40" cm="1">
        <f t="array" ref="AK64">_xll.ciqfunctions.udf.CIQ(G$3,$Z$1,$H$2,$A64,"L",,"USD","H")</f>
        <v>4655</v>
      </c>
      <c r="AL64" s="13" cm="1">
        <f t="array" ref="AL64">_xll.ciqfunctions.udf.CIQ(B$3,$AL$1,$AL$2,$A64,"L",,"USD","H")</f>
        <v>107.8231</v>
      </c>
      <c r="AM64" s="13" cm="1">
        <f t="array" ref="AM64">_xll.ciqfunctions.udf.CIQ(C$3,$AL$1,$AL$2,$A64,"L",,"USD","H")</f>
        <v>55.391100000000002</v>
      </c>
      <c r="AN64" s="13" cm="1">
        <f t="array" ref="AN64">_xll.ciqfunctions.udf.CIQ(D$3,$AL$1,$AL$2,$A64,"L",,"USD","H")</f>
        <v>-1.6445000000000001</v>
      </c>
      <c r="AO64" s="13" t="str" cm="1">
        <f t="array" ref="AO64">_xll.ciqfunctions.udf.CIQ(E$3,$AL$1,$AL$2,$A64,"L",,"USD","H")</f>
        <v>NM</v>
      </c>
      <c r="AP64" s="13" cm="1">
        <f t="array" ref="AP64">_xll.ciqfunctions.udf.CIQ(F$3,$AL$1,$AL$2,$A64,"L",,"USD","H")</f>
        <v>-66.548000000000002</v>
      </c>
      <c r="AQ64" s="13" cm="1">
        <f t="array" ref="AQ64">_xll.ciqfunctions.udf.CIQ(G$3,$AL$1,$AL$2,$A64,"L",,"USD","H")</f>
        <v>318.83760000000001</v>
      </c>
      <c r="AR64" s="41" t="str" cm="1">
        <f t="array" ref="AR64">_xll.ciqfunctions.udf.CIQ(B$3,$AL$1,$AR$2,$A64,"L",,"USD","H")</f>
        <v>NM</v>
      </c>
      <c r="AS64" s="41" cm="1">
        <f t="array" ref="AS64">_xll.ciqfunctions.udf.CIQ(C$3,$AL$1,$AR$2,$A64,"L",,"USD","H")</f>
        <v>29.501100000000001</v>
      </c>
      <c r="AT64" s="41" cm="1">
        <f t="array" ref="AT64">_xll.ciqfunctions.udf.CIQ(D$3,$AL$1,$AR$2,$A64,"L",,"USD","H")</f>
        <v>36.488399999999999</v>
      </c>
      <c r="AU64" s="41" cm="1">
        <f t="array" ref="AU64">_xll.ciqfunctions.udf.CIQ(E$3,$AL$1,$AR$2,$A64,"L",,"USD","H")</f>
        <v>-16.499700000000001</v>
      </c>
      <c r="AV64" s="41" t="str" cm="1">
        <f t="array" ref="AV64">_xll.ciqfunctions.udf.CIQ(F$3,$AL$1,$AR$2,$A64,"L",,"USD","H")</f>
        <v>NM</v>
      </c>
      <c r="AW64" s="41" t="str" cm="1">
        <f t="array" ref="AW64">_xll.ciqfunctions.udf.CIQ(G$3,$AL$1,$AR$2,$A64,"L",,"USD","H")</f>
        <v>NM</v>
      </c>
      <c r="AX64" s="38" cm="1">
        <f t="array" ref="AX64">_xll.ciqfunctions.udf.CIQ(B$3,$AX$1,$AX$2,$A64,"L",,"USD","H")</f>
        <v>6531</v>
      </c>
      <c r="AY64" s="38" cm="1">
        <f t="array" ref="AY64">_xll.ciqfunctions.udf.CIQ(C$3,$AX$1,$AX$2,$A64,"L",,"USD","H")</f>
        <v>13811</v>
      </c>
      <c r="AZ64" s="38" cm="1">
        <f t="array" ref="AZ64">_xll.ciqfunctions.udf.CIQ(D$3,$AX$1,$AX$2,$A64,"L",,"USD","H")</f>
        <v>9119</v>
      </c>
      <c r="BA64" s="38" cm="1">
        <f t="array" ref="BA64">_xll.ciqfunctions.udf.CIQ(E$3,$AX$1,$AX$2,$A64,"L",,"USD","H")</f>
        <v>777.29200000000003</v>
      </c>
      <c r="BB64" s="38" cm="1">
        <f t="array" ref="BB64">_xll.ciqfunctions.udf.CIQ(F$3,$AX$1,$AX$2,$A64,"L",,"USD","H")</f>
        <v>8675</v>
      </c>
      <c r="BC64" s="38" cm="1">
        <f t="array" ref="BC64">_xll.ciqfunctions.udf.CIQ(G$3,$AX$1,$AX$2,$A64,"L",,"USD","H")</f>
        <v>1376</v>
      </c>
      <c r="BD64" s="40" cm="1">
        <f t="array" ref="BD64">_xll.ciqfunctions.udf.CIQ(B$3,$AX$1,$BD$2,$A64,"L",,"USD","H")</f>
        <v>26437</v>
      </c>
      <c r="BE64" s="40" cm="1">
        <f t="array" ref="BE64">_xll.ciqfunctions.udf.CIQ(C$3,$AX$1,$BD$2,$A64,"L",,"USD","H")</f>
        <v>50028</v>
      </c>
      <c r="BF64" s="40" cm="1">
        <f t="array" ref="BF64">_xll.ciqfunctions.udf.CIQ(D$3,$AX$1,$BD$2,$A64,"L",,"USD","H")</f>
        <v>36293</v>
      </c>
      <c r="BG64" s="40">
        <f>_xll.ciqfunctions.udf.CIQ("COP", "IQ_PRICEDATE", "11/15/2024")</f>
        <v>45611</v>
      </c>
      <c r="BH64" s="40" cm="1">
        <f t="array" ref="BH64">_xll.ciqfunctions.udf.CIQ(F$3,$AX$1,$BD$2,$A64,"L",,"USD","H")</f>
        <v>38307</v>
      </c>
      <c r="BI64" s="40" cm="1">
        <f t="array" ref="BI64">_xll.ciqfunctions.udf.CIQ(G$3,$AX$1,$BD$2,$A64,"L",,"USD","H")</f>
        <v>6375</v>
      </c>
      <c r="BJ64" s="43"/>
      <c r="BK64" s="43"/>
      <c r="BL64" s="43"/>
      <c r="BM64" s="43"/>
      <c r="BN64" s="43"/>
      <c r="BO64" s="43"/>
      <c r="BP64" s="42"/>
      <c r="BQ64" s="42"/>
      <c r="BR64" s="42"/>
      <c r="BS64" s="42"/>
      <c r="BT64" s="42"/>
      <c r="BU64" s="42"/>
      <c r="BV64" s="68" cm="1">
        <f t="array" ref="BV64">_xll.ciqfunctions.udf.CIQ(B$3,$BV$1,$BV$2,$A64,"L",,"USD","H")/100</f>
        <v>9.1263999999999998E-2</v>
      </c>
      <c r="BW64" s="68" cm="1">
        <f t="array" ref="BW64">_xll.ciqfunctions.udf.CIQ(C$3,$BV$1,$BV$2,$A64,"L",,"USD","H")/100</f>
        <v>0.122284</v>
      </c>
      <c r="BX64" s="68" cm="1">
        <f t="array" ref="BX64">_xll.ciqfunctions.udf.CIQ(D$3,$BV$1,$BV$2,$A64,"L",,"USD","H")/100</f>
        <v>8.3047999999999997E-2</v>
      </c>
      <c r="BY64" s="68" cm="1">
        <f t="array" ref="BY64">_xll.ciqfunctions.udf.CIQ(E$3,$BV$1,$BV$2,$A64,"L",,"USD","H")/100</f>
        <v>-3.1708E-2</v>
      </c>
      <c r="BZ64" s="68" cm="1">
        <f t="array" ref="BZ64">_xll.ciqfunctions.udf.CIQ(F$3,$BV$1,$BV$2,$A64,"L",,"USD","H")/100</f>
        <v>5.7712000000000006E-2</v>
      </c>
      <c r="CA64" s="68" cm="1">
        <f t="array" ref="CA64">_xll.ciqfunctions.udf.CIQ(G$3,$BV$1,$BV$2,$A64,"L",,"USD","H")/100</f>
        <v>0.34566800000000003</v>
      </c>
      <c r="CB64" s="68" cm="1">
        <f t="array" ref="CB64">_xll.ciqfunctions.udf.CIQ(B$3,$BV$1,$CB$2,$A64,"L",,"USD","H")/100</f>
        <v>7.5949000000000003E-2</v>
      </c>
      <c r="CC64" s="68" cm="1">
        <f t="array" ref="CC64">_xll.ciqfunctions.udf.CIQ(C$3,$BV$1,$CB$2,$A64,"L",,"USD","H")/100</f>
        <v>0.13063900000000001</v>
      </c>
      <c r="CD64" s="68" cm="1">
        <f t="array" ref="CD64">_xll.ciqfunctions.udf.CIQ(D$3,$BV$1,$CB$2,$A64,"L",,"USD","H")/100</f>
        <v>0.104101</v>
      </c>
      <c r="CE64" s="68" cm="1">
        <f t="array" ref="CE64">_xll.ciqfunctions.udf.CIQ(E$3,$BV$1,$CB$2,$A64,"L",,"USD","H")/100</f>
        <v>2.7238999999999999E-2</v>
      </c>
      <c r="CF64" s="68" cm="1">
        <f t="array" ref="CF64">_xll.ciqfunctions.udf.CIQ(F$3,$BV$1,$CB$2,$A64,"L",,"USD","H")/100</f>
        <v>-7.6509999999999995E-2</v>
      </c>
      <c r="CG64" s="68" cm="1">
        <f t="array" ref="CG64">_xll.ciqfunctions.udf.CIQ(G$3,$BV$1,$CB$2,$A64,"L",,"USD","H")/100</f>
        <v>0.188633</v>
      </c>
    </row>
    <row r="65" spans="1:85" x14ac:dyDescent="0.45">
      <c r="A65" s="3">
        <f t="shared" si="13"/>
        <v>40359</v>
      </c>
      <c r="B65" s="14" cm="1">
        <f t="array" ref="B65">_xll.ciqfunctions.udf.CIQ(B$3,$B$1,$B$2,$A65,"L",,"USD","H")</f>
        <v>43461</v>
      </c>
      <c r="C65" s="38" cm="1">
        <f t="array" ref="C65">_xll.ciqfunctions.udf.CIQ(C$3,$B$1,$B$2,$A65,"L",,"USD","H")</f>
        <v>82747</v>
      </c>
      <c r="D65" s="38" cm="1">
        <f t="array" ref="D65">_xll.ciqfunctions.udf.CIQ(D$3,$B$1,$B$2,$A65,"L",,"USD","H")</f>
        <v>48850</v>
      </c>
      <c r="E65" s="38" cm="1">
        <f t="array" ref="E65">_xll.ciqfunctions.udf.CIQ(E$3,$B$1,$B$2,$A65,"L",,"USD","H")</f>
        <v>1312.646</v>
      </c>
      <c r="F65" s="38" cm="1">
        <f t="array" ref="F65">_xll.ciqfunctions.udf.CIQ(F$3,$B$1,$B$2,$A65,"L",,"USD","H")</f>
        <v>73725</v>
      </c>
      <c r="G65" s="38" cm="1">
        <f t="array" ref="G65">_xll.ciqfunctions.udf.CIQ(G$3,$B$1,$B$2,$A65,"L",,"USD","H")</f>
        <v>2141</v>
      </c>
      <c r="H65" s="40" cm="1">
        <f t="array" ref="H65">_xll.ciqfunctions.udf.CIQ(B$3,$B$1,$H$2,$A65,"L",,"USD","H")</f>
        <v>163836</v>
      </c>
      <c r="I65" s="40" cm="1">
        <f t="array" ref="I65">_xll.ciqfunctions.udf.CIQ(C$3,$B$1,$H$2,$A65,"L",,"USD","H")</f>
        <v>316360</v>
      </c>
      <c r="J65" s="40" cm="1">
        <f t="array" ref="J65">_xll.ciqfunctions.udf.CIQ(D$3,$B$1,$H$2,$A65,"L",,"USD","H")</f>
        <v>182122</v>
      </c>
      <c r="K65" s="40" cm="1">
        <f t="array" ref="K65">_xll.ciqfunctions.udf.CIQ(E$3,$B$1,$H$2,$A65,"L",,"USD","H")</f>
        <v>4861.6819999999998</v>
      </c>
      <c r="L65" s="40" cm="1">
        <f t="array" ref="L65">_xll.ciqfunctions.udf.CIQ(F$3,$B$1,$H$2,$A65,"L",,"USD","H")</f>
        <v>284530</v>
      </c>
      <c r="M65" s="40" cm="1">
        <f t="array" ref="M65">_xll.ciqfunctions.udf.CIQ(G$3,$B$1,$H$2,$A65,"L",,"USD","H")</f>
        <v>8626</v>
      </c>
      <c r="N65" s="13" cm="1">
        <f t="array" ref="N65">_xll.ciqfunctions.udf.CIQ(B$3,$N$1,$B$2,$A65,"L",,"USD","H")</f>
        <v>32.220799999999997</v>
      </c>
      <c r="O65" s="13" cm="1">
        <f t="array" ref="O65">_xll.ciqfunctions.udf.CIQ(C$3,$N$1,$B$2,$A65,"L",,"USD","H")</f>
        <v>25.467300000000002</v>
      </c>
      <c r="P65" s="13" cm="1">
        <f t="array" ref="P65">_xll.ciqfunctions.udf.CIQ(D$3,$N$1,$B$2,$A65,"L",,"USD","H")</f>
        <v>29.875299999999999</v>
      </c>
      <c r="Q65" s="13" cm="1">
        <f t="array" ref="Q65">_xll.ciqfunctions.udf.CIQ(E$3,$N$1,$B$2,$A65,"L",,"USD","H")</f>
        <v>58.633800000000001</v>
      </c>
      <c r="R65" s="13" cm="1">
        <f t="array" ref="R65">_xll.ciqfunctions.udf.CIQ(F$3,$N$1,$B$2,$A65,"L",,"USD","H")</f>
        <v>34.591099999999997</v>
      </c>
      <c r="S65" s="13" cm="1">
        <f t="array" ref="S65">_xll.ciqfunctions.udf.CIQ(G$3,$N$1,$B$2,$A65,"L",,"USD","H")</f>
        <v>16.295400000000001</v>
      </c>
      <c r="T65" s="94">
        <v>45625</v>
      </c>
      <c r="U65" s="41" cm="1">
        <f t="array" ref="U65">_xll.ciqfunctions.udf.CIQ(O$3,$N$1,$T$2,$A65,"L",,"USD","H")</f>
        <v>-0.58299999999999996</v>
      </c>
      <c r="V65" s="41" cm="1">
        <f t="array" ref="V65">_xll.ciqfunctions.udf.CIQ(P$3,$N$1,$T$2,$A65,"L",,"USD","H")</f>
        <v>-1.7517</v>
      </c>
      <c r="W65" s="41" cm="1">
        <f t="array" ref="W65">_xll.ciqfunctions.udf.CIQ(Q$3,$N$1,$T$2,$A65,"L",,"USD","H")</f>
        <v>5.0979000000000001</v>
      </c>
      <c r="X65" s="41" cm="1">
        <f t="array" ref="X65">_xll.ciqfunctions.udf.CIQ(R$3,$N$1,$T$2,$A65,"L",,"USD","H")</f>
        <v>6.6365999999999996</v>
      </c>
      <c r="Y65" s="41" cm="1">
        <f t="array" ref="Y65">_xll.ciqfunctions.udf.CIQ(S$3,$N$1,$T$2,$A65,"L",,"USD","H")</f>
        <v>-4.6323999999999996</v>
      </c>
      <c r="Z65" s="38" cm="1">
        <f t="array" ref="Z65">_xll.ciqfunctions.udf.CIQ(B$3,$Z$1,$B$2,$A65,"L",,"USD","H")</f>
        <v>4164</v>
      </c>
      <c r="AA65" s="38" cm="1">
        <f t="array" ref="AA65">_xll.ciqfunctions.udf.CIQ(C$3,$Z$1,$B$2,$A65,"L",,"USD","H")</f>
        <v>7560</v>
      </c>
      <c r="AB65" s="38" cm="1">
        <f t="array" ref="AB65">_xll.ciqfunctions.udf.CIQ(D$3,$Z$1,$B$2,$A65,"L",,"USD","H")</f>
        <v>5409</v>
      </c>
      <c r="AC65" s="38" cm="1">
        <f t="array" ref="AC65">_xll.ciqfunctions.udf.CIQ(E$3,$Z$1,$B$2,$A65,"L",,"USD","H")</f>
        <v>59.872</v>
      </c>
      <c r="AD65" s="38" cm="1">
        <f t="array" ref="AD65">_xll.ciqfunctions.udf.CIQ(F$3,$Z$1,$B$2,$A65,"L",,"USD","H")</f>
        <v>-17150</v>
      </c>
      <c r="AE65" s="38" cm="1">
        <f t="array" ref="AE65">_xll.ciqfunctions.udf.CIQ(G$3,$Z$1,$B$2,$A65,"L",,"USD","H")</f>
        <v>706</v>
      </c>
      <c r="AF65" s="40" cm="1">
        <f t="array" ref="AF65">_xll.ciqfunctions.udf.CIQ(B$3,$Z$1,$H$2,$A65,"L",,"USD","H")</f>
        <v>9017</v>
      </c>
      <c r="AG65" s="40" cm="1">
        <f t="array" ref="AG65">_xll.ciqfunctions.udf.CIQ(C$3,$Z$1,$H$2,$A65,"L",,"USD","H")</f>
        <v>24640</v>
      </c>
      <c r="AH65" s="40" cm="1">
        <f t="array" ref="AH65">_xll.ciqfunctions.udf.CIQ(D$3,$Z$1,$H$2,$A65,"L",,"USD","H")</f>
        <v>16862</v>
      </c>
      <c r="AI65" s="40" cm="1">
        <f t="array" ref="AI65">_xll.ciqfunctions.udf.CIQ(E$3,$Z$1,$H$2,$A65,"L",,"USD","H")</f>
        <v>582.51</v>
      </c>
      <c r="AJ65" s="40" cm="1">
        <f t="array" ref="AJ65">_xll.ciqfunctions.udf.CIQ(F$3,$Z$1,$H$2,$A65,"L",,"USD","H")</f>
        <v>-1440</v>
      </c>
      <c r="AK65" s="40" cm="1">
        <f t="array" ref="AK65">_xll.ciqfunctions.udf.CIQ(G$3,$Z$1,$H$2,$A65,"L",,"USD","H")</f>
        <v>3064</v>
      </c>
      <c r="AL65" s="13" cm="1">
        <f t="array" ref="AL65">_xll.ciqfunctions.udf.CIQ(B$3,$AL$1,$AL$2,$A65,"L",,"USD","H")</f>
        <v>384.74970000000002</v>
      </c>
      <c r="AM65" s="13" cm="1">
        <f t="array" ref="AM65">_xll.ciqfunctions.udf.CIQ(C$3,$AL$1,$AL$2,$A65,"L",,"USD","H")</f>
        <v>91.392399999999995</v>
      </c>
      <c r="AN65" s="13" cm="1">
        <f t="array" ref="AN65">_xll.ciqfunctions.udf.CIQ(D$3,$AL$1,$AL$2,$A65,"L",,"USD","H")</f>
        <v>209.97130000000001</v>
      </c>
      <c r="AO65" s="13" t="str" cm="1">
        <f t="array" ref="AO65">_xll.ciqfunctions.udf.CIQ(E$3,$AL$1,$AL$2,$A65,"L",,"USD","H")</f>
        <v>NM</v>
      </c>
      <c r="AP65" s="13" t="str" cm="1">
        <f t="array" ref="AP65">_xll.ciqfunctions.udf.CIQ(F$3,$AL$1,$AL$2,$A65,"L",,"USD","H")</f>
        <v>NM</v>
      </c>
      <c r="AQ65" s="13" cm="1">
        <f t="array" ref="AQ65">_xll.ciqfunctions.udf.CIQ(G$3,$AL$1,$AL$2,$A65,"L",,"USD","H")</f>
        <v>124.8407</v>
      </c>
      <c r="AR65" s="41" t="str" cm="1">
        <f t="array" ref="AR65">_xll.ciqfunctions.udf.CIQ(B$3,$AL$1,$AR$2,$A65,"L",,"USD","H")</f>
        <v>NM</v>
      </c>
      <c r="AS65" s="41" cm="1">
        <f t="array" ref="AS65">_xll.ciqfunctions.udf.CIQ(C$3,$AL$1,$AR$2,$A65,"L",,"USD","H")</f>
        <v>-20.898900000000001</v>
      </c>
      <c r="AT65" s="41" cm="1">
        <f t="array" ref="AT65">_xll.ciqfunctions.udf.CIQ(D$3,$AL$1,$AR$2,$A65,"L",,"USD","H")</f>
        <v>3.0053999999999998</v>
      </c>
      <c r="AU65" s="41" cm="1">
        <f t="array" ref="AU65">_xll.ciqfunctions.udf.CIQ(E$3,$AL$1,$AR$2,$A65,"L",,"USD","H")</f>
        <v>-73.028999999999996</v>
      </c>
      <c r="AV65" s="41" t="str" cm="1">
        <f t="array" ref="AV65">_xll.ciqfunctions.udf.CIQ(F$3,$AL$1,$AR$2,$A65,"L",,"USD","H")</f>
        <v>NM</v>
      </c>
      <c r="AW65" s="41" t="str" cm="1">
        <f t="array" ref="AW65">_xll.ciqfunctions.udf.CIQ(G$3,$AL$1,$AR$2,$A65,"L",,"USD","H")</f>
        <v>NM</v>
      </c>
      <c r="AX65" s="38" cm="1">
        <f t="array" ref="AX65">_xll.ciqfunctions.udf.CIQ(B$3,$AX$1,$AX$2,$A65,"L",,"USD","H")</f>
        <v>7204</v>
      </c>
      <c r="AY65" s="38" cm="1">
        <f t="array" ref="AY65">_xll.ciqfunctions.udf.CIQ(C$3,$AX$1,$AX$2,$A65,"L",,"USD","H")</f>
        <v>13319</v>
      </c>
      <c r="AZ65" s="38" cm="1">
        <f t="array" ref="AZ65">_xll.ciqfunctions.udf.CIQ(D$3,$AX$1,$AX$2,$A65,"L",,"USD","H")</f>
        <v>9971</v>
      </c>
      <c r="BA65" s="38" cm="1">
        <f t="array" ref="BA65">_xll.ciqfunctions.udf.CIQ(E$3,$AX$1,$AX$2,$A65,"L",,"USD","H")</f>
        <v>677.899</v>
      </c>
      <c r="BB65" s="38" cm="1">
        <f t="array" ref="BB65">_xll.ciqfunctions.udf.CIQ(F$3,$AX$1,$AX$2,$A65,"L",,"USD","H")</f>
        <v>8652</v>
      </c>
      <c r="BC65" s="38" cm="1">
        <f t="array" ref="BC65">_xll.ciqfunctions.udf.CIQ(G$3,$AX$1,$AX$2,$A65,"L",,"USD","H")</f>
        <v>1288</v>
      </c>
      <c r="BD65" s="40" cm="1">
        <f t="array" ref="BD65">_xll.ciqfunctions.udf.CIQ(B$3,$AX$1,$BD$2,$A65,"L",,"USD","H")</f>
        <v>25688</v>
      </c>
      <c r="BE65" s="40" cm="1">
        <f t="array" ref="BE65">_xll.ciqfunctions.udf.CIQ(C$3,$AX$1,$BD$2,$A65,"L",,"USD","H")</f>
        <v>46240</v>
      </c>
      <c r="BF65" s="40" cm="1">
        <f t="array" ref="BF65">_xll.ciqfunctions.udf.CIQ(D$3,$AX$1,$BD$2,$A65,"L",,"USD","H")</f>
        <v>34919</v>
      </c>
      <c r="BG65" s="40">
        <f>_xll.ciqfunctions.udf.CIQ("COP", "IQ_PRICEDATE", "11/8/2024")</f>
        <v>45604</v>
      </c>
      <c r="BH65" s="40" cm="1">
        <f t="array" ref="BH65">_xll.ciqfunctions.udf.CIQ(F$3,$AX$1,$BD$2,$A65,"L",,"USD","H")</f>
        <v>38998</v>
      </c>
      <c r="BI65" s="40" cm="1">
        <f t="array" ref="BI65">_xll.ciqfunctions.udf.CIQ(G$3,$AX$1,$BD$2,$A65,"L",,"USD","H")</f>
        <v>5951</v>
      </c>
      <c r="BJ65" s="43"/>
      <c r="BK65" s="43"/>
      <c r="BL65" s="43"/>
      <c r="BM65" s="43"/>
      <c r="BN65" s="43"/>
      <c r="BO65" s="43"/>
      <c r="BP65" s="42"/>
      <c r="BQ65" s="42"/>
      <c r="BR65" s="42"/>
      <c r="BS65" s="42"/>
      <c r="BT65" s="42"/>
      <c r="BU65" s="42"/>
      <c r="BV65" s="68" cm="1">
        <f t="array" ref="BV65">_xll.ciqfunctions.udf.CIQ(B$3,$BV$1,$BV$2,$A65,"L",,"USD","H")/100</f>
        <v>0.137016</v>
      </c>
      <c r="BW65" s="68" cm="1">
        <f t="array" ref="BW65">_xll.ciqfunctions.udf.CIQ(C$3,$BV$1,$BV$2,$A65,"L",,"USD","H")/100</f>
        <v>0.15004799999999999</v>
      </c>
      <c r="BX65" s="68" cm="1">
        <f t="array" ref="BX65">_xll.ciqfunctions.udf.CIQ(D$3,$BV$1,$BV$2,$A65,"L",,"USD","H")/100</f>
        <v>0.14629600000000001</v>
      </c>
      <c r="BY65" s="68" cm="1">
        <f t="array" ref="BY65">_xll.ciqfunctions.udf.CIQ(E$3,$BV$1,$BV$2,$A65,"L",,"USD","H")/100</f>
        <v>6.2560000000000003E-3</v>
      </c>
      <c r="BZ65" s="68" cm="1">
        <f t="array" ref="BZ65">_xll.ciqfunctions.udf.CIQ(F$3,$BV$1,$BV$2,$A65,"L",,"USD","H")/100</f>
        <v>-0.54</v>
      </c>
      <c r="CA65" s="68" cm="1">
        <f t="array" ref="CA65">_xll.ciqfunctions.udf.CIQ(G$3,$BV$1,$BV$2,$A65,"L",,"USD","H")/100</f>
        <v>0.111836</v>
      </c>
      <c r="CB65" s="68" cm="1">
        <f t="array" ref="CB65">_xll.ciqfunctions.udf.CIQ(B$3,$BV$1,$CB$2,$A65,"L",,"USD","H")/100</f>
        <v>6.2065000000000002E-2</v>
      </c>
      <c r="CC65" s="68" cm="1">
        <f t="array" ref="CC65">_xll.ciqfunctions.udf.CIQ(C$3,$BV$1,$CB$2,$A65,"L",,"USD","H")/100</f>
        <v>0.11588699999999999</v>
      </c>
      <c r="CD65" s="68" cm="1">
        <f t="array" ref="CD65">_xll.ciqfunctions.udf.CIQ(D$3,$BV$1,$CB$2,$A65,"L",,"USD","H")/100</f>
        <v>0.107484</v>
      </c>
      <c r="CE65" s="68" cm="1">
        <f t="array" ref="CE65">_xll.ciqfunctions.udf.CIQ(E$3,$BV$1,$CB$2,$A65,"L",,"USD","H")/100</f>
        <v>3.3530000000000004E-2</v>
      </c>
      <c r="CF65" s="68" cm="1">
        <f t="array" ref="CF65">_xll.ciqfunctions.udf.CIQ(F$3,$BV$1,$CB$2,$A65,"L",,"USD","H")/100</f>
        <v>-7.4440000000000006E-2</v>
      </c>
      <c r="CG65" s="68" cm="1">
        <f t="array" ref="CG65">_xll.ciqfunctions.udf.CIQ(G$3,$BV$1,$CB$2,$A65,"L",,"USD","H")/100</f>
        <v>0.12783600000000001</v>
      </c>
    </row>
    <row r="66" spans="1:85" x14ac:dyDescent="0.45">
      <c r="A66" s="3">
        <f t="shared" si="13"/>
        <v>40268</v>
      </c>
      <c r="B66" s="14" cm="1">
        <f t="array" ref="B66">_xll.ciqfunctions.udf.CIQ(B$3,$B$1,$B$2,$A66,"L",,"USD","H")</f>
        <v>42518</v>
      </c>
      <c r="C66" s="38" cm="1">
        <f t="array" ref="C66">_xll.ciqfunctions.udf.CIQ(C$3,$B$1,$B$2,$A66,"L",,"USD","H")</f>
        <v>80222</v>
      </c>
      <c r="D66" s="38" cm="1">
        <f t="array" ref="D66">_xll.ciqfunctions.udf.CIQ(D$3,$B$1,$B$2,$A66,"L",,"USD","H")</f>
        <v>44669</v>
      </c>
      <c r="E66" s="38" cm="1">
        <f t="array" ref="E66">_xll.ciqfunctions.udf.CIQ(E$3,$B$1,$B$2,$A66,"L",,"USD","H")</f>
        <v>1363.566</v>
      </c>
      <c r="F66" s="38" cm="1">
        <f t="array" ref="F66">_xll.ciqfunctions.udf.CIQ(F$3,$B$1,$B$2,$A66,"L",,"USD","H")</f>
        <v>73071</v>
      </c>
      <c r="G66" s="38" cm="1">
        <f t="array" ref="G66">_xll.ciqfunctions.udf.CIQ(G$3,$B$1,$B$2,$A66,"L",,"USD","H")</f>
        <v>2541</v>
      </c>
      <c r="H66" s="40" cm="1">
        <f t="array" ref="H66">_xll.ciqfunctions.udf.CIQ(B$3,$B$1,$H$2,$A66,"L",,"USD","H")</f>
        <v>153245</v>
      </c>
      <c r="I66" s="40" cm="1">
        <f t="array" ref="I66">_xll.ciqfunctions.udf.CIQ(C$3,$B$1,$H$2,$A66,"L",,"USD","H")</f>
        <v>299564</v>
      </c>
      <c r="J66" s="40" cm="1">
        <f t="array" ref="J66">_xll.ciqfunctions.udf.CIQ(D$3,$B$1,$H$2,$A66,"L",,"USD","H")</f>
        <v>170885</v>
      </c>
      <c r="K66" s="40" cm="1">
        <f t="array" ref="K66">_xll.ciqfunctions.udf.CIQ(E$3,$B$1,$H$2,$A66,"L",,"USD","H")</f>
        <v>4376.5060000000003</v>
      </c>
      <c r="L66" s="40" cm="1">
        <f t="array" ref="L66">_xll.ciqfunctions.udf.CIQ(F$3,$B$1,$H$2,$A66,"L",,"USD","H")</f>
        <v>265582</v>
      </c>
      <c r="M66" s="40" cm="1">
        <f t="array" ref="M66">_xll.ciqfunctions.udf.CIQ(G$3,$B$1,$H$2,$A66,"L",,"USD","H")</f>
        <v>8326</v>
      </c>
      <c r="N66" s="13" cm="1">
        <f t="array" ref="N66">_xll.ciqfunctions.udf.CIQ(B$3,$N$1,$B$2,$A66,"L",,"USD","H")</f>
        <v>50.890700000000002</v>
      </c>
      <c r="O66" s="13" cm="1">
        <f t="array" ref="O66">_xll.ciqfunctions.udf.CIQ(C$3,$N$1,$B$2,$A66,"L",,"USD","H")</f>
        <v>42.687899999999999</v>
      </c>
      <c r="P66" s="13" cm="1">
        <f t="array" ref="P66">_xll.ciqfunctions.udf.CIQ(D$3,$N$1,$B$2,$A66,"L",,"USD","H")</f>
        <v>35.045400000000001</v>
      </c>
      <c r="Q66" s="13" cm="1">
        <f t="array" ref="Q66">_xll.ciqfunctions.udf.CIQ(E$3,$N$1,$B$2,$A66,"L",,"USD","H")</f>
        <v>69.003699999999995</v>
      </c>
      <c r="R66" s="13" cm="1">
        <f t="array" ref="R66">_xll.ciqfunctions.udf.CIQ(F$3,$N$1,$B$2,$A66,"L",,"USD","H")</f>
        <v>54.497199999999999</v>
      </c>
      <c r="S66" s="13" cm="1">
        <f t="array" ref="S66">_xll.ciqfunctions.udf.CIQ(G$3,$N$1,$B$2,$A66,"L",,"USD","H")</f>
        <v>48.249699999999997</v>
      </c>
      <c r="T66" s="94">
        <v>45618</v>
      </c>
      <c r="U66" s="41" cm="1">
        <f t="array" ref="U66">_xll.ciqfunctions.udf.CIQ(O$3,$N$1,$T$2,$A66,"L",,"USD","H")</f>
        <v>-20.434999999999999</v>
      </c>
      <c r="V66" s="41" cm="1">
        <f t="array" ref="V66">_xll.ciqfunctions.udf.CIQ(P$3,$N$1,$T$2,$A66,"L",,"USD","H")</f>
        <v>-24.409300000000002</v>
      </c>
      <c r="W66" s="41" cm="1">
        <f t="array" ref="W66">_xll.ciqfunctions.udf.CIQ(Q$3,$N$1,$T$2,$A66,"L",,"USD","H")</f>
        <v>-23.710699999999999</v>
      </c>
      <c r="X66" s="41" cm="1">
        <f t="array" ref="X66">_xll.ciqfunctions.udf.CIQ(R$3,$N$1,$T$2,$A66,"L",,"USD","H")</f>
        <v>-17.210599999999999</v>
      </c>
      <c r="Y66" s="41" cm="1">
        <f t="array" ref="Y66">_xll.ciqfunctions.udf.CIQ(S$3,$N$1,$T$2,$A66,"L",,"USD","H")</f>
        <v>-29.386900000000001</v>
      </c>
      <c r="Z66" s="38" cm="1">
        <f t="array" ref="Z66">_xll.ciqfunctions.udf.CIQ(B$3,$Z$1,$B$2,$A66,"L",,"USD","H")</f>
        <v>2098</v>
      </c>
      <c r="AA66" s="38" cm="1">
        <f t="array" ref="AA66">_xll.ciqfunctions.udf.CIQ(C$3,$Z$1,$B$2,$A66,"L",,"USD","H")</f>
        <v>6300</v>
      </c>
      <c r="AB66" s="38" cm="1">
        <f t="array" ref="AB66">_xll.ciqfunctions.udf.CIQ(D$3,$Z$1,$B$2,$A66,"L",,"USD","H")</f>
        <v>4552</v>
      </c>
      <c r="AC66" s="38" cm="1">
        <f t="array" ref="AC66">_xll.ciqfunctions.udf.CIQ(E$3,$Z$1,$B$2,$A66,"L",,"USD","H")</f>
        <v>118.015</v>
      </c>
      <c r="AD66" s="38" cm="1">
        <f t="array" ref="AD66">_xll.ciqfunctions.udf.CIQ(F$3,$Z$1,$B$2,$A66,"L",,"USD","H")</f>
        <v>6079</v>
      </c>
      <c r="AE66" s="38" cm="1">
        <f t="array" ref="AE66">_xll.ciqfunctions.udf.CIQ(G$3,$Z$1,$B$2,$A66,"L",,"USD","H")</f>
        <v>1192</v>
      </c>
      <c r="AF66" s="40" cm="1">
        <f t="array" ref="AF66">_xll.ciqfunctions.udf.CIQ(B$3,$Z$1,$H$2,$A66,"L",,"USD","H")</f>
        <v>5712</v>
      </c>
      <c r="AG66" s="40" cm="1">
        <f t="array" ref="AG66">_xll.ciqfunctions.udf.CIQ(C$3,$Z$1,$H$2,$A66,"L",,"USD","H")</f>
        <v>21030</v>
      </c>
      <c r="AH66" s="40" cm="1">
        <f t="array" ref="AH66">_xll.ciqfunctions.udf.CIQ(D$3,$Z$1,$H$2,$A66,"L",,"USD","H")</f>
        <v>13198</v>
      </c>
      <c r="AI66" s="40" cm="1">
        <f t="array" ref="AI66">_xll.ciqfunctions.udf.CIQ(E$3,$Z$1,$H$2,$A66,"L",,"USD","H")</f>
        <v>505.93200000000002</v>
      </c>
      <c r="AJ66" s="40" cm="1">
        <f t="array" ref="AJ66">_xll.ciqfunctions.udf.CIQ(F$3,$Z$1,$H$2,$A66,"L",,"USD","H")</f>
        <v>20095</v>
      </c>
      <c r="AK66" s="40" cm="1">
        <f t="array" ref="AK66">_xll.ciqfunctions.udf.CIQ(G$3,$Z$1,$H$2,$A66,"L",,"USD","H")</f>
        <v>2672</v>
      </c>
      <c r="AL66" s="13" cm="1">
        <f t="array" ref="AL66">_xll.ciqfunctions.udf.CIQ(B$3,$AL$1,$AL$2,$A66,"L",,"USD","H")</f>
        <v>162.25</v>
      </c>
      <c r="AM66" s="13" cm="1">
        <f t="array" ref="AM66">_xll.ciqfunctions.udf.CIQ(C$3,$AL$1,$AL$2,$A66,"L",,"USD","H")</f>
        <v>38.461500000000001</v>
      </c>
      <c r="AN66" s="13" cm="1">
        <f t="array" ref="AN66">_xll.ciqfunctions.udf.CIQ(D$3,$AL$1,$AL$2,$A66,"L",,"USD","H")</f>
        <v>147.7953</v>
      </c>
      <c r="AO66" s="13" cm="1">
        <f t="array" ref="AO66">_xll.ciqfunctions.udf.CIQ(E$3,$AL$1,$AL$2,$A66,"L",,"USD","H")</f>
        <v>-25.641200000000001</v>
      </c>
      <c r="AP66" s="13" cm="1">
        <f t="array" ref="AP66">_xll.ciqfunctions.udf.CIQ(F$3,$AL$1,$AL$2,$A66,"L",,"USD","H")</f>
        <v>137.27549999999999</v>
      </c>
      <c r="AQ66" s="13" t="str" cm="1">
        <f t="array" ref="AQ66">_xll.ciqfunctions.udf.CIQ(G$3,$AL$1,$AL$2,$A66,"L",,"USD","H")</f>
        <v>NM</v>
      </c>
      <c r="AR66" s="41" t="str" cm="1">
        <f t="array" ref="AR66">_xll.ciqfunctions.udf.CIQ(B$3,$AL$1,$AR$2,$A66,"L",,"USD","H")</f>
        <v>NM</v>
      </c>
      <c r="AS66" s="41" cm="1">
        <f t="array" ref="AS66">_xll.ciqfunctions.udf.CIQ(C$3,$AL$1,$AR$2,$A66,"L",,"USD","H")</f>
        <v>-45.910499999999999</v>
      </c>
      <c r="AT66" s="41" cm="1">
        <f t="array" ref="AT66">_xll.ciqfunctions.udf.CIQ(D$3,$AL$1,$AR$2,$A66,"L",,"USD","H")</f>
        <v>-35.932099999999998</v>
      </c>
      <c r="AU66" s="41" cm="1">
        <f t="array" ref="AU66">_xll.ciqfunctions.udf.CIQ(E$3,$AL$1,$AR$2,$A66,"L",,"USD","H")</f>
        <v>-78.513800000000003</v>
      </c>
      <c r="AV66" s="41" cm="1">
        <f t="array" ref="AV66">_xll.ciqfunctions.udf.CIQ(F$3,$AL$1,$AR$2,$A66,"L",,"USD","H")</f>
        <v>20.8721</v>
      </c>
      <c r="AW66" s="41" t="str" cm="1">
        <f t="array" ref="AW66">_xll.ciqfunctions.udf.CIQ(G$3,$AL$1,$AR$2,$A66,"L",,"USD","H")</f>
        <v>NM</v>
      </c>
      <c r="AX66" s="38" cm="1">
        <f t="array" ref="AX66">_xll.ciqfunctions.udf.CIQ(B$3,$AX$1,$AX$2,$A66,"L",,"USD","H")</f>
        <v>6866</v>
      </c>
      <c r="AY66" s="38" cm="1">
        <f t="array" ref="AY66">_xll.ciqfunctions.udf.CIQ(C$3,$AX$1,$AX$2,$A66,"L",,"USD","H")</f>
        <v>12189</v>
      </c>
      <c r="AZ66" s="38" cm="1">
        <f t="array" ref="AZ66">_xll.ciqfunctions.udf.CIQ(D$3,$AX$1,$AX$2,$A66,"L",,"USD","H")</f>
        <v>9314</v>
      </c>
      <c r="BA66" s="38" cm="1">
        <f t="array" ref="BA66">_xll.ciqfunctions.udf.CIQ(E$3,$AX$1,$AX$2,$A66,"L",,"USD","H")</f>
        <v>722.07899999999995</v>
      </c>
      <c r="BB66" s="38" cm="1">
        <f t="array" ref="BB66">_xll.ciqfunctions.udf.CIQ(F$3,$AX$1,$AX$2,$A66,"L",,"USD","H")</f>
        <v>11430</v>
      </c>
      <c r="BC66" s="38" cm="1">
        <f t="array" ref="BC66">_xll.ciqfunctions.udf.CIQ(G$3,$AX$1,$AX$2,$A66,"L",,"USD","H")</f>
        <v>2170</v>
      </c>
      <c r="BD66" s="40" cm="1">
        <f t="array" ref="BD66">_xll.ciqfunctions.udf.CIQ(B$3,$AX$1,$BD$2,$A66,"L",,"USD","H")</f>
        <v>23217</v>
      </c>
      <c r="BE66" s="40" cm="1">
        <f t="array" ref="BE66">_xll.ciqfunctions.udf.CIQ(C$3,$AX$1,$BD$2,$A66,"L",,"USD","H")</f>
        <v>41495</v>
      </c>
      <c r="BF66" s="40" cm="1">
        <f t="array" ref="BF66">_xll.ciqfunctions.udf.CIQ(D$3,$AX$1,$BD$2,$A66,"L",,"USD","H")</f>
        <v>30841</v>
      </c>
      <c r="BG66" s="40">
        <f>_xll.ciqfunctions.udf.CIQ("COP", "IQ_PRICEDATE", "11/1/2024")</f>
        <v>45597</v>
      </c>
      <c r="BH66" s="40" cm="1">
        <f t="array" ref="BH66">_xll.ciqfunctions.udf.CIQ(F$3,$AX$1,$BD$2,$A66,"L",,"USD","H")</f>
        <v>38916</v>
      </c>
      <c r="BI66" s="40" cm="1">
        <f t="array" ref="BI66">_xll.ciqfunctions.udf.CIQ(G$3,$AX$1,$BD$2,$A66,"L",,"USD","H")</f>
        <v>5547</v>
      </c>
      <c r="BJ66" s="43"/>
      <c r="BK66" s="43"/>
      <c r="BL66" s="43"/>
      <c r="BM66" s="43"/>
      <c r="BN66" s="43"/>
      <c r="BO66" s="43"/>
      <c r="BP66" s="42"/>
      <c r="BQ66" s="42"/>
      <c r="BR66" s="42"/>
      <c r="BS66" s="42"/>
      <c r="BT66" s="42"/>
      <c r="BU66" s="42"/>
      <c r="BV66" s="68" cm="1">
        <f t="array" ref="BV66">_xll.ciqfunctions.udf.CIQ(B$3,$BV$1,$BV$2,$A66,"L",,"USD","H")/100</f>
        <v>5.5591999999999996E-2</v>
      </c>
      <c r="BW66" s="68" cm="1">
        <f t="array" ref="BW66">_xll.ciqfunctions.udf.CIQ(C$3,$BV$1,$BV$2,$A66,"L",,"USD","H")/100</f>
        <v>0.13688800000000001</v>
      </c>
      <c r="BX66" s="68" cm="1">
        <f t="array" ref="BX66">_xll.ciqfunctions.udf.CIQ(D$3,$BV$1,$BV$2,$A66,"L",,"USD","H")/100</f>
        <v>0.12199600000000001</v>
      </c>
      <c r="BY66" s="68" cm="1">
        <f t="array" ref="BY66">_xll.ciqfunctions.udf.CIQ(E$3,$BV$1,$BV$2,$A66,"L",,"USD","H")/100</f>
        <v>2.538E-2</v>
      </c>
      <c r="BZ66" s="68" cm="1">
        <f t="array" ref="BZ66">_xll.ciqfunctions.udf.CIQ(F$3,$BV$1,$BV$2,$A66,"L",,"USD","H")/100</f>
        <v>0.100864</v>
      </c>
      <c r="CA66" s="68" cm="1">
        <f t="array" ref="CA66">_xll.ciqfunctions.udf.CIQ(G$3,$BV$1,$BV$2,$A66,"L",,"USD","H")/100</f>
        <v>0.19525200000000001</v>
      </c>
      <c r="CB66" s="68" cm="1">
        <f t="array" ref="CB66">_xll.ciqfunctions.udf.CIQ(B$3,$BV$1,$CB$2,$A66,"L",,"USD","H")/100</f>
        <v>3.0762000000000001E-2</v>
      </c>
      <c r="CC66" s="68" cm="1">
        <f t="array" ref="CC66">_xll.ciqfunctions.udf.CIQ(C$3,$BV$1,$CB$2,$A66,"L",,"USD","H")/100</f>
        <v>0.10498200000000001</v>
      </c>
      <c r="CD66" s="68" cm="1">
        <f t="array" ref="CD66">_xll.ciqfunctions.udf.CIQ(D$3,$BV$1,$CB$2,$A66,"L",,"USD","H")/100</f>
        <v>7.5893000000000002E-2</v>
      </c>
      <c r="CE66" s="68" cm="1">
        <f t="array" ref="CE66">_xll.ciqfunctions.udf.CIQ(E$3,$BV$1,$CB$2,$A66,"L",,"USD","H")/100</f>
        <v>2.9845E-2</v>
      </c>
      <c r="CF66" s="68" cm="1">
        <f t="array" ref="CF66">_xll.ciqfunctions.udf.CIQ(F$3,$BV$1,$CB$2,$A66,"L",,"USD","H")/100</f>
        <v>7.3038999999999993E-2</v>
      </c>
      <c r="CG66" s="68" cm="1">
        <f t="array" ref="CG66">_xll.ciqfunctions.udf.CIQ(G$3,$BV$1,$CB$2,$A66,"L",,"USD","H")/100</f>
        <v>0.111219</v>
      </c>
    </row>
    <row r="67" spans="1:85" x14ac:dyDescent="0.45">
      <c r="A67" s="3">
        <f t="shared" si="13"/>
        <v>40178</v>
      </c>
      <c r="B67" s="14" cm="1">
        <f t="array" ref="B67">_xll.ciqfunctions.udf.CIQ(B$3,$B$1,$B$2,$A67,"L",,"USD","H")</f>
        <v>40124</v>
      </c>
      <c r="C67" s="38" cm="1">
        <f t="array" ref="C67">_xll.ciqfunctions.udf.CIQ(C$3,$B$1,$B$2,$A67,"L",,"USD","H")</f>
        <v>80106</v>
      </c>
      <c r="D67" s="38" cm="1">
        <f t="array" ref="D67">_xll.ciqfunctions.udf.CIQ(D$3,$B$1,$B$2,$A67,"L",,"USD","H")</f>
        <v>45502</v>
      </c>
      <c r="E67" s="38" cm="1">
        <f t="array" ref="E67">_xll.ciqfunctions.udf.CIQ(E$3,$B$1,$B$2,$A67,"L",,"USD","H")</f>
        <v>1200.009</v>
      </c>
      <c r="F67" s="38" cm="1">
        <f t="array" ref="F67">_xll.ciqfunctions.udf.CIQ(F$3,$B$1,$B$2,$A67,"L",,"USD","H")</f>
        <v>71516</v>
      </c>
      <c r="G67" s="38" cm="1">
        <f t="array" ref="G67">_xll.ciqfunctions.udf.CIQ(G$3,$B$1,$B$2,$A67,"L",,"USD","H")</f>
        <v>2119</v>
      </c>
      <c r="H67" s="40" cm="1">
        <f t="array" ref="H67">_xll.ciqfunctions.udf.CIQ(B$3,$B$1,$H$2,$A67,"L",,"USD","H")</f>
        <v>138905</v>
      </c>
      <c r="I67" s="40" cm="1">
        <f t="array" ref="I67">_xll.ciqfunctions.udf.CIQ(C$3,$B$1,$H$2,$A67,"L",,"USD","H")</f>
        <v>275564</v>
      </c>
      <c r="J67" s="40" cm="1">
        <f t="array" ref="J67">_xll.ciqfunctions.udf.CIQ(D$3,$B$1,$H$2,$A67,"L",,"USD","H")</f>
        <v>159293</v>
      </c>
      <c r="K67" s="40" cm="1">
        <f t="array" ref="K67">_xll.ciqfunctions.udf.CIQ(E$3,$B$1,$H$2,$A67,"L",,"USD","H")</f>
        <v>3819.7660000000001</v>
      </c>
      <c r="L67" s="40" cm="1">
        <f t="array" ref="L67">_xll.ciqfunctions.udf.CIQ(F$3,$B$1,$H$2,$A67,"L",,"USD","H")</f>
        <v>239807</v>
      </c>
      <c r="M67" s="40" cm="1">
        <f t="array" ref="M67">_xll.ciqfunctions.udf.CIQ(G$3,$B$1,$H$2,$A67,"L",,"USD","H")</f>
        <v>7499</v>
      </c>
      <c r="N67" s="13" cm="1">
        <f t="array" ref="N67">_xll.ciqfunctions.udf.CIQ(B$3,$N$1,$B$2,$A67,"L",,"USD","H")</f>
        <v>-1.9189000000000001</v>
      </c>
      <c r="O67" s="13" cm="1">
        <f t="array" ref="O67">_xll.ciqfunctions.udf.CIQ(C$3,$N$1,$B$2,$A67,"L",,"USD","H")</f>
        <v>9.3088999999999995</v>
      </c>
      <c r="P67" s="13" cm="1">
        <f t="array" ref="P67">_xll.ciqfunctions.udf.CIQ(D$3,$N$1,$B$2,$A67,"L",,"USD","H")</f>
        <v>10.807499999999999</v>
      </c>
      <c r="Q67" s="13" cm="1">
        <f t="array" ref="Q67">_xll.ciqfunctions.udf.CIQ(E$3,$N$1,$B$2,$A67,"L",,"USD","H")</f>
        <v>8.1663999999999994</v>
      </c>
      <c r="R67" s="13" cm="1">
        <f t="array" ref="R67">_xll.ciqfunctions.udf.CIQ(F$3,$N$1,$B$2,$A67,"L",,"USD","H")</f>
        <v>16.144500000000001</v>
      </c>
      <c r="S67" s="13" cm="1">
        <f t="array" ref="S67">_xll.ciqfunctions.udf.CIQ(G$3,$N$1,$B$2,$A67,"L",,"USD","H")</f>
        <v>68.710099999999997</v>
      </c>
      <c r="T67" s="94">
        <v>45611</v>
      </c>
      <c r="U67" s="41" cm="1">
        <f t="array" ref="U67">_xll.ciqfunctions.udf.CIQ(O$3,$N$1,$T$2,$A67,"L",,"USD","H")</f>
        <v>-35.1723</v>
      </c>
      <c r="V67" s="41" cm="1">
        <f t="array" ref="V67">_xll.ciqfunctions.udf.CIQ(P$3,$N$1,$T$2,$A67,"L",,"USD","H")</f>
        <v>-37.559600000000003</v>
      </c>
      <c r="W67" s="41" cm="1">
        <f t="array" ref="W67">_xll.ciqfunctions.udf.CIQ(Q$3,$N$1,$T$2,$A67,"L",,"USD","H")</f>
        <v>-40.369900000000001</v>
      </c>
      <c r="X67" s="41" cm="1">
        <f t="array" ref="X67">_xll.ciqfunctions.udf.CIQ(R$3,$N$1,$T$2,$A67,"L",,"USD","H")</f>
        <v>-33.6584</v>
      </c>
      <c r="Y67" s="41" cm="1">
        <f t="array" ref="Y67">_xll.ciqfunctions.udf.CIQ(S$3,$N$1,$T$2,$A67,"L",,"USD","H")</f>
        <v>-45.286799999999999</v>
      </c>
      <c r="Z67" s="38" cm="1">
        <f t="array" ref="Z67">_xll.ciqfunctions.udf.CIQ(B$3,$Z$1,$B$2,$A67,"L",,"USD","H")</f>
        <v>1285</v>
      </c>
      <c r="AA67" s="38" cm="1">
        <f t="array" ref="AA67">_xll.ciqfunctions.udf.CIQ(C$3,$Z$1,$B$2,$A67,"L",,"USD","H")</f>
        <v>6050</v>
      </c>
      <c r="AB67" s="38" cm="1">
        <f t="array" ref="AB67">_xll.ciqfunctions.udf.CIQ(D$3,$Z$1,$B$2,$A67,"L",,"USD","H")</f>
        <v>3070</v>
      </c>
      <c r="AC67" s="38" cm="1">
        <f t="array" ref="AC67">_xll.ciqfunctions.udf.CIQ(E$3,$Z$1,$B$2,$A67,"L",,"USD","H")</f>
        <v>400.42700000000002</v>
      </c>
      <c r="AD67" s="38" cm="1">
        <f t="array" ref="AD67">_xll.ciqfunctions.udf.CIQ(F$3,$Z$1,$B$2,$A67,"L",,"USD","H")</f>
        <v>4295</v>
      </c>
      <c r="AE67" s="38" cm="1">
        <f t="array" ref="AE67">_xll.ciqfunctions.udf.CIQ(G$3,$Z$1,$B$2,$A67,"L",,"USD","H")</f>
        <v>667</v>
      </c>
      <c r="AF67" s="40" cm="1">
        <f t="array" ref="AF67">_xll.ciqfunctions.udf.CIQ(B$3,$Z$1,$H$2,$A67,"L",,"USD","H")</f>
        <v>4414</v>
      </c>
      <c r="AG67" s="40" cm="1">
        <f t="array" ref="AG67">_xll.ciqfunctions.udf.CIQ(C$3,$Z$1,$H$2,$A67,"L",,"USD","H")</f>
        <v>19280</v>
      </c>
      <c r="AH67" s="40" cm="1">
        <f t="array" ref="AH67">_xll.ciqfunctions.udf.CIQ(D$3,$Z$1,$H$2,$A67,"L",,"USD","H")</f>
        <v>10483</v>
      </c>
      <c r="AI67" s="40" cm="1">
        <f t="array" ref="AI67">_xll.ciqfunctions.udf.CIQ(E$3,$Z$1,$H$2,$A67,"L",,"USD","H")</f>
        <v>546.62699999999995</v>
      </c>
      <c r="AJ67" s="40" cm="1">
        <f t="array" ref="AJ67">_xll.ciqfunctions.udf.CIQ(F$3,$Z$1,$H$2,$A67,"L",,"USD","H")</f>
        <v>16578</v>
      </c>
      <c r="AK67" s="40" cm="1">
        <f t="array" ref="AK67">_xll.ciqfunctions.udf.CIQ(G$3,$Z$1,$H$2,$A67,"L",,"USD","H")</f>
        <v>-2479</v>
      </c>
      <c r="AL67" s="13" t="str" cm="1">
        <f t="array" ref="AL67">_xll.ciqfunctions.udf.CIQ(B$3,$AL$1,$AL$2,$A67,"L",,"USD","H")</f>
        <v>NM</v>
      </c>
      <c r="AM67" s="13" cm="1">
        <f t="array" ref="AM67">_xll.ciqfunctions.udf.CIQ(C$3,$AL$1,$AL$2,$A67,"L",,"USD","H")</f>
        <v>-22.6343</v>
      </c>
      <c r="AN67" s="13" cm="1">
        <f t="array" ref="AN67">_xll.ciqfunctions.udf.CIQ(D$3,$AL$1,$AL$2,$A67,"L",,"USD","H")</f>
        <v>-37.283000000000001</v>
      </c>
      <c r="AO67" s="13" cm="1">
        <f t="array" ref="AO67">_xll.ciqfunctions.udf.CIQ(E$3,$AL$1,$AL$2,$A67,"L",,"USD","H")</f>
        <v>-13.228400000000001</v>
      </c>
      <c r="AP67" s="13" t="str" cm="1">
        <f t="array" ref="AP67">_xll.ciqfunctions.udf.CIQ(F$3,$AL$1,$AL$2,$A67,"L",,"USD","H")</f>
        <v>NM</v>
      </c>
      <c r="AQ67" s="13" t="str" cm="1">
        <f t="array" ref="AQ67">_xll.ciqfunctions.udf.CIQ(G$3,$AL$1,$AL$2,$A67,"L",,"USD","H")</f>
        <v>NM</v>
      </c>
      <c r="AR67" s="41" t="str" cm="1">
        <f t="array" ref="AR67">_xll.ciqfunctions.udf.CIQ(B$3,$AL$1,$AR$2,$A67,"L",,"USD","H")</f>
        <v>NM</v>
      </c>
      <c r="AS67" s="41" cm="1">
        <f t="array" ref="AS67">_xll.ciqfunctions.udf.CIQ(C$3,$AL$1,$AR$2,$A67,"L",,"USD","H")</f>
        <v>-57.363999999999997</v>
      </c>
      <c r="AT67" s="41" cm="1">
        <f t="array" ref="AT67">_xll.ciqfunctions.udf.CIQ(D$3,$AL$1,$AR$2,$A67,"L",,"USD","H")</f>
        <v>-56.194899999999997</v>
      </c>
      <c r="AU67" s="41" cm="1">
        <f t="array" ref="AU67">_xll.ciqfunctions.udf.CIQ(E$3,$AL$1,$AR$2,$A67,"L",,"USD","H")</f>
        <v>-77.569000000000003</v>
      </c>
      <c r="AV67" s="41" cm="1">
        <f t="array" ref="AV67">_xll.ciqfunctions.udf.CIQ(F$3,$AL$1,$AR$2,$A67,"L",,"USD","H")</f>
        <v>-21.643000000000001</v>
      </c>
      <c r="AW67" s="41" t="str" cm="1">
        <f t="array" ref="AW67">_xll.ciqfunctions.udf.CIQ(G$3,$AL$1,$AR$2,$A67,"L",,"USD","H")</f>
        <v>NM</v>
      </c>
      <c r="AX67" s="38" cm="1">
        <f t="array" ref="AX67">_xll.ciqfunctions.udf.CIQ(B$3,$AX$1,$AX$2,$A67,"L",,"USD","H")</f>
        <v>5950</v>
      </c>
      <c r="AY67" s="38" cm="1">
        <f t="array" ref="AY67">_xll.ciqfunctions.udf.CIQ(C$3,$AX$1,$AX$2,$A67,"L",,"USD","H")</f>
        <v>10709</v>
      </c>
      <c r="AZ67" s="38" cm="1">
        <f t="array" ref="AZ67">_xll.ciqfunctions.udf.CIQ(D$3,$AX$1,$AX$2,$A67,"L",,"USD","H")</f>
        <v>7889</v>
      </c>
      <c r="BA67" s="38" cm="1">
        <f t="array" ref="BA67">_xll.ciqfunctions.udf.CIQ(E$3,$AX$1,$AX$2,$A67,"L",,"USD","H")</f>
        <v>642.03</v>
      </c>
      <c r="BB67" s="38" cm="1">
        <f t="array" ref="BB67">_xll.ciqfunctions.udf.CIQ(F$3,$AX$1,$AX$2,$A67,"L",,"USD","H")</f>
        <v>9550</v>
      </c>
      <c r="BC67" s="38" cm="1">
        <f t="array" ref="BC67">_xll.ciqfunctions.udf.CIQ(G$3,$AX$1,$AX$2,$A67,"L",,"USD","H")</f>
        <v>1541</v>
      </c>
      <c r="BD67" s="40" cm="1">
        <f t="array" ref="BD67">_xll.ciqfunctions.udf.CIQ(B$3,$AX$1,$BD$2,$A67,"L",,"USD","H")</f>
        <v>20742</v>
      </c>
      <c r="BE67" s="40" cm="1">
        <f t="array" ref="BE67">_xll.ciqfunctions.udf.CIQ(C$3,$AX$1,$BD$2,$A67,"L",,"USD","H")</f>
        <v>38156</v>
      </c>
      <c r="BF67" s="40" cm="1">
        <f t="array" ref="BF67">_xll.ciqfunctions.udf.CIQ(D$3,$AX$1,$BD$2,$A67,"L",,"USD","H")</f>
        <v>26432</v>
      </c>
      <c r="BG67" s="40">
        <f>_xll.ciqfunctions.udf.CIQ("COP", "IQ_PRICEDATE", "10/25/2024")</f>
        <v>45590</v>
      </c>
      <c r="BH67" s="40" cm="1">
        <f t="array" ref="BH67">_xll.ciqfunctions.udf.CIQ(F$3,$AX$1,$BD$2,$A67,"L",,"USD","H")</f>
        <v>34095</v>
      </c>
      <c r="BI67" s="40" cm="1">
        <f t="array" ref="BI67">_xll.ciqfunctions.udf.CIQ(G$3,$AX$1,$BD$2,$A67,"L",,"USD","H")</f>
        <v>4458</v>
      </c>
      <c r="BJ67" s="43"/>
      <c r="BK67" s="43"/>
      <c r="BL67" s="43"/>
      <c r="BM67" s="43"/>
      <c r="BN67" s="43"/>
      <c r="BO67" s="43"/>
      <c r="BP67" s="42"/>
      <c r="BQ67" s="42"/>
      <c r="BR67" s="42"/>
      <c r="BS67" s="42"/>
      <c r="BT67" s="42"/>
      <c r="BU67" s="42"/>
      <c r="BV67" s="68" cm="1">
        <f t="array" ref="BV67">_xll.ciqfunctions.udf.CIQ(B$3,$BV$1,$BV$2,$A67,"L",,"USD","H")/100</f>
        <v>2.2240000000000003E-2</v>
      </c>
      <c r="BW67" s="68" cm="1">
        <f t="array" ref="BW67">_xll.ciqfunctions.udf.CIQ(C$3,$BV$1,$BV$2,$A67,"L",,"USD","H")/100</f>
        <v>0.13158799999999998</v>
      </c>
      <c r="BX67" s="68" cm="1">
        <f t="array" ref="BX67">_xll.ciqfunctions.udf.CIQ(D$3,$BV$1,$BV$2,$A67,"L",,"USD","H")/100</f>
        <v>6.6900000000000001E-2</v>
      </c>
      <c r="BY67" s="68" cm="1">
        <f t="array" ref="BY67">_xll.ciqfunctions.udf.CIQ(E$3,$BV$1,$BV$2,$A67,"L",,"USD","H")/100</f>
        <v>0.11602</v>
      </c>
      <c r="BZ67" s="68" cm="1">
        <f t="array" ref="BZ67">_xll.ciqfunctions.udf.CIQ(F$3,$BV$1,$BV$2,$A67,"L",,"USD","H")/100</f>
        <v>4.8799999999999996E-2</v>
      </c>
      <c r="CA67" s="68" cm="1">
        <f t="array" ref="CA67">_xll.ciqfunctions.udf.CIQ(G$3,$BV$1,$BV$2,$A67,"L",,"USD","H")/100</f>
        <v>0.10619999999999999</v>
      </c>
      <c r="CB67" s="68" cm="1">
        <f t="array" ref="CB67">_xll.ciqfunctions.udf.CIQ(B$3,$BV$1,$CB$2,$A67,"L",,"USD","H")/100</f>
        <v>1.6981E-2</v>
      </c>
      <c r="CC67" s="68" cm="1">
        <f t="array" ref="CC67">_xll.ciqfunctions.udf.CIQ(C$3,$BV$1,$CB$2,$A67,"L",,"USD","H")/100</f>
        <v>8.9359999999999995E-2</v>
      </c>
      <c r="CD67" s="68" cm="1">
        <f t="array" ref="CD67">_xll.ciqfunctions.udf.CIQ(D$3,$BV$1,$CB$2,$A67,"L",,"USD","H")/100</f>
        <v>5.2046000000000002E-2</v>
      </c>
      <c r="CE67" s="68" cm="1">
        <f t="array" ref="CE67">_xll.ciqfunctions.udf.CIQ(E$3,$BV$1,$CB$2,$A67,"L",,"USD","H")/100</f>
        <v>3.4113999999999998E-2</v>
      </c>
      <c r="CF67" s="68" cm="1">
        <f t="array" ref="CF67">_xll.ciqfunctions.udf.CIQ(F$3,$BV$1,$CB$2,$A67,"L",,"USD","H")/100</f>
        <v>4.6517000000000003E-2</v>
      </c>
      <c r="CG67" s="68" cm="1">
        <f t="array" ref="CG67">_xll.ciqfunctions.udf.CIQ(G$3,$BV$1,$CB$2,$A67,"L",,"USD","H")/100</f>
        <v>-0.120786</v>
      </c>
    </row>
    <row r="68" spans="1:85" x14ac:dyDescent="0.45">
      <c r="A68" s="3"/>
      <c r="T68" s="95">
        <v>45604</v>
      </c>
      <c r="AO68" s="14">
        <v>5.0890000000000004</v>
      </c>
      <c r="AP68" s="14">
        <v>674.73685999999998</v>
      </c>
      <c r="AQ68" s="14">
        <v>13085.09786</v>
      </c>
      <c r="AV68" s="39">
        <v>88.86</v>
      </c>
      <c r="AW68" s="39">
        <v>113.36841</v>
      </c>
      <c r="BG68" s="39">
        <f>_xll.ciqfunctions.udf.CIQ("COP", "IQ_PRICEDATE", "10/18/2024")</f>
        <v>45583</v>
      </c>
      <c r="BV68" s="93">
        <v>157.72</v>
      </c>
      <c r="BW68" s="93">
        <v>105.84</v>
      </c>
      <c r="BX68" s="93">
        <v>34.654220000000002</v>
      </c>
      <c r="BY68" s="93">
        <v>32.49</v>
      </c>
      <c r="BZ68" s="93">
        <v>60.98</v>
      </c>
      <c r="CG68" s="93">
        <f>_xll.ciqfunctions.udf.CIQ("COP", "IQ_PRICEDATE", "10/31/2025")</f>
        <v>45961</v>
      </c>
    </row>
    <row r="69" spans="1:85" x14ac:dyDescent="0.45">
      <c r="A69" s="3"/>
      <c r="T69" s="95">
        <v>45597</v>
      </c>
      <c r="AO69" s="14">
        <v>4.8564999999999996</v>
      </c>
      <c r="AP69" s="14">
        <v>682.82225000000005</v>
      </c>
      <c r="AQ69" s="14">
        <v>12788.46291</v>
      </c>
      <c r="AV69" s="39">
        <v>94.59</v>
      </c>
      <c r="AW69" s="39">
        <v>111.77237</v>
      </c>
      <c r="BG69" s="39">
        <f>_xll.ciqfunctions.udf.CIQ("COP", "IQ_PRICEDATE", "10/11/2024")</f>
        <v>45576</v>
      </c>
      <c r="BV69" s="93">
        <v>155.29</v>
      </c>
      <c r="BW69" s="93">
        <v>111.05368</v>
      </c>
      <c r="BX69" s="93">
        <v>33.993290000000002</v>
      </c>
      <c r="BY69" s="93">
        <v>35.06</v>
      </c>
      <c r="BZ69" s="93">
        <v>61.96</v>
      </c>
      <c r="CG69" s="93">
        <f>_xll.ciqfunctions.udf.CIQ("COP", "IQ_PRICEDATE", "9/30/2025")</f>
        <v>45930</v>
      </c>
    </row>
    <row r="70" spans="1:85" x14ac:dyDescent="0.45">
      <c r="A70" s="3"/>
      <c r="T70" s="95">
        <v>45590</v>
      </c>
      <c r="AO70" s="14">
        <v>4.5185000000000004</v>
      </c>
      <c r="AP70" s="14">
        <v>686.39365999999995</v>
      </c>
      <c r="AQ70" s="14">
        <v>12342.32646</v>
      </c>
      <c r="AV70" s="39">
        <v>98.97</v>
      </c>
      <c r="AW70" s="39">
        <v>113.29902</v>
      </c>
      <c r="BG70" s="39">
        <f>_xll.ciqfunctions.udf.CIQ("COP", "IQ_PRICEDATE", "10/4/2024")</f>
        <v>45569</v>
      </c>
      <c r="BV70" s="93">
        <v>160.6</v>
      </c>
      <c r="BW70" s="93">
        <v>123.63290000000001</v>
      </c>
      <c r="BX70" s="93">
        <v>34.752870000000001</v>
      </c>
      <c r="BY70" s="93">
        <v>35.850819999999999</v>
      </c>
      <c r="BZ70" s="93">
        <v>64.010000000000005</v>
      </c>
      <c r="CG70" s="93">
        <f>_xll.ciqfunctions.udf.CIQ("COP", "IQ_PRICEDATE", "8/29/2025")</f>
        <v>45898</v>
      </c>
    </row>
    <row r="71" spans="1:85" x14ac:dyDescent="0.45">
      <c r="A71" s="3"/>
      <c r="T71" s="95">
        <v>45583</v>
      </c>
      <c r="AO71" s="14">
        <v>4.3544999999999998</v>
      </c>
      <c r="AP71" s="14">
        <v>666.90745000000004</v>
      </c>
      <c r="AQ71" s="14">
        <v>12101.39049</v>
      </c>
      <c r="AV71" s="39">
        <v>94.559920000000005</v>
      </c>
      <c r="AW71" s="39">
        <v>109.65165</v>
      </c>
      <c r="BG71" s="39">
        <f>_xll.ciqfunctions.udf.CIQ("COP", "IQ_PRICEDATE", "9/27/2024")</f>
        <v>45562</v>
      </c>
      <c r="BV71" s="93">
        <v>149.97051999999999</v>
      </c>
      <c r="BW71" s="93">
        <v>118.87855</v>
      </c>
      <c r="BX71" s="93">
        <v>31.262119999999999</v>
      </c>
      <c r="BY71" s="93">
        <v>32.990699999999997</v>
      </c>
      <c r="BZ71" s="93">
        <v>69.260000000000005</v>
      </c>
      <c r="CG71" s="93">
        <f>_xll.ciqfunctions.udf.CIQ("COP", "IQ_PRICEDATE", "7/31/2025")</f>
        <v>45869</v>
      </c>
    </row>
    <row r="72" spans="1:85" x14ac:dyDescent="0.45">
      <c r="A72" s="3"/>
      <c r="T72" s="95">
        <v>45576</v>
      </c>
      <c r="AO72" s="14">
        <v>5.0824999999999996</v>
      </c>
      <c r="AP72" s="14">
        <v>648.68124</v>
      </c>
      <c r="AQ72" s="14">
        <v>11838.45795</v>
      </c>
      <c r="AV72" s="39">
        <v>89.005740000000003</v>
      </c>
      <c r="AW72" s="39">
        <v>105.88003999999999</v>
      </c>
      <c r="BG72" s="39">
        <f>_xll.ciqfunctions.udf.CIQ("COP", "IQ_PRICEDATE", "9/20/2024")</f>
        <v>45555</v>
      </c>
      <c r="BV72" s="93">
        <v>141.61355</v>
      </c>
      <c r="BW72" s="93">
        <v>117.50014</v>
      </c>
      <c r="BX72" s="93">
        <v>29.10342</v>
      </c>
      <c r="BY72" s="93">
        <v>31.590430000000001</v>
      </c>
      <c r="BZ72" s="93">
        <v>65.11</v>
      </c>
      <c r="CG72" s="93">
        <f>_xll.ciqfunctions.udf.CIQ("COP", "IQ_PRICEDATE", "6/30/2025")</f>
        <v>45838</v>
      </c>
    </row>
    <row r="73" spans="1:85" x14ac:dyDescent="0.45">
      <c r="A73" s="3"/>
      <c r="T73" s="95">
        <v>45569</v>
      </c>
      <c r="AO73" s="14">
        <v>4.6775000000000002</v>
      </c>
      <c r="AP73" s="14">
        <v>619.34031000000004</v>
      </c>
      <c r="AQ73" s="14">
        <v>11269.579449999999</v>
      </c>
      <c r="AV73" s="39">
        <v>84.651660000000007</v>
      </c>
      <c r="AW73" s="39">
        <v>100.47799000000001</v>
      </c>
      <c r="BG73" s="39">
        <f>_xll.ciqfunctions.udf.CIQ("COP", "IQ_PRICEDATE", "9/13/2024")</f>
        <v>45548</v>
      </c>
      <c r="BV73" s="93">
        <v>135.19499999999999</v>
      </c>
      <c r="BW73" s="93">
        <v>106.65488000000001</v>
      </c>
      <c r="BX73" s="93">
        <v>28.29635</v>
      </c>
      <c r="BY73" s="93">
        <v>29.84104</v>
      </c>
      <c r="BZ73" s="93">
        <v>60.79</v>
      </c>
      <c r="CG73" s="93">
        <f>_xll.ciqfunctions.udf.CIQ("COP", "IQ_PRICEDATE", "5/30/2025")</f>
        <v>45807</v>
      </c>
    </row>
    <row r="74" spans="1:85" x14ac:dyDescent="0.45">
      <c r="A74" s="3"/>
      <c r="T74" s="95">
        <v>45562</v>
      </c>
      <c r="AO74" s="14">
        <v>4.609</v>
      </c>
      <c r="AP74" s="14">
        <v>617.46879000000001</v>
      </c>
      <c r="AQ74" s="14">
        <v>10606.48508</v>
      </c>
      <c r="AV74" s="39">
        <v>87.644900000000007</v>
      </c>
      <c r="AW74" s="39">
        <v>102.80186</v>
      </c>
      <c r="BG74" s="39">
        <f>_xll.ciqfunctions.udf.CIQ("COP", "IQ_PRICEDATE", "9/6/2024")</f>
        <v>45541</v>
      </c>
      <c r="BV74" s="93">
        <v>132.94274999999999</v>
      </c>
      <c r="BW74" s="93">
        <v>108.38383</v>
      </c>
      <c r="BX74" s="93">
        <v>26.28041</v>
      </c>
      <c r="BY74" s="93">
        <v>29.988969999999998</v>
      </c>
      <c r="BZ74" s="93">
        <v>58.21</v>
      </c>
      <c r="CG74" s="93">
        <f>_xll.ciqfunctions.udf.CIQ("COP", "IQ_PRICEDATE", "4/30/2025")</f>
        <v>45777</v>
      </c>
    </row>
    <row r="75" spans="1:85" x14ac:dyDescent="0.45">
      <c r="A75" s="3"/>
      <c r="T75" s="95">
        <v>45555</v>
      </c>
      <c r="AO75" s="14">
        <v>5.0339999999999998</v>
      </c>
      <c r="AP75" s="14">
        <v>715.75121000000001</v>
      </c>
      <c r="AQ75" s="14">
        <v>10681.620559999999</v>
      </c>
      <c r="AV75" s="39">
        <v>103.28172000000001</v>
      </c>
      <c r="AW75" s="39">
        <v>115.74576999999999</v>
      </c>
      <c r="BG75" s="39">
        <f>_xll.ciqfunctions.udf.CIQ("COP", "IQ_PRICEDATE", "8/30/2024")</f>
        <v>45534</v>
      </c>
      <c r="BV75" s="93">
        <v>163.45724999999999</v>
      </c>
      <c r="BW75" s="93">
        <v>124.83511</v>
      </c>
      <c r="BX75" s="93">
        <v>32.33849</v>
      </c>
      <c r="BY75" s="93">
        <v>36.882190000000001</v>
      </c>
      <c r="BZ75" s="93">
        <v>71.48</v>
      </c>
      <c r="CG75" s="93">
        <f>_xll.ciqfunctions.udf.CIQ("COP", "IQ_PRICEDATE", "3/31/2025")</f>
        <v>45747</v>
      </c>
    </row>
    <row r="76" spans="1:85" x14ac:dyDescent="0.45">
      <c r="A76" s="3"/>
      <c r="T76" s="95">
        <v>45548</v>
      </c>
      <c r="AO76" s="14">
        <v>4.548</v>
      </c>
      <c r="AP76" s="14">
        <v>689.88108</v>
      </c>
      <c r="AQ76" s="14">
        <v>11323.72863</v>
      </c>
      <c r="AV76" s="39">
        <v>97.508880000000005</v>
      </c>
      <c r="AW76" s="39">
        <v>108.34925</v>
      </c>
      <c r="BG76" s="39">
        <f>_xll.ciqfunctions.udf.CIQ("COP", "IQ_PRICEDATE", "8/23/2024")</f>
        <v>45527</v>
      </c>
      <c r="BV76" s="93">
        <v>154.98589000000001</v>
      </c>
      <c r="BW76" s="93">
        <v>123.56962</v>
      </c>
      <c r="BX76" s="93">
        <v>31.69727</v>
      </c>
      <c r="BY76" s="93">
        <v>35.464829999999999</v>
      </c>
      <c r="BZ76" s="93">
        <v>69.760000000000005</v>
      </c>
      <c r="CG76" s="93">
        <f>_xll.ciqfunctions.udf.CIQ("COP", "IQ_PRICEDATE", "2/28/2025")</f>
        <v>45716</v>
      </c>
    </row>
    <row r="77" spans="1:85" x14ac:dyDescent="0.45">
      <c r="A77" s="3"/>
      <c r="T77" s="95">
        <v>45541</v>
      </c>
      <c r="AO77" s="14">
        <v>4.2789999999999999</v>
      </c>
      <c r="AP77" s="14">
        <v>667.9538</v>
      </c>
      <c r="AQ77" s="14">
        <v>11477.5975</v>
      </c>
      <c r="AV77" s="39">
        <v>96.411810000000003</v>
      </c>
      <c r="AW77" s="39">
        <v>103.048</v>
      </c>
      <c r="BG77" s="39">
        <f>_xll.ciqfunctions.udf.CIQ("COP", "IQ_PRICEDATE", "8/16/2024")</f>
        <v>45520</v>
      </c>
      <c r="BV77" s="93">
        <v>144.17282</v>
      </c>
      <c r="BW77" s="93">
        <v>122.45016</v>
      </c>
      <c r="BX77" s="93">
        <v>29.318269999999998</v>
      </c>
      <c r="BY77" s="93">
        <v>33.389029999999998</v>
      </c>
      <c r="BZ77" s="93">
        <v>72.53</v>
      </c>
      <c r="CG77" s="93">
        <f>_xll.ciqfunctions.udf.CIQ("COP", "IQ_PRICEDATE", "1/31/2025")</f>
        <v>45688</v>
      </c>
    </row>
    <row r="78" spans="1:85" x14ac:dyDescent="0.45">
      <c r="A78" s="3"/>
      <c r="T78" s="95">
        <v>45534</v>
      </c>
      <c r="AO78" s="14">
        <v>4.0265000000000004</v>
      </c>
      <c r="AP78" s="14">
        <v>654.84631999999999</v>
      </c>
      <c r="AQ78" s="14">
        <v>11169.346659999999</v>
      </c>
      <c r="AV78" s="39">
        <v>96.743489999999994</v>
      </c>
      <c r="AW78" s="39">
        <v>103.76179999999999</v>
      </c>
      <c r="BG78" s="39">
        <f>_xll.ciqfunctions.udf.CIQ("COP", "IQ_PRICEDATE", "8/9/2024")</f>
        <v>45513</v>
      </c>
      <c r="BV78" s="93">
        <v>139.96911</v>
      </c>
      <c r="BW78" s="93">
        <v>118.48263</v>
      </c>
      <c r="BX78" s="93">
        <v>27.902380000000001</v>
      </c>
      <c r="BY78" s="93">
        <v>32.04759</v>
      </c>
      <c r="BZ78" s="93">
        <v>71.72</v>
      </c>
      <c r="CG78" s="93">
        <f>_xll.ciqfunctions.udf.CIQ("COP", "IQ_PRICEDATE", "12/31/2024")</f>
        <v>45657</v>
      </c>
    </row>
    <row r="79" spans="1:85" x14ac:dyDescent="0.45">
      <c r="A79" s="3"/>
      <c r="T79" s="95">
        <v>45527</v>
      </c>
      <c r="AO79" s="14">
        <v>4.0804999999999998</v>
      </c>
      <c r="AP79" s="14">
        <v>724.05596000000003</v>
      </c>
      <c r="AQ79" s="14">
        <v>11446.16351</v>
      </c>
      <c r="AV79" s="39">
        <v>105.68912</v>
      </c>
      <c r="AW79" s="39">
        <v>113.78398</v>
      </c>
      <c r="BG79" s="39">
        <f>_xll.ciqfunctions.udf.CIQ("COP", "IQ_PRICEDATE", "8/2/2024")</f>
        <v>45506</v>
      </c>
      <c r="BV79" s="93">
        <v>156.48437999999999</v>
      </c>
      <c r="BW79" s="93">
        <v>128.80564000000001</v>
      </c>
      <c r="BX79" s="93">
        <v>27.666399999999999</v>
      </c>
      <c r="BY79" s="93">
        <v>36.919240000000002</v>
      </c>
      <c r="BZ79" s="93">
        <v>68</v>
      </c>
      <c r="CG79" s="93">
        <f>_xll.ciqfunctions.udf.CIQ("COP", "IQ_PRICEDATE", "11/29/2024")</f>
        <v>45625</v>
      </c>
    </row>
    <row r="80" spans="1:85" x14ac:dyDescent="0.45">
      <c r="A80" s="3"/>
      <c r="T80" s="95">
        <v>45520</v>
      </c>
      <c r="AO80" s="14">
        <v>4.34</v>
      </c>
      <c r="AP80" s="14">
        <v>681.25207</v>
      </c>
      <c r="AQ80" s="14">
        <v>10815.803599999999</v>
      </c>
      <c r="AV80" s="39">
        <v>106.1182</v>
      </c>
      <c r="AW80" s="39">
        <v>111.72767</v>
      </c>
      <c r="BG80" s="39">
        <f>_xll.ciqfunctions.udf.CIQ("COP", "IQ_PRICEDATE", "7/26/2024")</f>
        <v>45499</v>
      </c>
      <c r="BV80" s="93">
        <v>142.36303000000001</v>
      </c>
      <c r="BW80" s="93">
        <v>117.88336</v>
      </c>
      <c r="BX80" s="93">
        <v>27.279</v>
      </c>
      <c r="BY80" s="93">
        <v>37.62941</v>
      </c>
      <c r="BZ80" s="93">
        <v>69.260000000000005</v>
      </c>
      <c r="CG80" s="93">
        <f>_xll.ciqfunctions.udf.CIQ("COP", "IQ_PRICEDATE", "10/31/2024")</f>
        <v>45596</v>
      </c>
    </row>
    <row r="81" spans="1:85" x14ac:dyDescent="0.45">
      <c r="A81" s="3"/>
      <c r="T81" s="95">
        <v>45513</v>
      </c>
      <c r="AO81" s="14">
        <v>4.5529999999999999</v>
      </c>
      <c r="AP81" s="14">
        <v>676.47312999999997</v>
      </c>
      <c r="AQ81" s="14">
        <v>10917.52729</v>
      </c>
      <c r="AV81" s="39">
        <v>101.99128</v>
      </c>
      <c r="AW81" s="39">
        <v>112.14863</v>
      </c>
      <c r="BG81" s="39">
        <f>_xll.ciqfunctions.udf.CIQ("COP", "IQ_PRICEDATE", "7/19/2024")</f>
        <v>45492</v>
      </c>
      <c r="BV81" s="93">
        <v>140.88028</v>
      </c>
      <c r="BW81" s="93">
        <v>117.97194</v>
      </c>
      <c r="BX81" s="93">
        <v>29.165120000000002</v>
      </c>
      <c r="BY81" s="93">
        <v>38.057459999999999</v>
      </c>
      <c r="BZ81" s="93">
        <v>68.17</v>
      </c>
      <c r="CG81" s="93">
        <f>_xll.ciqfunctions.udf.CIQ("COP", "IQ_PRICEDATE", "9/30/2024")</f>
        <v>45565</v>
      </c>
    </row>
    <row r="82" spans="1:85" x14ac:dyDescent="0.45">
      <c r="A82" s="3"/>
      <c r="T82" s="95">
        <v>45506</v>
      </c>
      <c r="AO82" s="14">
        <v>4.1669999999999998</v>
      </c>
      <c r="AP82" s="14">
        <v>695.86130000000003</v>
      </c>
      <c r="AQ82" s="14">
        <v>10692.87723</v>
      </c>
      <c r="AV82" s="39">
        <v>110.23544</v>
      </c>
      <c r="AW82" s="39">
        <v>112.83748</v>
      </c>
      <c r="BG82" s="39">
        <f>_xll.ciqfunctions.udf.CIQ("COP", "IQ_PRICEDATE", "7/12/2024")</f>
        <v>45485</v>
      </c>
      <c r="BV82" s="93">
        <v>141.53077999999999</v>
      </c>
      <c r="BW82" s="93">
        <v>123.62439000000001</v>
      </c>
      <c r="BX82" s="93">
        <v>31.552959999999999</v>
      </c>
      <c r="BY82" s="93">
        <v>43.08464</v>
      </c>
      <c r="BZ82" s="93">
        <v>73.55</v>
      </c>
      <c r="CG82" s="93">
        <f>_xll.ciqfunctions.udf.CIQ("COP", "IQ_PRICEDATE", "8/30/2024")</f>
        <v>45534</v>
      </c>
    </row>
    <row r="83" spans="1:85" x14ac:dyDescent="0.45">
      <c r="A83" s="3"/>
      <c r="T83" s="95">
        <v>45499</v>
      </c>
      <c r="AO83" s="14">
        <v>4.1764999999999999</v>
      </c>
      <c r="AP83" s="14">
        <v>712.41810999999996</v>
      </c>
      <c r="AQ83" s="14">
        <v>10444.00029</v>
      </c>
      <c r="AV83" s="39">
        <v>106.95269</v>
      </c>
      <c r="AW83" s="39">
        <v>112.55321000000001</v>
      </c>
      <c r="BG83" s="39">
        <f>_xll.ciqfunctions.udf.CIQ("COP", "IQ_PRICEDATE", "7/5/2024")</f>
        <v>45478</v>
      </c>
      <c r="BV83" s="93">
        <v>151.80852999999999</v>
      </c>
      <c r="BW83" s="93">
        <v>121.68586000000001</v>
      </c>
      <c r="BX83" s="93">
        <v>32.415370000000003</v>
      </c>
      <c r="BY83" s="93">
        <v>45.249459999999999</v>
      </c>
      <c r="BZ83" s="93">
        <v>77.91</v>
      </c>
      <c r="CG83" s="93">
        <f>_xll.ciqfunctions.udf.CIQ("COP", "IQ_PRICEDATE", "7/31/2024")</f>
        <v>45504</v>
      </c>
    </row>
    <row r="84" spans="1:85" x14ac:dyDescent="0.45">
      <c r="A84" s="3"/>
      <c r="T84" s="95">
        <v>45492</v>
      </c>
      <c r="AO84" s="14">
        <v>4.3914999999999997</v>
      </c>
      <c r="AP84" s="14">
        <v>698.23207000000002</v>
      </c>
      <c r="AQ84" s="14">
        <v>10321.00532</v>
      </c>
      <c r="AV84" s="39">
        <v>110.01123</v>
      </c>
      <c r="AW84" s="39">
        <v>109.25985</v>
      </c>
      <c r="BG84" s="39">
        <f>_xll.ciqfunctions.udf.CIQ("COP", "IQ_PRICEDATE", "6/28/2024")</f>
        <v>45471</v>
      </c>
      <c r="BV84" s="93">
        <v>147.97712999999999</v>
      </c>
      <c r="BW84" s="93">
        <v>119.95759</v>
      </c>
      <c r="BX84" s="93">
        <v>33.065689999999996</v>
      </c>
      <c r="BY84" s="93">
        <v>45.605449999999998</v>
      </c>
      <c r="BZ84" s="93">
        <v>81.540000000000006</v>
      </c>
      <c r="CG84" s="93">
        <f>_xll.ciqfunctions.udf.CIQ("COP", "IQ_PRICEDATE", "6/28/2024")</f>
        <v>45471</v>
      </c>
    </row>
    <row r="85" spans="1:85" x14ac:dyDescent="0.45">
      <c r="T85" s="95">
        <v>45485</v>
      </c>
      <c r="AO85" s="14">
        <v>4.6020000000000003</v>
      </c>
      <c r="AP85" s="14">
        <v>708.04470000000003</v>
      </c>
      <c r="AQ85" s="14">
        <v>9966.9920299999994</v>
      </c>
      <c r="AV85" s="39">
        <v>112.03102</v>
      </c>
      <c r="AW85" s="39">
        <v>111.29092</v>
      </c>
      <c r="BG85" s="39">
        <f>_xll.ciqfunctions.udf.CIQ("COP", "IQ_PRICEDATE", "6/21/2024")</f>
        <v>45464</v>
      </c>
      <c r="BV85" s="93">
        <v>153.53975</v>
      </c>
      <c r="BW85" s="93">
        <v>118.69959</v>
      </c>
      <c r="BX85" s="93">
        <v>34.412129999999998</v>
      </c>
      <c r="BY85" s="93">
        <v>46.860669999999999</v>
      </c>
      <c r="BZ85" s="93">
        <v>76.989999999999995</v>
      </c>
      <c r="CG85" s="93">
        <f>_xll.ciqfunctions.udf.CIQ("COP", "IQ_PRICEDATE", "5/31/2024")</f>
        <v>45443</v>
      </c>
    </row>
    <row r="86" spans="1:85" x14ac:dyDescent="0.45">
      <c r="T86" s="95">
        <v>45478</v>
      </c>
      <c r="AO86" s="14">
        <v>4.5644999999999998</v>
      </c>
      <c r="AP86" s="14">
        <v>714.94952999999998</v>
      </c>
      <c r="AQ86" s="14">
        <v>9500.3794600000001</v>
      </c>
      <c r="AV86" s="39">
        <v>120.05815</v>
      </c>
      <c r="AW86" s="39">
        <v>111.34511000000001</v>
      </c>
      <c r="BG86" s="39">
        <f>_xll.ciqfunctions.udf.CIQ("COP", "IQ_PRICEDATE", "6/14/2024")</f>
        <v>45457</v>
      </c>
      <c r="BV86" s="93">
        <v>151.04015999999999</v>
      </c>
      <c r="BW86" s="93">
        <v>125.92354</v>
      </c>
      <c r="BX86" s="93">
        <v>35.10575</v>
      </c>
      <c r="BY86" s="93">
        <v>48.86571</v>
      </c>
      <c r="BZ86" s="93">
        <v>81.93</v>
      </c>
      <c r="CG86" s="93">
        <f>_xll.ciqfunctions.udf.CIQ("COP", "IQ_PRICEDATE", "4/30/2024")</f>
        <v>45412</v>
      </c>
    </row>
    <row r="87" spans="1:85" x14ac:dyDescent="0.45">
      <c r="T87" s="95">
        <v>45471</v>
      </c>
      <c r="AO87" s="14">
        <v>4.0069999999999997</v>
      </c>
      <c r="AP87" s="14">
        <v>721.24226999999996</v>
      </c>
      <c r="AQ87" s="14">
        <v>9907.3320899999999</v>
      </c>
      <c r="AV87" s="39">
        <v>121.64466</v>
      </c>
      <c r="AW87" s="39">
        <v>109.43397</v>
      </c>
      <c r="BG87" s="39">
        <f>_xll.ciqfunctions.udf.CIQ("COP", "IQ_PRICEDATE", "6/7/2024")</f>
        <v>45450</v>
      </c>
      <c r="BV87" s="93">
        <v>147.73408000000001</v>
      </c>
      <c r="BW87" s="93">
        <v>121.01555</v>
      </c>
      <c r="BX87" s="93">
        <v>34.118769999999998</v>
      </c>
      <c r="BY87" s="93">
        <v>47.91093</v>
      </c>
      <c r="BZ87" s="93">
        <v>83.17</v>
      </c>
      <c r="CG87" s="93">
        <f>_xll.ciqfunctions.udf.CIQ("COP", "IQ_PRICEDATE", "3/28/2024")</f>
        <v>45379</v>
      </c>
    </row>
    <row r="88" spans="1:85" x14ac:dyDescent="0.45">
      <c r="T88" s="95">
        <v>45464</v>
      </c>
      <c r="AO88" s="14">
        <v>3.847</v>
      </c>
      <c r="AP88" s="14">
        <v>653.14450999999997</v>
      </c>
      <c r="AQ88" s="14">
        <v>9601.7281500000008</v>
      </c>
      <c r="AV88" s="39">
        <v>107.55727</v>
      </c>
      <c r="AW88" s="39">
        <v>98.400189999999995</v>
      </c>
      <c r="BG88" s="39">
        <f>_xll.ciqfunctions.udf.CIQ("COP", "IQ_PRICEDATE", "5/31/2024")</f>
        <v>45443</v>
      </c>
      <c r="BV88" s="93">
        <v>142.36754999999999</v>
      </c>
      <c r="BW88" s="93">
        <v>108.34981000000001</v>
      </c>
      <c r="BX88" s="93">
        <v>31.683009999999999</v>
      </c>
      <c r="BY88" s="93">
        <v>41.677250000000001</v>
      </c>
      <c r="BZ88" s="93">
        <v>78.260000000000005</v>
      </c>
      <c r="CG88" s="93">
        <f>_xll.ciqfunctions.udf.CIQ("COP", "IQ_PRICEDATE", "2/29/2024")</f>
        <v>45351</v>
      </c>
    </row>
    <row r="89" spans="1:85" x14ac:dyDescent="0.45">
      <c r="T89" s="95">
        <v>45457</v>
      </c>
      <c r="AO89" s="14">
        <v>3.9060000000000001</v>
      </c>
      <c r="AP89" s="14">
        <v>636.73060999999996</v>
      </c>
      <c r="AQ89" s="14">
        <v>9119.3768700000001</v>
      </c>
      <c r="AV89" s="39">
        <v>106.15962</v>
      </c>
      <c r="AW89" s="39">
        <v>95.899060000000006</v>
      </c>
      <c r="BG89" s="39">
        <f>_xll.ciqfunctions.udf.CIQ("COP", "IQ_PRICEDATE", "5/24/2024")</f>
        <v>45436</v>
      </c>
      <c r="BV89" s="93">
        <v>136.58766</v>
      </c>
      <c r="BW89" s="93">
        <v>107.71558</v>
      </c>
      <c r="BX89" s="93">
        <v>31.399370000000001</v>
      </c>
      <c r="BY89" s="93">
        <v>39.747570000000003</v>
      </c>
      <c r="BZ89" s="93">
        <v>75.849999999999994</v>
      </c>
      <c r="CG89" s="93">
        <f>_xll.ciqfunctions.udf.CIQ("COP", "IQ_PRICEDATE", "1/31/2024")</f>
        <v>45322</v>
      </c>
    </row>
    <row r="90" spans="1:85" x14ac:dyDescent="0.45">
      <c r="T90" s="95">
        <v>45450</v>
      </c>
      <c r="AO90" s="14">
        <v>3.8904999999999998</v>
      </c>
      <c r="AP90" s="14">
        <v>640.04804999999999</v>
      </c>
      <c r="AQ90" s="14">
        <v>8971.0716900000007</v>
      </c>
      <c r="AV90" s="39">
        <v>110.14524</v>
      </c>
      <c r="AW90" s="39">
        <v>93.259299999999996</v>
      </c>
      <c r="BG90" s="39">
        <f>_xll.ciqfunctions.udf.CIQ("COP", "IQ_PRICEDATE", "5/17/2024")</f>
        <v>45429</v>
      </c>
      <c r="BV90" s="93">
        <v>138.19042999999999</v>
      </c>
      <c r="BW90" s="93">
        <v>113.59557</v>
      </c>
      <c r="BX90" s="93">
        <v>31.667739999999998</v>
      </c>
      <c r="BY90" s="93">
        <v>42.850189999999998</v>
      </c>
      <c r="BZ90" s="93">
        <v>71.650000000000006</v>
      </c>
      <c r="CG90" s="93">
        <f>_xll.ciqfunctions.udf.CIQ("COP", "IQ_PRICEDATE", "12/29/2023")</f>
        <v>45289</v>
      </c>
    </row>
    <row r="91" spans="1:85" x14ac:dyDescent="0.45">
      <c r="T91" s="95">
        <v>45443</v>
      </c>
      <c r="AO91" s="14">
        <v>3.8290000000000002</v>
      </c>
      <c r="AP91" s="14">
        <v>641.28351999999995</v>
      </c>
      <c r="AQ91" s="14">
        <v>8584.1817200000005</v>
      </c>
      <c r="AV91" s="39">
        <v>109.67076</v>
      </c>
      <c r="AW91" s="39">
        <v>95.833770000000001</v>
      </c>
      <c r="BG91" s="39">
        <f>_xll.ciqfunctions.udf.CIQ("COP", "IQ_PRICEDATE", "5/10/2024")</f>
        <v>45422</v>
      </c>
      <c r="BV91" s="93">
        <v>133.03933000000001</v>
      </c>
      <c r="BW91" s="93">
        <v>114.12329</v>
      </c>
      <c r="BX91" s="93">
        <v>32.463909999999998</v>
      </c>
      <c r="BY91" s="93">
        <v>41.797319999999999</v>
      </c>
      <c r="BZ91" s="93">
        <v>75.959999999999994</v>
      </c>
      <c r="CG91" s="93">
        <f>_xll.ciqfunctions.udf.CIQ("COP", "IQ_PRICEDATE", "11/30/2023")</f>
        <v>45260</v>
      </c>
    </row>
    <row r="92" spans="1:85" x14ac:dyDescent="0.45">
      <c r="T92" s="95">
        <v>45436</v>
      </c>
      <c r="AO92" s="14">
        <v>3.649</v>
      </c>
      <c r="AP92" s="14">
        <v>652.01305000000002</v>
      </c>
      <c r="AQ92" s="14">
        <v>7870.4789199999996</v>
      </c>
      <c r="AV92" s="39">
        <v>112.1703</v>
      </c>
      <c r="AW92" s="39">
        <v>97.840029999999999</v>
      </c>
      <c r="BG92" s="39">
        <f>_xll.ciqfunctions.udf.CIQ("COP", "IQ_PRICEDATE", "5/3/2024")</f>
        <v>45415</v>
      </c>
      <c r="BV92" s="93">
        <v>133.6121</v>
      </c>
      <c r="BW92" s="93">
        <v>117.07211</v>
      </c>
      <c r="BX92" s="93">
        <v>32.319029999999998</v>
      </c>
      <c r="BY92" s="93">
        <v>43.284439999999996</v>
      </c>
      <c r="BZ92" s="93">
        <v>81.02</v>
      </c>
      <c r="CG92" s="93">
        <f>_xll.ciqfunctions.udf.CIQ("COP", "IQ_PRICEDATE", "10/31/2023")</f>
        <v>45230</v>
      </c>
    </row>
    <row r="93" spans="1:85" x14ac:dyDescent="0.45">
      <c r="T93" s="95">
        <v>45429</v>
      </c>
      <c r="AO93" s="14">
        <v>3.7374999999999998</v>
      </c>
      <c r="AP93" s="14">
        <v>694.19136000000003</v>
      </c>
      <c r="AQ93" s="14">
        <v>8041.8736399999998</v>
      </c>
      <c r="AV93" s="39">
        <v>113.11450000000001</v>
      </c>
      <c r="AW93" s="39">
        <v>108.68239</v>
      </c>
      <c r="BG93" s="39">
        <f>_xll.ciqfunctions.udf.CIQ("COP", "IQ_PRICEDATE", "4/26/2024")</f>
        <v>45408</v>
      </c>
      <c r="BV93" s="93">
        <v>154.59871999999999</v>
      </c>
      <c r="BW93" s="93">
        <v>116.82048</v>
      </c>
      <c r="BX93" s="93">
        <v>34.20975</v>
      </c>
      <c r="BY93" s="93">
        <v>44.334719999999997</v>
      </c>
      <c r="BZ93" s="93">
        <v>90.79</v>
      </c>
      <c r="CG93" s="93">
        <f>_xll.ciqfunctions.udf.CIQ("COP", "IQ_PRICEDATE", "9/29/2023")</f>
        <v>45198</v>
      </c>
    </row>
    <row r="94" spans="1:85" x14ac:dyDescent="0.45">
      <c r="T94" s="95">
        <v>45422</v>
      </c>
      <c r="AO94" s="14">
        <v>3.7725</v>
      </c>
      <c r="AP94" s="14">
        <v>677.49076000000002</v>
      </c>
      <c r="AQ94" s="14">
        <v>8447.2599200000004</v>
      </c>
      <c r="AV94" s="39">
        <v>111.82619</v>
      </c>
      <c r="AW94" s="39">
        <v>102.77594000000001</v>
      </c>
      <c r="BG94" s="39">
        <f>_xll.ciqfunctions.udf.CIQ("COP", "IQ_PRICEDATE", "4/19/2024")</f>
        <v>45401</v>
      </c>
      <c r="BV94" s="93">
        <v>147.70403999999999</v>
      </c>
      <c r="BW94" s="93">
        <v>118.53464</v>
      </c>
      <c r="BX94" s="93">
        <v>32.849139999999998</v>
      </c>
      <c r="BY94" s="93">
        <v>47.026159999999997</v>
      </c>
      <c r="BZ94" s="93">
        <v>83.63</v>
      </c>
      <c r="CG94" s="93">
        <f>_xll.ciqfunctions.udf.CIQ("COP", "IQ_PRICEDATE", "8/31/2023")</f>
        <v>45169</v>
      </c>
    </row>
    <row r="95" spans="1:85" x14ac:dyDescent="0.45">
      <c r="T95" s="95">
        <v>45415</v>
      </c>
      <c r="AO95" s="14">
        <v>4.008</v>
      </c>
      <c r="AP95" s="14">
        <v>668.98189000000002</v>
      </c>
      <c r="AQ95" s="14">
        <v>8588.6311499999993</v>
      </c>
      <c r="AV95" s="39">
        <v>110.11621</v>
      </c>
      <c r="AW95" s="39">
        <v>98.318879999999993</v>
      </c>
      <c r="BG95" s="39">
        <f>_xll.ciqfunctions.udf.CIQ("COP", "IQ_PRICEDATE", "4/12/2024")</f>
        <v>45394</v>
      </c>
      <c r="BV95" s="93">
        <v>148.62282999999999</v>
      </c>
      <c r="BW95" s="93">
        <v>122.13805000000001</v>
      </c>
      <c r="BX95" s="93">
        <v>32.575409999999998</v>
      </c>
      <c r="BY95" s="93">
        <v>49.704689999999999</v>
      </c>
      <c r="BZ95" s="93">
        <v>81.8</v>
      </c>
      <c r="CG95" s="93">
        <f>_xll.ciqfunctions.udf.CIQ("COP", "IQ_PRICEDATE", "7/31/2023")</f>
        <v>45138</v>
      </c>
    </row>
    <row r="96" spans="1:85" x14ac:dyDescent="0.45">
      <c r="T96" s="95">
        <v>45408</v>
      </c>
      <c r="AO96" s="14">
        <v>3.7595000000000001</v>
      </c>
      <c r="AP96" s="14">
        <v>623.55705</v>
      </c>
      <c r="AQ96" s="14">
        <v>8323.6959000000006</v>
      </c>
      <c r="AV96" s="39">
        <v>96.917609999999996</v>
      </c>
      <c r="AW96" s="39">
        <v>98.328050000000005</v>
      </c>
      <c r="BG96" s="39">
        <f>_xll.ciqfunctions.udf.CIQ("COP", "IQ_PRICEDATE", "4/5/2024")</f>
        <v>45387</v>
      </c>
      <c r="BV96" s="93">
        <v>142.89259000000001</v>
      </c>
      <c r="BW96" s="93">
        <v>104.75664</v>
      </c>
      <c r="BX96" s="93">
        <v>30.82</v>
      </c>
      <c r="BY96" s="93">
        <v>44.494900000000001</v>
      </c>
      <c r="BZ96" s="93">
        <v>70.64</v>
      </c>
      <c r="CG96" s="93">
        <f>_xll.ciqfunctions.udf.CIQ("COP", "IQ_PRICEDATE", "6/30/2023")</f>
        <v>45107</v>
      </c>
    </row>
    <row r="97" spans="20:85" x14ac:dyDescent="0.45">
      <c r="T97" s="95">
        <v>45401</v>
      </c>
      <c r="AO97" s="14">
        <v>3.637</v>
      </c>
      <c r="AP97" s="14">
        <v>585.66247999999996</v>
      </c>
      <c r="AQ97" s="14">
        <v>7810.7541199999996</v>
      </c>
      <c r="AV97" s="39">
        <v>92.331239999999994</v>
      </c>
      <c r="AW97" s="39">
        <v>93.679820000000007</v>
      </c>
      <c r="BG97" s="39">
        <f>_xll.ciqfunctions.udf.CIQ("COP", "IQ_PRICEDATE", "3/28/2024")</f>
        <v>45379</v>
      </c>
      <c r="BV97" s="93">
        <v>136.78094999999999</v>
      </c>
      <c r="BW97" s="93">
        <v>98.211640000000003</v>
      </c>
      <c r="BX97" s="93">
        <v>29.44013</v>
      </c>
      <c r="BY97" s="93">
        <v>41.826770000000003</v>
      </c>
      <c r="BZ97" s="93">
        <v>68.09</v>
      </c>
      <c r="CG97" s="93">
        <f>_xll.ciqfunctions.udf.CIQ("COP", "IQ_PRICEDATE", "5/31/2023")</f>
        <v>45077</v>
      </c>
    </row>
    <row r="98" spans="20:85" x14ac:dyDescent="0.45">
      <c r="T98" s="95">
        <v>45394</v>
      </c>
      <c r="AO98" s="14">
        <v>3.8904999999999998</v>
      </c>
      <c r="AP98" s="14">
        <v>655.19614000000001</v>
      </c>
      <c r="AQ98" s="14">
        <v>7781.2895099999996</v>
      </c>
      <c r="AV98" s="39">
        <v>95.178579999999997</v>
      </c>
      <c r="AW98" s="39">
        <v>107.56213</v>
      </c>
      <c r="BG98" s="39">
        <f>_xll.ciqfunctions.udf.CIQ("COP", "IQ_PRICEDATE", "3/22/2024")</f>
        <v>45373</v>
      </c>
      <c r="BV98" s="93">
        <v>151.60616999999999</v>
      </c>
      <c r="BW98" s="93">
        <v>109.36103</v>
      </c>
      <c r="BX98" s="93">
        <v>34.803100000000001</v>
      </c>
      <c r="BY98" s="93">
        <v>48.477319999999999</v>
      </c>
      <c r="BZ98" s="93">
        <v>76.78</v>
      </c>
      <c r="CG98" s="93">
        <f>_xll.ciqfunctions.udf.CIQ("COP", "IQ_PRICEDATE", "4/28/2023")</f>
        <v>45044</v>
      </c>
    </row>
    <row r="99" spans="20:85" x14ac:dyDescent="0.45">
      <c r="T99" s="95">
        <v>45387</v>
      </c>
      <c r="AO99" s="14">
        <v>4.0945</v>
      </c>
      <c r="AP99" s="14">
        <v>634.90101000000004</v>
      </c>
      <c r="AQ99" s="14">
        <v>7663.8904899999998</v>
      </c>
      <c r="AV99" s="39">
        <v>91.774389999999997</v>
      </c>
      <c r="AW99" s="39">
        <v>99.672669999999997</v>
      </c>
      <c r="BG99" s="39">
        <f>_xll.ciqfunctions.udf.CIQ("COP", "IQ_PRICEDATE", "3/15/2024")</f>
        <v>45366</v>
      </c>
      <c r="BV99" s="93">
        <v>146.7319</v>
      </c>
      <c r="BW99" s="93">
        <v>104.22279</v>
      </c>
      <c r="BX99" s="93">
        <v>32.781269999999999</v>
      </c>
      <c r="BY99" s="93">
        <v>45.91872</v>
      </c>
      <c r="BZ99" s="93">
        <v>75.67</v>
      </c>
      <c r="CG99" s="93">
        <f>_xll.ciqfunctions.udf.CIQ("COP", "IQ_PRICEDATE", "3/31/2023")</f>
        <v>45016</v>
      </c>
    </row>
    <row r="100" spans="20:85" x14ac:dyDescent="0.45">
      <c r="T100" s="95">
        <v>45379</v>
      </c>
      <c r="AO100" s="14">
        <v>4.0895000000000001</v>
      </c>
      <c r="AP100" s="14">
        <v>638.01092000000006</v>
      </c>
      <c r="AQ100" s="14">
        <v>7396.04216</v>
      </c>
      <c r="AV100" s="39">
        <v>95.015649999999994</v>
      </c>
      <c r="AW100" s="39">
        <v>99.899900000000002</v>
      </c>
      <c r="BG100" s="39">
        <f>_xll.ciqfunctions.udf.CIQ("COP", "IQ_PRICEDATE", "3/8/2024")</f>
        <v>45359</v>
      </c>
      <c r="BV100" s="93">
        <v>144.58253999999999</v>
      </c>
      <c r="BW100" s="93">
        <v>101.81795</v>
      </c>
      <c r="BX100" s="93">
        <v>34.215560000000004</v>
      </c>
      <c r="BY100" s="93">
        <v>48.050739999999998</v>
      </c>
      <c r="BZ100" s="93">
        <v>77.05</v>
      </c>
      <c r="CG100" s="93">
        <f>_xll.ciqfunctions.udf.CIQ("COP", "IQ_PRICEDATE", "2/28/2023")</f>
        <v>44985</v>
      </c>
    </row>
    <row r="101" spans="20:85" x14ac:dyDescent="0.45">
      <c r="T101" s="95">
        <v>45373</v>
      </c>
      <c r="AO101" s="14">
        <v>4.226</v>
      </c>
      <c r="AP101" s="14">
        <v>690.58995000000004</v>
      </c>
      <c r="AQ101" s="14">
        <v>7585.0098900000003</v>
      </c>
      <c r="AV101" s="39">
        <v>111.54554</v>
      </c>
      <c r="AW101" s="39">
        <v>104.63915</v>
      </c>
      <c r="BG101" s="39">
        <f>_xll.ciqfunctions.udf.CIQ("COP", "IQ_PRICEDATE", "3/1/2024")</f>
        <v>45352</v>
      </c>
      <c r="BV101" s="93">
        <v>155.12708000000001</v>
      </c>
      <c r="BW101" s="93">
        <v>119.14194999999999</v>
      </c>
      <c r="BX101" s="93">
        <v>31.003910000000001</v>
      </c>
      <c r="BY101" s="93">
        <v>56.356250000000003</v>
      </c>
      <c r="BZ101" s="93">
        <v>78.87</v>
      </c>
      <c r="CG101" s="93">
        <f>_xll.ciqfunctions.udf.CIQ("COP", "IQ_PRICEDATE", "1/31/2023")</f>
        <v>44957</v>
      </c>
    </row>
    <row r="102" spans="20:85" x14ac:dyDescent="0.45">
      <c r="T102" s="95">
        <v>45366</v>
      </c>
      <c r="AO102" s="14">
        <v>3.8105000000000002</v>
      </c>
      <c r="AP102" s="14">
        <v>672.34358999999995</v>
      </c>
      <c r="AQ102" s="14">
        <v>7138.7651699999997</v>
      </c>
      <c r="AV102" s="39">
        <v>108.00339</v>
      </c>
      <c r="AW102" s="39">
        <v>99.488820000000004</v>
      </c>
      <c r="BG102" s="39">
        <f>_xll.ciqfunctions.udf.CIQ("COP", "IQ_PRICEDATE", "2/23/2024")</f>
        <v>45345</v>
      </c>
      <c r="BV102" s="93">
        <v>160.00321</v>
      </c>
      <c r="BW102" s="93">
        <v>115.94461</v>
      </c>
      <c r="BX102" s="93">
        <v>29.89143</v>
      </c>
      <c r="BY102" s="93">
        <v>54.81456</v>
      </c>
      <c r="BZ102" s="93">
        <v>80.260000000000005</v>
      </c>
      <c r="CG102" s="93">
        <f>_xll.ciqfunctions.udf.CIQ("COP", "IQ_PRICEDATE", "12/30/2022")</f>
        <v>44925</v>
      </c>
    </row>
    <row r="103" spans="20:85" x14ac:dyDescent="0.45">
      <c r="T103" s="95">
        <v>45359</v>
      </c>
      <c r="AO103" s="14">
        <v>3.7294999999999998</v>
      </c>
      <c r="AP103" s="14">
        <v>694.29499999999996</v>
      </c>
      <c r="AQ103" s="14">
        <v>7578.48218</v>
      </c>
      <c r="AV103" s="39">
        <v>112.34569999999999</v>
      </c>
      <c r="AW103" s="39">
        <v>100.42689</v>
      </c>
      <c r="BG103" s="39">
        <f>_xll.ciqfunctions.udf.CIQ("COP", "IQ_PRICEDATE", "2/16/2024")</f>
        <v>45338</v>
      </c>
      <c r="BV103" s="93">
        <v>163.40848</v>
      </c>
      <c r="BW103" s="93">
        <v>125.55866</v>
      </c>
      <c r="BX103" s="93">
        <v>30.721509999999999</v>
      </c>
      <c r="BY103" s="93">
        <v>59.763359999999999</v>
      </c>
      <c r="BZ103" s="93">
        <v>80.55</v>
      </c>
      <c r="CG103" s="93">
        <f>_xll.ciqfunctions.udf.CIQ("COP", "IQ_PRICEDATE", "11/30/2022")</f>
        <v>44895</v>
      </c>
    </row>
    <row r="104" spans="20:85" x14ac:dyDescent="0.45">
      <c r="T104" s="95">
        <v>45352</v>
      </c>
      <c r="AO104" s="14">
        <v>3.375</v>
      </c>
      <c r="AP104" s="14">
        <v>689.83267000000001</v>
      </c>
      <c r="AQ104" s="14">
        <v>7181.7329300000001</v>
      </c>
      <c r="AV104" s="39">
        <v>114.25584000000001</v>
      </c>
      <c r="AW104" s="39">
        <v>99.150649999999999</v>
      </c>
      <c r="BG104" s="39">
        <f>_xll.ciqfunctions.udf.CIQ("COP", "IQ_PRICEDATE", "2/9/2024")</f>
        <v>45331</v>
      </c>
      <c r="BV104" s="93">
        <v>160.02227999999999</v>
      </c>
      <c r="BW104" s="93">
        <v>120.77269</v>
      </c>
      <c r="BX104" s="93">
        <v>28.179400000000001</v>
      </c>
      <c r="BY104" s="93">
        <v>67.464910000000003</v>
      </c>
      <c r="BZ104" s="93">
        <v>86.53</v>
      </c>
      <c r="CG104" s="93">
        <f>_xll.ciqfunctions.udf.CIQ("COP", "IQ_PRICEDATE", "10/31/2022")</f>
        <v>44865</v>
      </c>
    </row>
    <row r="105" spans="20:85" x14ac:dyDescent="0.45">
      <c r="T105" s="95">
        <v>45345</v>
      </c>
      <c r="AO105" s="14">
        <v>3.4125000000000001</v>
      </c>
      <c r="AP105" s="14">
        <v>552.56113000000005</v>
      </c>
      <c r="AQ105" s="14">
        <v>6645.8680800000002</v>
      </c>
      <c r="AV105" s="39">
        <v>92.734889999999993</v>
      </c>
      <c r="AW105" s="39">
        <v>78.1233</v>
      </c>
      <c r="BG105" s="39">
        <f>_xll.ciqfunctions.udf.CIQ("COP", "IQ_PRICEDATE", "2/2/2024")</f>
        <v>45324</v>
      </c>
      <c r="BV105" s="93">
        <v>127.08901</v>
      </c>
      <c r="BW105" s="93">
        <v>98.260009999999994</v>
      </c>
      <c r="BX105" s="93">
        <v>24.174330000000001</v>
      </c>
      <c r="BY105" s="93">
        <v>52.445569999999996</v>
      </c>
      <c r="BZ105" s="93">
        <v>78.72</v>
      </c>
      <c r="CG105" s="93">
        <f>_xll.ciqfunctions.udf.CIQ("COP", "IQ_PRICEDATE", "9/30/2022")</f>
        <v>44834</v>
      </c>
    </row>
    <row r="106" spans="20:85" x14ac:dyDescent="0.45">
      <c r="T106" s="95">
        <v>45338</v>
      </c>
      <c r="AO106" s="14">
        <v>3.5185</v>
      </c>
      <c r="AP106" s="14">
        <v>611.79930999999999</v>
      </c>
      <c r="AQ106" s="14">
        <v>7323.1701300000004</v>
      </c>
      <c r="AV106" s="39">
        <v>97.771659999999997</v>
      </c>
      <c r="AW106" s="39">
        <v>85.532079999999993</v>
      </c>
      <c r="BG106" s="39">
        <f>_xll.ciqfunctions.udf.CIQ("COP", "IQ_PRICEDATE", "1/26/2024")</f>
        <v>45317</v>
      </c>
      <c r="BV106" s="93">
        <v>139.81825000000001</v>
      </c>
      <c r="BW106" s="93">
        <v>105.37438</v>
      </c>
      <c r="BX106" s="93">
        <v>26.11336</v>
      </c>
      <c r="BY106" s="93">
        <v>60.209519999999998</v>
      </c>
      <c r="BZ106" s="93">
        <v>89.55</v>
      </c>
      <c r="CG106" s="93">
        <f>_xll.ciqfunctions.udf.CIQ("COP", "IQ_PRICEDATE", "8/31/2022")</f>
        <v>44804</v>
      </c>
    </row>
    <row r="107" spans="20:85" x14ac:dyDescent="0.45">
      <c r="T107" s="95">
        <v>45331</v>
      </c>
      <c r="AO107" s="14">
        <v>3.5735000000000001</v>
      </c>
      <c r="AP107" s="14">
        <v>598.73527000000001</v>
      </c>
      <c r="AQ107" s="14">
        <v>7638.4821400000001</v>
      </c>
      <c r="AV107" s="39">
        <v>86.644559999999998</v>
      </c>
      <c r="AW107" s="39">
        <v>85.896500000000003</v>
      </c>
      <c r="BG107" s="39">
        <f>_xll.ciqfunctions.udf.CIQ("COP", "IQ_PRICEDATE", "1/19/2024")</f>
        <v>45310</v>
      </c>
      <c r="BV107" s="93">
        <v>143.57355999999999</v>
      </c>
      <c r="BW107" s="93">
        <v>96.617800000000003</v>
      </c>
      <c r="BX107" s="93">
        <v>24.5901</v>
      </c>
      <c r="BY107" s="93">
        <v>53.584940000000003</v>
      </c>
      <c r="BZ107" s="93">
        <v>98.62</v>
      </c>
      <c r="CG107" s="93">
        <f>_xll.ciqfunctions.udf.CIQ("COP", "IQ_PRICEDATE", "7/29/2022")</f>
        <v>44771</v>
      </c>
    </row>
    <row r="108" spans="20:85" x14ac:dyDescent="0.45">
      <c r="T108" s="95">
        <v>45324</v>
      </c>
      <c r="AO108" s="14">
        <v>3.71</v>
      </c>
      <c r="AP108" s="14">
        <v>546.24018000000001</v>
      </c>
      <c r="AQ108" s="14">
        <v>6995.7339199999997</v>
      </c>
      <c r="AV108" s="39">
        <v>79.868089999999995</v>
      </c>
      <c r="AW108" s="39">
        <v>75.891639999999995</v>
      </c>
      <c r="BG108" s="39">
        <f>_xll.ciqfunctions.udf.CIQ("COP", "IQ_PRICEDATE", "1/12/2024")</f>
        <v>45303</v>
      </c>
      <c r="BV108" s="93">
        <v>126.9177</v>
      </c>
      <c r="BW108" s="93">
        <v>95.216239999999999</v>
      </c>
      <c r="BX108" s="93">
        <v>23.72803</v>
      </c>
      <c r="BY108" s="93">
        <v>46.985930000000003</v>
      </c>
      <c r="BZ108" s="93">
        <v>105.76</v>
      </c>
      <c r="CG108" s="93">
        <f>_xll.ciqfunctions.udf.CIQ("COP", "IQ_PRICEDATE", "6/30/2022")</f>
        <v>44742</v>
      </c>
    </row>
    <row r="109" spans="20:85" x14ac:dyDescent="0.45">
      <c r="T109" s="95">
        <v>45317</v>
      </c>
      <c r="AO109" s="14">
        <v>4.2960000000000003</v>
      </c>
      <c r="AP109" s="14">
        <v>658.00463999999999</v>
      </c>
      <c r="AQ109" s="14">
        <v>7628.5722500000002</v>
      </c>
      <c r="AV109" s="39">
        <v>99.152429999999995</v>
      </c>
      <c r="AW109" s="39">
        <v>85.072360000000003</v>
      </c>
      <c r="BG109" s="39">
        <f>_xll.ciqfunctions.udf.CIQ("COP", "IQ_PRICEDATE", "1/5/2024")</f>
        <v>45296</v>
      </c>
      <c r="BV109" s="93">
        <v>153.11124000000001</v>
      </c>
      <c r="BW109" s="93">
        <v>116.47922</v>
      </c>
      <c r="BX109" s="93">
        <v>27.09263</v>
      </c>
      <c r="BY109" s="93">
        <v>62.816830000000003</v>
      </c>
      <c r="BZ109" s="93">
        <v>114.67</v>
      </c>
      <c r="CG109" s="93">
        <f>_xll.ciqfunctions.udf.CIQ("COP", "IQ_PRICEDATE", "5/31/2022")</f>
        <v>44712</v>
      </c>
    </row>
    <row r="110" spans="20:85" x14ac:dyDescent="0.45">
      <c r="T110" s="95">
        <v>45310</v>
      </c>
      <c r="AO110" s="14">
        <v>4.4085000000000001</v>
      </c>
      <c r="AP110" s="14">
        <v>572.41069000000005</v>
      </c>
      <c r="AQ110" s="14">
        <v>7618.66795</v>
      </c>
      <c r="AV110" s="39">
        <v>83.915139999999994</v>
      </c>
      <c r="AW110" s="39">
        <v>74.78004</v>
      </c>
      <c r="BG110" s="39">
        <f>_xll.ciqfunctions.udf.CIQ("COP", "IQ_PRICEDATE", "12/29/2023")</f>
        <v>45289</v>
      </c>
      <c r="BV110" s="93">
        <v>136.22013000000001</v>
      </c>
      <c r="BW110" s="93">
        <v>99.299890000000005</v>
      </c>
      <c r="BX110" s="93">
        <v>23.781099999999999</v>
      </c>
      <c r="BY110" s="93">
        <v>48.785780000000003</v>
      </c>
      <c r="BZ110" s="93">
        <v>104.69</v>
      </c>
      <c r="CG110" s="93">
        <f>_xll.ciqfunctions.udf.CIQ("COP", "IQ_PRICEDATE", "4/29/2022")</f>
        <v>44680</v>
      </c>
    </row>
    <row r="111" spans="20:85" x14ac:dyDescent="0.45">
      <c r="T111" s="95">
        <v>45303</v>
      </c>
      <c r="AO111" s="14">
        <v>4.7510000000000003</v>
      </c>
      <c r="AP111" s="14">
        <v>581.92729999999995</v>
      </c>
      <c r="AQ111" s="14">
        <v>8348.5737499999996</v>
      </c>
      <c r="AV111" s="39">
        <v>87.850859999999997</v>
      </c>
      <c r="AW111" s="39">
        <v>72.446719999999999</v>
      </c>
      <c r="BG111" s="39">
        <f>_xll.ciqfunctions.udf.CIQ("COP", "IQ_PRICEDATE", "12/22/2023")</f>
        <v>45282</v>
      </c>
      <c r="BV111" s="93">
        <v>141.57606999999999</v>
      </c>
      <c r="BW111" s="93">
        <v>100.79003</v>
      </c>
      <c r="BX111" s="93">
        <v>24.344159999999999</v>
      </c>
      <c r="BY111" s="93">
        <v>49.590910000000001</v>
      </c>
      <c r="BZ111" s="93">
        <v>100.28</v>
      </c>
      <c r="CG111" s="93">
        <f>_xll.ciqfunctions.udf.CIQ("COP", "IQ_PRICEDATE", "3/31/2022")</f>
        <v>44651</v>
      </c>
    </row>
    <row r="112" spans="20:85" x14ac:dyDescent="0.45">
      <c r="T112" s="95">
        <v>45296</v>
      </c>
      <c r="AO112" s="14">
        <v>4.4545000000000003</v>
      </c>
      <c r="AP112" s="14">
        <v>534.94596000000001</v>
      </c>
      <c r="AQ112" s="14">
        <v>8052.85077</v>
      </c>
      <c r="AV112" s="39">
        <v>83.087029999999999</v>
      </c>
      <c r="AW112" s="39">
        <v>68.78886</v>
      </c>
      <c r="BG112" s="39">
        <f>_xll.ciqfunctions.udf.CIQ("COP", "IQ_PRICEDATE", "12/15/2023")</f>
        <v>45275</v>
      </c>
      <c r="BV112" s="93">
        <v>125.20392</v>
      </c>
      <c r="BW112" s="93">
        <v>96.314019999999999</v>
      </c>
      <c r="BX112" s="93">
        <v>24.18684</v>
      </c>
      <c r="BY112" s="93">
        <v>49.118600000000001</v>
      </c>
      <c r="BZ112" s="93">
        <v>95.72</v>
      </c>
      <c r="CG112" s="93">
        <f>_xll.ciqfunctions.udf.CIQ("COP", "IQ_PRICEDATE", "2/28/2022")</f>
        <v>44620</v>
      </c>
    </row>
    <row r="113" spans="20:85" x14ac:dyDescent="0.45">
      <c r="T113" s="95">
        <v>45289</v>
      </c>
      <c r="AO113" s="14">
        <v>4.3244999999999996</v>
      </c>
      <c r="AP113" s="14">
        <v>502.92683</v>
      </c>
      <c r="AQ113" s="14">
        <v>8305.0525699999998</v>
      </c>
      <c r="AV113" s="39">
        <v>77.232979999999998</v>
      </c>
      <c r="AW113" s="39">
        <v>65.900419999999997</v>
      </c>
      <c r="BG113" s="39">
        <f>_xll.ciqfunctions.udf.CIQ("COP", "IQ_PRICEDATE", "12/8/2023")</f>
        <v>45268</v>
      </c>
      <c r="BV113" s="93">
        <v>113.00131</v>
      </c>
      <c r="BW113" s="93">
        <v>93.430970000000002</v>
      </c>
      <c r="BX113" s="93">
        <v>25.348479999999999</v>
      </c>
      <c r="BY113" s="93">
        <v>41.71163</v>
      </c>
      <c r="BZ113" s="93">
        <v>88.15</v>
      </c>
      <c r="CG113" s="93">
        <f>_xll.ciqfunctions.udf.CIQ("COP", "IQ_PRICEDATE", "1/31/2022")</f>
        <v>44592</v>
      </c>
    </row>
    <row r="114" spans="20:85" x14ac:dyDescent="0.45">
      <c r="T114" s="95">
        <v>45282</v>
      </c>
      <c r="AO114" s="14">
        <v>4.4634999999999998</v>
      </c>
      <c r="AP114" s="14">
        <v>422.73647999999997</v>
      </c>
      <c r="AQ114" s="14">
        <v>8760.5933999999997</v>
      </c>
      <c r="AV114" s="39">
        <v>62.9054</v>
      </c>
      <c r="AW114" s="39">
        <v>53.086449999999999</v>
      </c>
      <c r="BG114" s="39">
        <f>_xll.ciqfunctions.udf.CIQ("COP", "IQ_PRICEDATE", "12/1/2023")</f>
        <v>45261</v>
      </c>
      <c r="BV114" s="93">
        <v>100.97238</v>
      </c>
      <c r="BW114" s="93">
        <v>73.904780000000002</v>
      </c>
      <c r="BX114" s="93">
        <v>21.831499999999998</v>
      </c>
      <c r="BY114" s="93">
        <v>36.333739999999999</v>
      </c>
      <c r="BZ114" s="93">
        <v>75.209999999999994</v>
      </c>
      <c r="CG114" s="93">
        <f>_xll.ciqfunctions.udf.CIQ("COP", "IQ_PRICEDATE", "12/31/2021")</f>
        <v>44561</v>
      </c>
    </row>
    <row r="115" spans="20:85" x14ac:dyDescent="0.45">
      <c r="T115" s="95">
        <v>45275</v>
      </c>
      <c r="AO115" s="14">
        <v>4.2779999999999996</v>
      </c>
      <c r="AP115" s="14">
        <v>410.69925999999998</v>
      </c>
      <c r="AQ115" s="14">
        <v>8387.7165100000002</v>
      </c>
      <c r="AV115" s="39">
        <v>60.949689999999997</v>
      </c>
      <c r="AW115" s="39">
        <v>51.915230000000001</v>
      </c>
      <c r="BG115" s="39">
        <f>_xll.ciqfunctions.udf.CIQ("COP", "IQ_PRICEDATE", "11/24/2023")</f>
        <v>45254</v>
      </c>
      <c r="BV115" s="93">
        <v>97.117620000000002</v>
      </c>
      <c r="BW115" s="93">
        <v>70.737759999999994</v>
      </c>
      <c r="BX115" s="93">
        <v>21.282229999999998</v>
      </c>
      <c r="BY115" s="93">
        <v>34.043439999999997</v>
      </c>
      <c r="BZ115" s="93">
        <v>66.180000000000007</v>
      </c>
      <c r="CG115" s="93">
        <f>_xll.ciqfunctions.udf.CIQ("COP", "IQ_PRICEDATE", "11/30/2021")</f>
        <v>44530</v>
      </c>
    </row>
    <row r="116" spans="20:85" x14ac:dyDescent="0.45">
      <c r="T116" s="95">
        <v>45268</v>
      </c>
      <c r="AO116" s="14">
        <v>4.3680000000000003</v>
      </c>
      <c r="AP116" s="14">
        <v>436.19443000000001</v>
      </c>
      <c r="AQ116" s="14">
        <v>8449.8249400000004</v>
      </c>
      <c r="AV116" s="39">
        <v>64.738950000000003</v>
      </c>
      <c r="AW116" s="39">
        <v>55.190359999999998</v>
      </c>
      <c r="BG116" s="39">
        <f>_xll.ciqfunctions.udf.CIQ("COP", "IQ_PRICEDATE", "11/17/2023")</f>
        <v>45247</v>
      </c>
      <c r="BV116" s="93">
        <v>97.38597</v>
      </c>
      <c r="BW116" s="93">
        <v>75.177170000000004</v>
      </c>
      <c r="BX116" s="93">
        <v>23.332280000000001</v>
      </c>
      <c r="BY116" s="93">
        <v>32.440829999999998</v>
      </c>
      <c r="BZ116" s="93">
        <v>83.57</v>
      </c>
      <c r="CG116" s="93">
        <f>_xll.ciqfunctions.udf.CIQ("COP", "IQ_PRICEDATE", "10/29/2021")</f>
        <v>44498</v>
      </c>
    </row>
    <row r="117" spans="20:85" x14ac:dyDescent="0.45">
      <c r="T117" s="95">
        <v>45261</v>
      </c>
      <c r="AO117" s="14">
        <v>4.0890000000000004</v>
      </c>
      <c r="AP117" s="14">
        <v>395.88008000000002</v>
      </c>
      <c r="AQ117" s="14">
        <v>7898.6108899999999</v>
      </c>
      <c r="AV117" s="39">
        <v>58.546900000000001</v>
      </c>
      <c r="AW117" s="39">
        <v>50.3536</v>
      </c>
      <c r="BG117" s="39">
        <f>_xll.ciqfunctions.udf.CIQ("COP", "IQ_PRICEDATE", "11/10/2023")</f>
        <v>45240</v>
      </c>
      <c r="BV117" s="93">
        <v>86.294060000000002</v>
      </c>
      <c r="BW117" s="93">
        <v>64.967969999999994</v>
      </c>
      <c r="BX117" s="93">
        <v>22.149059999999999</v>
      </c>
      <c r="BY117" s="93">
        <v>28.741859999999999</v>
      </c>
      <c r="BZ117" s="93">
        <v>75.03</v>
      </c>
      <c r="CG117" s="93">
        <f>_xll.ciqfunctions.udf.CIQ("COP", "IQ_PRICEDATE", "9/30/2021")</f>
        <v>44469</v>
      </c>
    </row>
    <row r="118" spans="20:85" x14ac:dyDescent="0.45">
      <c r="T118" s="95">
        <v>45254</v>
      </c>
      <c r="AO118" s="14">
        <v>4.3600000000000003</v>
      </c>
      <c r="AP118" s="14">
        <v>362.25641999999999</v>
      </c>
      <c r="AQ118" s="14">
        <v>8286.6566999999995</v>
      </c>
      <c r="AV118" s="39">
        <v>47.97269</v>
      </c>
      <c r="AW118" s="39">
        <v>46.672530000000002</v>
      </c>
      <c r="BG118" s="39">
        <f>_xll.ciqfunctions.udf.CIQ("COP", "IQ_PRICEDATE", "11/3/2023")</f>
        <v>45233</v>
      </c>
      <c r="BV118" s="93">
        <v>82.313220000000001</v>
      </c>
      <c r="BW118" s="93">
        <v>54.648530000000001</v>
      </c>
      <c r="BX118" s="93">
        <v>19.823119999999999</v>
      </c>
      <c r="BY118" s="93">
        <v>23.505880000000001</v>
      </c>
      <c r="BZ118" s="93">
        <v>68.5</v>
      </c>
      <c r="CG118" s="93">
        <f>_xll.ciqfunctions.udf.CIQ("COP", "IQ_PRICEDATE", "8/31/2021")</f>
        <v>44439</v>
      </c>
    </row>
    <row r="119" spans="20:85" x14ac:dyDescent="0.45">
      <c r="T119" s="95">
        <v>45247</v>
      </c>
      <c r="AO119" s="14">
        <v>4.4824999999999999</v>
      </c>
      <c r="AP119" s="14">
        <v>372.98678000000001</v>
      </c>
      <c r="AQ119" s="14">
        <v>8045.44931</v>
      </c>
      <c r="AV119" s="39">
        <v>48.43056</v>
      </c>
      <c r="AW119" s="39">
        <v>48.548699999999997</v>
      </c>
      <c r="BG119" s="39">
        <f>_xll.ciqfunctions.udf.CIQ("COP", "IQ_PRICEDATE", "10/27/2023")</f>
        <v>45226</v>
      </c>
      <c r="BV119" s="93">
        <v>85.448250000000002</v>
      </c>
      <c r="BW119" s="93">
        <v>58.970559999999999</v>
      </c>
      <c r="BX119" s="93">
        <v>19.35371</v>
      </c>
      <c r="BY119" s="93">
        <v>20.55472</v>
      </c>
      <c r="BZ119" s="93">
        <v>73.95</v>
      </c>
      <c r="CG119" s="93">
        <f>_xll.ciqfunctions.udf.CIQ("COP", "IQ_PRICEDATE", "7/30/2021")</f>
        <v>44407</v>
      </c>
    </row>
    <row r="120" spans="20:85" x14ac:dyDescent="0.45">
      <c r="T120" s="95">
        <v>45240</v>
      </c>
      <c r="AO120" s="14">
        <v>4.2889999999999997</v>
      </c>
      <c r="AP120" s="14">
        <v>407.36671999999999</v>
      </c>
      <c r="AQ120" s="14">
        <v>7861.0810799999999</v>
      </c>
      <c r="AV120" s="39">
        <v>52.21266</v>
      </c>
      <c r="AW120" s="39">
        <v>53.195279999999997</v>
      </c>
      <c r="BG120" s="39">
        <f>_xll.ciqfunctions.udf.CIQ("COP", "IQ_PRICEDATE", "10/20/2023")</f>
        <v>45219</v>
      </c>
      <c r="BV120" s="93">
        <v>87.90737</v>
      </c>
      <c r="BW120" s="93">
        <v>66.336190000000002</v>
      </c>
      <c r="BX120" s="93">
        <v>21.146609999999999</v>
      </c>
      <c r="BY120" s="93">
        <v>23.219519999999999</v>
      </c>
      <c r="BZ120" s="93">
        <v>73.47</v>
      </c>
      <c r="CG120" s="93">
        <f>_xll.ciqfunctions.udf.CIQ("COP", "IQ_PRICEDATE", "6/30/2021")</f>
        <v>44377</v>
      </c>
    </row>
    <row r="121" spans="20:85" x14ac:dyDescent="0.45">
      <c r="T121" s="95">
        <v>45233</v>
      </c>
      <c r="AO121" s="14">
        <v>4.6775000000000002</v>
      </c>
      <c r="AP121" s="14">
        <v>389.81659000000002</v>
      </c>
      <c r="AQ121" s="14">
        <v>7684.3025399999997</v>
      </c>
      <c r="AV121" s="39">
        <v>47.788730000000001</v>
      </c>
      <c r="AW121" s="39">
        <v>49.22334</v>
      </c>
      <c r="BG121" s="39">
        <f>_xll.ciqfunctions.udf.CIQ("COP", "IQ_PRICEDATE", "10/13/2023")</f>
        <v>45212</v>
      </c>
      <c r="BV121" s="93">
        <v>87.110039999999998</v>
      </c>
      <c r="BW121" s="93">
        <v>63.871639999999999</v>
      </c>
      <c r="BX121" s="93">
        <v>20.994530000000001</v>
      </c>
      <c r="BY121" s="93">
        <v>20.883040000000001</v>
      </c>
      <c r="BZ121" s="93">
        <v>66.319999999999993</v>
      </c>
      <c r="CG121" s="93">
        <f>_xll.ciqfunctions.udf.CIQ("COP", "IQ_PRICEDATE", "5/28/2021")</f>
        <v>44344</v>
      </c>
    </row>
    <row r="122" spans="20:85" x14ac:dyDescent="0.45">
      <c r="T122" s="95">
        <v>45226</v>
      </c>
      <c r="AO122" s="14">
        <v>4.468</v>
      </c>
      <c r="AP122" s="14">
        <v>371.60068000000001</v>
      </c>
      <c r="AQ122" s="14">
        <v>7634.4155799999999</v>
      </c>
      <c r="AV122" s="39">
        <v>43.50638</v>
      </c>
      <c r="AW122" s="39">
        <v>47.577309999999997</v>
      </c>
      <c r="BG122" s="39">
        <f>_xll.ciqfunctions.udf.CIQ("COP", "IQ_PRICEDATE", "10/6/2023")</f>
        <v>45205</v>
      </c>
      <c r="BV122" s="93">
        <v>85.45966</v>
      </c>
      <c r="BW122" s="93">
        <v>58.545029999999997</v>
      </c>
      <c r="BX122" s="93">
        <v>19.904990000000002</v>
      </c>
      <c r="BY122" s="93">
        <v>18.382739999999998</v>
      </c>
      <c r="BZ122" s="93">
        <v>63.58</v>
      </c>
      <c r="CG122" s="93">
        <f>_xll.ciqfunctions.udf.CIQ("COP", "IQ_PRICEDATE", "4/30/2021")</f>
        <v>44316</v>
      </c>
    </row>
    <row r="123" spans="20:85" x14ac:dyDescent="0.45">
      <c r="T123" s="95">
        <v>45219</v>
      </c>
      <c r="AO123" s="14">
        <v>3.9954999999999998</v>
      </c>
      <c r="AP123" s="14">
        <v>369.88668000000001</v>
      </c>
      <c r="AQ123" s="14">
        <v>7249.5662199999997</v>
      </c>
      <c r="AV123" s="39">
        <v>45.063220000000001</v>
      </c>
      <c r="AW123" s="39">
        <v>46.405329999999999</v>
      </c>
      <c r="BG123" s="39">
        <f>_xll.ciqfunctions.udf.CIQ("COP", "IQ_PRICEDATE", "9/29/2023")</f>
        <v>45198</v>
      </c>
      <c r="BV123" s="93">
        <v>86.885779999999997</v>
      </c>
      <c r="BW123" s="93">
        <v>57.341650000000001</v>
      </c>
      <c r="BX123" s="93">
        <v>19.26417</v>
      </c>
      <c r="BY123" s="93">
        <v>17.179760000000002</v>
      </c>
      <c r="BZ123" s="93">
        <v>59.16</v>
      </c>
      <c r="CG123" s="93">
        <f>_xll.ciqfunctions.udf.CIQ("COP", "IQ_PRICEDATE", "3/31/2021")</f>
        <v>44286</v>
      </c>
    </row>
    <row r="124" spans="20:85" x14ac:dyDescent="0.45">
      <c r="T124" s="95">
        <v>45212</v>
      </c>
      <c r="AO124" s="14">
        <v>4.0925000000000002</v>
      </c>
      <c r="AP124" s="14">
        <v>360.19006999999999</v>
      </c>
      <c r="AQ124" s="14">
        <v>6948.0980900000004</v>
      </c>
      <c r="AV124" s="39">
        <v>44.246510000000001</v>
      </c>
      <c r="AW124" s="39">
        <v>45.191800000000001</v>
      </c>
      <c r="BG124" s="39">
        <f>_xll.ciqfunctions.udf.CIQ("COP", "IQ_PRICEDATE", "9/22/2023")</f>
        <v>45191</v>
      </c>
      <c r="BV124" s="93">
        <v>82.914190000000005</v>
      </c>
      <c r="BW124" s="93">
        <v>51.04063</v>
      </c>
      <c r="BX124" s="93">
        <v>19.311640000000001</v>
      </c>
      <c r="BY124" s="93">
        <v>16.72982</v>
      </c>
      <c r="BZ124" s="93">
        <v>61.5</v>
      </c>
      <c r="CG124" s="93">
        <f>_xll.ciqfunctions.udf.CIQ("COP", "IQ_PRICEDATE", "2/26/2021")</f>
        <v>44253</v>
      </c>
    </row>
    <row r="125" spans="20:85" x14ac:dyDescent="0.45">
      <c r="T125" s="95">
        <v>45205</v>
      </c>
      <c r="AO125" s="14">
        <v>3.556</v>
      </c>
      <c r="AP125" s="14">
        <v>296.51533000000001</v>
      </c>
      <c r="AQ125" s="14">
        <v>6764.57888</v>
      </c>
      <c r="AV125" s="39">
        <v>33.744840000000003</v>
      </c>
      <c r="AW125" s="39">
        <v>36.64819</v>
      </c>
      <c r="BG125" s="39">
        <f>_xll.ciqfunctions.udf.CIQ("COP", "IQ_PRICEDATE", "9/15/2023")</f>
        <v>45184</v>
      </c>
      <c r="BV125" s="93">
        <v>69.658240000000006</v>
      </c>
      <c r="BW125" s="93">
        <v>40.288580000000003</v>
      </c>
      <c r="BX125" s="93">
        <v>17.347940000000001</v>
      </c>
      <c r="BY125" s="93">
        <v>12.78425</v>
      </c>
      <c r="BZ125" s="93">
        <v>52.2</v>
      </c>
      <c r="CG125" s="93">
        <f>_xll.ciqfunctions.udf.CIQ("COP", "IQ_PRICEDATE", "1/29/2021")</f>
        <v>44225</v>
      </c>
    </row>
    <row r="126" spans="20:85" x14ac:dyDescent="0.45">
      <c r="T126" s="95">
        <v>45198</v>
      </c>
      <c r="AO126" s="14">
        <v>3.5190000000000001</v>
      </c>
      <c r="AP126" s="14">
        <v>286.14139999999998</v>
      </c>
      <c r="AQ126" s="14">
        <v>6835.7254400000002</v>
      </c>
      <c r="AV126" s="39">
        <v>33.711120000000001</v>
      </c>
      <c r="AW126" s="39">
        <v>33.689520000000002</v>
      </c>
      <c r="BG126" s="39">
        <f>_xll.ciqfunctions.udf.CIQ("COP", "IQ_PRICEDATE", "9/8/2023")</f>
        <v>45177</v>
      </c>
      <c r="BV126" s="93">
        <v>69.045050000000003</v>
      </c>
      <c r="BW126" s="93">
        <v>39.18233</v>
      </c>
      <c r="BX126" s="93">
        <v>16.020689999999998</v>
      </c>
      <c r="BY126" s="93">
        <v>12.27941</v>
      </c>
      <c r="BZ126" s="93">
        <v>48.52</v>
      </c>
      <c r="CG126" s="93">
        <f>_xll.ciqfunctions.udf.CIQ("COP", "IQ_PRICEDATE", "12/31/2020")</f>
        <v>44196</v>
      </c>
    </row>
    <row r="127" spans="20:85" x14ac:dyDescent="0.45">
      <c r="T127" s="95">
        <v>45191</v>
      </c>
      <c r="AO127" s="14">
        <v>3.4205000000000001</v>
      </c>
      <c r="AP127" s="14">
        <v>274.41809999999998</v>
      </c>
      <c r="AQ127" s="14">
        <v>6585.1613299999999</v>
      </c>
      <c r="AV127" s="39">
        <v>33.348640000000003</v>
      </c>
      <c r="AW127" s="39">
        <v>31.16404</v>
      </c>
      <c r="BG127" s="39">
        <f>_xll.ciqfunctions.udf.CIQ("COP", "IQ_PRICEDATE", "9/1/2023")</f>
        <v>45170</v>
      </c>
      <c r="BV127" s="93">
        <v>71.277060000000006</v>
      </c>
      <c r="BW127" s="93">
        <v>36.833120000000001</v>
      </c>
      <c r="BX127" s="93">
        <v>15.271179999999999</v>
      </c>
      <c r="BY127" s="93">
        <v>10.789759999999999</v>
      </c>
      <c r="BZ127" s="93">
        <v>45.34</v>
      </c>
      <c r="CG127" s="93">
        <f>_xll.ciqfunctions.udf.CIQ("COP", "IQ_PRICEDATE", "11/30/2020")</f>
        <v>44165</v>
      </c>
    </row>
    <row r="128" spans="20:85" x14ac:dyDescent="0.45">
      <c r="T128" s="95">
        <v>45184</v>
      </c>
      <c r="BG128" s="39">
        <f>_xll.ciqfunctions.udf.CIQ("COP", "IQ_PRICEDATE", "8/25/2023")</f>
        <v>45163</v>
      </c>
    </row>
    <row r="129" spans="20:59" x14ac:dyDescent="0.45">
      <c r="T129" s="95">
        <v>45177</v>
      </c>
      <c r="BG129" s="39">
        <f>_xll.ciqfunctions.udf.CIQ("COP", "IQ_PRICEDATE", "8/18/2023")</f>
        <v>45156</v>
      </c>
    </row>
    <row r="130" spans="20:59" x14ac:dyDescent="0.45">
      <c r="T130" s="95">
        <v>45170</v>
      </c>
      <c r="BG130" s="39">
        <f>_xll.ciqfunctions.udf.CIQ("COP", "IQ_PRICEDATE", "8/11/2023")</f>
        <v>45149</v>
      </c>
    </row>
    <row r="131" spans="20:59" x14ac:dyDescent="0.45">
      <c r="T131" s="95">
        <v>45163</v>
      </c>
      <c r="BG131" s="39">
        <f>_xll.ciqfunctions.udf.CIQ("COP", "IQ_PRICEDATE", "8/4/2023")</f>
        <v>45142</v>
      </c>
    </row>
    <row r="132" spans="20:59" x14ac:dyDescent="0.45">
      <c r="T132" s="95">
        <v>45156</v>
      </c>
      <c r="BG132" s="39">
        <f>_xll.ciqfunctions.udf.CIQ("COP", "IQ_PRICEDATE", "7/28/2023")</f>
        <v>45135</v>
      </c>
    </row>
    <row r="133" spans="20:59" x14ac:dyDescent="0.45">
      <c r="T133" s="95">
        <v>45149</v>
      </c>
      <c r="BG133" s="39">
        <f>_xll.ciqfunctions.udf.CIQ("COP", "IQ_PRICEDATE", "7/21/2023")</f>
        <v>45128</v>
      </c>
    </row>
    <row r="134" spans="20:59" x14ac:dyDescent="0.45">
      <c r="T134" s="95">
        <v>45142</v>
      </c>
      <c r="BG134" s="39">
        <f>_xll.ciqfunctions.udf.CIQ("COP", "IQ_PRICEDATE", "7/14/2023")</f>
        <v>45121</v>
      </c>
    </row>
    <row r="135" spans="20:59" x14ac:dyDescent="0.45">
      <c r="T135" s="95">
        <v>45135</v>
      </c>
      <c r="BG135" s="39">
        <f>_xll.ciqfunctions.udf.CIQ("COP", "IQ_PRICEDATE", "7/7/2023")</f>
        <v>45114</v>
      </c>
    </row>
    <row r="136" spans="20:59" x14ac:dyDescent="0.45">
      <c r="T136" s="95">
        <v>45128</v>
      </c>
      <c r="BG136" s="39">
        <f>_xll.ciqfunctions.udf.CIQ("COP", "IQ_PRICEDATE", "6/30/2023")</f>
        <v>45107</v>
      </c>
    </row>
    <row r="137" spans="20:59" x14ac:dyDescent="0.45">
      <c r="T137" s="95">
        <v>45121</v>
      </c>
      <c r="BG137" s="39">
        <f>_xll.ciqfunctions.udf.CIQ("COP", "IQ_PRICEDATE", "6/23/2023")</f>
        <v>45100</v>
      </c>
    </row>
    <row r="138" spans="20:59" x14ac:dyDescent="0.45">
      <c r="T138" s="95">
        <v>45114</v>
      </c>
      <c r="BG138" s="39">
        <f>_xll.ciqfunctions.udf.CIQ("COP", "IQ_PRICEDATE", "6/16/2023")</f>
        <v>45093</v>
      </c>
    </row>
    <row r="139" spans="20:59" x14ac:dyDescent="0.45">
      <c r="T139" s="95">
        <v>45107</v>
      </c>
      <c r="BG139" s="39">
        <f>_xll.ciqfunctions.udf.CIQ("COP", "IQ_PRICEDATE", "6/9/2023")</f>
        <v>45086</v>
      </c>
    </row>
    <row r="140" spans="20:59" x14ac:dyDescent="0.45">
      <c r="T140" s="95">
        <v>45100</v>
      </c>
      <c r="BG140" s="39">
        <f>_xll.ciqfunctions.udf.CIQ("COP", "IQ_PRICEDATE", "6/2/2023")</f>
        <v>45079</v>
      </c>
    </row>
    <row r="141" spans="20:59" x14ac:dyDescent="0.45">
      <c r="T141" s="95">
        <v>45093</v>
      </c>
      <c r="BG141" s="39">
        <f>_xll.ciqfunctions.udf.CIQ("COP", "IQ_PRICEDATE", "5/26/2023")</f>
        <v>45072</v>
      </c>
    </row>
    <row r="142" spans="20:59" x14ac:dyDescent="0.45">
      <c r="T142" s="95">
        <v>45086</v>
      </c>
      <c r="BG142" s="39">
        <f>_xll.ciqfunctions.udf.CIQ("COP", "IQ_PRICEDATE", "5/19/2023")</f>
        <v>45065</v>
      </c>
    </row>
    <row r="143" spans="20:59" x14ac:dyDescent="0.45">
      <c r="T143" s="95">
        <v>45079</v>
      </c>
      <c r="BG143" s="39">
        <f>_xll.ciqfunctions.udf.CIQ("COP", "IQ_PRICEDATE", "5/12/2023")</f>
        <v>45058</v>
      </c>
    </row>
    <row r="144" spans="20:59" x14ac:dyDescent="0.45">
      <c r="T144" s="95">
        <v>45072</v>
      </c>
      <c r="BG144" s="39">
        <f>_xll.ciqfunctions.udf.CIQ("COP", "IQ_PRICEDATE", "5/5/2023")</f>
        <v>45051</v>
      </c>
    </row>
    <row r="145" spans="20:59" x14ac:dyDescent="0.45">
      <c r="T145" s="95">
        <v>45065</v>
      </c>
      <c r="BG145" s="39">
        <f>_xll.ciqfunctions.udf.CIQ("COP", "IQ_PRICEDATE", "4/28/2023")</f>
        <v>45044</v>
      </c>
    </row>
    <row r="146" spans="20:59" x14ac:dyDescent="0.45">
      <c r="T146" s="95">
        <v>45058</v>
      </c>
      <c r="BG146" s="39">
        <f>_xll.ciqfunctions.udf.CIQ("COP", "IQ_PRICEDATE", "4/21/2023")</f>
        <v>45037</v>
      </c>
    </row>
    <row r="147" spans="20:59" x14ac:dyDescent="0.45">
      <c r="T147" s="95">
        <v>45051</v>
      </c>
      <c r="BG147" s="39">
        <f>_xll.ciqfunctions.udf.CIQ("COP", "IQ_PRICEDATE", "4/14/2023")</f>
        <v>45030</v>
      </c>
    </row>
    <row r="148" spans="20:59" x14ac:dyDescent="0.45">
      <c r="T148" s="95">
        <v>45044</v>
      </c>
      <c r="BG148" s="39">
        <f>_xll.ciqfunctions.udf.CIQ("COP", "IQ_PRICEDATE", "4/6/2023")</f>
        <v>45022</v>
      </c>
    </row>
    <row r="149" spans="20:59" x14ac:dyDescent="0.45">
      <c r="T149" s="95">
        <v>45037</v>
      </c>
      <c r="BG149" s="39">
        <f>_xll.ciqfunctions.udf.CIQ("COP", "IQ_PRICEDATE", "3/31/2023")</f>
        <v>45016</v>
      </c>
    </row>
    <row r="150" spans="20:59" x14ac:dyDescent="0.45">
      <c r="T150" s="95">
        <v>45030</v>
      </c>
      <c r="BG150" s="39">
        <f>_xll.ciqfunctions.udf.CIQ("COP", "IQ_PRICEDATE", "3/24/2023")</f>
        <v>45009</v>
      </c>
    </row>
    <row r="151" spans="20:59" x14ac:dyDescent="0.45">
      <c r="T151" s="95">
        <v>45022</v>
      </c>
      <c r="BG151" s="39">
        <f>_xll.ciqfunctions.udf.CIQ("COP", "IQ_PRICEDATE", "3/17/2023")</f>
        <v>45002</v>
      </c>
    </row>
    <row r="152" spans="20:59" x14ac:dyDescent="0.45">
      <c r="T152" s="95">
        <v>45016</v>
      </c>
      <c r="BG152" s="39">
        <f>_xll.ciqfunctions.udf.CIQ("COP", "IQ_PRICEDATE", "3/10/2023")</f>
        <v>44995</v>
      </c>
    </row>
    <row r="153" spans="20:59" x14ac:dyDescent="0.45">
      <c r="T153" s="95">
        <v>45009</v>
      </c>
      <c r="BG153" s="39">
        <f>_xll.ciqfunctions.udf.CIQ("COP", "IQ_PRICEDATE", "3/3/2023")</f>
        <v>44988</v>
      </c>
    </row>
    <row r="154" spans="20:59" x14ac:dyDescent="0.45">
      <c r="T154" s="95">
        <v>45002</v>
      </c>
      <c r="BG154" s="39">
        <f>_xll.ciqfunctions.udf.CIQ("COP", "IQ_PRICEDATE", "2/24/2023")</f>
        <v>44981</v>
      </c>
    </row>
    <row r="155" spans="20:59" x14ac:dyDescent="0.45">
      <c r="T155" s="95">
        <v>44995</v>
      </c>
      <c r="BG155" s="39">
        <f>_xll.ciqfunctions.udf.CIQ("COP", "IQ_PRICEDATE", "2/17/2023")</f>
        <v>44974</v>
      </c>
    </row>
    <row r="156" spans="20:59" x14ac:dyDescent="0.45">
      <c r="T156" s="95">
        <v>44988</v>
      </c>
      <c r="BG156" s="39">
        <f>_xll.ciqfunctions.udf.CIQ("COP", "IQ_PRICEDATE", "2/10/2023")</f>
        <v>44967</v>
      </c>
    </row>
    <row r="157" spans="20:59" x14ac:dyDescent="0.45">
      <c r="T157" s="95">
        <v>44981</v>
      </c>
      <c r="BG157" s="39">
        <f>_xll.ciqfunctions.udf.CIQ("COP", "IQ_PRICEDATE", "2/3/2023")</f>
        <v>44960</v>
      </c>
    </row>
    <row r="158" spans="20:59" x14ac:dyDescent="0.45">
      <c r="T158" s="95">
        <v>44974</v>
      </c>
      <c r="BG158" s="39">
        <f>_xll.ciqfunctions.udf.CIQ("COP", "IQ_PRICEDATE", "1/27/2023")</f>
        <v>44953</v>
      </c>
    </row>
    <row r="159" spans="20:59" x14ac:dyDescent="0.45">
      <c r="T159" s="95">
        <v>44967</v>
      </c>
      <c r="BG159" s="39">
        <f>_xll.ciqfunctions.udf.CIQ("COP", "IQ_PRICEDATE", "1/20/2023")</f>
        <v>44946</v>
      </c>
    </row>
    <row r="160" spans="20:59" x14ac:dyDescent="0.45">
      <c r="T160" s="95">
        <v>44960</v>
      </c>
      <c r="BG160" s="39">
        <f>_xll.ciqfunctions.udf.CIQ("COP", "IQ_PRICEDATE", "1/13/2023")</f>
        <v>44939</v>
      </c>
    </row>
    <row r="161" spans="20:59" x14ac:dyDescent="0.45">
      <c r="T161" s="95">
        <v>44953</v>
      </c>
      <c r="BG161" s="39">
        <f>_xll.ciqfunctions.udf.CIQ("COP", "IQ_PRICEDATE", "1/6/2023")</f>
        <v>44932</v>
      </c>
    </row>
    <row r="162" spans="20:59" x14ac:dyDescent="0.45">
      <c r="T162" s="95">
        <v>44946</v>
      </c>
      <c r="BG162" s="39">
        <f>_xll.ciqfunctions.udf.CIQ("COP", "IQ_PRICEDATE", "12/30/2022")</f>
        <v>44925</v>
      </c>
    </row>
    <row r="163" spans="20:59" x14ac:dyDescent="0.45">
      <c r="T163" s="95">
        <v>44939</v>
      </c>
      <c r="BG163" s="39">
        <f>_xll.ciqfunctions.udf.CIQ("COP", "IQ_PRICEDATE", "12/23/2022")</f>
        <v>44918</v>
      </c>
    </row>
    <row r="164" spans="20:59" x14ac:dyDescent="0.45">
      <c r="T164" s="95">
        <v>44932</v>
      </c>
      <c r="BG164" s="39">
        <f>_xll.ciqfunctions.udf.CIQ("COP", "IQ_PRICEDATE", "12/16/2022")</f>
        <v>44911</v>
      </c>
    </row>
    <row r="165" spans="20:59" x14ac:dyDescent="0.45">
      <c r="T165" s="95">
        <v>44925</v>
      </c>
      <c r="BG165" s="39">
        <f>_xll.ciqfunctions.udf.CIQ("COP", "IQ_PRICEDATE", "12/9/2022")</f>
        <v>44904</v>
      </c>
    </row>
    <row r="166" spans="20:59" x14ac:dyDescent="0.45">
      <c r="T166" s="95">
        <v>44918</v>
      </c>
      <c r="BG166" s="39">
        <f>_xll.ciqfunctions.udf.CIQ("COP", "IQ_PRICEDATE", "12/2/2022")</f>
        <v>44897</v>
      </c>
    </row>
    <row r="167" spans="20:59" x14ac:dyDescent="0.45">
      <c r="T167" s="95">
        <v>44911</v>
      </c>
      <c r="BG167" s="39">
        <f>_xll.ciqfunctions.udf.CIQ("COP", "IQ_PRICEDATE", "11/25/2022")</f>
        <v>44890</v>
      </c>
    </row>
    <row r="168" spans="20:59" x14ac:dyDescent="0.45">
      <c r="T168" s="95">
        <v>44904</v>
      </c>
      <c r="BG168" s="39">
        <f>_xll.ciqfunctions.udf.CIQ("COP", "IQ_PRICEDATE", "11/18/2022")</f>
        <v>44883</v>
      </c>
    </row>
    <row r="169" spans="20:59" x14ac:dyDescent="0.45">
      <c r="T169" s="95">
        <v>44897</v>
      </c>
      <c r="BG169" s="39">
        <f>_xll.ciqfunctions.udf.CIQ("COP", "IQ_PRICEDATE", "11/11/2022")</f>
        <v>44876</v>
      </c>
    </row>
    <row r="170" spans="20:59" x14ac:dyDescent="0.45">
      <c r="T170" s="95">
        <v>44890</v>
      </c>
      <c r="BG170" s="39">
        <f>_xll.ciqfunctions.udf.CIQ("COP", "IQ_PRICEDATE", "11/4/2022")</f>
        <v>44869</v>
      </c>
    </row>
    <row r="171" spans="20:59" x14ac:dyDescent="0.45">
      <c r="T171" s="95">
        <v>44883</v>
      </c>
      <c r="BG171" s="39">
        <f>_xll.ciqfunctions.udf.CIQ("COP", "IQ_PRICEDATE", "10/28/2022")</f>
        <v>44862</v>
      </c>
    </row>
    <row r="172" spans="20:59" x14ac:dyDescent="0.45">
      <c r="T172" s="95">
        <v>44876</v>
      </c>
      <c r="BG172" s="39">
        <f>_xll.ciqfunctions.udf.CIQ("COP", "IQ_PRICEDATE", "10/21/2022")</f>
        <v>44855</v>
      </c>
    </row>
    <row r="173" spans="20:59" x14ac:dyDescent="0.45">
      <c r="T173" s="95">
        <v>44869</v>
      </c>
      <c r="BG173" s="39">
        <f>_xll.ciqfunctions.udf.CIQ("COP", "IQ_PRICEDATE", "10/14/2022")</f>
        <v>44848</v>
      </c>
    </row>
    <row r="174" spans="20:59" x14ac:dyDescent="0.45">
      <c r="T174" s="95">
        <v>44862</v>
      </c>
      <c r="BG174" s="39">
        <f>_xll.ciqfunctions.udf.CIQ("COP", "IQ_PRICEDATE", "10/7/2022")</f>
        <v>44841</v>
      </c>
    </row>
    <row r="175" spans="20:59" x14ac:dyDescent="0.45">
      <c r="T175" s="95">
        <v>44855</v>
      </c>
      <c r="BG175" s="39">
        <f>_xll.ciqfunctions.udf.CIQ("COP", "IQ_PRICEDATE", "9/30/2022")</f>
        <v>44834</v>
      </c>
    </row>
    <row r="176" spans="20:59" x14ac:dyDescent="0.45">
      <c r="T176" s="95">
        <v>44848</v>
      </c>
      <c r="BG176" s="39">
        <f>_xll.ciqfunctions.udf.CIQ("COP", "IQ_PRICEDATE", "9/23/2022")</f>
        <v>44827</v>
      </c>
    </row>
    <row r="177" spans="20:59" x14ac:dyDescent="0.45">
      <c r="T177" s="95">
        <v>44841</v>
      </c>
      <c r="BG177" s="39">
        <f>_xll.ciqfunctions.udf.CIQ("COP", "IQ_PRICEDATE", "9/16/2022")</f>
        <v>44820</v>
      </c>
    </row>
    <row r="178" spans="20:59" x14ac:dyDescent="0.45">
      <c r="T178" s="95">
        <v>44834</v>
      </c>
      <c r="BG178" s="39">
        <f>_xll.ciqfunctions.udf.CIQ("COP", "IQ_PRICEDATE", "9/9/2022")</f>
        <v>44813</v>
      </c>
    </row>
    <row r="179" spans="20:59" x14ac:dyDescent="0.45">
      <c r="T179" s="95">
        <v>44827</v>
      </c>
      <c r="BG179" s="39">
        <f>_xll.ciqfunctions.udf.CIQ("COP", "IQ_PRICEDATE", "9/2/2022")</f>
        <v>44806</v>
      </c>
    </row>
    <row r="180" spans="20:59" x14ac:dyDescent="0.45">
      <c r="T180" s="95">
        <v>44820</v>
      </c>
      <c r="BG180" s="39">
        <f>_xll.ciqfunctions.udf.CIQ("COP", "IQ_PRICEDATE", "8/26/2022")</f>
        <v>44799</v>
      </c>
    </row>
    <row r="181" spans="20:59" x14ac:dyDescent="0.45">
      <c r="T181" s="95">
        <v>44813</v>
      </c>
      <c r="BG181" s="39">
        <f>_xll.ciqfunctions.udf.CIQ("COP", "IQ_PRICEDATE", "8/19/2022")</f>
        <v>44792</v>
      </c>
    </row>
    <row r="182" spans="20:59" x14ac:dyDescent="0.45">
      <c r="T182" s="95">
        <v>44806</v>
      </c>
      <c r="BG182" s="39">
        <f>_xll.ciqfunctions.udf.CIQ("COP", "IQ_PRICEDATE", "8/12/2022")</f>
        <v>44785</v>
      </c>
    </row>
    <row r="183" spans="20:59" x14ac:dyDescent="0.45">
      <c r="T183" s="95">
        <v>44799</v>
      </c>
      <c r="BG183" s="39">
        <f>_xll.ciqfunctions.udf.CIQ("COP", "IQ_PRICEDATE", "8/5/2022")</f>
        <v>44778</v>
      </c>
    </row>
    <row r="184" spans="20:59" x14ac:dyDescent="0.45">
      <c r="T184" s="95">
        <v>44792</v>
      </c>
      <c r="BG184" s="39">
        <f>_xll.ciqfunctions.udf.CIQ("COP", "IQ_PRICEDATE", "7/29/2022")</f>
        <v>44771</v>
      </c>
    </row>
    <row r="185" spans="20:59" x14ac:dyDescent="0.45">
      <c r="T185" s="95">
        <v>44785</v>
      </c>
      <c r="BG185" s="39">
        <f>_xll.ciqfunctions.udf.CIQ("COP", "IQ_PRICEDATE", "7/22/2022")</f>
        <v>44764</v>
      </c>
    </row>
    <row r="186" spans="20:59" x14ac:dyDescent="0.45">
      <c r="T186" s="95">
        <v>44778</v>
      </c>
      <c r="BG186" s="39">
        <f>_xll.ciqfunctions.udf.CIQ("COP", "IQ_PRICEDATE", "7/15/2022")</f>
        <v>44757</v>
      </c>
    </row>
    <row r="187" spans="20:59" x14ac:dyDescent="0.45">
      <c r="T187" s="95">
        <v>44771</v>
      </c>
      <c r="BG187" s="39">
        <f>_xll.ciqfunctions.udf.CIQ("COP", "IQ_PRICEDATE", "7/8/2022")</f>
        <v>44750</v>
      </c>
    </row>
    <row r="188" spans="20:59" x14ac:dyDescent="0.45">
      <c r="T188" s="95">
        <v>44764</v>
      </c>
      <c r="BG188" s="39">
        <f>_xll.ciqfunctions.udf.CIQ("COP", "IQ_PRICEDATE", "7/1/2022")</f>
        <v>44743</v>
      </c>
    </row>
    <row r="189" spans="20:59" x14ac:dyDescent="0.45">
      <c r="T189" s="95">
        <v>44757</v>
      </c>
      <c r="BG189" s="39">
        <f>_xll.ciqfunctions.udf.CIQ("COP", "IQ_PRICEDATE", "6/24/2022")</f>
        <v>44736</v>
      </c>
    </row>
    <row r="190" spans="20:59" x14ac:dyDescent="0.45">
      <c r="T190" s="95">
        <v>44750</v>
      </c>
      <c r="BG190" s="39">
        <f>_xll.ciqfunctions.udf.CIQ("COP", "IQ_PRICEDATE", "6/17/2022")</f>
        <v>44729</v>
      </c>
    </row>
    <row r="191" spans="20:59" x14ac:dyDescent="0.45">
      <c r="T191" s="95">
        <v>44743</v>
      </c>
      <c r="BG191" s="39">
        <f>_xll.ciqfunctions.udf.CIQ("COP", "IQ_PRICEDATE", "6/10/2022")</f>
        <v>44722</v>
      </c>
    </row>
    <row r="192" spans="20:59" x14ac:dyDescent="0.45">
      <c r="T192" s="95">
        <v>44736</v>
      </c>
      <c r="BG192" s="39">
        <f>_xll.ciqfunctions.udf.CIQ("COP", "IQ_PRICEDATE", "6/3/2022")</f>
        <v>44715</v>
      </c>
    </row>
    <row r="193" spans="20:59" x14ac:dyDescent="0.45">
      <c r="T193" s="95">
        <v>44729</v>
      </c>
      <c r="BG193" s="39">
        <f>_xll.ciqfunctions.udf.CIQ("COP", "IQ_PRICEDATE", "5/27/2022")</f>
        <v>44708</v>
      </c>
    </row>
    <row r="194" spans="20:59" x14ac:dyDescent="0.45">
      <c r="T194" s="95">
        <v>44722</v>
      </c>
      <c r="BG194" s="39">
        <f>_xll.ciqfunctions.udf.CIQ("COP", "IQ_PRICEDATE", "5/20/2022")</f>
        <v>44701</v>
      </c>
    </row>
    <row r="195" spans="20:59" x14ac:dyDescent="0.45">
      <c r="T195" s="95">
        <v>44715</v>
      </c>
      <c r="BG195" s="39">
        <f>_xll.ciqfunctions.udf.CIQ("COP", "IQ_PRICEDATE", "5/13/2022")</f>
        <v>44694</v>
      </c>
    </row>
    <row r="196" spans="20:59" x14ac:dyDescent="0.45">
      <c r="T196" s="95">
        <v>44708</v>
      </c>
      <c r="BG196" s="39">
        <f>_xll.ciqfunctions.udf.CIQ("COP", "IQ_PRICEDATE", "5/6/2022")</f>
        <v>44687</v>
      </c>
    </row>
    <row r="197" spans="20:59" x14ac:dyDescent="0.45">
      <c r="T197" s="95">
        <v>44701</v>
      </c>
      <c r="BG197" s="39">
        <f>_xll.ciqfunctions.udf.CIQ("COP", "IQ_PRICEDATE", "4/29/2022")</f>
        <v>44680</v>
      </c>
    </row>
    <row r="198" spans="20:59" x14ac:dyDescent="0.45">
      <c r="T198" s="95">
        <v>44694</v>
      </c>
      <c r="BG198" s="39">
        <f>_xll.ciqfunctions.udf.CIQ("COP", "IQ_PRICEDATE", "4/22/2022")</f>
        <v>44673</v>
      </c>
    </row>
    <row r="199" spans="20:59" x14ac:dyDescent="0.45">
      <c r="T199" s="95">
        <v>44687</v>
      </c>
      <c r="BG199" s="39">
        <f>_xll.ciqfunctions.udf.CIQ("COP", "IQ_PRICEDATE", "4/14/2022")</f>
        <v>44665</v>
      </c>
    </row>
    <row r="200" spans="20:59" x14ac:dyDescent="0.45">
      <c r="T200" s="95">
        <v>44680</v>
      </c>
      <c r="BG200" s="39">
        <f>_xll.ciqfunctions.udf.CIQ("COP", "IQ_PRICEDATE", "4/8/2022")</f>
        <v>44659</v>
      </c>
    </row>
    <row r="201" spans="20:59" x14ac:dyDescent="0.45">
      <c r="T201" s="95">
        <v>44673</v>
      </c>
      <c r="BG201" s="39">
        <f>_xll.ciqfunctions.udf.CIQ("COP", "IQ_PRICEDATE", "4/1/2022")</f>
        <v>44652</v>
      </c>
    </row>
    <row r="202" spans="20:59" x14ac:dyDescent="0.45">
      <c r="T202" s="95">
        <v>44665</v>
      </c>
      <c r="BG202" s="39">
        <f>_xll.ciqfunctions.udf.CIQ("COP", "IQ_PRICEDATE", "3/25/2022")</f>
        <v>44645</v>
      </c>
    </row>
    <row r="203" spans="20:59" x14ac:dyDescent="0.45">
      <c r="T203" s="95">
        <v>44659</v>
      </c>
      <c r="BG203" s="39">
        <f>_xll.ciqfunctions.udf.CIQ("COP", "IQ_PRICEDATE", "3/18/2022")</f>
        <v>44638</v>
      </c>
    </row>
    <row r="204" spans="20:59" x14ac:dyDescent="0.45">
      <c r="T204" s="95">
        <v>44652</v>
      </c>
      <c r="BG204" s="39">
        <f>_xll.ciqfunctions.udf.CIQ("COP", "IQ_PRICEDATE", "3/11/2022")</f>
        <v>44631</v>
      </c>
    </row>
    <row r="205" spans="20:59" x14ac:dyDescent="0.45">
      <c r="T205" s="95">
        <v>44645</v>
      </c>
      <c r="BG205" s="39">
        <f>_xll.ciqfunctions.udf.CIQ("COP", "IQ_PRICEDATE", "3/4/2022")</f>
        <v>44624</v>
      </c>
    </row>
    <row r="206" spans="20:59" x14ac:dyDescent="0.45">
      <c r="T206" s="95">
        <v>44638</v>
      </c>
      <c r="BG206" s="39">
        <f>_xll.ciqfunctions.udf.CIQ("COP", "IQ_PRICEDATE", "2/25/2022")</f>
        <v>44617</v>
      </c>
    </row>
    <row r="207" spans="20:59" x14ac:dyDescent="0.45">
      <c r="T207" s="95">
        <v>44631</v>
      </c>
      <c r="BG207" s="39">
        <f>_xll.ciqfunctions.udf.CIQ("COP", "IQ_PRICEDATE", "2/18/2022")</f>
        <v>44610</v>
      </c>
    </row>
    <row r="208" spans="20:59" x14ac:dyDescent="0.45">
      <c r="T208" s="95">
        <v>44624</v>
      </c>
      <c r="BG208" s="39">
        <f>_xll.ciqfunctions.udf.CIQ("COP", "IQ_PRICEDATE", "2/11/2022")</f>
        <v>44603</v>
      </c>
    </row>
    <row r="209" spans="20:59" x14ac:dyDescent="0.45">
      <c r="T209" s="95">
        <v>44617</v>
      </c>
      <c r="BG209" s="39">
        <f>_xll.ciqfunctions.udf.CIQ("COP", "IQ_PRICEDATE", "2/4/2022")</f>
        <v>44596</v>
      </c>
    </row>
    <row r="210" spans="20:59" x14ac:dyDescent="0.45">
      <c r="T210" s="95">
        <v>44610</v>
      </c>
      <c r="BG210" s="39">
        <f>_xll.ciqfunctions.udf.CIQ("COP", "IQ_PRICEDATE", "1/28/2022")</f>
        <v>44589</v>
      </c>
    </row>
    <row r="211" spans="20:59" x14ac:dyDescent="0.45">
      <c r="T211" s="95">
        <v>44603</v>
      </c>
      <c r="BG211" s="39">
        <f>_xll.ciqfunctions.udf.CIQ("COP", "IQ_PRICEDATE", "1/21/2022")</f>
        <v>44582</v>
      </c>
    </row>
    <row r="212" spans="20:59" x14ac:dyDescent="0.45">
      <c r="T212" s="95">
        <v>44596</v>
      </c>
      <c r="BG212" s="39">
        <f>_xll.ciqfunctions.udf.CIQ("COP", "IQ_PRICEDATE", "1/14/2022")</f>
        <v>44575</v>
      </c>
    </row>
    <row r="213" spans="20:59" x14ac:dyDescent="0.45">
      <c r="T213" s="95">
        <v>44589</v>
      </c>
      <c r="BG213" s="39">
        <f>_xll.ciqfunctions.udf.CIQ("COP", "IQ_PRICEDATE", "1/7/2022")</f>
        <v>44568</v>
      </c>
    </row>
    <row r="214" spans="20:59" x14ac:dyDescent="0.45">
      <c r="T214" s="95">
        <v>44582</v>
      </c>
      <c r="BG214" s="39">
        <f>_xll.ciqfunctions.udf.CIQ("COP", "IQ_PRICEDATE", "12/31/2021")</f>
        <v>44561</v>
      </c>
    </row>
    <row r="215" spans="20:59" x14ac:dyDescent="0.45">
      <c r="T215" s="95">
        <v>44575</v>
      </c>
      <c r="BG215" s="39">
        <f>_xll.ciqfunctions.udf.CIQ("COP", "IQ_PRICEDATE", "12/23/2021")</f>
        <v>44553</v>
      </c>
    </row>
    <row r="216" spans="20:59" x14ac:dyDescent="0.45">
      <c r="T216" s="95">
        <v>44568</v>
      </c>
      <c r="BG216" s="39">
        <f>_xll.ciqfunctions.udf.CIQ("COP", "IQ_PRICEDATE", "12/17/2021")</f>
        <v>44547</v>
      </c>
    </row>
    <row r="217" spans="20:59" x14ac:dyDescent="0.45">
      <c r="T217" s="95">
        <v>44561</v>
      </c>
      <c r="BG217" s="39">
        <f>_xll.ciqfunctions.udf.CIQ("COP", "IQ_PRICEDATE", "12/10/2021")</f>
        <v>44540</v>
      </c>
    </row>
    <row r="218" spans="20:59" x14ac:dyDescent="0.45">
      <c r="T218" s="95">
        <v>44553</v>
      </c>
      <c r="BG218" s="39">
        <f>_xll.ciqfunctions.udf.CIQ("COP", "IQ_PRICEDATE", "12/3/2021")</f>
        <v>44533</v>
      </c>
    </row>
    <row r="219" spans="20:59" x14ac:dyDescent="0.45">
      <c r="T219" s="95">
        <v>44547</v>
      </c>
      <c r="BG219" s="39">
        <f>_xll.ciqfunctions.udf.CIQ("COP", "IQ_PRICEDATE", "11/26/2021")</f>
        <v>44526</v>
      </c>
    </row>
    <row r="220" spans="20:59" x14ac:dyDescent="0.45">
      <c r="T220" s="95">
        <v>44540</v>
      </c>
      <c r="BG220" s="39">
        <f>_xll.ciqfunctions.udf.CIQ("COP", "IQ_PRICEDATE", "11/19/2021")</f>
        <v>44519</v>
      </c>
    </row>
    <row r="221" spans="20:59" x14ac:dyDescent="0.45">
      <c r="T221" s="95">
        <v>44533</v>
      </c>
      <c r="BG221" s="39">
        <f>_xll.ciqfunctions.udf.CIQ("COP", "IQ_PRICEDATE", "11/12/2021")</f>
        <v>44512</v>
      </c>
    </row>
    <row r="222" spans="20:59" x14ac:dyDescent="0.45">
      <c r="T222" s="95">
        <v>44526</v>
      </c>
      <c r="BG222" s="39">
        <f>_xll.ciqfunctions.udf.CIQ("COP", "IQ_PRICEDATE", "11/5/2021")</f>
        <v>44505</v>
      </c>
    </row>
    <row r="223" spans="20:59" x14ac:dyDescent="0.45">
      <c r="T223" s="95">
        <v>44519</v>
      </c>
      <c r="BG223" s="39">
        <f>_xll.ciqfunctions.udf.CIQ("COP", "IQ_PRICEDATE", "10/29/2021")</f>
        <v>44498</v>
      </c>
    </row>
    <row r="224" spans="20:59" x14ac:dyDescent="0.45">
      <c r="T224" s="95">
        <v>44512</v>
      </c>
      <c r="BG224" s="39">
        <f>_xll.ciqfunctions.udf.CIQ("COP", "IQ_PRICEDATE", "10/22/2021")</f>
        <v>44491</v>
      </c>
    </row>
    <row r="225" spans="20:59" x14ac:dyDescent="0.45">
      <c r="T225" s="95">
        <v>44505</v>
      </c>
      <c r="BG225" s="39">
        <f>_xll.ciqfunctions.udf.CIQ("COP", "IQ_PRICEDATE", "10/15/2021")</f>
        <v>44484</v>
      </c>
    </row>
    <row r="226" spans="20:59" x14ac:dyDescent="0.45">
      <c r="T226" s="95">
        <v>44498</v>
      </c>
      <c r="BG226" s="39">
        <f>_xll.ciqfunctions.udf.CIQ("COP", "IQ_PRICEDATE", "10/8/2021")</f>
        <v>44477</v>
      </c>
    </row>
    <row r="227" spans="20:59" x14ac:dyDescent="0.45">
      <c r="T227" s="95">
        <v>44491</v>
      </c>
      <c r="BG227" s="39">
        <f>_xll.ciqfunctions.udf.CIQ("COP", "IQ_PRICEDATE", "10/1/2021")</f>
        <v>44470</v>
      </c>
    </row>
    <row r="228" spans="20:59" x14ac:dyDescent="0.45">
      <c r="T228" s="95">
        <v>44484</v>
      </c>
      <c r="BG228" s="39">
        <f>_xll.ciqfunctions.udf.CIQ("COP", "IQ_PRICEDATE", "9/24/2021")</f>
        <v>44463</v>
      </c>
    </row>
    <row r="229" spans="20:59" x14ac:dyDescent="0.45">
      <c r="T229" s="95">
        <v>44477</v>
      </c>
      <c r="BG229" s="39">
        <f>_xll.ciqfunctions.udf.CIQ("COP", "IQ_PRICEDATE", "9/17/2021")</f>
        <v>44456</v>
      </c>
    </row>
    <row r="230" spans="20:59" x14ac:dyDescent="0.45">
      <c r="T230" s="95">
        <v>44470</v>
      </c>
      <c r="BG230" s="39">
        <f>_xll.ciqfunctions.udf.CIQ("COP", "IQ_PRICEDATE", "9/10/2021")</f>
        <v>44449</v>
      </c>
    </row>
    <row r="231" spans="20:59" x14ac:dyDescent="0.45">
      <c r="T231" s="95">
        <v>44463</v>
      </c>
      <c r="BG231" s="39">
        <f>_xll.ciqfunctions.udf.CIQ("COP", "IQ_PRICEDATE", "9/3/2021")</f>
        <v>44442</v>
      </c>
    </row>
    <row r="232" spans="20:59" x14ac:dyDescent="0.45">
      <c r="T232" s="95">
        <v>44456</v>
      </c>
      <c r="BG232" s="39">
        <f>_xll.ciqfunctions.udf.CIQ("COP", "IQ_PRICEDATE", "8/27/2021")</f>
        <v>44435</v>
      </c>
    </row>
    <row r="233" spans="20:59" x14ac:dyDescent="0.45">
      <c r="T233" s="95">
        <v>44449</v>
      </c>
      <c r="BG233" s="39">
        <f>_xll.ciqfunctions.udf.CIQ("COP", "IQ_PRICEDATE", "8/20/2021")</f>
        <v>44428</v>
      </c>
    </row>
    <row r="234" spans="20:59" x14ac:dyDescent="0.45">
      <c r="T234" s="95">
        <v>44442</v>
      </c>
      <c r="BG234" s="39">
        <f>_xll.ciqfunctions.udf.CIQ("COP", "IQ_PRICEDATE", "8/13/2021")</f>
        <v>44421</v>
      </c>
    </row>
    <row r="235" spans="20:59" x14ac:dyDescent="0.45">
      <c r="T235" s="95">
        <v>44435</v>
      </c>
      <c r="BG235" s="39">
        <f>_xll.ciqfunctions.udf.CIQ("COP", "IQ_PRICEDATE", "8/6/2021")</f>
        <v>44414</v>
      </c>
    </row>
    <row r="236" spans="20:59" x14ac:dyDescent="0.45">
      <c r="T236" s="95">
        <v>44428</v>
      </c>
      <c r="BG236" s="39">
        <f>_xll.ciqfunctions.udf.CIQ("COP", "IQ_PRICEDATE", "7/30/2021")</f>
        <v>44407</v>
      </c>
    </row>
    <row r="237" spans="20:59" x14ac:dyDescent="0.45">
      <c r="T237" s="95">
        <v>44421</v>
      </c>
      <c r="BG237" s="39">
        <f>_xll.ciqfunctions.udf.CIQ("COP", "IQ_PRICEDATE", "7/23/2021")</f>
        <v>44400</v>
      </c>
    </row>
    <row r="238" spans="20:59" x14ac:dyDescent="0.45">
      <c r="T238" s="95">
        <v>44414</v>
      </c>
      <c r="BG238" s="39">
        <f>_xll.ciqfunctions.udf.CIQ("COP", "IQ_PRICEDATE", "7/16/2021")</f>
        <v>44393</v>
      </c>
    </row>
    <row r="239" spans="20:59" x14ac:dyDescent="0.45">
      <c r="T239" s="95">
        <v>44407</v>
      </c>
      <c r="BG239" s="39">
        <f>_xll.ciqfunctions.udf.CIQ("COP", "IQ_PRICEDATE", "7/9/2021")</f>
        <v>44386</v>
      </c>
    </row>
    <row r="240" spans="20:59" x14ac:dyDescent="0.45">
      <c r="T240" s="95">
        <v>44400</v>
      </c>
      <c r="BG240" s="39">
        <f>_xll.ciqfunctions.udf.CIQ("COP", "IQ_PRICEDATE", "7/2/2021")</f>
        <v>44379</v>
      </c>
    </row>
    <row r="241" spans="20:59" x14ac:dyDescent="0.45">
      <c r="T241" s="95">
        <v>44393</v>
      </c>
      <c r="BG241" s="39">
        <f>_xll.ciqfunctions.udf.CIQ("COP", "IQ_PRICEDATE", "6/25/2021")</f>
        <v>44372</v>
      </c>
    </row>
    <row r="242" spans="20:59" x14ac:dyDescent="0.45">
      <c r="T242" s="95">
        <v>44386</v>
      </c>
      <c r="BG242" s="39">
        <f>_xll.ciqfunctions.udf.CIQ("COP", "IQ_PRICEDATE", "6/18/2021")</f>
        <v>44365</v>
      </c>
    </row>
    <row r="243" spans="20:59" x14ac:dyDescent="0.45">
      <c r="T243" s="95">
        <v>44379</v>
      </c>
      <c r="BG243" s="39">
        <f>_xll.ciqfunctions.udf.CIQ("COP", "IQ_PRICEDATE", "6/11/2021")</f>
        <v>44358</v>
      </c>
    </row>
    <row r="244" spans="20:59" x14ac:dyDescent="0.45">
      <c r="T244" s="95">
        <v>44372</v>
      </c>
      <c r="BG244" s="39">
        <f>_xll.ciqfunctions.udf.CIQ("COP", "IQ_PRICEDATE", "6/4/2021")</f>
        <v>44351</v>
      </c>
    </row>
    <row r="245" spans="20:59" x14ac:dyDescent="0.45">
      <c r="T245" s="95">
        <v>44365</v>
      </c>
      <c r="BG245" s="39">
        <f>_xll.ciqfunctions.udf.CIQ("COP", "IQ_PRICEDATE", "5/28/2021")</f>
        <v>44344</v>
      </c>
    </row>
    <row r="246" spans="20:59" x14ac:dyDescent="0.45">
      <c r="T246" s="95">
        <v>44358</v>
      </c>
      <c r="BG246" s="39">
        <f>_xll.ciqfunctions.udf.CIQ("COP", "IQ_PRICEDATE", "5/21/2021")</f>
        <v>44337</v>
      </c>
    </row>
    <row r="247" spans="20:59" x14ac:dyDescent="0.45">
      <c r="T247" s="95">
        <v>44351</v>
      </c>
      <c r="BG247" s="39">
        <f>_xll.ciqfunctions.udf.CIQ("COP", "IQ_PRICEDATE", "5/14/2021")</f>
        <v>44330</v>
      </c>
    </row>
    <row r="248" spans="20:59" x14ac:dyDescent="0.45">
      <c r="T248" s="95">
        <v>44344</v>
      </c>
      <c r="BG248" s="39">
        <f>_xll.ciqfunctions.udf.CIQ("COP", "IQ_PRICEDATE", "5/7/2021")</f>
        <v>44323</v>
      </c>
    </row>
    <row r="249" spans="20:59" x14ac:dyDescent="0.45">
      <c r="T249" s="95">
        <v>44337</v>
      </c>
      <c r="BG249" s="39">
        <f>_xll.ciqfunctions.udf.CIQ("COP", "IQ_PRICEDATE", "4/30/2021")</f>
        <v>44316</v>
      </c>
    </row>
    <row r="250" spans="20:59" x14ac:dyDescent="0.45">
      <c r="T250" s="95">
        <v>44330</v>
      </c>
      <c r="BG250" s="39">
        <f>_xll.ciqfunctions.udf.CIQ("COP", "IQ_PRICEDATE", "4/23/2021")</f>
        <v>44309</v>
      </c>
    </row>
    <row r="251" spans="20:59" x14ac:dyDescent="0.45">
      <c r="T251" s="95">
        <v>44323</v>
      </c>
      <c r="BG251" s="39">
        <f>_xll.ciqfunctions.udf.CIQ("COP", "IQ_PRICEDATE", "4/16/2021")</f>
        <v>44302</v>
      </c>
    </row>
    <row r="252" spans="20:59" x14ac:dyDescent="0.45">
      <c r="T252" s="95">
        <v>44316</v>
      </c>
      <c r="BG252" s="39">
        <f>_xll.ciqfunctions.udf.CIQ("COP", "IQ_PRICEDATE", "4/9/2021")</f>
        <v>44295</v>
      </c>
    </row>
    <row r="253" spans="20:59" x14ac:dyDescent="0.45">
      <c r="T253" s="95">
        <v>44309</v>
      </c>
      <c r="BG253" s="39">
        <f>_xll.ciqfunctions.udf.CIQ("COP", "IQ_PRICEDATE", "4/1/2021")</f>
        <v>44287</v>
      </c>
    </row>
    <row r="254" spans="20:59" x14ac:dyDescent="0.45">
      <c r="T254" s="95">
        <v>44302</v>
      </c>
      <c r="BG254" s="39">
        <f>_xll.ciqfunctions.udf.CIQ("COP", "IQ_PRICEDATE", "3/26/2021")</f>
        <v>44281</v>
      </c>
    </row>
    <row r="255" spans="20:59" x14ac:dyDescent="0.45">
      <c r="T255" s="95">
        <v>44295</v>
      </c>
      <c r="BG255" s="39">
        <f>_xll.ciqfunctions.udf.CIQ("COP", "IQ_PRICEDATE", "3/19/2021")</f>
        <v>44274</v>
      </c>
    </row>
    <row r="256" spans="20:59" x14ac:dyDescent="0.45">
      <c r="T256" s="95">
        <v>44287</v>
      </c>
      <c r="BG256" s="39">
        <f>_xll.ciqfunctions.udf.CIQ("COP", "IQ_PRICEDATE", "3/12/2021")</f>
        <v>44267</v>
      </c>
    </row>
    <row r="257" spans="20:59" x14ac:dyDescent="0.45">
      <c r="T257" s="95">
        <v>44281</v>
      </c>
      <c r="BG257" s="39">
        <f>_xll.ciqfunctions.udf.CIQ("COP", "IQ_PRICEDATE", "3/5/2021")</f>
        <v>44260</v>
      </c>
    </row>
    <row r="258" spans="20:59" x14ac:dyDescent="0.45">
      <c r="T258" s="95">
        <v>44274</v>
      </c>
      <c r="BG258" s="39">
        <f>_xll.ciqfunctions.udf.CIQ("COP", "IQ_PRICEDATE", "2/26/2021")</f>
        <v>44253</v>
      </c>
    </row>
    <row r="259" spans="20:59" x14ac:dyDescent="0.45">
      <c r="T259" s="95">
        <v>44267</v>
      </c>
      <c r="BG259" s="39">
        <f>_xll.ciqfunctions.udf.CIQ("COP", "IQ_PRICEDATE", "2/19/2021")</f>
        <v>44246</v>
      </c>
    </row>
    <row r="260" spans="20:59" x14ac:dyDescent="0.45">
      <c r="T260" s="95">
        <v>44260</v>
      </c>
      <c r="BG260" s="39">
        <f>_xll.ciqfunctions.udf.CIQ("COP", "IQ_PRICEDATE", "2/12/2021")</f>
        <v>44239</v>
      </c>
    </row>
    <row r="261" spans="20:59" x14ac:dyDescent="0.45">
      <c r="T261" s="95">
        <v>44253</v>
      </c>
      <c r="BG261" s="39">
        <f>_xll.ciqfunctions.udf.CIQ("COP", "IQ_PRICEDATE", "2/5/2021")</f>
        <v>44232</v>
      </c>
    </row>
    <row r="262" spans="20:59" x14ac:dyDescent="0.45">
      <c r="T262" s="95">
        <v>44246</v>
      </c>
      <c r="BG262" s="39">
        <f>_xll.ciqfunctions.udf.CIQ("COP", "IQ_PRICEDATE", "1/29/2021")</f>
        <v>44225</v>
      </c>
    </row>
    <row r="263" spans="20:59" x14ac:dyDescent="0.45">
      <c r="T263" s="95">
        <v>44239</v>
      </c>
      <c r="BG263" s="39">
        <f>_xll.ciqfunctions.udf.CIQ("COP", "IQ_PRICEDATE", "1/22/2021")</f>
        <v>44218</v>
      </c>
    </row>
    <row r="264" spans="20:59" x14ac:dyDescent="0.45">
      <c r="T264" s="95">
        <v>44232</v>
      </c>
      <c r="BG264" s="39">
        <f>_xll.ciqfunctions.udf.CIQ("COP", "IQ_PRICEDATE", "1/15/2021")</f>
        <v>44211</v>
      </c>
    </row>
    <row r="265" spans="20:59" x14ac:dyDescent="0.45">
      <c r="T265" s="95">
        <v>44225</v>
      </c>
      <c r="BG265" s="39">
        <f>_xll.ciqfunctions.udf.CIQ("COP", "IQ_PRICEDATE", "1/8/2021")</f>
        <v>44204</v>
      </c>
    </row>
    <row r="266" spans="20:59" x14ac:dyDescent="0.45">
      <c r="T266" s="95">
        <v>44218</v>
      </c>
      <c r="BG266" s="39">
        <f>_xll.ciqfunctions.udf.CIQ("COP", "IQ_PRICEDATE", "12/31/2020")</f>
        <v>44196</v>
      </c>
    </row>
    <row r="267" spans="20:59" x14ac:dyDescent="0.45">
      <c r="T267" s="95">
        <v>44211</v>
      </c>
      <c r="BG267" s="39">
        <f>_xll.ciqfunctions.udf.CIQ("COP", "IQ_PRICEDATE", "12/24/2020")</f>
        <v>44189</v>
      </c>
    </row>
    <row r="268" spans="20:59" x14ac:dyDescent="0.45">
      <c r="T268" s="95">
        <v>44204</v>
      </c>
      <c r="BG268" s="39">
        <f>_xll.ciqfunctions.udf.CIQ("COP", "IQ_PRICEDATE", "12/18/2020")</f>
        <v>44183</v>
      </c>
    </row>
    <row r="269" spans="20:59" x14ac:dyDescent="0.45">
      <c r="T269" s="95">
        <v>44196</v>
      </c>
      <c r="BG269" s="39">
        <f>_xll.ciqfunctions.udf.CIQ("COP", "IQ_PRICEDATE", "12/11/2020")</f>
        <v>44176</v>
      </c>
    </row>
    <row r="270" spans="20:59" x14ac:dyDescent="0.45">
      <c r="T270" s="95">
        <v>44189</v>
      </c>
      <c r="BG270" s="39">
        <f>_xll.ciqfunctions.udf.CIQ("COP", "IQ_PRICEDATE", "12/4/2020")</f>
        <v>44169</v>
      </c>
    </row>
    <row r="271" spans="20:59" x14ac:dyDescent="0.45">
      <c r="T271" s="95">
        <v>44183</v>
      </c>
      <c r="BG271" s="39">
        <f>_xll.ciqfunctions.udf.CIQ("COP", "IQ_PRICEDATE", "11/27/2020")</f>
        <v>44162</v>
      </c>
    </row>
    <row r="272" spans="20:59" x14ac:dyDescent="0.45">
      <c r="T272" s="95">
        <v>44176</v>
      </c>
      <c r="BG272" s="39">
        <f>_xll.ciqfunctions.udf.CIQ("COP", "IQ_PRICEDATE", "11/20/2020")</f>
        <v>44155</v>
      </c>
    </row>
    <row r="273" spans="20:59" x14ac:dyDescent="0.45">
      <c r="T273" s="95">
        <v>44169</v>
      </c>
      <c r="BG273" s="39">
        <f>_xll.ciqfunctions.udf.CIQ("COP", "IQ_PRICEDATE", "11/13/2020")</f>
        <v>44148</v>
      </c>
    </row>
    <row r="274" spans="20:59" x14ac:dyDescent="0.45">
      <c r="T274" s="95">
        <v>44162</v>
      </c>
    </row>
    <row r="275" spans="20:59" x14ac:dyDescent="0.45">
      <c r="T275" s="95">
        <v>44155</v>
      </c>
    </row>
    <row r="276" spans="20:59" x14ac:dyDescent="0.45">
      <c r="T276" s="95">
        <v>44148</v>
      </c>
    </row>
    <row r="277" spans="20:59" x14ac:dyDescent="0.45">
      <c r="T277" s="39">
        <v>79.431799999999996</v>
      </c>
    </row>
    <row r="278" spans="20:59" x14ac:dyDescent="0.45">
      <c r="T278" s="39">
        <v>75.667490000000001</v>
      </c>
    </row>
    <row r="279" spans="20:59" x14ac:dyDescent="0.45">
      <c r="T279" s="39">
        <v>72.977639999999994</v>
      </c>
    </row>
    <row r="280" spans="20:59" x14ac:dyDescent="0.45">
      <c r="T280" s="39">
        <v>69.658240000000006</v>
      </c>
    </row>
    <row r="281" spans="20:59" x14ac:dyDescent="0.45">
      <c r="T281" s="39">
        <v>74.997069999999994</v>
      </c>
    </row>
    <row r="282" spans="20:59" x14ac:dyDescent="0.45">
      <c r="T282" s="39">
        <v>75.291399999999996</v>
      </c>
    </row>
    <row r="283" spans="20:59" x14ac:dyDescent="0.45">
      <c r="T283" s="39">
        <v>74.465639999999993</v>
      </c>
    </row>
    <row r="284" spans="20:59" x14ac:dyDescent="0.45">
      <c r="T284" s="39">
        <v>69.045050000000003</v>
      </c>
    </row>
    <row r="285" spans="20:59" x14ac:dyDescent="0.45">
      <c r="T285" s="39">
        <v>69.764529999999993</v>
      </c>
    </row>
    <row r="286" spans="20:59" x14ac:dyDescent="0.45">
      <c r="T286" s="39">
        <v>71.285240000000002</v>
      </c>
    </row>
    <row r="287" spans="20:59" x14ac:dyDescent="0.45">
      <c r="T287" s="39">
        <v>75.585729999999998</v>
      </c>
    </row>
    <row r="288" spans="20:59" x14ac:dyDescent="0.45">
      <c r="T288" s="39">
        <v>76.264330000000001</v>
      </c>
    </row>
    <row r="289" spans="20:20" x14ac:dyDescent="0.45">
      <c r="T289" s="39">
        <v>74.653689999999997</v>
      </c>
    </row>
    <row r="290" spans="20:20" x14ac:dyDescent="0.45">
      <c r="T290" s="39">
        <v>70.140619999999998</v>
      </c>
    </row>
    <row r="291" spans="20:20" x14ac:dyDescent="0.45">
      <c r="T291" s="39">
        <v>66.899699999999996</v>
      </c>
    </row>
    <row r="292" spans="20:20" x14ac:dyDescent="0.45">
      <c r="T292" s="39">
        <v>47.808549999999997</v>
      </c>
    </row>
    <row r="293" spans="20:20" x14ac:dyDescent="0.45">
      <c r="T293" s="39">
        <v>47.582970000000003</v>
      </c>
    </row>
    <row r="294" spans="20:20" x14ac:dyDescent="0.45">
      <c r="T294" s="39">
        <v>51.552500000000002</v>
      </c>
    </row>
    <row r="295" spans="20:20" x14ac:dyDescent="0.45">
      <c r="T295" s="39">
        <v>53.798760000000001</v>
      </c>
    </row>
    <row r="296" spans="20:20" x14ac:dyDescent="0.45">
      <c r="T296" s="39">
        <v>52.56418</v>
      </c>
    </row>
    <row r="297" spans="20:20" x14ac:dyDescent="0.45">
      <c r="T297" s="39">
        <v>49.323390000000003</v>
      </c>
    </row>
    <row r="298" spans="20:20" x14ac:dyDescent="0.45">
      <c r="T298" s="39">
        <v>51.415329999999997</v>
      </c>
    </row>
    <row r="299" spans="20:20" x14ac:dyDescent="0.45">
      <c r="T299" s="39">
        <v>51.312440000000002</v>
      </c>
    </row>
    <row r="300" spans="20:20" x14ac:dyDescent="0.45">
      <c r="T300" s="39">
        <v>47.788730000000001</v>
      </c>
    </row>
    <row r="301" spans="20:20" x14ac:dyDescent="0.45">
      <c r="T301" s="39">
        <v>47.711570000000002</v>
      </c>
    </row>
    <row r="302" spans="20:20" x14ac:dyDescent="0.45">
      <c r="T302" s="39">
        <v>48.457470000000001</v>
      </c>
    </row>
    <row r="303" spans="20:20" x14ac:dyDescent="0.45">
      <c r="T303" s="39">
        <v>48.576729999999998</v>
      </c>
    </row>
    <row r="304" spans="20:20" x14ac:dyDescent="0.45">
      <c r="T304" s="39">
        <v>43.50638</v>
      </c>
    </row>
    <row r="305" spans="20:20" x14ac:dyDescent="0.45">
      <c r="T305" s="39">
        <v>42.298340000000003</v>
      </c>
    </row>
    <row r="306" spans="20:20" x14ac:dyDescent="0.45">
      <c r="T306" s="39">
        <v>43.463839999999998</v>
      </c>
    </row>
    <row r="307" spans="20:20" x14ac:dyDescent="0.45">
      <c r="T307" s="39">
        <v>43.582940000000001</v>
      </c>
    </row>
    <row r="308" spans="20:20" x14ac:dyDescent="0.45">
      <c r="T308" s="39">
        <v>45.956479999999999</v>
      </c>
    </row>
    <row r="309" spans="20:20" x14ac:dyDescent="0.45">
      <c r="T309" s="39">
        <v>46.82423</v>
      </c>
    </row>
    <row r="310" spans="20:20" x14ac:dyDescent="0.45">
      <c r="T310" s="39">
        <v>44.748440000000002</v>
      </c>
    </row>
    <row r="311" spans="20:20" x14ac:dyDescent="0.45">
      <c r="T311" s="39">
        <v>50.354759999999999</v>
      </c>
    </row>
    <row r="312" spans="20:20" x14ac:dyDescent="0.45">
      <c r="T312" s="39">
        <v>49.631639999999997</v>
      </c>
    </row>
    <row r="313" spans="20:20" x14ac:dyDescent="0.45">
      <c r="T313" s="39">
        <v>44.246510000000001</v>
      </c>
    </row>
    <row r="314" spans="20:20" x14ac:dyDescent="0.45">
      <c r="T314" s="39">
        <v>41.192390000000003</v>
      </c>
    </row>
    <row r="315" spans="20:20" x14ac:dyDescent="0.45">
      <c r="T315" s="39">
        <v>40.120469999999997</v>
      </c>
    </row>
    <row r="316" spans="20:20" x14ac:dyDescent="0.45">
      <c r="T316" s="39">
        <v>37.44556</v>
      </c>
    </row>
    <row r="317" spans="20:20" x14ac:dyDescent="0.45">
      <c r="T317" s="39">
        <v>33.744840000000003</v>
      </c>
    </row>
    <row r="318" spans="20:20" x14ac:dyDescent="0.45">
      <c r="T318" s="39">
        <v>35.987189999999998</v>
      </c>
    </row>
    <row r="319" spans="20:20" x14ac:dyDescent="0.45">
      <c r="T319" s="39">
        <v>38.035649999999997</v>
      </c>
    </row>
    <row r="320" spans="20:20" x14ac:dyDescent="0.45">
      <c r="T320" s="39">
        <v>37.681600000000003</v>
      </c>
    </row>
    <row r="321" spans="20:20" x14ac:dyDescent="0.45">
      <c r="T321" s="39">
        <v>33.711120000000001</v>
      </c>
    </row>
    <row r="322" spans="20:20" x14ac:dyDescent="0.45">
      <c r="T322" s="39">
        <v>33.289630000000002</v>
      </c>
    </row>
    <row r="323" spans="20:20" x14ac:dyDescent="0.45">
      <c r="T323" s="39">
        <v>34.545679999999997</v>
      </c>
    </row>
    <row r="324" spans="20:20" x14ac:dyDescent="0.45">
      <c r="T324" s="39">
        <v>36.653149999999997</v>
      </c>
    </row>
    <row r="325" spans="20:20" x14ac:dyDescent="0.45">
      <c r="T325" s="39">
        <v>37.319110000000002</v>
      </c>
    </row>
    <row r="326" spans="20:20" x14ac:dyDescent="0.45">
      <c r="T326" s="39">
        <v>36.06306</v>
      </c>
    </row>
    <row r="327" spans="20:20" x14ac:dyDescent="0.45">
      <c r="T327" s="39">
        <v>33.424509999999998</v>
      </c>
    </row>
    <row r="328" spans="20:20" x14ac:dyDescent="0.45">
      <c r="T328" s="39">
        <v>29.80808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AD64F-9010-48AF-92FD-D7436E9A0A10}">
  <dimension ref="A1:K4012"/>
  <sheetViews>
    <sheetView workbookViewId="0">
      <selection activeCell="E27" sqref="E27"/>
    </sheetView>
  </sheetViews>
  <sheetFormatPr defaultRowHeight="14.25" x14ac:dyDescent="0.45"/>
  <cols>
    <col min="2" max="2" width="30.33203125" bestFit="1" customWidth="1"/>
    <col min="3" max="3" width="16.1328125" bestFit="1" customWidth="1"/>
    <col min="7" max="7" width="9.9296875" bestFit="1" customWidth="1"/>
    <col min="8" max="8" width="23.73046875" bestFit="1" customWidth="1"/>
    <col min="11" max="11" width="18.46484375" bestFit="1" customWidth="1"/>
  </cols>
  <sheetData>
    <row r="1" spans="1:11" x14ac:dyDescent="0.45">
      <c r="A1" s="6" t="s">
        <v>16</v>
      </c>
      <c r="B1" s="6"/>
      <c r="C1" s="6" t="s">
        <v>17</v>
      </c>
      <c r="G1" s="6" t="s">
        <v>16</v>
      </c>
      <c r="H1" s="6"/>
      <c r="J1" s="6" t="s">
        <v>16</v>
      </c>
      <c r="K1" s="6" t="s">
        <v>32</v>
      </c>
    </row>
    <row r="2" spans="1:11" x14ac:dyDescent="0.45">
      <c r="A2" s="6" t="s">
        <v>18</v>
      </c>
      <c r="B2" s="6" t="s">
        <v>19</v>
      </c>
      <c r="C2" s="6" t="s">
        <v>20</v>
      </c>
      <c r="G2" s="6" t="s">
        <v>18</v>
      </c>
      <c r="H2" s="6" t="s">
        <v>29</v>
      </c>
      <c r="J2" s="6" t="s">
        <v>18</v>
      </c>
      <c r="K2" s="6" t="s">
        <v>33</v>
      </c>
    </row>
    <row r="3" spans="1:11" x14ac:dyDescent="0.45">
      <c r="A3" s="6" t="s">
        <v>21</v>
      </c>
      <c r="B3" s="6" t="s">
        <v>22</v>
      </c>
      <c r="C3" s="6" t="s">
        <v>22</v>
      </c>
      <c r="G3" s="6" t="s">
        <v>21</v>
      </c>
      <c r="H3" s="6" t="s">
        <v>30</v>
      </c>
      <c r="J3" s="6" t="s">
        <v>21</v>
      </c>
      <c r="K3" s="6" t="s">
        <v>22</v>
      </c>
    </row>
    <row r="4" spans="1:11" x14ac:dyDescent="0.45">
      <c r="A4" s="6" t="s">
        <v>23</v>
      </c>
      <c r="B4" s="6" t="s">
        <v>24</v>
      </c>
      <c r="C4" s="6" t="s">
        <v>25</v>
      </c>
      <c r="G4" s="6" t="s">
        <v>23</v>
      </c>
      <c r="H4" s="6" t="s">
        <v>31</v>
      </c>
      <c r="J4" s="6" t="s">
        <v>23</v>
      </c>
      <c r="K4" s="6" t="s">
        <v>34</v>
      </c>
    </row>
    <row r="5" spans="1:11" x14ac:dyDescent="0.45">
      <c r="A5" s="6" t="s">
        <v>26</v>
      </c>
      <c r="B5" s="6">
        <v>20251103</v>
      </c>
      <c r="C5" s="6">
        <v>20251024</v>
      </c>
      <c r="G5" s="6" t="s">
        <v>26</v>
      </c>
      <c r="H5" s="6">
        <v>20251115</v>
      </c>
      <c r="J5" s="6" t="s">
        <v>26</v>
      </c>
      <c r="K5" s="6">
        <v>20251105</v>
      </c>
    </row>
    <row r="6" spans="1:11" x14ac:dyDescent="0.45">
      <c r="A6" s="7">
        <v>45961</v>
      </c>
      <c r="B6" s="8">
        <f>[1]!thsMEDB(B4:C4,"2010/01/31","","Format(isAsc=N,Display=R,FillBlank=B,DecimalPoint=2,LineBlank=N)")</f>
        <v>48.7</v>
      </c>
      <c r="C6" s="8"/>
      <c r="G6" s="9">
        <v>45975</v>
      </c>
      <c r="H6" s="8">
        <f>[1]!thsMEDB(H4,"2010/01/31","","Format(isAsc=N,Display=R,FillBlank=B,DecimalPoint=2,LineBlank=N)")</f>
        <v>19.829999999999998</v>
      </c>
      <c r="J6" s="7">
        <v>45991</v>
      </c>
      <c r="K6" s="8">
        <f>[1]!thsMEDB(K4,"1871/01/31","","Format(isAsc=N,Display=R,FillBlank=B,DecimalPoint=2,LineBlank=N)")</f>
        <v>30.61</v>
      </c>
    </row>
    <row r="7" spans="1:11" x14ac:dyDescent="0.45">
      <c r="A7" s="7">
        <v>45930</v>
      </c>
      <c r="B7" s="8">
        <v>49.1</v>
      </c>
      <c r="C7" s="8">
        <v>3</v>
      </c>
      <c r="G7" s="9">
        <v>45974</v>
      </c>
      <c r="H7" s="8">
        <v>20</v>
      </c>
      <c r="J7" s="7">
        <v>45961</v>
      </c>
      <c r="K7" s="8">
        <v>30.27</v>
      </c>
    </row>
    <row r="8" spans="1:11" x14ac:dyDescent="0.45">
      <c r="A8" s="7">
        <v>45900</v>
      </c>
      <c r="B8" s="8">
        <v>48.7</v>
      </c>
      <c r="C8" s="8">
        <v>2.9</v>
      </c>
      <c r="G8" s="9">
        <v>45973</v>
      </c>
      <c r="H8" s="8">
        <v>17.510000000000002</v>
      </c>
      <c r="J8" s="7">
        <v>45930</v>
      </c>
      <c r="K8" s="8">
        <v>29.59</v>
      </c>
    </row>
    <row r="9" spans="1:11" x14ac:dyDescent="0.45">
      <c r="A9" s="7">
        <v>45869</v>
      </c>
      <c r="B9" s="8">
        <v>48</v>
      </c>
      <c r="C9" s="8">
        <v>2.7</v>
      </c>
      <c r="G9" s="9">
        <v>45972</v>
      </c>
      <c r="H9" s="8">
        <v>17.28</v>
      </c>
      <c r="J9" s="7">
        <v>45900</v>
      </c>
      <c r="K9" s="8">
        <v>28.8</v>
      </c>
    </row>
    <row r="10" spans="1:11" x14ac:dyDescent="0.45">
      <c r="A10" s="7">
        <v>45838</v>
      </c>
      <c r="B10" s="8">
        <v>49</v>
      </c>
      <c r="C10" s="8">
        <v>2.7</v>
      </c>
      <c r="G10" s="9">
        <v>45971</v>
      </c>
      <c r="H10" s="8">
        <v>17.600000000000001</v>
      </c>
      <c r="J10" s="7">
        <v>45869</v>
      </c>
      <c r="K10" s="8">
        <v>28.3</v>
      </c>
    </row>
    <row r="11" spans="1:11" x14ac:dyDescent="0.45">
      <c r="A11" s="7">
        <v>45808</v>
      </c>
      <c r="B11" s="8">
        <v>48.5</v>
      </c>
      <c r="C11" s="8">
        <v>2.4</v>
      </c>
      <c r="G11" s="9">
        <v>45968</v>
      </c>
      <c r="H11" s="8">
        <v>19.079999999999998</v>
      </c>
      <c r="J11" s="7">
        <v>45838</v>
      </c>
      <c r="K11" s="8">
        <v>27.83</v>
      </c>
    </row>
    <row r="12" spans="1:11" x14ac:dyDescent="0.45">
      <c r="A12" s="7">
        <v>45777</v>
      </c>
      <c r="B12" s="8">
        <v>48.7</v>
      </c>
      <c r="C12" s="8">
        <v>2.2999999999999998</v>
      </c>
      <c r="G12" s="9">
        <v>45967</v>
      </c>
      <c r="H12" s="8">
        <v>19.5</v>
      </c>
      <c r="J12" s="7">
        <v>45808</v>
      </c>
      <c r="K12" s="8">
        <v>26.82</v>
      </c>
    </row>
    <row r="13" spans="1:11" x14ac:dyDescent="0.45">
      <c r="A13" s="7">
        <v>45747</v>
      </c>
      <c r="B13" s="8">
        <v>49</v>
      </c>
      <c r="C13" s="8">
        <v>2.4</v>
      </c>
      <c r="G13" s="9">
        <v>45966</v>
      </c>
      <c r="H13" s="8">
        <v>18.010000000000002</v>
      </c>
      <c r="J13" s="7">
        <v>45777</v>
      </c>
      <c r="K13" s="8">
        <v>24.78</v>
      </c>
    </row>
    <row r="14" spans="1:11" x14ac:dyDescent="0.45">
      <c r="A14" s="7">
        <v>45716</v>
      </c>
      <c r="B14" s="8">
        <v>50.3</v>
      </c>
      <c r="C14" s="8">
        <v>2.8</v>
      </c>
      <c r="G14" s="9">
        <v>45965</v>
      </c>
      <c r="H14" s="8">
        <v>19</v>
      </c>
      <c r="J14" s="7">
        <v>45747</v>
      </c>
      <c r="K14" s="8">
        <v>27.04</v>
      </c>
    </row>
    <row r="15" spans="1:11" x14ac:dyDescent="0.45">
      <c r="A15" s="7">
        <v>45688</v>
      </c>
      <c r="B15" s="8">
        <v>49.1</v>
      </c>
      <c r="C15" s="8">
        <v>3</v>
      </c>
      <c r="G15" s="9">
        <v>45964</v>
      </c>
      <c r="H15" s="8">
        <v>17.170000000000002</v>
      </c>
      <c r="J15" s="7">
        <v>45716</v>
      </c>
      <c r="K15" s="8">
        <v>28.73</v>
      </c>
    </row>
    <row r="16" spans="1:11" x14ac:dyDescent="0.45">
      <c r="A16" s="7">
        <v>45657</v>
      </c>
      <c r="B16" s="8">
        <v>49.2</v>
      </c>
      <c r="C16" s="8">
        <v>2.9</v>
      </c>
      <c r="G16" s="9">
        <v>45961</v>
      </c>
      <c r="H16" s="8">
        <v>17.440000000000001</v>
      </c>
      <c r="J16" s="7">
        <v>45688</v>
      </c>
      <c r="K16" s="8">
        <v>28.45</v>
      </c>
    </row>
    <row r="17" spans="1:11" x14ac:dyDescent="0.45">
      <c r="A17" s="7">
        <v>45626</v>
      </c>
      <c r="B17" s="8">
        <v>48.4</v>
      </c>
      <c r="C17" s="8">
        <v>2.7</v>
      </c>
      <c r="G17" s="9">
        <v>45960</v>
      </c>
      <c r="H17" s="8">
        <v>16.91</v>
      </c>
      <c r="J17" s="7">
        <v>45657</v>
      </c>
      <c r="K17" s="8">
        <v>30.01</v>
      </c>
    </row>
    <row r="18" spans="1:11" x14ac:dyDescent="0.45">
      <c r="A18" s="7">
        <v>45596</v>
      </c>
      <c r="B18" s="8">
        <v>46.9</v>
      </c>
      <c r="C18" s="8">
        <v>2.6</v>
      </c>
      <c r="G18" s="9">
        <v>45959</v>
      </c>
      <c r="H18" s="8">
        <v>16.920000000000002</v>
      </c>
      <c r="J18" s="7">
        <v>45626</v>
      </c>
      <c r="K18" s="8">
        <v>29.61</v>
      </c>
    </row>
    <row r="19" spans="1:11" x14ac:dyDescent="0.45">
      <c r="A19" s="7">
        <v>45565</v>
      </c>
      <c r="B19" s="8">
        <v>47.5</v>
      </c>
      <c r="C19" s="8">
        <v>2.4</v>
      </c>
      <c r="G19" s="9">
        <v>45958</v>
      </c>
      <c r="H19" s="8">
        <v>16.420000000000002</v>
      </c>
      <c r="J19" s="7">
        <v>45596</v>
      </c>
      <c r="K19" s="8">
        <v>28.92</v>
      </c>
    </row>
    <row r="20" spans="1:11" x14ac:dyDescent="0.45">
      <c r="A20" s="7">
        <v>45535</v>
      </c>
      <c r="B20" s="8">
        <v>47.5</v>
      </c>
      <c r="C20" s="8">
        <v>2.5</v>
      </c>
      <c r="G20" s="9">
        <v>45957</v>
      </c>
      <c r="H20" s="8">
        <v>15.79</v>
      </c>
      <c r="J20" s="7">
        <v>45565</v>
      </c>
      <c r="K20" s="8">
        <v>28.07</v>
      </c>
    </row>
    <row r="21" spans="1:11" x14ac:dyDescent="0.45">
      <c r="A21" s="7">
        <v>45504</v>
      </c>
      <c r="B21" s="8">
        <v>47</v>
      </c>
      <c r="C21" s="8">
        <v>2.9</v>
      </c>
      <c r="G21" s="9">
        <v>45954</v>
      </c>
      <c r="H21" s="8">
        <v>16.37</v>
      </c>
      <c r="J21" s="7">
        <v>45535</v>
      </c>
      <c r="K21" s="8">
        <v>27.96</v>
      </c>
    </row>
    <row r="22" spans="1:11" x14ac:dyDescent="0.45">
      <c r="A22" s="7">
        <v>45473</v>
      </c>
      <c r="B22" s="8">
        <v>48.3</v>
      </c>
      <c r="C22" s="8">
        <v>3</v>
      </c>
      <c r="G22" s="9">
        <v>45953</v>
      </c>
      <c r="H22" s="8">
        <v>17.3</v>
      </c>
      <c r="J22" s="7">
        <v>45504</v>
      </c>
      <c r="K22" s="8">
        <v>28.27</v>
      </c>
    </row>
    <row r="23" spans="1:11" x14ac:dyDescent="0.45">
      <c r="A23" s="7">
        <v>45443</v>
      </c>
      <c r="B23" s="8">
        <v>48.5</v>
      </c>
      <c r="C23" s="8">
        <v>3.3</v>
      </c>
      <c r="G23" s="9">
        <v>45952</v>
      </c>
      <c r="H23" s="8">
        <v>18.600000000000001</v>
      </c>
      <c r="J23" s="7">
        <v>45473</v>
      </c>
      <c r="K23" s="8">
        <v>27.64</v>
      </c>
    </row>
    <row r="24" spans="1:11" x14ac:dyDescent="0.45">
      <c r="A24" s="7">
        <v>45412</v>
      </c>
      <c r="B24" s="8">
        <v>48.8</v>
      </c>
      <c r="C24" s="8">
        <v>3.4</v>
      </c>
      <c r="G24" s="9">
        <v>45951</v>
      </c>
      <c r="H24" s="8">
        <v>17.87</v>
      </c>
      <c r="J24" s="7">
        <v>45443</v>
      </c>
      <c r="K24" s="8">
        <v>27.35</v>
      </c>
    </row>
    <row r="25" spans="1:11" x14ac:dyDescent="0.45">
      <c r="A25" s="7">
        <v>45382</v>
      </c>
      <c r="B25" s="8">
        <v>49.8</v>
      </c>
      <c r="C25" s="8">
        <v>3.5</v>
      </c>
      <c r="G25" s="9">
        <v>45950</v>
      </c>
      <c r="H25" s="8">
        <v>18.23</v>
      </c>
      <c r="J25" s="7">
        <v>45412</v>
      </c>
      <c r="K25" s="8">
        <v>26.71</v>
      </c>
    </row>
    <row r="26" spans="1:11" x14ac:dyDescent="0.45">
      <c r="A26" s="7">
        <v>45351</v>
      </c>
      <c r="B26" s="8">
        <v>47.6</v>
      </c>
      <c r="C26" s="8">
        <v>3.2</v>
      </c>
      <c r="G26" s="9">
        <v>45947</v>
      </c>
      <c r="H26" s="8">
        <v>20.78</v>
      </c>
      <c r="J26" s="7">
        <v>45382</v>
      </c>
      <c r="K26" s="8">
        <v>27.02</v>
      </c>
    </row>
    <row r="27" spans="1:11" x14ac:dyDescent="0.45">
      <c r="A27" s="7">
        <v>45322</v>
      </c>
      <c r="B27" s="8">
        <v>49.1</v>
      </c>
      <c r="C27" s="8">
        <v>3.1</v>
      </c>
      <c r="G27" s="9">
        <v>45946</v>
      </c>
      <c r="H27" s="8">
        <v>25.31</v>
      </c>
      <c r="J27" s="7">
        <v>45351</v>
      </c>
      <c r="K27" s="8">
        <v>26.05</v>
      </c>
    </row>
    <row r="28" spans="1:11" x14ac:dyDescent="0.45">
      <c r="A28" s="7">
        <v>45291</v>
      </c>
      <c r="B28" s="8">
        <v>47.1</v>
      </c>
      <c r="C28" s="8">
        <v>3.4</v>
      </c>
      <c r="G28" s="9">
        <v>45945</v>
      </c>
      <c r="H28" s="8">
        <v>20.64</v>
      </c>
      <c r="J28" s="7">
        <v>45322</v>
      </c>
      <c r="K28" s="8">
        <v>24.97</v>
      </c>
    </row>
    <row r="29" spans="1:11" x14ac:dyDescent="0.45">
      <c r="A29" s="7">
        <v>45260</v>
      </c>
      <c r="B29" s="8">
        <v>46.6</v>
      </c>
      <c r="C29" s="8">
        <v>3.1</v>
      </c>
      <c r="G29" s="9">
        <v>45944</v>
      </c>
      <c r="H29" s="8">
        <v>20.81</v>
      </c>
      <c r="J29" s="7">
        <v>45291</v>
      </c>
      <c r="K29" s="8">
        <v>25.43</v>
      </c>
    </row>
    <row r="30" spans="1:11" x14ac:dyDescent="0.45">
      <c r="A30" s="7">
        <v>45230</v>
      </c>
      <c r="B30" s="8">
        <v>46.9</v>
      </c>
      <c r="C30" s="8">
        <v>3.2</v>
      </c>
      <c r="G30" s="9">
        <v>45943</v>
      </c>
      <c r="H30" s="8">
        <v>19.03</v>
      </c>
      <c r="J30" s="7">
        <v>45260</v>
      </c>
      <c r="K30" s="8">
        <v>24.21</v>
      </c>
    </row>
    <row r="31" spans="1:11" x14ac:dyDescent="0.45">
      <c r="A31" s="7">
        <v>45199</v>
      </c>
      <c r="B31" s="8">
        <v>48.6</v>
      </c>
      <c r="C31" s="8">
        <v>3.7</v>
      </c>
      <c r="G31" s="9">
        <v>45940</v>
      </c>
      <c r="H31" s="8">
        <v>21.66</v>
      </c>
      <c r="J31" s="7">
        <v>45230</v>
      </c>
      <c r="K31" s="8">
        <v>23.12</v>
      </c>
    </row>
    <row r="32" spans="1:11" x14ac:dyDescent="0.45">
      <c r="A32" s="7">
        <v>45169</v>
      </c>
      <c r="B32" s="8">
        <v>47.6</v>
      </c>
      <c r="C32" s="8">
        <v>3.7</v>
      </c>
      <c r="G32" s="9">
        <v>45939</v>
      </c>
      <c r="H32" s="8">
        <v>16.43</v>
      </c>
      <c r="J32" s="7">
        <v>45199</v>
      </c>
      <c r="K32" s="8">
        <v>23.93</v>
      </c>
    </row>
    <row r="33" spans="1:11" x14ac:dyDescent="0.45">
      <c r="A33" s="7">
        <v>45138</v>
      </c>
      <c r="B33" s="8">
        <v>46.5</v>
      </c>
      <c r="C33" s="8">
        <v>3.2</v>
      </c>
      <c r="G33" s="9">
        <v>45938</v>
      </c>
      <c r="H33" s="8">
        <v>16.3</v>
      </c>
      <c r="J33" s="7">
        <v>45169</v>
      </c>
      <c r="K33" s="8">
        <v>24.16</v>
      </c>
    </row>
    <row r="34" spans="1:11" x14ac:dyDescent="0.45">
      <c r="A34" s="7">
        <v>45107</v>
      </c>
      <c r="B34" s="8">
        <v>46.4</v>
      </c>
      <c r="C34" s="8">
        <v>3</v>
      </c>
      <c r="G34" s="9">
        <v>45937</v>
      </c>
      <c r="H34" s="8">
        <v>17.239999999999998</v>
      </c>
      <c r="J34" s="7">
        <v>45138</v>
      </c>
      <c r="K34" s="8">
        <v>24.76</v>
      </c>
    </row>
    <row r="35" spans="1:11" x14ac:dyDescent="0.45">
      <c r="A35" s="7">
        <v>45077</v>
      </c>
      <c r="B35" s="8">
        <v>46.6</v>
      </c>
      <c r="C35" s="8">
        <v>4</v>
      </c>
      <c r="G35" s="9">
        <v>45936</v>
      </c>
      <c r="H35" s="8">
        <v>16.37</v>
      </c>
      <c r="J35" s="7">
        <v>45107</v>
      </c>
      <c r="K35" s="8">
        <v>24.01</v>
      </c>
    </row>
    <row r="36" spans="1:11" x14ac:dyDescent="0.45">
      <c r="A36" s="7">
        <v>45046</v>
      </c>
      <c r="B36" s="8">
        <v>47</v>
      </c>
      <c r="C36" s="8">
        <v>4.9000000000000004</v>
      </c>
      <c r="G36" s="9">
        <v>45933</v>
      </c>
      <c r="H36" s="8">
        <v>16.649999999999999</v>
      </c>
      <c r="J36" s="7">
        <v>45077</v>
      </c>
      <c r="K36" s="8">
        <v>23.15</v>
      </c>
    </row>
    <row r="37" spans="1:11" x14ac:dyDescent="0.45">
      <c r="A37" s="7">
        <v>45016</v>
      </c>
      <c r="B37" s="8">
        <v>47.8</v>
      </c>
      <c r="C37" s="8">
        <v>5</v>
      </c>
      <c r="G37" s="9">
        <v>45932</v>
      </c>
      <c r="H37" s="8">
        <v>16.63</v>
      </c>
      <c r="J37" s="7">
        <v>45046</v>
      </c>
      <c r="K37" s="8">
        <v>23.27</v>
      </c>
    </row>
    <row r="38" spans="1:11" x14ac:dyDescent="0.45">
      <c r="A38" s="7">
        <v>44985</v>
      </c>
      <c r="B38" s="8">
        <v>47.7</v>
      </c>
      <c r="C38" s="8">
        <v>6</v>
      </c>
      <c r="G38" s="9">
        <v>45931</v>
      </c>
      <c r="H38" s="8">
        <v>16.29</v>
      </c>
      <c r="J38" s="7">
        <v>45016</v>
      </c>
      <c r="K38" s="8">
        <v>22.66</v>
      </c>
    </row>
    <row r="39" spans="1:11" x14ac:dyDescent="0.45">
      <c r="A39" s="7">
        <v>44957</v>
      </c>
      <c r="B39" s="8">
        <v>47.4</v>
      </c>
      <c r="C39" s="8">
        <v>6.4</v>
      </c>
      <c r="G39" s="9">
        <v>45930</v>
      </c>
      <c r="H39" s="8">
        <v>16.28</v>
      </c>
      <c r="J39" s="7">
        <v>44985</v>
      </c>
      <c r="K39" s="8">
        <v>23.4</v>
      </c>
    </row>
    <row r="40" spans="1:11" x14ac:dyDescent="0.45">
      <c r="A40" s="7">
        <v>44926</v>
      </c>
      <c r="B40" s="8">
        <v>46.7</v>
      </c>
      <c r="C40" s="8">
        <v>6.5</v>
      </c>
      <c r="G40" s="9">
        <v>45929</v>
      </c>
      <c r="H40" s="8">
        <v>16.12</v>
      </c>
      <c r="J40" s="7">
        <v>44957</v>
      </c>
      <c r="K40" s="8">
        <v>22.82</v>
      </c>
    </row>
    <row r="41" spans="1:11" x14ac:dyDescent="0.45">
      <c r="A41" s="7">
        <v>44895</v>
      </c>
      <c r="B41" s="8">
        <v>49</v>
      </c>
      <c r="C41" s="8">
        <v>7.1</v>
      </c>
      <c r="G41" s="9">
        <v>45926</v>
      </c>
      <c r="H41" s="8">
        <v>15.29</v>
      </c>
      <c r="J41" s="7">
        <v>44926</v>
      </c>
      <c r="K41" s="8">
        <v>22.65</v>
      </c>
    </row>
    <row r="42" spans="1:11" x14ac:dyDescent="0.45">
      <c r="A42" s="7">
        <v>44865</v>
      </c>
      <c r="B42" s="8">
        <v>49</v>
      </c>
      <c r="C42" s="8">
        <v>7.7</v>
      </c>
      <c r="G42" s="9">
        <v>45925</v>
      </c>
      <c r="H42" s="8">
        <v>16.739999999999998</v>
      </c>
      <c r="J42" s="7">
        <v>44895</v>
      </c>
      <c r="K42" s="8">
        <v>22.07</v>
      </c>
    </row>
    <row r="43" spans="1:11" x14ac:dyDescent="0.45">
      <c r="A43" s="7">
        <v>44834</v>
      </c>
      <c r="B43" s="8">
        <v>50.9</v>
      </c>
      <c r="C43" s="8">
        <v>8.1999999999999993</v>
      </c>
      <c r="G43" s="9">
        <v>45924</v>
      </c>
      <c r="H43" s="8">
        <v>16.18</v>
      </c>
      <c r="J43" s="7">
        <v>44865</v>
      </c>
      <c r="K43" s="8">
        <v>20.440000000000001</v>
      </c>
    </row>
    <row r="44" spans="1:11" x14ac:dyDescent="0.45">
      <c r="A44" s="7">
        <v>44804</v>
      </c>
      <c r="B44" s="8">
        <v>52.8</v>
      </c>
      <c r="C44" s="8">
        <v>8.3000000000000007</v>
      </c>
      <c r="G44" s="9">
        <v>45923</v>
      </c>
      <c r="H44" s="8">
        <v>16.64</v>
      </c>
      <c r="J44" s="7">
        <v>44834</v>
      </c>
      <c r="K44" s="8">
        <v>20.58</v>
      </c>
    </row>
    <row r="45" spans="1:11" x14ac:dyDescent="0.45">
      <c r="A45" s="7">
        <v>44773</v>
      </c>
      <c r="B45" s="8">
        <v>52.8</v>
      </c>
      <c r="C45" s="8">
        <v>8.5</v>
      </c>
      <c r="G45" s="9">
        <v>45922</v>
      </c>
      <c r="H45" s="8">
        <v>16.100000000000001</v>
      </c>
      <c r="J45" s="7">
        <v>44804</v>
      </c>
      <c r="K45" s="8">
        <v>22.03</v>
      </c>
    </row>
    <row r="46" spans="1:11" x14ac:dyDescent="0.45">
      <c r="A46" s="7">
        <v>44742</v>
      </c>
      <c r="B46" s="8">
        <v>53</v>
      </c>
      <c r="C46" s="8">
        <v>9.1</v>
      </c>
      <c r="G46" s="9">
        <v>45919</v>
      </c>
      <c r="H46" s="8">
        <v>15.45</v>
      </c>
      <c r="J46" s="7">
        <v>44773</v>
      </c>
      <c r="K46" s="8">
        <v>20.53</v>
      </c>
    </row>
    <row r="47" spans="1:11" x14ac:dyDescent="0.45">
      <c r="A47" s="7">
        <v>44712</v>
      </c>
      <c r="B47" s="8">
        <v>56.1</v>
      </c>
      <c r="C47" s="8">
        <v>8.6</v>
      </c>
      <c r="G47" s="9">
        <v>45918</v>
      </c>
      <c r="H47" s="8">
        <v>15.7</v>
      </c>
      <c r="J47" s="7">
        <v>44742</v>
      </c>
      <c r="K47" s="8">
        <v>20.28</v>
      </c>
    </row>
    <row r="48" spans="1:11" x14ac:dyDescent="0.45">
      <c r="A48" s="7">
        <v>44681</v>
      </c>
      <c r="B48" s="8">
        <v>55.4</v>
      </c>
      <c r="C48" s="8">
        <v>8.3000000000000007</v>
      </c>
      <c r="G48" s="9">
        <v>45917</v>
      </c>
      <c r="H48" s="8">
        <v>15.72</v>
      </c>
      <c r="J48" s="7">
        <v>44712</v>
      </c>
      <c r="K48" s="8">
        <v>20.81</v>
      </c>
    </row>
    <row r="49" spans="1:11" x14ac:dyDescent="0.45">
      <c r="A49" s="7">
        <v>44651</v>
      </c>
      <c r="B49" s="8">
        <v>57.1</v>
      </c>
      <c r="C49" s="8">
        <v>8.5</v>
      </c>
      <c r="G49" s="9">
        <v>45916</v>
      </c>
      <c r="H49" s="8">
        <v>16.36</v>
      </c>
      <c r="J49" s="7">
        <v>44681</v>
      </c>
      <c r="K49" s="8">
        <v>22.4</v>
      </c>
    </row>
    <row r="50" spans="1:11" x14ac:dyDescent="0.45">
      <c r="A50" s="7">
        <v>44620</v>
      </c>
      <c r="B50" s="8">
        <v>58.6</v>
      </c>
      <c r="C50" s="8">
        <v>7.9</v>
      </c>
      <c r="G50" s="9">
        <v>45915</v>
      </c>
      <c r="H50" s="8">
        <v>15.69</v>
      </c>
      <c r="J50" s="7">
        <v>44651</v>
      </c>
      <c r="K50" s="8">
        <v>22.19</v>
      </c>
    </row>
    <row r="51" spans="1:11" x14ac:dyDescent="0.45">
      <c r="A51" s="7">
        <v>44592</v>
      </c>
      <c r="B51" s="8">
        <v>57.6</v>
      </c>
      <c r="C51" s="8">
        <v>7.5</v>
      </c>
      <c r="G51" s="9">
        <v>45912</v>
      </c>
      <c r="H51" s="8">
        <v>14.76</v>
      </c>
      <c r="J51" s="7">
        <v>44620</v>
      </c>
      <c r="K51" s="8">
        <v>22.42</v>
      </c>
    </row>
    <row r="52" spans="1:11" x14ac:dyDescent="0.45">
      <c r="A52" s="7">
        <v>44561</v>
      </c>
      <c r="B52" s="8">
        <v>58.7</v>
      </c>
      <c r="C52" s="8">
        <v>7</v>
      </c>
      <c r="G52" s="9">
        <v>45911</v>
      </c>
      <c r="H52" s="8">
        <v>14.71</v>
      </c>
      <c r="J52" s="7">
        <v>44592</v>
      </c>
      <c r="K52" s="8">
        <v>23.11</v>
      </c>
    </row>
    <row r="53" spans="1:11" x14ac:dyDescent="0.45">
      <c r="A53" s="7">
        <v>44530</v>
      </c>
      <c r="B53" s="8">
        <v>61.1</v>
      </c>
      <c r="C53" s="8">
        <v>6.8</v>
      </c>
      <c r="G53" s="9">
        <v>45910</v>
      </c>
      <c r="H53" s="8">
        <v>15.35</v>
      </c>
      <c r="J53" s="7">
        <v>44561</v>
      </c>
      <c r="K53" s="8">
        <v>23.63</v>
      </c>
    </row>
    <row r="54" spans="1:11" x14ac:dyDescent="0.45">
      <c r="A54" s="7">
        <v>44500</v>
      </c>
      <c r="B54" s="8">
        <v>60.8</v>
      </c>
      <c r="C54" s="8">
        <v>6.2</v>
      </c>
      <c r="G54" s="9">
        <v>45909</v>
      </c>
      <c r="H54" s="8">
        <v>15.04</v>
      </c>
      <c r="J54" s="7">
        <v>44530</v>
      </c>
      <c r="K54" s="8">
        <v>24.52</v>
      </c>
    </row>
    <row r="55" spans="1:11" x14ac:dyDescent="0.45">
      <c r="A55" s="7">
        <v>44469</v>
      </c>
      <c r="B55" s="8">
        <v>61.1</v>
      </c>
      <c r="C55" s="8">
        <v>5.4</v>
      </c>
      <c r="G55" s="9">
        <v>45908</v>
      </c>
      <c r="H55" s="8">
        <v>15.11</v>
      </c>
      <c r="J55" s="7">
        <v>44500</v>
      </c>
      <c r="K55" s="8">
        <v>24.39</v>
      </c>
    </row>
    <row r="56" spans="1:11" x14ac:dyDescent="0.45">
      <c r="A56" s="7">
        <v>44439</v>
      </c>
      <c r="B56" s="8">
        <v>59.9</v>
      </c>
      <c r="C56" s="8">
        <v>5.3</v>
      </c>
      <c r="G56" s="9">
        <v>45905</v>
      </c>
      <c r="H56" s="8">
        <v>15.18</v>
      </c>
      <c r="J56" s="7">
        <v>44469</v>
      </c>
      <c r="K56" s="8">
        <v>25.35</v>
      </c>
    </row>
    <row r="57" spans="1:11" x14ac:dyDescent="0.45">
      <c r="A57" s="7">
        <v>44408</v>
      </c>
      <c r="B57" s="8">
        <v>59.5</v>
      </c>
      <c r="C57" s="8">
        <v>5.4</v>
      </c>
      <c r="G57" s="9">
        <v>45904</v>
      </c>
      <c r="H57" s="8">
        <v>15.3</v>
      </c>
      <c r="J57" s="7">
        <v>44439</v>
      </c>
      <c r="K57" s="8">
        <v>26.23</v>
      </c>
    </row>
    <row r="58" spans="1:11" x14ac:dyDescent="0.45">
      <c r="A58" s="7">
        <v>44377</v>
      </c>
      <c r="B58" s="8">
        <v>60.6</v>
      </c>
      <c r="C58" s="8">
        <v>5.4</v>
      </c>
      <c r="G58" s="9">
        <v>45903</v>
      </c>
      <c r="H58" s="8">
        <v>16.350000000000001</v>
      </c>
      <c r="J58" s="7">
        <v>44408</v>
      </c>
      <c r="K58" s="8">
        <v>26.56</v>
      </c>
    </row>
    <row r="59" spans="1:11" x14ac:dyDescent="0.45">
      <c r="A59" s="7">
        <v>44347</v>
      </c>
      <c r="B59" s="8">
        <v>61.2</v>
      </c>
      <c r="C59" s="8">
        <v>5</v>
      </c>
      <c r="G59" s="9">
        <v>45902</v>
      </c>
      <c r="H59" s="8">
        <v>17.170000000000002</v>
      </c>
      <c r="J59" s="7">
        <v>44377</v>
      </c>
      <c r="K59" s="8">
        <v>26.7</v>
      </c>
    </row>
    <row r="60" spans="1:11" x14ac:dyDescent="0.45">
      <c r="A60" s="7">
        <v>44316</v>
      </c>
      <c r="B60" s="8">
        <v>60.7</v>
      </c>
      <c r="C60" s="8">
        <v>4.2</v>
      </c>
      <c r="G60" s="9">
        <v>45901</v>
      </c>
      <c r="H60" s="8">
        <v>16.12</v>
      </c>
      <c r="J60" s="7">
        <v>44347</v>
      </c>
      <c r="K60" s="8">
        <v>28.05</v>
      </c>
    </row>
    <row r="61" spans="1:11" x14ac:dyDescent="0.45">
      <c r="A61" s="7">
        <v>44286</v>
      </c>
      <c r="B61" s="8">
        <v>64.7</v>
      </c>
      <c r="C61" s="8">
        <v>2.6</v>
      </c>
      <c r="G61" s="9">
        <v>45898</v>
      </c>
      <c r="H61" s="8">
        <v>15.36</v>
      </c>
      <c r="J61" s="7">
        <v>44316</v>
      </c>
      <c r="K61" s="8">
        <v>29.92</v>
      </c>
    </row>
    <row r="62" spans="1:11" x14ac:dyDescent="0.45">
      <c r="A62" s="7">
        <v>44255</v>
      </c>
      <c r="B62" s="8">
        <v>60.8</v>
      </c>
      <c r="C62" s="8">
        <v>1.7</v>
      </c>
      <c r="G62" s="9">
        <v>45897</v>
      </c>
      <c r="H62" s="8">
        <v>14.43</v>
      </c>
      <c r="J62" s="7">
        <v>44286</v>
      </c>
      <c r="K62" s="8">
        <v>30.5</v>
      </c>
    </row>
    <row r="63" spans="1:11" x14ac:dyDescent="0.45">
      <c r="A63" s="7">
        <v>44227</v>
      </c>
      <c r="B63" s="8">
        <v>58.7</v>
      </c>
      <c r="C63" s="8">
        <v>1.4</v>
      </c>
      <c r="G63" s="9">
        <v>45896</v>
      </c>
      <c r="H63" s="8">
        <v>14.85</v>
      </c>
      <c r="J63" s="7">
        <v>44255</v>
      </c>
      <c r="K63" s="8">
        <v>33.24</v>
      </c>
    </row>
    <row r="64" spans="1:11" x14ac:dyDescent="0.45">
      <c r="A64" s="7">
        <v>44196</v>
      </c>
      <c r="B64" s="8">
        <v>60.7</v>
      </c>
      <c r="C64" s="8">
        <v>1.4</v>
      </c>
      <c r="G64" s="9">
        <v>45895</v>
      </c>
      <c r="H64" s="8">
        <v>14.62</v>
      </c>
      <c r="J64" s="7">
        <v>44227</v>
      </c>
      <c r="K64" s="8">
        <v>35.96</v>
      </c>
    </row>
    <row r="65" spans="1:11" x14ac:dyDescent="0.45">
      <c r="A65" s="7">
        <v>44165</v>
      </c>
      <c r="B65" s="8">
        <v>57.5</v>
      </c>
      <c r="C65" s="8">
        <v>1.2</v>
      </c>
      <c r="G65" s="9">
        <v>45894</v>
      </c>
      <c r="H65" s="8">
        <v>14.79</v>
      </c>
      <c r="J65" s="7">
        <v>44196</v>
      </c>
      <c r="K65" s="8">
        <v>39.26</v>
      </c>
    </row>
    <row r="66" spans="1:11" x14ac:dyDescent="0.45">
      <c r="A66" s="7">
        <v>44135</v>
      </c>
      <c r="B66" s="8">
        <v>59.3</v>
      </c>
      <c r="C66" s="8">
        <v>1.2</v>
      </c>
      <c r="G66" s="9">
        <v>45891</v>
      </c>
      <c r="H66" s="8">
        <v>14.22</v>
      </c>
      <c r="J66" s="7">
        <v>44165</v>
      </c>
      <c r="K66" s="8">
        <v>37.159999999999997</v>
      </c>
    </row>
    <row r="67" spans="1:11" x14ac:dyDescent="0.45">
      <c r="A67" s="7">
        <v>44104</v>
      </c>
      <c r="B67" s="8">
        <v>55.4</v>
      </c>
      <c r="C67" s="8">
        <v>1.4</v>
      </c>
      <c r="G67" s="9">
        <v>45890</v>
      </c>
      <c r="H67" s="8">
        <v>16.600000000000001</v>
      </c>
      <c r="J67" s="7">
        <v>44135</v>
      </c>
      <c r="K67" s="8">
        <v>35.299999999999997</v>
      </c>
    </row>
    <row r="68" spans="1:11" x14ac:dyDescent="0.45">
      <c r="A68" s="7">
        <v>44074</v>
      </c>
      <c r="B68" s="8">
        <v>56</v>
      </c>
      <c r="C68" s="8">
        <v>1.3</v>
      </c>
      <c r="G68" s="9">
        <v>45889</v>
      </c>
      <c r="H68" s="8">
        <v>15.69</v>
      </c>
      <c r="J68" s="7">
        <v>44104</v>
      </c>
      <c r="K68" s="8">
        <v>34.270000000000003</v>
      </c>
    </row>
    <row r="69" spans="1:11" x14ac:dyDescent="0.45">
      <c r="A69" s="7">
        <v>44043</v>
      </c>
      <c r="B69" s="8">
        <v>54.2</v>
      </c>
      <c r="C69" s="8">
        <v>1</v>
      </c>
      <c r="G69" s="9">
        <v>45888</v>
      </c>
      <c r="H69" s="8">
        <v>15.57</v>
      </c>
      <c r="J69" s="7">
        <v>44074</v>
      </c>
      <c r="K69" s="8">
        <v>34.409999999999997</v>
      </c>
    </row>
    <row r="70" spans="1:11" x14ac:dyDescent="0.45">
      <c r="A70" s="7">
        <v>44012</v>
      </c>
      <c r="B70" s="8">
        <v>52.6</v>
      </c>
      <c r="C70" s="8">
        <v>0.6</v>
      </c>
      <c r="G70" s="9">
        <v>45887</v>
      </c>
      <c r="H70" s="8">
        <v>14.99</v>
      </c>
      <c r="J70" s="7">
        <v>44043</v>
      </c>
      <c r="K70" s="8">
        <v>32.44</v>
      </c>
    </row>
    <row r="71" spans="1:11" x14ac:dyDescent="0.45">
      <c r="A71" s="7">
        <v>43982</v>
      </c>
      <c r="B71" s="8">
        <v>43.1</v>
      </c>
      <c r="C71" s="8">
        <v>0.1</v>
      </c>
      <c r="G71" s="9">
        <v>45884</v>
      </c>
      <c r="H71" s="8">
        <v>15.09</v>
      </c>
      <c r="J71" s="7">
        <v>44012</v>
      </c>
      <c r="K71" s="8">
        <v>31.29</v>
      </c>
    </row>
    <row r="72" spans="1:11" x14ac:dyDescent="0.45">
      <c r="A72" s="7">
        <v>43951</v>
      </c>
      <c r="B72" s="8">
        <v>41.5</v>
      </c>
      <c r="C72" s="8">
        <v>0.3</v>
      </c>
      <c r="G72" s="9">
        <v>45883</v>
      </c>
      <c r="H72" s="8">
        <v>14.83</v>
      </c>
      <c r="J72" s="7">
        <v>43982</v>
      </c>
      <c r="K72" s="8">
        <v>27.82</v>
      </c>
    </row>
    <row r="73" spans="1:11" x14ac:dyDescent="0.45">
      <c r="A73" s="7">
        <v>43921</v>
      </c>
      <c r="B73" s="8">
        <v>49.1</v>
      </c>
      <c r="C73" s="8">
        <v>1.5</v>
      </c>
      <c r="G73" s="9">
        <v>45882</v>
      </c>
      <c r="H73" s="8">
        <v>14.49</v>
      </c>
      <c r="J73" s="7">
        <v>43951</v>
      </c>
      <c r="K73" s="8">
        <v>24.97</v>
      </c>
    </row>
    <row r="74" spans="1:11" x14ac:dyDescent="0.45">
      <c r="A74" s="7">
        <v>43890</v>
      </c>
      <c r="B74" s="8">
        <v>50.1</v>
      </c>
      <c r="C74" s="8">
        <v>2.2999999999999998</v>
      </c>
      <c r="G74" s="9">
        <v>45881</v>
      </c>
      <c r="H74" s="8">
        <v>14.73</v>
      </c>
      <c r="J74" s="7">
        <v>43921</v>
      </c>
      <c r="K74" s="8">
        <v>22.8</v>
      </c>
    </row>
    <row r="75" spans="1:11" x14ac:dyDescent="0.45">
      <c r="A75" s="7">
        <v>43861</v>
      </c>
      <c r="B75" s="8">
        <v>50.9</v>
      </c>
      <c r="C75" s="8">
        <v>2.5</v>
      </c>
      <c r="G75" s="9">
        <v>45880</v>
      </c>
      <c r="H75" s="8">
        <v>16.25</v>
      </c>
      <c r="J75" s="7">
        <v>43890</v>
      </c>
      <c r="K75" s="8">
        <v>26.42</v>
      </c>
    </row>
    <row r="76" spans="1:11" x14ac:dyDescent="0.45">
      <c r="A76" s="7">
        <v>43830</v>
      </c>
      <c r="B76" s="8">
        <v>47.8</v>
      </c>
      <c r="C76" s="8">
        <v>2.2999999999999998</v>
      </c>
      <c r="G76" s="9">
        <v>45877</v>
      </c>
      <c r="H76" s="8">
        <v>15.15</v>
      </c>
      <c r="J76" s="7">
        <v>43861</v>
      </c>
      <c r="K76" s="8">
        <v>24.88</v>
      </c>
    </row>
    <row r="77" spans="1:11" x14ac:dyDescent="0.45">
      <c r="A77" s="7">
        <v>43799</v>
      </c>
      <c r="B77" s="8">
        <v>48.1</v>
      </c>
      <c r="C77" s="8">
        <v>2.1</v>
      </c>
      <c r="G77" s="9">
        <v>45876</v>
      </c>
      <c r="H77" s="8">
        <v>16.57</v>
      </c>
      <c r="J77" s="7">
        <v>43830</v>
      </c>
      <c r="K77" s="8">
        <v>22.78</v>
      </c>
    </row>
    <row r="78" spans="1:11" x14ac:dyDescent="0.45">
      <c r="A78" s="7">
        <v>43769</v>
      </c>
      <c r="B78" s="8">
        <v>48.3</v>
      </c>
      <c r="C78" s="8">
        <v>1.8</v>
      </c>
      <c r="G78" s="9">
        <v>45875</v>
      </c>
      <c r="H78" s="8">
        <v>16.77</v>
      </c>
      <c r="J78" s="7">
        <v>43799</v>
      </c>
      <c r="K78" s="8">
        <v>22.62</v>
      </c>
    </row>
    <row r="79" spans="1:11" x14ac:dyDescent="0.45">
      <c r="A79" s="7">
        <v>43738</v>
      </c>
      <c r="B79" s="8">
        <v>47.8</v>
      </c>
      <c r="C79" s="8">
        <v>1.7</v>
      </c>
      <c r="G79" s="9">
        <v>45874</v>
      </c>
      <c r="H79" s="8">
        <v>17.850000000000001</v>
      </c>
      <c r="J79" s="7">
        <v>43769</v>
      </c>
      <c r="K79" s="8">
        <v>22.04</v>
      </c>
    </row>
    <row r="80" spans="1:11" x14ac:dyDescent="0.45">
      <c r="A80" s="7">
        <v>43708</v>
      </c>
      <c r="B80" s="8">
        <v>49.1</v>
      </c>
      <c r="C80" s="8">
        <v>1.7</v>
      </c>
      <c r="G80" s="9">
        <v>45873</v>
      </c>
      <c r="H80" s="8">
        <v>17.52</v>
      </c>
      <c r="J80" s="7">
        <v>43738</v>
      </c>
      <c r="K80" s="8">
        <v>22.44</v>
      </c>
    </row>
    <row r="81" spans="1:11" x14ac:dyDescent="0.45">
      <c r="A81" s="7">
        <v>43677</v>
      </c>
      <c r="B81" s="8">
        <v>51.2</v>
      </c>
      <c r="C81" s="8">
        <v>1.8</v>
      </c>
      <c r="G81" s="9">
        <v>45870</v>
      </c>
      <c r="H81" s="8">
        <v>20.38</v>
      </c>
      <c r="J81" s="7">
        <v>43708</v>
      </c>
      <c r="K81" s="8">
        <v>21.67</v>
      </c>
    </row>
    <row r="82" spans="1:11" x14ac:dyDescent="0.45">
      <c r="A82" s="7">
        <v>43646</v>
      </c>
      <c r="B82" s="8">
        <v>51.7</v>
      </c>
      <c r="C82" s="8">
        <v>1.6</v>
      </c>
      <c r="G82" s="9">
        <v>45869</v>
      </c>
      <c r="H82" s="8">
        <v>16.72</v>
      </c>
      <c r="J82" s="7">
        <v>43677</v>
      </c>
      <c r="K82" s="8">
        <v>22.28</v>
      </c>
    </row>
    <row r="83" spans="1:11" x14ac:dyDescent="0.45">
      <c r="A83" s="7">
        <v>43616</v>
      </c>
      <c r="B83" s="8">
        <v>52.1</v>
      </c>
      <c r="C83" s="8">
        <v>1.8</v>
      </c>
      <c r="G83" s="9">
        <v>45868</v>
      </c>
      <c r="H83" s="8">
        <v>15.48</v>
      </c>
      <c r="J83" s="7">
        <v>43646</v>
      </c>
      <c r="K83" s="8">
        <v>21.37</v>
      </c>
    </row>
    <row r="84" spans="1:11" x14ac:dyDescent="0.45">
      <c r="A84" s="7">
        <v>43585</v>
      </c>
      <c r="B84" s="8">
        <v>52.8</v>
      </c>
      <c r="C84" s="8">
        <v>2</v>
      </c>
      <c r="G84" s="9">
        <v>45867</v>
      </c>
      <c r="H84" s="8">
        <v>15.98</v>
      </c>
      <c r="J84" s="7">
        <v>43616</v>
      </c>
      <c r="K84" s="8">
        <v>21.15</v>
      </c>
    </row>
    <row r="85" spans="1:11" x14ac:dyDescent="0.45">
      <c r="A85" s="7">
        <v>43555</v>
      </c>
      <c r="B85" s="8">
        <v>55.3</v>
      </c>
      <c r="C85" s="8">
        <v>1.9</v>
      </c>
      <c r="G85" s="9">
        <v>45866</v>
      </c>
      <c r="H85" s="8">
        <v>15.03</v>
      </c>
      <c r="J85" s="7">
        <v>43585</v>
      </c>
      <c r="K85" s="8">
        <v>21.56</v>
      </c>
    </row>
    <row r="86" spans="1:11" x14ac:dyDescent="0.45">
      <c r="A86" s="7">
        <v>43524</v>
      </c>
      <c r="B86" s="8">
        <v>54.2</v>
      </c>
      <c r="C86" s="8">
        <v>1.5</v>
      </c>
      <c r="G86" s="9">
        <v>45863</v>
      </c>
      <c r="H86" s="8">
        <v>14.93</v>
      </c>
      <c r="J86" s="7">
        <v>43555</v>
      </c>
      <c r="K86" s="8">
        <v>20.86</v>
      </c>
    </row>
    <row r="87" spans="1:11" x14ac:dyDescent="0.45">
      <c r="A87" s="7">
        <v>43496</v>
      </c>
      <c r="B87" s="8">
        <v>56.6</v>
      </c>
      <c r="C87" s="8">
        <v>1.6</v>
      </c>
      <c r="G87" s="9">
        <v>45862</v>
      </c>
      <c r="H87" s="8">
        <v>15.39</v>
      </c>
      <c r="J87" s="7">
        <v>43524</v>
      </c>
      <c r="K87" s="8">
        <v>20.6</v>
      </c>
    </row>
    <row r="88" spans="1:11" x14ac:dyDescent="0.45">
      <c r="A88" s="7">
        <v>43465</v>
      </c>
      <c r="B88" s="8">
        <v>54.1</v>
      </c>
      <c r="C88" s="8">
        <v>1.9</v>
      </c>
      <c r="G88" s="9">
        <v>45861</v>
      </c>
      <c r="H88" s="8">
        <v>15.37</v>
      </c>
      <c r="J88" s="7">
        <v>43496</v>
      </c>
      <c r="K88" s="8">
        <v>19.600000000000001</v>
      </c>
    </row>
    <row r="89" spans="1:11" x14ac:dyDescent="0.45">
      <c r="A89" s="7">
        <v>43434</v>
      </c>
      <c r="B89" s="8">
        <v>59.3</v>
      </c>
      <c r="C89" s="8">
        <v>2.2000000000000002</v>
      </c>
      <c r="G89" s="9">
        <v>45860</v>
      </c>
      <c r="H89" s="8">
        <v>16.5</v>
      </c>
      <c r="J89" s="7">
        <v>43465</v>
      </c>
      <c r="K89" s="8">
        <v>19.39</v>
      </c>
    </row>
    <row r="90" spans="1:11" x14ac:dyDescent="0.45">
      <c r="A90" s="7">
        <v>43404</v>
      </c>
      <c r="B90" s="8">
        <v>57.7</v>
      </c>
      <c r="C90" s="8">
        <v>2.5</v>
      </c>
      <c r="G90" s="9">
        <v>45859</v>
      </c>
      <c r="H90" s="8">
        <v>16.649999999999999</v>
      </c>
      <c r="J90" s="7">
        <v>43434</v>
      </c>
      <c r="K90" s="8">
        <v>20.67</v>
      </c>
    </row>
    <row r="91" spans="1:11" x14ac:dyDescent="0.45">
      <c r="A91" s="7">
        <v>43373</v>
      </c>
      <c r="B91" s="8">
        <v>59.8</v>
      </c>
      <c r="C91" s="8">
        <v>2.2999999999999998</v>
      </c>
      <c r="G91" s="9">
        <v>45856</v>
      </c>
      <c r="H91" s="8">
        <v>16.41</v>
      </c>
      <c r="J91" s="7">
        <v>43404</v>
      </c>
      <c r="K91" s="8">
        <v>21.25</v>
      </c>
    </row>
    <row r="92" spans="1:11" x14ac:dyDescent="0.45">
      <c r="A92" s="7">
        <v>43343</v>
      </c>
      <c r="B92" s="8">
        <v>61.3</v>
      </c>
      <c r="C92" s="8">
        <v>2.7</v>
      </c>
      <c r="G92" s="9">
        <v>45855</v>
      </c>
      <c r="H92" s="8">
        <v>16.52</v>
      </c>
      <c r="J92" s="7">
        <v>43373</v>
      </c>
      <c r="K92" s="8">
        <v>22.25</v>
      </c>
    </row>
    <row r="93" spans="1:11" x14ac:dyDescent="0.45">
      <c r="A93" s="7">
        <v>43312</v>
      </c>
      <c r="B93" s="8">
        <v>58.1</v>
      </c>
      <c r="C93" s="8">
        <v>2.9</v>
      </c>
      <c r="G93" s="9">
        <v>45854</v>
      </c>
      <c r="H93" s="8">
        <v>17.16</v>
      </c>
      <c r="J93" s="7">
        <v>43343</v>
      </c>
      <c r="K93" s="8">
        <v>22.37</v>
      </c>
    </row>
    <row r="94" spans="1:11" x14ac:dyDescent="0.45">
      <c r="A94" s="7">
        <v>43281</v>
      </c>
      <c r="B94" s="8">
        <v>60.2</v>
      </c>
      <c r="C94" s="8">
        <v>2.9</v>
      </c>
      <c r="G94" s="9">
        <v>45853</v>
      </c>
      <c r="H94" s="8">
        <v>17.38</v>
      </c>
      <c r="J94" s="7">
        <v>43312</v>
      </c>
      <c r="K94" s="8">
        <v>22.33</v>
      </c>
    </row>
    <row r="95" spans="1:11" x14ac:dyDescent="0.45">
      <c r="A95" s="7">
        <v>43251</v>
      </c>
      <c r="B95" s="8">
        <v>58.7</v>
      </c>
      <c r="C95" s="8">
        <v>2.8</v>
      </c>
      <c r="G95" s="9">
        <v>45852</v>
      </c>
      <c r="H95" s="8">
        <v>17.2</v>
      </c>
      <c r="J95" s="7">
        <v>43281</v>
      </c>
      <c r="K95" s="8">
        <v>22.49</v>
      </c>
    </row>
    <row r="96" spans="1:11" x14ac:dyDescent="0.45">
      <c r="A96" s="7">
        <v>43220</v>
      </c>
      <c r="B96" s="8">
        <v>57.3</v>
      </c>
      <c r="C96" s="8">
        <v>2.5</v>
      </c>
      <c r="G96" s="9">
        <v>45849</v>
      </c>
      <c r="H96" s="8">
        <v>16.399999999999999</v>
      </c>
      <c r="J96" s="7">
        <v>43251</v>
      </c>
      <c r="K96" s="8">
        <v>22.49</v>
      </c>
    </row>
    <row r="97" spans="1:11" x14ac:dyDescent="0.45">
      <c r="A97" s="7">
        <v>43190</v>
      </c>
      <c r="B97" s="8">
        <v>59.3</v>
      </c>
      <c r="C97" s="8">
        <v>2.4</v>
      </c>
      <c r="G97" s="9">
        <v>45848</v>
      </c>
      <c r="H97" s="8">
        <v>15.78</v>
      </c>
      <c r="J97" s="7">
        <v>43220</v>
      </c>
      <c r="K97" s="8">
        <v>22.53</v>
      </c>
    </row>
    <row r="98" spans="1:11" x14ac:dyDescent="0.45">
      <c r="A98" s="7">
        <v>43159</v>
      </c>
      <c r="B98" s="8">
        <v>60.8</v>
      </c>
      <c r="C98" s="8">
        <v>2.2000000000000002</v>
      </c>
      <c r="G98" s="9">
        <v>45847</v>
      </c>
      <c r="H98" s="8">
        <v>15.94</v>
      </c>
      <c r="J98" s="7">
        <v>43190</v>
      </c>
      <c r="K98" s="8">
        <v>23.41</v>
      </c>
    </row>
    <row r="99" spans="1:11" x14ac:dyDescent="0.45">
      <c r="A99" s="7">
        <v>43131</v>
      </c>
      <c r="B99" s="8">
        <v>59.1</v>
      </c>
      <c r="C99" s="8">
        <v>2.1</v>
      </c>
      <c r="G99" s="9">
        <v>45846</v>
      </c>
      <c r="H99" s="8">
        <v>16.809999999999999</v>
      </c>
      <c r="J99" s="7">
        <v>43159</v>
      </c>
      <c r="K99" s="8">
        <v>23.82</v>
      </c>
    </row>
    <row r="100" spans="1:11" x14ac:dyDescent="0.45">
      <c r="A100" s="7">
        <v>43100</v>
      </c>
      <c r="B100" s="8">
        <v>59.7</v>
      </c>
      <c r="C100" s="8">
        <v>2.1</v>
      </c>
      <c r="G100" s="9">
        <v>45845</v>
      </c>
      <c r="H100" s="8">
        <v>17.79</v>
      </c>
      <c r="J100" s="7">
        <v>43131</v>
      </c>
      <c r="K100" s="8">
        <v>24.97</v>
      </c>
    </row>
    <row r="101" spans="1:11" x14ac:dyDescent="0.45">
      <c r="A101" s="7">
        <v>43069</v>
      </c>
      <c r="B101" s="8">
        <v>58.2</v>
      </c>
      <c r="C101" s="8">
        <v>2.2000000000000002</v>
      </c>
      <c r="G101" s="9">
        <v>45842</v>
      </c>
      <c r="H101" s="8">
        <v>17.48</v>
      </c>
      <c r="J101" s="7">
        <v>43100</v>
      </c>
      <c r="K101" s="8">
        <v>24.25</v>
      </c>
    </row>
    <row r="102" spans="1:11" x14ac:dyDescent="0.45">
      <c r="A102" s="7">
        <v>43039</v>
      </c>
      <c r="B102" s="8">
        <v>58.7</v>
      </c>
      <c r="C102" s="8">
        <v>2</v>
      </c>
      <c r="G102" s="9">
        <v>45841</v>
      </c>
      <c r="H102" s="8">
        <v>16.38</v>
      </c>
      <c r="J102" s="7">
        <v>43069</v>
      </c>
      <c r="K102" s="8">
        <v>23.81</v>
      </c>
    </row>
    <row r="103" spans="1:11" x14ac:dyDescent="0.45">
      <c r="A103" s="7">
        <v>43008</v>
      </c>
      <c r="B103" s="8">
        <v>60.8</v>
      </c>
      <c r="C103" s="8">
        <v>2.2000000000000002</v>
      </c>
      <c r="G103" s="9">
        <v>45840</v>
      </c>
      <c r="H103" s="8">
        <v>16.64</v>
      </c>
      <c r="J103" s="7">
        <v>43039</v>
      </c>
      <c r="K103" s="8">
        <v>23.67</v>
      </c>
    </row>
    <row r="104" spans="1:11" x14ac:dyDescent="0.45">
      <c r="A104" s="7">
        <v>42978</v>
      </c>
      <c r="B104" s="8">
        <v>58.8</v>
      </c>
      <c r="C104" s="8">
        <v>1.9</v>
      </c>
      <c r="G104" s="9">
        <v>45839</v>
      </c>
      <c r="H104" s="8">
        <v>16.829999999999998</v>
      </c>
      <c r="J104" s="7">
        <v>43008</v>
      </c>
      <c r="K104" s="8">
        <v>23.28</v>
      </c>
    </row>
    <row r="105" spans="1:11" x14ac:dyDescent="0.45">
      <c r="A105" s="7">
        <v>42947</v>
      </c>
      <c r="B105" s="8">
        <v>56.3</v>
      </c>
      <c r="C105" s="8">
        <v>1.7</v>
      </c>
      <c r="G105" s="9">
        <v>45838</v>
      </c>
      <c r="H105" s="8">
        <v>16.73</v>
      </c>
      <c r="J105" s="7">
        <v>42978</v>
      </c>
      <c r="K105" s="8">
        <v>23.16</v>
      </c>
    </row>
    <row r="106" spans="1:11" x14ac:dyDescent="0.45">
      <c r="A106" s="7">
        <v>42916</v>
      </c>
      <c r="B106" s="8">
        <v>57.8</v>
      </c>
      <c r="C106" s="8">
        <v>1.6</v>
      </c>
      <c r="G106" s="9">
        <v>45835</v>
      </c>
      <c r="H106" s="8">
        <v>16.32</v>
      </c>
      <c r="J106" s="7">
        <v>42947</v>
      </c>
      <c r="K106" s="8">
        <v>23.36</v>
      </c>
    </row>
    <row r="107" spans="1:11" x14ac:dyDescent="0.45">
      <c r="A107" s="7">
        <v>42886</v>
      </c>
      <c r="B107" s="8">
        <v>54.9</v>
      </c>
      <c r="C107" s="8">
        <v>1.9</v>
      </c>
      <c r="G107" s="9">
        <v>45834</v>
      </c>
      <c r="H107" s="8">
        <v>16.59</v>
      </c>
      <c r="J107" s="7">
        <v>42916</v>
      </c>
      <c r="K107" s="8">
        <v>23.4</v>
      </c>
    </row>
    <row r="108" spans="1:11" x14ac:dyDescent="0.45">
      <c r="A108" s="7">
        <v>42855</v>
      </c>
      <c r="B108" s="8">
        <v>54.8</v>
      </c>
      <c r="C108" s="8">
        <v>2.2000000000000002</v>
      </c>
      <c r="G108" s="9">
        <v>45833</v>
      </c>
      <c r="H108" s="8">
        <v>16.760000000000002</v>
      </c>
      <c r="J108" s="7">
        <v>42886</v>
      </c>
      <c r="K108" s="8">
        <v>23.31</v>
      </c>
    </row>
    <row r="109" spans="1:11" x14ac:dyDescent="0.45">
      <c r="A109" s="7">
        <v>42825</v>
      </c>
      <c r="B109" s="8">
        <v>57.2</v>
      </c>
      <c r="C109" s="8">
        <v>2.4</v>
      </c>
      <c r="G109" s="9">
        <v>45832</v>
      </c>
      <c r="H109" s="8">
        <v>17.48</v>
      </c>
      <c r="J109" s="7">
        <v>42855</v>
      </c>
      <c r="K109" s="8">
        <v>23.24</v>
      </c>
    </row>
    <row r="110" spans="1:11" x14ac:dyDescent="0.45">
      <c r="A110" s="7">
        <v>42794</v>
      </c>
      <c r="B110" s="8">
        <v>57.7</v>
      </c>
      <c r="C110" s="8">
        <v>2.7</v>
      </c>
      <c r="G110" s="9">
        <v>45831</v>
      </c>
      <c r="H110" s="8">
        <v>19.829999999999998</v>
      </c>
      <c r="J110" s="7">
        <v>42825</v>
      </c>
      <c r="K110" s="8">
        <v>23.6</v>
      </c>
    </row>
    <row r="111" spans="1:11" x14ac:dyDescent="0.45">
      <c r="A111" s="7">
        <v>42766</v>
      </c>
      <c r="B111" s="8">
        <v>56</v>
      </c>
      <c r="C111" s="8">
        <v>2.5</v>
      </c>
      <c r="G111" s="9">
        <v>45828</v>
      </c>
      <c r="H111" s="8">
        <v>20.62</v>
      </c>
      <c r="J111" s="7">
        <v>42794</v>
      </c>
      <c r="K111" s="8">
        <v>23.68</v>
      </c>
    </row>
    <row r="112" spans="1:11" x14ac:dyDescent="0.45">
      <c r="A112" s="7">
        <v>42735</v>
      </c>
      <c r="B112" s="8">
        <v>54.5</v>
      </c>
      <c r="C112" s="8">
        <v>2.1</v>
      </c>
      <c r="G112" s="9">
        <v>45827</v>
      </c>
      <c r="H112" s="8">
        <v>22.17</v>
      </c>
      <c r="J112" s="7">
        <v>42766</v>
      </c>
      <c r="K112" s="8">
        <v>23.59</v>
      </c>
    </row>
    <row r="113" spans="1:11" x14ac:dyDescent="0.45">
      <c r="A113" s="7">
        <v>42704</v>
      </c>
      <c r="B113" s="8">
        <v>53.2</v>
      </c>
      <c r="C113" s="8">
        <v>1.7</v>
      </c>
      <c r="G113" s="9">
        <v>45826</v>
      </c>
      <c r="H113" s="8">
        <v>20.14</v>
      </c>
      <c r="J113" s="7">
        <v>42735</v>
      </c>
      <c r="K113" s="8">
        <v>23.76</v>
      </c>
    </row>
    <row r="114" spans="1:11" x14ac:dyDescent="0.45">
      <c r="A114" s="7">
        <v>42674</v>
      </c>
      <c r="B114" s="8">
        <v>51.9</v>
      </c>
      <c r="C114" s="8">
        <v>1.6</v>
      </c>
      <c r="G114" s="9">
        <v>45825</v>
      </c>
      <c r="H114" s="8">
        <v>21.6</v>
      </c>
      <c r="J114" s="7">
        <v>42704</v>
      </c>
      <c r="K114" s="8">
        <v>23.35</v>
      </c>
    </row>
    <row r="115" spans="1:11" x14ac:dyDescent="0.45">
      <c r="A115" s="7">
        <v>42643</v>
      </c>
      <c r="B115" s="8">
        <v>51.5</v>
      </c>
      <c r="C115" s="8">
        <v>1.5</v>
      </c>
      <c r="G115" s="9">
        <v>45824</v>
      </c>
      <c r="H115" s="8">
        <v>19.11</v>
      </c>
      <c r="J115" s="7">
        <v>42674</v>
      </c>
      <c r="K115" s="8">
        <v>23.57</v>
      </c>
    </row>
    <row r="116" spans="1:11" x14ac:dyDescent="0.45">
      <c r="A116" s="7">
        <v>42613</v>
      </c>
      <c r="B116" s="8">
        <v>49.4</v>
      </c>
      <c r="C116" s="8">
        <v>1.1000000000000001</v>
      </c>
      <c r="G116" s="9">
        <v>45821</v>
      </c>
      <c r="H116" s="8">
        <v>20.82</v>
      </c>
      <c r="J116" s="7">
        <v>42643</v>
      </c>
      <c r="K116" s="8">
        <v>24.22</v>
      </c>
    </row>
    <row r="117" spans="1:11" x14ac:dyDescent="0.45">
      <c r="A117" s="7">
        <v>42582</v>
      </c>
      <c r="B117" s="8">
        <v>52.6</v>
      </c>
      <c r="C117" s="8">
        <v>0.8</v>
      </c>
      <c r="G117" s="9">
        <v>45820</v>
      </c>
      <c r="H117" s="8">
        <v>18.02</v>
      </c>
      <c r="J117" s="7">
        <v>42613</v>
      </c>
      <c r="K117" s="8">
        <v>24.57</v>
      </c>
    </row>
    <row r="118" spans="1:11" x14ac:dyDescent="0.45">
      <c r="A118" s="7">
        <v>42551</v>
      </c>
      <c r="B118" s="8">
        <v>53.2</v>
      </c>
      <c r="C118" s="8">
        <v>1</v>
      </c>
      <c r="G118" s="9">
        <v>45819</v>
      </c>
      <c r="H118" s="8">
        <v>17.260000000000002</v>
      </c>
      <c r="J118" s="7">
        <v>42582</v>
      </c>
      <c r="K118" s="8">
        <v>24.52</v>
      </c>
    </row>
    <row r="119" spans="1:11" x14ac:dyDescent="0.45">
      <c r="A119" s="7">
        <v>42521</v>
      </c>
      <c r="B119" s="8">
        <v>51.3</v>
      </c>
      <c r="C119" s="8">
        <v>1</v>
      </c>
      <c r="G119" s="9">
        <v>45818</v>
      </c>
      <c r="H119" s="8">
        <v>16.95</v>
      </c>
      <c r="J119" s="7">
        <v>42551</v>
      </c>
      <c r="K119" s="8">
        <v>23.97</v>
      </c>
    </row>
    <row r="120" spans="1:11" x14ac:dyDescent="0.45">
      <c r="A120" s="7">
        <v>42490</v>
      </c>
      <c r="B120" s="8">
        <v>50.8</v>
      </c>
      <c r="C120" s="8">
        <v>1.1000000000000001</v>
      </c>
      <c r="G120" s="9">
        <v>45817</v>
      </c>
      <c r="H120" s="8">
        <v>17.16</v>
      </c>
      <c r="J120" s="7">
        <v>42521</v>
      </c>
      <c r="K120" s="8">
        <v>23.81</v>
      </c>
    </row>
    <row r="121" spans="1:11" x14ac:dyDescent="0.45">
      <c r="A121" s="7">
        <v>42460</v>
      </c>
      <c r="B121" s="8">
        <v>51.8</v>
      </c>
      <c r="C121" s="8">
        <v>0.9</v>
      </c>
      <c r="G121" s="9">
        <v>45814</v>
      </c>
      <c r="H121" s="8">
        <v>16.77</v>
      </c>
      <c r="J121" s="7">
        <v>42490</v>
      </c>
      <c r="K121" s="8">
        <v>23.97</v>
      </c>
    </row>
    <row r="122" spans="1:11" x14ac:dyDescent="0.45">
      <c r="A122" s="7">
        <v>42429</v>
      </c>
      <c r="B122" s="8">
        <v>49.5</v>
      </c>
      <c r="C122" s="8">
        <v>1</v>
      </c>
      <c r="G122" s="9">
        <v>45813</v>
      </c>
      <c r="H122" s="8">
        <v>18.48</v>
      </c>
      <c r="J122" s="7">
        <v>42460</v>
      </c>
      <c r="K122" s="8">
        <v>23.39</v>
      </c>
    </row>
    <row r="123" spans="1:11" x14ac:dyDescent="0.45">
      <c r="A123" s="7">
        <v>42400</v>
      </c>
      <c r="B123" s="8">
        <v>48.2</v>
      </c>
      <c r="C123" s="8">
        <v>1.4</v>
      </c>
      <c r="G123" s="9">
        <v>45812</v>
      </c>
      <c r="H123" s="8">
        <v>17.61</v>
      </c>
      <c r="J123" s="7">
        <v>42429</v>
      </c>
      <c r="K123" s="8">
        <v>22.02</v>
      </c>
    </row>
    <row r="124" spans="1:11" x14ac:dyDescent="0.45">
      <c r="A124" s="7">
        <v>42369</v>
      </c>
      <c r="B124" s="8">
        <v>48.2</v>
      </c>
      <c r="C124" s="8">
        <v>0.7</v>
      </c>
      <c r="G124" s="9">
        <v>45811</v>
      </c>
      <c r="H124" s="8">
        <v>17.690000000000001</v>
      </c>
      <c r="J124" s="7">
        <v>42400</v>
      </c>
      <c r="K124" s="8">
        <v>22.18</v>
      </c>
    </row>
    <row r="125" spans="1:11" x14ac:dyDescent="0.45">
      <c r="A125" s="7">
        <v>42338</v>
      </c>
      <c r="B125" s="8">
        <v>48.6</v>
      </c>
      <c r="C125" s="8">
        <v>0.5</v>
      </c>
      <c r="G125" s="9">
        <v>45810</v>
      </c>
      <c r="H125" s="8">
        <v>18.36</v>
      </c>
      <c r="J125" s="7">
        <v>42369</v>
      </c>
      <c r="K125" s="8">
        <v>23.74</v>
      </c>
    </row>
    <row r="126" spans="1:11" x14ac:dyDescent="0.45">
      <c r="A126" s="7">
        <v>42308</v>
      </c>
      <c r="B126" s="8">
        <v>50.1</v>
      </c>
      <c r="C126" s="8">
        <v>0.2</v>
      </c>
      <c r="G126" s="9">
        <v>45807</v>
      </c>
      <c r="H126" s="8">
        <v>18.57</v>
      </c>
      <c r="J126" s="7">
        <v>42338</v>
      </c>
      <c r="K126" s="8">
        <v>23.67</v>
      </c>
    </row>
    <row r="127" spans="1:11" x14ac:dyDescent="0.45">
      <c r="A127" s="7">
        <v>42277</v>
      </c>
      <c r="B127" s="8">
        <v>50.2</v>
      </c>
      <c r="C127" s="8">
        <v>0</v>
      </c>
      <c r="G127" s="9">
        <v>45806</v>
      </c>
      <c r="H127" s="8">
        <v>19.18</v>
      </c>
      <c r="J127" s="7">
        <v>42308</v>
      </c>
      <c r="K127" s="8">
        <v>22.68</v>
      </c>
    </row>
    <row r="128" spans="1:11" x14ac:dyDescent="0.45">
      <c r="A128" s="7">
        <v>42247</v>
      </c>
      <c r="B128" s="8">
        <v>51.1</v>
      </c>
      <c r="C128" s="8">
        <v>0.2</v>
      </c>
      <c r="G128" s="9">
        <v>45805</v>
      </c>
      <c r="H128" s="8">
        <v>19.309999999999999</v>
      </c>
      <c r="J128" s="7">
        <v>42277</v>
      </c>
      <c r="K128" s="8">
        <v>21.45</v>
      </c>
    </row>
    <row r="129" spans="1:11" x14ac:dyDescent="0.45">
      <c r="A129" s="7">
        <v>42216</v>
      </c>
      <c r="B129" s="8">
        <v>52.7</v>
      </c>
      <c r="C129" s="8">
        <v>0.2</v>
      </c>
      <c r="G129" s="9">
        <v>45804</v>
      </c>
      <c r="H129" s="8">
        <v>18.96</v>
      </c>
      <c r="J129" s="7">
        <v>42247</v>
      </c>
      <c r="K129" s="8">
        <v>22.15</v>
      </c>
    </row>
    <row r="130" spans="1:11" x14ac:dyDescent="0.45">
      <c r="A130" s="7">
        <v>42185</v>
      </c>
      <c r="B130" s="8">
        <v>53.5</v>
      </c>
      <c r="C130" s="8">
        <v>0.1</v>
      </c>
      <c r="G130" s="9">
        <v>45803</v>
      </c>
      <c r="H130" s="8">
        <v>20.57</v>
      </c>
      <c r="J130" s="7">
        <v>42216</v>
      </c>
      <c r="K130" s="8">
        <v>22.4</v>
      </c>
    </row>
    <row r="131" spans="1:11" x14ac:dyDescent="0.45">
      <c r="A131" s="7">
        <v>42155</v>
      </c>
      <c r="B131" s="8">
        <v>52.8</v>
      </c>
      <c r="C131" s="8">
        <v>0</v>
      </c>
      <c r="G131" s="9">
        <v>45800</v>
      </c>
      <c r="H131" s="8">
        <v>22.29</v>
      </c>
      <c r="J131" s="7">
        <v>42185</v>
      </c>
      <c r="K131" s="8">
        <v>22.12</v>
      </c>
    </row>
    <row r="132" spans="1:11" x14ac:dyDescent="0.45">
      <c r="A132" s="7">
        <v>42124</v>
      </c>
      <c r="B132" s="8">
        <v>51.5</v>
      </c>
      <c r="C132" s="8">
        <v>-0.2</v>
      </c>
      <c r="G132" s="9">
        <v>45799</v>
      </c>
      <c r="H132" s="8">
        <v>20.28</v>
      </c>
      <c r="J132" s="7">
        <v>42155</v>
      </c>
      <c r="K132" s="8">
        <v>21.92</v>
      </c>
    </row>
    <row r="133" spans="1:11" x14ac:dyDescent="0.45">
      <c r="A133" s="7">
        <v>42094</v>
      </c>
      <c r="B133" s="8">
        <v>51.5</v>
      </c>
      <c r="C133" s="8">
        <v>-0.1</v>
      </c>
      <c r="G133" s="9">
        <v>45798</v>
      </c>
      <c r="H133" s="8">
        <v>20.87</v>
      </c>
      <c r="J133" s="7">
        <v>42124</v>
      </c>
      <c r="K133" s="8">
        <v>21.42</v>
      </c>
    </row>
    <row r="134" spans="1:11" x14ac:dyDescent="0.45">
      <c r="A134" s="7">
        <v>42063</v>
      </c>
      <c r="B134" s="8">
        <v>52.9</v>
      </c>
      <c r="C134" s="8">
        <v>0</v>
      </c>
      <c r="G134" s="9">
        <v>45797</v>
      </c>
      <c r="H134" s="8">
        <v>18.09</v>
      </c>
      <c r="J134" s="7">
        <v>42094</v>
      </c>
      <c r="K134" s="8">
        <v>20.96</v>
      </c>
    </row>
    <row r="135" spans="1:11" x14ac:dyDescent="0.45">
      <c r="A135" s="7">
        <v>42035</v>
      </c>
      <c r="B135" s="8">
        <v>53.5</v>
      </c>
      <c r="C135" s="8">
        <v>-0.1</v>
      </c>
      <c r="G135" s="9">
        <v>45796</v>
      </c>
      <c r="H135" s="8">
        <v>18.14</v>
      </c>
      <c r="J135" s="7">
        <v>42063</v>
      </c>
      <c r="K135" s="8">
        <v>20.77</v>
      </c>
    </row>
    <row r="136" spans="1:11" x14ac:dyDescent="0.45">
      <c r="A136" s="7">
        <v>42004</v>
      </c>
      <c r="B136" s="8">
        <v>55.1</v>
      </c>
      <c r="C136" s="8">
        <v>0.8</v>
      </c>
      <c r="G136" s="9">
        <v>45793</v>
      </c>
      <c r="H136" s="8">
        <v>17.239999999999998</v>
      </c>
      <c r="J136" s="7">
        <v>42035</v>
      </c>
      <c r="K136" s="8">
        <v>20.02</v>
      </c>
    </row>
    <row r="137" spans="1:11" x14ac:dyDescent="0.45">
      <c r="A137" s="7">
        <v>41973</v>
      </c>
      <c r="B137" s="8">
        <v>58.7</v>
      </c>
      <c r="C137" s="8">
        <v>1.3</v>
      </c>
      <c r="G137" s="9">
        <v>45792</v>
      </c>
      <c r="H137" s="8">
        <v>17.829999999999998</v>
      </c>
      <c r="J137" s="7">
        <v>42004</v>
      </c>
      <c r="K137" s="8">
        <v>20.079999999999998</v>
      </c>
    </row>
    <row r="138" spans="1:11" x14ac:dyDescent="0.45">
      <c r="A138" s="7">
        <v>41943</v>
      </c>
      <c r="B138" s="8">
        <v>59</v>
      </c>
      <c r="C138" s="8">
        <v>1.7</v>
      </c>
      <c r="G138" s="9">
        <v>45791</v>
      </c>
      <c r="H138" s="8">
        <v>18.62</v>
      </c>
      <c r="J138" s="7">
        <v>41973</v>
      </c>
      <c r="K138" s="8">
        <v>19.75</v>
      </c>
    </row>
    <row r="139" spans="1:11" x14ac:dyDescent="0.45">
      <c r="A139" s="7">
        <v>41912</v>
      </c>
      <c r="B139" s="8">
        <v>56.6</v>
      </c>
      <c r="C139" s="8">
        <v>1.7</v>
      </c>
      <c r="G139" s="9">
        <v>45790</v>
      </c>
      <c r="H139" s="8">
        <v>18.22</v>
      </c>
      <c r="J139" s="7">
        <v>41943</v>
      </c>
      <c r="K139" s="8">
        <v>18.5</v>
      </c>
    </row>
    <row r="140" spans="1:11" x14ac:dyDescent="0.45">
      <c r="A140" s="7">
        <v>41882</v>
      </c>
      <c r="B140" s="8">
        <v>59</v>
      </c>
      <c r="C140" s="8">
        <v>1.7</v>
      </c>
      <c r="G140" s="9">
        <v>45789</v>
      </c>
      <c r="H140" s="8">
        <v>18.39</v>
      </c>
      <c r="J140" s="7">
        <v>41912</v>
      </c>
      <c r="K140" s="8">
        <v>18.809999999999999</v>
      </c>
    </row>
    <row r="141" spans="1:11" x14ac:dyDescent="0.45">
      <c r="A141" s="7">
        <v>41851</v>
      </c>
      <c r="B141" s="8">
        <v>57.1</v>
      </c>
      <c r="C141" s="8">
        <v>2</v>
      </c>
      <c r="G141" s="9">
        <v>45786</v>
      </c>
      <c r="H141" s="8">
        <v>21.9</v>
      </c>
      <c r="J141" s="7">
        <v>41882</v>
      </c>
      <c r="K141" s="8">
        <v>18.68</v>
      </c>
    </row>
    <row r="142" spans="1:11" x14ac:dyDescent="0.45">
      <c r="A142" s="7">
        <v>41820</v>
      </c>
      <c r="B142" s="8">
        <v>55.3</v>
      </c>
      <c r="C142" s="8">
        <v>2.1</v>
      </c>
      <c r="G142" s="9">
        <v>45785</v>
      </c>
      <c r="H142" s="8">
        <v>22.48</v>
      </c>
      <c r="J142" s="7">
        <v>41851</v>
      </c>
      <c r="K142" s="8">
        <v>18.96</v>
      </c>
    </row>
    <row r="143" spans="1:11" x14ac:dyDescent="0.45">
      <c r="A143" s="7">
        <v>41790</v>
      </c>
      <c r="B143" s="8">
        <v>55.4</v>
      </c>
      <c r="C143" s="8">
        <v>2.1</v>
      </c>
      <c r="G143" s="9">
        <v>45784</v>
      </c>
      <c r="H143" s="8">
        <v>23.55</v>
      </c>
      <c r="J143" s="7">
        <v>41820</v>
      </c>
      <c r="K143" s="8">
        <v>18.88</v>
      </c>
    </row>
    <row r="144" spans="1:11" x14ac:dyDescent="0.45">
      <c r="A144" s="7">
        <v>41759</v>
      </c>
      <c r="B144" s="8">
        <v>54.9</v>
      </c>
      <c r="C144" s="8">
        <v>2</v>
      </c>
      <c r="G144" s="9">
        <v>45783</v>
      </c>
      <c r="H144" s="8">
        <v>24.76</v>
      </c>
      <c r="J144" s="7">
        <v>41790</v>
      </c>
      <c r="K144" s="8">
        <v>18.46</v>
      </c>
    </row>
    <row r="145" spans="1:11" x14ac:dyDescent="0.45">
      <c r="A145" s="7">
        <v>41729</v>
      </c>
      <c r="B145" s="8">
        <v>53.7</v>
      </c>
      <c r="C145" s="8">
        <v>1.5</v>
      </c>
      <c r="G145" s="9">
        <v>45782</v>
      </c>
      <c r="H145" s="8">
        <v>23.64</v>
      </c>
      <c r="J145" s="7">
        <v>41759</v>
      </c>
      <c r="K145" s="8">
        <v>18.350000000000001</v>
      </c>
    </row>
    <row r="146" spans="1:11" x14ac:dyDescent="0.45">
      <c r="A146" s="7">
        <v>41698</v>
      </c>
      <c r="B146" s="8">
        <v>53.2</v>
      </c>
      <c r="C146" s="8">
        <v>1.1000000000000001</v>
      </c>
      <c r="G146" s="9">
        <v>45779</v>
      </c>
      <c r="H146" s="8">
        <v>22.68</v>
      </c>
      <c r="J146" s="7">
        <v>41729</v>
      </c>
      <c r="K146" s="8">
        <v>18.48</v>
      </c>
    </row>
    <row r="147" spans="1:11" x14ac:dyDescent="0.45">
      <c r="A147" s="7">
        <v>41670</v>
      </c>
      <c r="B147" s="8">
        <v>51.3</v>
      </c>
      <c r="C147" s="8">
        <v>1.6</v>
      </c>
      <c r="G147" s="9">
        <v>45778</v>
      </c>
      <c r="H147" s="8">
        <v>24.6</v>
      </c>
      <c r="J147" s="7">
        <v>41698</v>
      </c>
      <c r="K147" s="8">
        <v>18.059999999999999</v>
      </c>
    </row>
    <row r="148" spans="1:11" x14ac:dyDescent="0.45">
      <c r="A148" s="7">
        <v>41639</v>
      </c>
      <c r="B148" s="8">
        <v>56.5</v>
      </c>
      <c r="C148" s="8">
        <v>1.5</v>
      </c>
      <c r="G148" s="9">
        <v>45777</v>
      </c>
      <c r="H148" s="8">
        <v>24.7</v>
      </c>
      <c r="J148" s="7">
        <v>41670</v>
      </c>
      <c r="K148" s="8">
        <v>18.149999999999999</v>
      </c>
    </row>
    <row r="149" spans="1:11" x14ac:dyDescent="0.45">
      <c r="A149" s="7">
        <v>41608</v>
      </c>
      <c r="B149" s="8">
        <v>57.3</v>
      </c>
      <c r="C149" s="8">
        <v>1.2</v>
      </c>
      <c r="G149" s="9">
        <v>45776</v>
      </c>
      <c r="H149" s="8">
        <v>24.17</v>
      </c>
      <c r="J149" s="7">
        <v>41639</v>
      </c>
      <c r="K149" s="8">
        <v>18.04</v>
      </c>
    </row>
    <row r="150" spans="1:11" x14ac:dyDescent="0.45">
      <c r="A150" s="7">
        <v>41578</v>
      </c>
      <c r="B150" s="8">
        <v>56.4</v>
      </c>
      <c r="C150" s="8">
        <v>1</v>
      </c>
      <c r="G150" s="9">
        <v>45775</v>
      </c>
      <c r="H150" s="8">
        <v>25.15</v>
      </c>
      <c r="J150" s="7">
        <v>41608</v>
      </c>
      <c r="K150" s="8">
        <v>18.149999999999999</v>
      </c>
    </row>
    <row r="151" spans="1:11" x14ac:dyDescent="0.45">
      <c r="A151" s="7">
        <v>41547</v>
      </c>
      <c r="B151" s="8">
        <v>56.2</v>
      </c>
      <c r="C151" s="8">
        <v>1.2</v>
      </c>
      <c r="G151" s="9">
        <v>45772</v>
      </c>
      <c r="H151" s="8">
        <v>24.84</v>
      </c>
      <c r="J151" s="7">
        <v>41578</v>
      </c>
      <c r="K151" s="8">
        <v>17.86</v>
      </c>
    </row>
    <row r="152" spans="1:11" x14ac:dyDescent="0.45">
      <c r="A152" s="7">
        <v>41517</v>
      </c>
      <c r="B152" s="8">
        <v>55.7</v>
      </c>
      <c r="C152" s="8">
        <v>1.5</v>
      </c>
      <c r="G152" s="9">
        <v>45771</v>
      </c>
      <c r="H152" s="8">
        <v>26.47</v>
      </c>
      <c r="J152" s="7">
        <v>41547</v>
      </c>
      <c r="K152" s="8">
        <v>17.88</v>
      </c>
    </row>
    <row r="153" spans="1:11" x14ac:dyDescent="0.45">
      <c r="A153" s="7">
        <v>41486</v>
      </c>
      <c r="B153" s="8">
        <v>55.4</v>
      </c>
      <c r="C153" s="8">
        <v>2</v>
      </c>
      <c r="G153" s="9">
        <v>45770</v>
      </c>
      <c r="H153" s="8">
        <v>28.45</v>
      </c>
      <c r="J153" s="7">
        <v>41517</v>
      </c>
      <c r="K153" s="8">
        <v>17.91</v>
      </c>
    </row>
    <row r="154" spans="1:11" x14ac:dyDescent="0.45">
      <c r="A154" s="7">
        <v>41455</v>
      </c>
      <c r="B154" s="8">
        <v>50.9</v>
      </c>
      <c r="C154" s="8">
        <v>1.8</v>
      </c>
      <c r="G154" s="9">
        <v>45769</v>
      </c>
      <c r="H154" s="8">
        <v>30.57</v>
      </c>
      <c r="J154" s="7">
        <v>41486</v>
      </c>
      <c r="K154" s="8">
        <v>18.12</v>
      </c>
    </row>
    <row r="155" spans="1:11" x14ac:dyDescent="0.45">
      <c r="A155" s="7">
        <v>41425</v>
      </c>
      <c r="B155" s="8">
        <v>49</v>
      </c>
      <c r="C155" s="8">
        <v>1.4</v>
      </c>
      <c r="G155" s="9">
        <v>45768</v>
      </c>
      <c r="H155" s="8">
        <v>33.82</v>
      </c>
      <c r="J155" s="7">
        <v>41455</v>
      </c>
      <c r="K155" s="8">
        <v>17.8</v>
      </c>
    </row>
    <row r="156" spans="1:11" x14ac:dyDescent="0.45">
      <c r="A156" s="7">
        <v>41394</v>
      </c>
      <c r="B156" s="8">
        <v>50.7</v>
      </c>
      <c r="C156" s="8">
        <v>1.1000000000000001</v>
      </c>
      <c r="G156" s="9">
        <v>45764</v>
      </c>
      <c r="H156" s="8">
        <v>29.65</v>
      </c>
      <c r="J156" s="7">
        <v>41425</v>
      </c>
      <c r="K156" s="8">
        <v>18.25</v>
      </c>
    </row>
    <row r="157" spans="1:11" x14ac:dyDescent="0.45">
      <c r="A157" s="7">
        <v>41364</v>
      </c>
      <c r="B157" s="8">
        <v>51.3</v>
      </c>
      <c r="C157" s="8">
        <v>1.5</v>
      </c>
      <c r="G157" s="9">
        <v>45763</v>
      </c>
      <c r="H157" s="8">
        <v>32.64</v>
      </c>
      <c r="J157" s="7">
        <v>41394</v>
      </c>
      <c r="K157" s="8">
        <v>17.690000000000001</v>
      </c>
    </row>
    <row r="158" spans="1:11" x14ac:dyDescent="0.45">
      <c r="A158" s="7">
        <v>41333</v>
      </c>
      <c r="B158" s="8">
        <v>54.2</v>
      </c>
      <c r="C158" s="8">
        <v>2</v>
      </c>
      <c r="G158" s="9">
        <v>45762</v>
      </c>
      <c r="H158" s="8">
        <v>30.12</v>
      </c>
      <c r="J158" s="7">
        <v>41364</v>
      </c>
      <c r="K158" s="8">
        <v>17.68</v>
      </c>
    </row>
    <row r="159" spans="1:11" x14ac:dyDescent="0.45">
      <c r="A159" s="7">
        <v>41305</v>
      </c>
      <c r="B159" s="8">
        <v>53.1</v>
      </c>
      <c r="C159" s="8">
        <v>1.6</v>
      </c>
      <c r="G159" s="9">
        <v>45761</v>
      </c>
      <c r="H159" s="8">
        <v>30.89</v>
      </c>
      <c r="J159" s="7">
        <v>41333</v>
      </c>
      <c r="K159" s="8">
        <v>17.32</v>
      </c>
    </row>
    <row r="160" spans="1:11" x14ac:dyDescent="0.45">
      <c r="A160" s="7">
        <v>41274</v>
      </c>
      <c r="B160" s="8">
        <v>50.2</v>
      </c>
      <c r="C160" s="8">
        <v>1.7</v>
      </c>
      <c r="G160" s="9">
        <v>45758</v>
      </c>
      <c r="H160" s="8">
        <v>37.56</v>
      </c>
      <c r="J160" s="7">
        <v>41305</v>
      </c>
      <c r="K160" s="8">
        <v>17.03</v>
      </c>
    </row>
    <row r="161" spans="1:11" x14ac:dyDescent="0.45">
      <c r="A161" s="7">
        <v>41243</v>
      </c>
      <c r="B161" s="8">
        <v>49.5</v>
      </c>
      <c r="C161" s="8">
        <v>1.8</v>
      </c>
      <c r="G161" s="9">
        <v>45757</v>
      </c>
      <c r="H161" s="8">
        <v>40.72</v>
      </c>
      <c r="J161" s="7">
        <v>41274</v>
      </c>
      <c r="K161" s="8">
        <v>16.440000000000001</v>
      </c>
    </row>
    <row r="162" spans="1:11" x14ac:dyDescent="0.45">
      <c r="A162" s="7">
        <v>41213</v>
      </c>
      <c r="B162" s="8">
        <v>51.7</v>
      </c>
      <c r="C162" s="8">
        <v>2.2000000000000002</v>
      </c>
      <c r="G162" s="9">
        <v>45756</v>
      </c>
      <c r="H162" s="8">
        <v>33.619999999999997</v>
      </c>
      <c r="J162" s="7">
        <v>41243</v>
      </c>
      <c r="K162" s="8">
        <v>16.12</v>
      </c>
    </row>
    <row r="163" spans="1:11" x14ac:dyDescent="0.45">
      <c r="A163" s="7">
        <v>41182</v>
      </c>
      <c r="B163" s="8">
        <v>51.5</v>
      </c>
      <c r="C163" s="8">
        <v>2</v>
      </c>
      <c r="G163" s="9">
        <v>45755</v>
      </c>
      <c r="H163" s="8">
        <v>52.33</v>
      </c>
      <c r="J163" s="7">
        <v>41213</v>
      </c>
      <c r="K163" s="8">
        <v>16.62</v>
      </c>
    </row>
    <row r="164" spans="1:11" x14ac:dyDescent="0.45">
      <c r="A164" s="7">
        <v>41152</v>
      </c>
      <c r="B164" s="8">
        <v>49.6</v>
      </c>
      <c r="C164" s="8">
        <v>1.7</v>
      </c>
      <c r="G164" s="9">
        <v>45754</v>
      </c>
      <c r="H164" s="8">
        <v>46.98</v>
      </c>
      <c r="J164" s="7">
        <v>41182</v>
      </c>
      <c r="K164" s="8">
        <v>16.690000000000001</v>
      </c>
    </row>
    <row r="165" spans="1:11" x14ac:dyDescent="0.45">
      <c r="A165" s="7">
        <v>41121</v>
      </c>
      <c r="B165" s="8">
        <v>49.8</v>
      </c>
      <c r="C165" s="8">
        <v>1.4</v>
      </c>
      <c r="G165" s="9">
        <v>45751</v>
      </c>
      <c r="H165" s="8">
        <v>45.31</v>
      </c>
      <c r="J165" s="7">
        <v>41152</v>
      </c>
      <c r="K165" s="8">
        <v>16.14</v>
      </c>
    </row>
    <row r="166" spans="1:11" x14ac:dyDescent="0.45">
      <c r="A166" s="7">
        <v>41090</v>
      </c>
      <c r="B166" s="8">
        <v>49.7</v>
      </c>
      <c r="C166" s="8">
        <v>1.7</v>
      </c>
      <c r="G166" s="9">
        <v>45750</v>
      </c>
      <c r="H166" s="8">
        <v>30.02</v>
      </c>
      <c r="J166" s="7">
        <v>41121</v>
      </c>
      <c r="K166" s="8">
        <v>15.55</v>
      </c>
    </row>
    <row r="167" spans="1:11" x14ac:dyDescent="0.45">
      <c r="A167" s="7">
        <v>41060</v>
      </c>
      <c r="B167" s="8">
        <v>53.5</v>
      </c>
      <c r="C167" s="8">
        <v>1.7</v>
      </c>
      <c r="G167" s="9">
        <v>45749</v>
      </c>
      <c r="H167" s="8">
        <v>21.51</v>
      </c>
      <c r="J167" s="7">
        <v>41090</v>
      </c>
      <c r="K167" s="8">
        <v>15.05</v>
      </c>
    </row>
    <row r="168" spans="1:11" x14ac:dyDescent="0.45">
      <c r="A168" s="7">
        <v>41029</v>
      </c>
      <c r="B168" s="8">
        <v>54.8</v>
      </c>
      <c r="C168" s="8">
        <v>2.2999999999999998</v>
      </c>
      <c r="G168" s="9">
        <v>45748</v>
      </c>
      <c r="H168" s="8">
        <v>21.77</v>
      </c>
      <c r="J168" s="7">
        <v>41060</v>
      </c>
      <c r="K168" s="8">
        <v>15.22</v>
      </c>
    </row>
    <row r="169" spans="1:11" x14ac:dyDescent="0.45">
      <c r="A169" s="7">
        <v>40999</v>
      </c>
      <c r="B169" s="8">
        <v>53.4</v>
      </c>
      <c r="C169" s="8">
        <v>2.7</v>
      </c>
      <c r="G169" s="9">
        <v>45747</v>
      </c>
      <c r="H169" s="8">
        <v>22.28</v>
      </c>
      <c r="J169" s="7">
        <v>41029</v>
      </c>
      <c r="K169" s="8">
        <v>15.7</v>
      </c>
    </row>
    <row r="170" spans="1:11" x14ac:dyDescent="0.45">
      <c r="A170" s="7">
        <v>40968</v>
      </c>
      <c r="B170" s="8">
        <v>52.4</v>
      </c>
      <c r="C170" s="8">
        <v>2.9</v>
      </c>
      <c r="G170" s="9">
        <v>45744</v>
      </c>
      <c r="H170" s="8">
        <v>21.65</v>
      </c>
      <c r="J170" s="7">
        <v>40999</v>
      </c>
      <c r="K170" s="8">
        <v>15.69</v>
      </c>
    </row>
    <row r="171" spans="1:11" x14ac:dyDescent="0.45">
      <c r="A171" s="7">
        <v>40939</v>
      </c>
      <c r="B171" s="8">
        <v>54.1</v>
      </c>
      <c r="C171" s="8">
        <v>2.9</v>
      </c>
      <c r="G171" s="9">
        <v>45743</v>
      </c>
      <c r="H171" s="8">
        <v>18.690000000000001</v>
      </c>
      <c r="J171" s="7">
        <v>40968</v>
      </c>
      <c r="K171" s="8">
        <v>15.37</v>
      </c>
    </row>
    <row r="172" spans="1:11" x14ac:dyDescent="0.45">
      <c r="A172" s="7">
        <v>40908</v>
      </c>
      <c r="B172" s="8">
        <v>53.1</v>
      </c>
      <c r="C172" s="8">
        <v>3</v>
      </c>
      <c r="G172" s="9">
        <v>45742</v>
      </c>
      <c r="H172" s="8">
        <v>18.329999999999998</v>
      </c>
      <c r="J172" s="7">
        <v>40939</v>
      </c>
      <c r="K172" s="8">
        <v>14.87</v>
      </c>
    </row>
    <row r="173" spans="1:11" x14ac:dyDescent="0.45">
      <c r="A173" s="7">
        <v>40877</v>
      </c>
      <c r="B173" s="8">
        <v>52.2</v>
      </c>
      <c r="C173" s="8">
        <v>3.4</v>
      </c>
      <c r="G173" s="9">
        <v>45741</v>
      </c>
      <c r="H173" s="8">
        <v>17.149999999999999</v>
      </c>
      <c r="J173" s="7">
        <v>40908</v>
      </c>
      <c r="K173" s="8">
        <v>14.3</v>
      </c>
    </row>
    <row r="174" spans="1:11" x14ac:dyDescent="0.45">
      <c r="A174" s="7">
        <v>40847</v>
      </c>
      <c r="B174" s="8">
        <v>51.8</v>
      </c>
      <c r="C174" s="8">
        <v>3.5</v>
      </c>
      <c r="G174" s="9">
        <v>45740</v>
      </c>
      <c r="H174" s="8">
        <v>17.48</v>
      </c>
      <c r="J174" s="7">
        <v>40877</v>
      </c>
      <c r="K174" s="8">
        <v>14.1</v>
      </c>
    </row>
    <row r="175" spans="1:11" x14ac:dyDescent="0.45">
      <c r="A175" s="7">
        <v>40816</v>
      </c>
      <c r="B175" s="8">
        <v>52.5</v>
      </c>
      <c r="C175" s="8">
        <v>3.9</v>
      </c>
      <c r="G175" s="9">
        <v>45737</v>
      </c>
      <c r="H175" s="8">
        <v>19.28</v>
      </c>
      <c r="J175" s="7">
        <v>40847</v>
      </c>
      <c r="K175" s="8">
        <v>13.88</v>
      </c>
    </row>
    <row r="176" spans="1:11" x14ac:dyDescent="0.45">
      <c r="A176" s="7">
        <v>40786</v>
      </c>
      <c r="B176" s="8">
        <v>52.5</v>
      </c>
      <c r="C176" s="8">
        <v>3.8</v>
      </c>
      <c r="G176" s="9">
        <v>45736</v>
      </c>
      <c r="H176" s="8">
        <v>19.8</v>
      </c>
      <c r="J176" s="7">
        <v>40816</v>
      </c>
      <c r="K176" s="8">
        <v>13.5</v>
      </c>
    </row>
    <row r="177" spans="1:11" x14ac:dyDescent="0.45">
      <c r="A177" s="7">
        <v>40755</v>
      </c>
      <c r="B177" s="8">
        <v>51.4</v>
      </c>
      <c r="C177" s="8">
        <v>3.6</v>
      </c>
      <c r="G177" s="9">
        <v>45735</v>
      </c>
      <c r="H177" s="8">
        <v>19.899999999999999</v>
      </c>
      <c r="J177" s="7">
        <v>40786</v>
      </c>
      <c r="K177" s="8">
        <v>13.79</v>
      </c>
    </row>
    <row r="178" spans="1:11" x14ac:dyDescent="0.45">
      <c r="A178" s="7">
        <v>40724</v>
      </c>
      <c r="B178" s="8">
        <v>55.8</v>
      </c>
      <c r="C178" s="8">
        <v>3.6</v>
      </c>
      <c r="G178" s="9">
        <v>45734</v>
      </c>
      <c r="H178" s="8">
        <v>21.7</v>
      </c>
      <c r="J178" s="7">
        <v>40755</v>
      </c>
      <c r="K178" s="8">
        <v>15.61</v>
      </c>
    </row>
    <row r="179" spans="1:11" x14ac:dyDescent="0.45">
      <c r="A179" s="7">
        <v>40694</v>
      </c>
      <c r="B179" s="8">
        <v>54.2</v>
      </c>
      <c r="C179" s="8">
        <v>3.6</v>
      </c>
      <c r="G179" s="9">
        <v>45733</v>
      </c>
      <c r="H179" s="8">
        <v>20.51</v>
      </c>
      <c r="J179" s="7">
        <v>40724</v>
      </c>
      <c r="K179" s="8">
        <v>15.35</v>
      </c>
    </row>
    <row r="180" spans="1:11" x14ac:dyDescent="0.45">
      <c r="A180" s="7">
        <v>40663</v>
      </c>
      <c r="B180" s="8">
        <v>59.7</v>
      </c>
      <c r="C180" s="8">
        <v>3.2</v>
      </c>
      <c r="G180" s="9">
        <v>45730</v>
      </c>
      <c r="H180" s="8">
        <v>21.77</v>
      </c>
      <c r="J180" s="7">
        <v>40694</v>
      </c>
      <c r="K180" s="8">
        <v>16.12</v>
      </c>
    </row>
    <row r="181" spans="1:11" x14ac:dyDescent="0.45">
      <c r="A181" s="7">
        <v>40633</v>
      </c>
      <c r="B181" s="8">
        <v>59.7</v>
      </c>
      <c r="C181" s="8">
        <v>2.7</v>
      </c>
      <c r="G181" s="9">
        <v>45729</v>
      </c>
      <c r="H181" s="8">
        <v>24.66</v>
      </c>
      <c r="J181" s="7">
        <v>40663</v>
      </c>
      <c r="K181" s="8">
        <v>16.21</v>
      </c>
    </row>
    <row r="182" spans="1:11" x14ac:dyDescent="0.45">
      <c r="A182" s="7">
        <v>40602</v>
      </c>
      <c r="B182" s="8">
        <v>59.8</v>
      </c>
      <c r="C182" s="8">
        <v>2.1</v>
      </c>
      <c r="G182" s="9">
        <v>45728</v>
      </c>
      <c r="H182" s="8">
        <v>24.23</v>
      </c>
      <c r="J182" s="7">
        <v>40633</v>
      </c>
      <c r="K182" s="8">
        <v>16.04</v>
      </c>
    </row>
    <row r="183" spans="1:11" x14ac:dyDescent="0.45">
      <c r="A183" s="7">
        <v>40574</v>
      </c>
      <c r="B183" s="8">
        <v>59.9</v>
      </c>
      <c r="C183" s="8">
        <v>1.6</v>
      </c>
      <c r="G183" s="9">
        <v>45727</v>
      </c>
      <c r="H183" s="8">
        <v>26.92</v>
      </c>
      <c r="J183" s="7">
        <v>40602</v>
      </c>
      <c r="K183" s="8">
        <v>16.52</v>
      </c>
    </row>
    <row r="184" spans="1:11" x14ac:dyDescent="0.45">
      <c r="A184" s="7">
        <v>40543</v>
      </c>
      <c r="B184" s="8">
        <v>57.3</v>
      </c>
      <c r="C184" s="8">
        <v>1.5</v>
      </c>
      <c r="G184" s="9">
        <v>45726</v>
      </c>
      <c r="H184" s="8">
        <v>27.86</v>
      </c>
      <c r="J184" s="7">
        <v>40574</v>
      </c>
      <c r="K184" s="8">
        <v>16.3</v>
      </c>
    </row>
    <row r="185" spans="1:11" x14ac:dyDescent="0.45">
      <c r="A185" s="7">
        <v>40512</v>
      </c>
      <c r="B185" s="8">
        <v>58</v>
      </c>
      <c r="C185" s="8">
        <v>1.1000000000000001</v>
      </c>
      <c r="G185" s="9">
        <v>45723</v>
      </c>
      <c r="H185" s="8">
        <v>23.37</v>
      </c>
      <c r="J185" s="7">
        <v>40543</v>
      </c>
      <c r="K185" s="8">
        <v>16.05</v>
      </c>
    </row>
    <row r="186" spans="1:11" x14ac:dyDescent="0.45">
      <c r="A186" s="7">
        <v>40482</v>
      </c>
      <c r="B186" s="8">
        <v>57</v>
      </c>
      <c r="C186" s="8">
        <v>1.2</v>
      </c>
      <c r="G186" s="9">
        <v>45722</v>
      </c>
      <c r="H186" s="8">
        <v>24.87</v>
      </c>
      <c r="J186" s="7">
        <v>40512</v>
      </c>
      <c r="K186" s="8">
        <v>15.88</v>
      </c>
    </row>
    <row r="187" spans="1:11" x14ac:dyDescent="0.45">
      <c r="A187" s="7">
        <v>40451</v>
      </c>
      <c r="B187" s="8">
        <v>56.4</v>
      </c>
      <c r="C187" s="8">
        <v>1.1000000000000001</v>
      </c>
      <c r="G187" s="9">
        <v>45721</v>
      </c>
      <c r="H187" s="8">
        <v>21.93</v>
      </c>
      <c r="J187" s="7">
        <v>40482</v>
      </c>
      <c r="K187" s="8">
        <v>15.9</v>
      </c>
    </row>
    <row r="188" spans="1:11" x14ac:dyDescent="0.45">
      <c r="A188" s="7">
        <v>40421</v>
      </c>
      <c r="B188" s="8">
        <v>57.4</v>
      </c>
      <c r="C188" s="8">
        <v>1.1000000000000001</v>
      </c>
      <c r="G188" s="9">
        <v>45720</v>
      </c>
      <c r="H188" s="8">
        <v>23.51</v>
      </c>
      <c r="J188" s="7">
        <v>40451</v>
      </c>
      <c r="K188" s="8">
        <v>15.61</v>
      </c>
    </row>
    <row r="189" spans="1:11" x14ac:dyDescent="0.45">
      <c r="A189" s="7">
        <v>40390</v>
      </c>
      <c r="B189" s="8">
        <v>55.7</v>
      </c>
      <c r="C189" s="8">
        <v>1.2</v>
      </c>
      <c r="G189" s="9">
        <v>45719</v>
      </c>
      <c r="H189" s="8">
        <v>22.78</v>
      </c>
      <c r="J189" s="7">
        <v>40421</v>
      </c>
      <c r="K189" s="8">
        <v>15.47</v>
      </c>
    </row>
    <row r="190" spans="1:11" x14ac:dyDescent="0.45">
      <c r="A190" s="7">
        <v>40359</v>
      </c>
      <c r="B190" s="8">
        <v>56</v>
      </c>
      <c r="C190" s="8">
        <v>1.1000000000000001</v>
      </c>
      <c r="G190" s="9">
        <v>45716</v>
      </c>
      <c r="H190" s="8">
        <v>19.63</v>
      </c>
      <c r="J190" s="7">
        <v>40390</v>
      </c>
      <c r="K190" s="8">
        <v>15.72</v>
      </c>
    </row>
    <row r="191" spans="1:11" x14ac:dyDescent="0.45">
      <c r="A191" s="7">
        <v>40329</v>
      </c>
      <c r="B191" s="8">
        <v>58.8</v>
      </c>
      <c r="C191" s="8">
        <v>2</v>
      </c>
      <c r="G191" s="9">
        <v>45715</v>
      </c>
      <c r="H191" s="8">
        <v>21.13</v>
      </c>
      <c r="J191" s="7">
        <v>40359</v>
      </c>
      <c r="K191" s="8">
        <v>16.149999999999999</v>
      </c>
    </row>
    <row r="192" spans="1:11" x14ac:dyDescent="0.45">
      <c r="A192" s="7">
        <v>40298</v>
      </c>
      <c r="B192" s="8">
        <v>59</v>
      </c>
      <c r="C192" s="8">
        <v>2.2000000000000002</v>
      </c>
      <c r="G192" s="9">
        <v>45714</v>
      </c>
      <c r="H192" s="8">
        <v>19.100000000000001</v>
      </c>
      <c r="J192" s="7">
        <v>40329</v>
      </c>
      <c r="K192" s="8">
        <v>17.3</v>
      </c>
    </row>
    <row r="193" spans="1:11" x14ac:dyDescent="0.45">
      <c r="A193" s="7">
        <v>40268</v>
      </c>
      <c r="B193" s="8">
        <v>59.3</v>
      </c>
      <c r="C193" s="8">
        <v>2.2999999999999998</v>
      </c>
      <c r="G193" s="9">
        <v>45713</v>
      </c>
      <c r="H193" s="8">
        <v>19.43</v>
      </c>
      <c r="J193" s="7">
        <v>40298</v>
      </c>
      <c r="K193" s="8">
        <v>19.010000000000002</v>
      </c>
    </row>
    <row r="194" spans="1:11" x14ac:dyDescent="0.45">
      <c r="A194" s="7">
        <v>40237</v>
      </c>
      <c r="B194" s="8">
        <v>55.8</v>
      </c>
      <c r="C194" s="8">
        <v>2.1</v>
      </c>
      <c r="G194" s="9">
        <v>45712</v>
      </c>
      <c r="H194" s="8">
        <v>18.98</v>
      </c>
      <c r="J194" s="7">
        <v>40268</v>
      </c>
      <c r="K194" s="8">
        <v>18.91</v>
      </c>
    </row>
    <row r="195" spans="1:11" x14ac:dyDescent="0.45">
      <c r="A195" s="7">
        <v>40209</v>
      </c>
      <c r="B195" s="8">
        <v>56.7</v>
      </c>
      <c r="C195" s="8">
        <v>2.6</v>
      </c>
      <c r="G195" s="9">
        <v>45709</v>
      </c>
      <c r="H195" s="8">
        <v>18.21</v>
      </c>
      <c r="J195" s="7">
        <v>40237</v>
      </c>
      <c r="K195" s="8">
        <v>18.91</v>
      </c>
    </row>
    <row r="196" spans="1:11" x14ac:dyDescent="0.45">
      <c r="G196" s="9">
        <v>45708</v>
      </c>
      <c r="H196" s="8">
        <v>15.66</v>
      </c>
      <c r="J196" s="7">
        <v>40209</v>
      </c>
      <c r="K196" s="8">
        <v>20.7</v>
      </c>
    </row>
    <row r="197" spans="1:11" x14ac:dyDescent="0.45">
      <c r="G197" s="9">
        <v>45707</v>
      </c>
      <c r="H197" s="8">
        <v>15.27</v>
      </c>
      <c r="J197" s="7">
        <v>40178</v>
      </c>
      <c r="K197" s="8">
        <v>21.78</v>
      </c>
    </row>
    <row r="198" spans="1:11" x14ac:dyDescent="0.45">
      <c r="G198" s="9">
        <v>45706</v>
      </c>
      <c r="H198" s="8">
        <v>15.35</v>
      </c>
      <c r="J198" s="7">
        <v>40147</v>
      </c>
      <c r="K198" s="8">
        <v>28.51</v>
      </c>
    </row>
    <row r="199" spans="1:11" x14ac:dyDescent="0.45">
      <c r="G199" s="9">
        <v>45702</v>
      </c>
      <c r="H199" s="8">
        <v>14.77</v>
      </c>
      <c r="J199" s="7">
        <v>40117</v>
      </c>
      <c r="K199" s="8">
        <v>42.12</v>
      </c>
    </row>
    <row r="200" spans="1:11" x14ac:dyDescent="0.45">
      <c r="G200" s="9">
        <v>45701</v>
      </c>
      <c r="H200" s="8">
        <v>15.1</v>
      </c>
      <c r="J200" s="7">
        <v>40086</v>
      </c>
      <c r="K200" s="8">
        <v>83.3</v>
      </c>
    </row>
    <row r="201" spans="1:11" x14ac:dyDescent="0.45">
      <c r="G201" s="9">
        <v>45700</v>
      </c>
      <c r="H201" s="8">
        <v>15.89</v>
      </c>
      <c r="J201" s="7">
        <v>40056</v>
      </c>
      <c r="K201" s="8">
        <v>92.95</v>
      </c>
    </row>
    <row r="202" spans="1:11" x14ac:dyDescent="0.45">
      <c r="G202" s="9">
        <v>45699</v>
      </c>
      <c r="H202" s="8">
        <v>16.02</v>
      </c>
      <c r="J202" s="7">
        <v>40025</v>
      </c>
      <c r="K202" s="8">
        <v>101.87</v>
      </c>
    </row>
    <row r="203" spans="1:11" x14ac:dyDescent="0.45">
      <c r="G203" s="9">
        <v>45698</v>
      </c>
      <c r="H203" s="8">
        <v>15.81</v>
      </c>
      <c r="J203" s="7">
        <v>39994</v>
      </c>
      <c r="K203" s="8">
        <v>123.32</v>
      </c>
    </row>
    <row r="204" spans="1:11" x14ac:dyDescent="0.45">
      <c r="G204" s="9">
        <v>45695</v>
      </c>
      <c r="H204" s="8">
        <v>16.54</v>
      </c>
      <c r="J204" s="7">
        <v>39964</v>
      </c>
      <c r="K204" s="8">
        <v>123.73</v>
      </c>
    </row>
    <row r="205" spans="1:11" x14ac:dyDescent="0.45">
      <c r="G205" s="9">
        <v>45694</v>
      </c>
      <c r="H205" s="8">
        <v>15.5</v>
      </c>
      <c r="J205" s="7">
        <v>39933</v>
      </c>
      <c r="K205" s="8">
        <v>119.85</v>
      </c>
    </row>
    <row r="206" spans="1:11" x14ac:dyDescent="0.45">
      <c r="G206" s="9">
        <v>45693</v>
      </c>
      <c r="H206" s="8">
        <v>15.77</v>
      </c>
      <c r="J206" s="7">
        <v>39903</v>
      </c>
      <c r="K206" s="8">
        <v>110.37</v>
      </c>
    </row>
    <row r="207" spans="1:11" x14ac:dyDescent="0.45">
      <c r="G207" s="9">
        <v>45692</v>
      </c>
      <c r="H207" s="8">
        <v>17.21</v>
      </c>
      <c r="J207" s="7">
        <v>39872</v>
      </c>
      <c r="K207" s="8">
        <v>84.46</v>
      </c>
    </row>
    <row r="208" spans="1:11" x14ac:dyDescent="0.45">
      <c r="G208" s="9">
        <v>45691</v>
      </c>
      <c r="H208" s="8">
        <v>18.62</v>
      </c>
      <c r="J208" s="7">
        <v>39844</v>
      </c>
      <c r="K208" s="8">
        <v>70.91</v>
      </c>
    </row>
    <row r="209" spans="7:11" x14ac:dyDescent="0.45">
      <c r="G209" s="9">
        <v>45688</v>
      </c>
      <c r="H209" s="8">
        <v>16.43</v>
      </c>
      <c r="J209" s="7">
        <v>39813</v>
      </c>
      <c r="K209" s="8">
        <v>58.98</v>
      </c>
    </row>
    <row r="210" spans="7:11" x14ac:dyDescent="0.45">
      <c r="G210" s="9">
        <v>45687</v>
      </c>
      <c r="H210" s="8">
        <v>15.84</v>
      </c>
      <c r="J210" s="7">
        <v>39782</v>
      </c>
      <c r="K210" s="8">
        <v>34.99</v>
      </c>
    </row>
    <row r="211" spans="7:11" x14ac:dyDescent="0.45">
      <c r="G211" s="9">
        <v>45686</v>
      </c>
      <c r="H211" s="8">
        <v>16.559999999999999</v>
      </c>
      <c r="J211" s="7">
        <v>39752</v>
      </c>
      <c r="K211" s="8">
        <v>27.22</v>
      </c>
    </row>
    <row r="212" spans="7:11" x14ac:dyDescent="0.45">
      <c r="G212" s="9">
        <v>45685</v>
      </c>
      <c r="H212" s="8">
        <v>16.41</v>
      </c>
      <c r="J212" s="7">
        <v>39721</v>
      </c>
      <c r="K212" s="8">
        <v>26.48</v>
      </c>
    </row>
    <row r="213" spans="7:11" x14ac:dyDescent="0.45">
      <c r="G213" s="9">
        <v>45684</v>
      </c>
      <c r="H213" s="8">
        <v>17.899999999999999</v>
      </c>
      <c r="J213" s="7">
        <v>39691</v>
      </c>
      <c r="K213" s="8">
        <v>26.83</v>
      </c>
    </row>
    <row r="214" spans="7:11" x14ac:dyDescent="0.45">
      <c r="G214" s="9">
        <v>45681</v>
      </c>
      <c r="H214" s="8">
        <v>14.85</v>
      </c>
      <c r="J214" s="7">
        <v>39660</v>
      </c>
      <c r="K214" s="8">
        <v>25.37</v>
      </c>
    </row>
    <row r="215" spans="7:11" x14ac:dyDescent="0.45">
      <c r="G215" s="9">
        <v>45680</v>
      </c>
      <c r="H215" s="8">
        <v>15.02</v>
      </c>
      <c r="J215" s="7">
        <v>39629</v>
      </c>
      <c r="K215" s="8">
        <v>26.11</v>
      </c>
    </row>
    <row r="216" spans="7:11" x14ac:dyDescent="0.45">
      <c r="G216" s="9">
        <v>45679</v>
      </c>
      <c r="H216" s="8">
        <v>15.1</v>
      </c>
      <c r="J216" s="7">
        <v>39599</v>
      </c>
      <c r="K216" s="8">
        <v>25.81</v>
      </c>
    </row>
    <row r="217" spans="7:11" x14ac:dyDescent="0.45">
      <c r="G217" s="9">
        <v>45678</v>
      </c>
      <c r="H217" s="8">
        <v>15.06</v>
      </c>
      <c r="J217" s="7">
        <v>39568</v>
      </c>
      <c r="K217" s="8">
        <v>23.88</v>
      </c>
    </row>
    <row r="218" spans="7:11" x14ac:dyDescent="0.45">
      <c r="G218" s="9">
        <v>45677</v>
      </c>
      <c r="H218" s="8">
        <v>15.81</v>
      </c>
      <c r="J218" s="7">
        <v>39538</v>
      </c>
      <c r="K218" s="8">
        <v>21.81</v>
      </c>
    </row>
    <row r="219" spans="7:11" x14ac:dyDescent="0.45">
      <c r="G219" s="9">
        <v>45674</v>
      </c>
      <c r="H219" s="8">
        <v>15.97</v>
      </c>
      <c r="J219" s="7">
        <v>39507</v>
      </c>
      <c r="K219" s="8">
        <v>21.74</v>
      </c>
    </row>
    <row r="220" spans="7:11" x14ac:dyDescent="0.45">
      <c r="G220" s="9">
        <v>45673</v>
      </c>
      <c r="H220" s="8">
        <v>16.600000000000001</v>
      </c>
      <c r="J220" s="7">
        <v>39478</v>
      </c>
      <c r="K220" s="8">
        <v>21.46</v>
      </c>
    </row>
    <row r="221" spans="7:11" x14ac:dyDescent="0.45">
      <c r="G221" s="9">
        <v>45672</v>
      </c>
      <c r="H221" s="8">
        <v>16.12</v>
      </c>
      <c r="J221" s="7">
        <v>39447</v>
      </c>
      <c r="K221" s="8">
        <v>22.35</v>
      </c>
    </row>
    <row r="222" spans="7:11" x14ac:dyDescent="0.45">
      <c r="G222" s="9">
        <v>45671</v>
      </c>
      <c r="H222" s="8">
        <v>18.71</v>
      </c>
      <c r="J222" s="7">
        <v>39416</v>
      </c>
      <c r="K222" s="8">
        <v>20.81</v>
      </c>
    </row>
    <row r="223" spans="7:11" x14ac:dyDescent="0.45">
      <c r="G223" s="9">
        <v>45670</v>
      </c>
      <c r="H223" s="8">
        <v>19.190000000000001</v>
      </c>
      <c r="J223" s="7">
        <v>39386</v>
      </c>
      <c r="K223" s="8">
        <v>20.68</v>
      </c>
    </row>
    <row r="224" spans="7:11" x14ac:dyDescent="0.45">
      <c r="G224" s="9">
        <v>45667</v>
      </c>
      <c r="H224" s="8">
        <v>19.54</v>
      </c>
      <c r="J224" s="7">
        <v>39355</v>
      </c>
      <c r="K224" s="8">
        <v>19.05</v>
      </c>
    </row>
    <row r="225" spans="7:11" x14ac:dyDescent="0.45">
      <c r="G225" s="9">
        <v>45666</v>
      </c>
      <c r="H225" s="8">
        <v>18.07</v>
      </c>
      <c r="J225" s="7">
        <v>39325</v>
      </c>
      <c r="K225" s="8">
        <v>18.02</v>
      </c>
    </row>
    <row r="226" spans="7:11" x14ac:dyDescent="0.45">
      <c r="G226" s="9">
        <v>45665</v>
      </c>
      <c r="H226" s="8">
        <v>17.7</v>
      </c>
      <c r="J226" s="7">
        <v>39294</v>
      </c>
      <c r="K226" s="8">
        <v>18.36</v>
      </c>
    </row>
    <row r="227" spans="7:11" x14ac:dyDescent="0.45">
      <c r="G227" s="9">
        <v>45664</v>
      </c>
      <c r="H227" s="8">
        <v>17.82</v>
      </c>
      <c r="J227" s="7">
        <v>39263</v>
      </c>
      <c r="K227" s="8">
        <v>17.829999999999998</v>
      </c>
    </row>
    <row r="228" spans="7:11" x14ac:dyDescent="0.45">
      <c r="G228" s="9">
        <v>45663</v>
      </c>
      <c r="H228" s="8">
        <v>16.04</v>
      </c>
      <c r="J228" s="7">
        <v>39233</v>
      </c>
      <c r="K228" s="8">
        <v>17.920000000000002</v>
      </c>
    </row>
    <row r="229" spans="7:11" x14ac:dyDescent="0.45">
      <c r="G229" s="9">
        <v>45660</v>
      </c>
      <c r="H229" s="8">
        <v>16.13</v>
      </c>
      <c r="J229" s="7">
        <v>39202</v>
      </c>
      <c r="K229" s="8">
        <v>17.48</v>
      </c>
    </row>
    <row r="230" spans="7:11" x14ac:dyDescent="0.45">
      <c r="G230" s="9">
        <v>45659</v>
      </c>
      <c r="H230" s="8">
        <v>17.93</v>
      </c>
      <c r="J230" s="7">
        <v>39172</v>
      </c>
      <c r="K230" s="8">
        <v>16.920000000000002</v>
      </c>
    </row>
    <row r="231" spans="7:11" x14ac:dyDescent="0.45">
      <c r="G231" s="9">
        <v>45657</v>
      </c>
      <c r="H231" s="8">
        <v>17.350000000000001</v>
      </c>
      <c r="J231" s="7">
        <v>39141</v>
      </c>
      <c r="K231" s="8">
        <v>17.489999999999998</v>
      </c>
    </row>
    <row r="232" spans="7:11" x14ac:dyDescent="0.45">
      <c r="G232" s="9">
        <v>45656</v>
      </c>
      <c r="H232" s="8">
        <v>17.399999999999999</v>
      </c>
      <c r="J232" s="7">
        <v>39113</v>
      </c>
      <c r="K232" s="8">
        <v>17.36</v>
      </c>
    </row>
    <row r="233" spans="7:11" x14ac:dyDescent="0.45">
      <c r="G233" s="9">
        <v>45653</v>
      </c>
      <c r="H233" s="8">
        <v>15.95</v>
      </c>
      <c r="J233" s="7">
        <v>39082</v>
      </c>
      <c r="K233" s="8">
        <v>17.38</v>
      </c>
    </row>
    <row r="234" spans="7:11" x14ac:dyDescent="0.45">
      <c r="G234" s="9">
        <v>45652</v>
      </c>
      <c r="H234" s="8">
        <v>14.73</v>
      </c>
      <c r="J234" s="7">
        <v>39051</v>
      </c>
      <c r="K234" s="8">
        <v>17.239999999999998</v>
      </c>
    </row>
    <row r="235" spans="7:11" x14ac:dyDescent="0.45">
      <c r="G235" s="9">
        <v>45650</v>
      </c>
      <c r="H235" s="8">
        <v>14.27</v>
      </c>
      <c r="J235" s="7">
        <v>39021</v>
      </c>
      <c r="K235" s="8">
        <v>17.14</v>
      </c>
    </row>
    <row r="236" spans="7:11" x14ac:dyDescent="0.45">
      <c r="G236" s="9">
        <v>45649</v>
      </c>
      <c r="H236" s="8">
        <v>16.78</v>
      </c>
      <c r="J236" s="7">
        <v>38990</v>
      </c>
      <c r="K236" s="8">
        <v>16.77</v>
      </c>
    </row>
    <row r="237" spans="7:11" x14ac:dyDescent="0.45">
      <c r="G237" s="9">
        <v>45646</v>
      </c>
      <c r="H237" s="8">
        <v>18.36</v>
      </c>
      <c r="J237" s="7">
        <v>38960</v>
      </c>
      <c r="K237" s="8">
        <v>16.670000000000002</v>
      </c>
    </row>
    <row r="238" spans="7:11" x14ac:dyDescent="0.45">
      <c r="G238" s="9">
        <v>45645</v>
      </c>
      <c r="H238" s="8">
        <v>24.09</v>
      </c>
      <c r="J238" s="7">
        <v>38929</v>
      </c>
      <c r="K238" s="8">
        <v>16.61</v>
      </c>
    </row>
    <row r="239" spans="7:11" x14ac:dyDescent="0.45">
      <c r="G239" s="9">
        <v>45644</v>
      </c>
      <c r="H239" s="8">
        <v>27.62</v>
      </c>
      <c r="J239" s="7">
        <v>38898</v>
      </c>
      <c r="K239" s="8">
        <v>16.82</v>
      </c>
    </row>
    <row r="240" spans="7:11" x14ac:dyDescent="0.45">
      <c r="G240" s="9">
        <v>45643</v>
      </c>
      <c r="H240" s="8">
        <v>15.87</v>
      </c>
      <c r="J240" s="7">
        <v>38868</v>
      </c>
      <c r="K240" s="8">
        <v>17.46</v>
      </c>
    </row>
    <row r="241" spans="7:11" x14ac:dyDescent="0.45">
      <c r="G241" s="9">
        <v>45642</v>
      </c>
      <c r="H241" s="8">
        <v>14.69</v>
      </c>
      <c r="J241" s="7">
        <v>38837</v>
      </c>
      <c r="K241" s="8">
        <v>17.77</v>
      </c>
    </row>
    <row r="242" spans="7:11" x14ac:dyDescent="0.45">
      <c r="G242" s="9">
        <v>45639</v>
      </c>
      <c r="H242" s="8">
        <v>13.81</v>
      </c>
      <c r="J242" s="7">
        <v>38807</v>
      </c>
      <c r="K242" s="8">
        <v>17.8</v>
      </c>
    </row>
    <row r="243" spans="7:11" x14ac:dyDescent="0.45">
      <c r="G243" s="9">
        <v>45638</v>
      </c>
      <c r="H243" s="8">
        <v>13.92</v>
      </c>
      <c r="J243" s="7">
        <v>38776</v>
      </c>
      <c r="K243" s="8">
        <v>17.8</v>
      </c>
    </row>
    <row r="244" spans="7:11" x14ac:dyDescent="0.45">
      <c r="G244" s="9">
        <v>45637</v>
      </c>
      <c r="H244" s="8">
        <v>13.58</v>
      </c>
      <c r="J244" s="7">
        <v>38748</v>
      </c>
      <c r="K244" s="8">
        <v>18.07</v>
      </c>
    </row>
    <row r="245" spans="7:11" x14ac:dyDescent="0.45">
      <c r="G245" s="9">
        <v>45636</v>
      </c>
      <c r="H245" s="8">
        <v>14.18</v>
      </c>
      <c r="J245" s="7">
        <v>38717</v>
      </c>
      <c r="K245" s="8">
        <v>18.07</v>
      </c>
    </row>
    <row r="246" spans="7:11" x14ac:dyDescent="0.45">
      <c r="G246" s="9">
        <v>45635</v>
      </c>
      <c r="H246" s="8">
        <v>14.19</v>
      </c>
      <c r="J246" s="7">
        <v>38686</v>
      </c>
      <c r="K246" s="8">
        <v>18.010000000000002</v>
      </c>
    </row>
    <row r="247" spans="7:11" x14ac:dyDescent="0.45">
      <c r="G247" s="9">
        <v>45632</v>
      </c>
      <c r="H247" s="8">
        <v>12.77</v>
      </c>
      <c r="J247" s="7">
        <v>38656</v>
      </c>
      <c r="K247" s="8">
        <v>17.64</v>
      </c>
    </row>
    <row r="248" spans="7:11" x14ac:dyDescent="0.45">
      <c r="G248" s="9">
        <v>45631</v>
      </c>
      <c r="H248" s="8">
        <v>13.54</v>
      </c>
      <c r="J248" s="7">
        <v>38625</v>
      </c>
      <c r="K248" s="8">
        <v>18.440000000000001</v>
      </c>
    </row>
    <row r="249" spans="7:11" x14ac:dyDescent="0.45">
      <c r="G249" s="9">
        <v>45630</v>
      </c>
      <c r="H249" s="8">
        <v>13.45</v>
      </c>
      <c r="J249" s="7">
        <v>38595</v>
      </c>
      <c r="K249" s="8">
        <v>18.72</v>
      </c>
    </row>
    <row r="250" spans="7:11" x14ac:dyDescent="0.45">
      <c r="G250" s="9">
        <v>45629</v>
      </c>
      <c r="H250" s="8">
        <v>13.3</v>
      </c>
      <c r="J250" s="7">
        <v>38564</v>
      </c>
      <c r="K250" s="8">
        <v>19</v>
      </c>
    </row>
    <row r="251" spans="7:11" x14ac:dyDescent="0.45">
      <c r="G251" s="9">
        <v>45628</v>
      </c>
      <c r="H251" s="8">
        <v>13.34</v>
      </c>
      <c r="J251" s="7">
        <v>38533</v>
      </c>
      <c r="K251" s="8">
        <v>19</v>
      </c>
    </row>
    <row r="252" spans="7:11" x14ac:dyDescent="0.45">
      <c r="G252" s="9">
        <v>45625</v>
      </c>
      <c r="H252" s="8">
        <v>13.51</v>
      </c>
      <c r="J252" s="7">
        <v>38503</v>
      </c>
      <c r="K252" s="8">
        <v>18.93</v>
      </c>
    </row>
    <row r="253" spans="7:11" x14ac:dyDescent="0.45">
      <c r="G253" s="9">
        <v>45624</v>
      </c>
      <c r="H253" s="8">
        <v>13.9</v>
      </c>
      <c r="J253" s="7">
        <v>38472</v>
      </c>
      <c r="K253" s="8">
        <v>19.02</v>
      </c>
    </row>
    <row r="254" spans="7:11" x14ac:dyDescent="0.45">
      <c r="G254" s="9">
        <v>45623</v>
      </c>
      <c r="H254" s="8">
        <v>14.1</v>
      </c>
      <c r="J254" s="7">
        <v>38442</v>
      </c>
      <c r="K254" s="8">
        <v>19.84</v>
      </c>
    </row>
    <row r="255" spans="7:11" x14ac:dyDescent="0.45">
      <c r="G255" s="9">
        <v>45622</v>
      </c>
      <c r="H255" s="8">
        <v>14.1</v>
      </c>
      <c r="J255" s="7">
        <v>38411</v>
      </c>
      <c r="K255" s="8">
        <v>20.11</v>
      </c>
    </row>
    <row r="256" spans="7:11" x14ac:dyDescent="0.45">
      <c r="G256" s="9">
        <v>45621</v>
      </c>
      <c r="H256" s="8">
        <v>14.6</v>
      </c>
      <c r="J256" s="7">
        <v>38383</v>
      </c>
      <c r="K256" s="8">
        <v>19.989999999999998</v>
      </c>
    </row>
    <row r="257" spans="7:11" x14ac:dyDescent="0.45">
      <c r="G257" s="9">
        <v>45618</v>
      </c>
      <c r="H257" s="8">
        <v>15.24</v>
      </c>
      <c r="J257" s="7">
        <v>38352</v>
      </c>
      <c r="K257" s="8">
        <v>20.48</v>
      </c>
    </row>
    <row r="258" spans="7:11" x14ac:dyDescent="0.45">
      <c r="G258" s="9">
        <v>45617</v>
      </c>
      <c r="H258" s="8">
        <v>16.87</v>
      </c>
      <c r="J258" s="7">
        <v>38321</v>
      </c>
      <c r="K258" s="8">
        <v>20.05</v>
      </c>
    </row>
    <row r="259" spans="7:11" x14ac:dyDescent="0.45">
      <c r="G259" s="9">
        <v>45616</v>
      </c>
      <c r="H259" s="8">
        <v>17.16</v>
      </c>
      <c r="J259" s="7">
        <v>38291</v>
      </c>
      <c r="K259" s="8">
        <v>19.25</v>
      </c>
    </row>
    <row r="260" spans="7:11" x14ac:dyDescent="0.45">
      <c r="G260" s="9">
        <v>45615</v>
      </c>
      <c r="H260" s="8">
        <v>16.350000000000001</v>
      </c>
      <c r="J260" s="7">
        <v>38260</v>
      </c>
      <c r="K260" s="8">
        <v>19.350000000000001</v>
      </c>
    </row>
    <row r="261" spans="7:11" x14ac:dyDescent="0.45">
      <c r="G261" s="9">
        <v>45614</v>
      </c>
      <c r="H261" s="8">
        <v>15.58</v>
      </c>
      <c r="J261" s="7">
        <v>38230</v>
      </c>
      <c r="K261" s="8">
        <v>19.03</v>
      </c>
    </row>
    <row r="262" spans="7:11" x14ac:dyDescent="0.45">
      <c r="G262" s="9">
        <v>45611</v>
      </c>
      <c r="H262" s="8">
        <v>16.14</v>
      </c>
      <c r="J262" s="7">
        <v>38199</v>
      </c>
      <c r="K262" s="8">
        <v>19.510000000000002</v>
      </c>
    </row>
    <row r="263" spans="7:11" x14ac:dyDescent="0.45">
      <c r="G263" s="9">
        <v>45610</v>
      </c>
      <c r="H263" s="8">
        <v>14.31</v>
      </c>
      <c r="J263" s="7">
        <v>38168</v>
      </c>
      <c r="K263" s="8">
        <v>20.170000000000002</v>
      </c>
    </row>
    <row r="264" spans="7:11" x14ac:dyDescent="0.45">
      <c r="G264" s="9">
        <v>45609</v>
      </c>
      <c r="H264" s="8">
        <v>14.02</v>
      </c>
      <c r="J264" s="7">
        <v>38138</v>
      </c>
      <c r="K264" s="8">
        <v>20.14</v>
      </c>
    </row>
    <row r="265" spans="7:11" x14ac:dyDescent="0.45">
      <c r="G265" s="9">
        <v>45608</v>
      </c>
      <c r="H265" s="8">
        <v>14.71</v>
      </c>
      <c r="J265" s="7">
        <v>38107</v>
      </c>
      <c r="K265" s="8">
        <v>21.23</v>
      </c>
    </row>
    <row r="266" spans="7:11" x14ac:dyDescent="0.45">
      <c r="G266" s="9">
        <v>45607</v>
      </c>
      <c r="H266" s="8">
        <v>14.97</v>
      </c>
      <c r="J266" s="7">
        <v>38077</v>
      </c>
      <c r="K266" s="8">
        <v>21.61</v>
      </c>
    </row>
    <row r="267" spans="7:11" x14ac:dyDescent="0.45">
      <c r="G267" s="9">
        <v>45604</v>
      </c>
      <c r="H267" s="8">
        <v>14.94</v>
      </c>
      <c r="J267" s="7">
        <v>38046</v>
      </c>
      <c r="K267" s="8">
        <v>22.46</v>
      </c>
    </row>
    <row r="268" spans="7:11" x14ac:dyDescent="0.45">
      <c r="G268" s="9">
        <v>45603</v>
      </c>
      <c r="H268" s="8">
        <v>15.2</v>
      </c>
      <c r="J268" s="7">
        <v>38017</v>
      </c>
      <c r="K268" s="8">
        <v>22.73</v>
      </c>
    </row>
    <row r="269" spans="7:11" x14ac:dyDescent="0.45">
      <c r="G269" s="9">
        <v>45602</v>
      </c>
      <c r="H269" s="8">
        <v>16.27</v>
      </c>
      <c r="J269" s="7">
        <v>37986</v>
      </c>
      <c r="K269" s="8">
        <v>22.17</v>
      </c>
    </row>
    <row r="270" spans="7:11" x14ac:dyDescent="0.45">
      <c r="G270" s="9">
        <v>45601</v>
      </c>
      <c r="H270" s="8">
        <v>20.49</v>
      </c>
      <c r="J270" s="7">
        <v>37955</v>
      </c>
      <c r="K270" s="8">
        <v>23.15</v>
      </c>
    </row>
    <row r="271" spans="7:11" x14ac:dyDescent="0.45">
      <c r="G271" s="9">
        <v>45600</v>
      </c>
      <c r="H271" s="8">
        <v>21.98</v>
      </c>
      <c r="J271" s="7">
        <v>37925</v>
      </c>
      <c r="K271" s="8">
        <v>24.75</v>
      </c>
    </row>
    <row r="272" spans="7:11" x14ac:dyDescent="0.45">
      <c r="G272" s="9">
        <v>45597</v>
      </c>
      <c r="H272" s="8">
        <v>21.88</v>
      </c>
      <c r="J272" s="7">
        <v>37894</v>
      </c>
      <c r="K272" s="8">
        <v>26.42</v>
      </c>
    </row>
    <row r="273" spans="7:11" x14ac:dyDescent="0.45">
      <c r="G273" s="9">
        <v>45596</v>
      </c>
      <c r="H273" s="8">
        <v>23.16</v>
      </c>
      <c r="J273" s="7">
        <v>37864</v>
      </c>
      <c r="K273" s="8">
        <v>26.57</v>
      </c>
    </row>
    <row r="274" spans="7:11" x14ac:dyDescent="0.45">
      <c r="G274" s="9">
        <v>45595</v>
      </c>
      <c r="H274" s="8">
        <v>20.350000000000001</v>
      </c>
      <c r="J274" s="7">
        <v>37833</v>
      </c>
      <c r="K274" s="8">
        <v>27.65</v>
      </c>
    </row>
    <row r="275" spans="7:11" x14ac:dyDescent="0.45">
      <c r="G275" s="9">
        <v>45594</v>
      </c>
      <c r="H275" s="8">
        <v>19.34</v>
      </c>
      <c r="J275" s="7">
        <v>37802</v>
      </c>
      <c r="K275" s="8">
        <v>28.6</v>
      </c>
    </row>
    <row r="276" spans="7:11" x14ac:dyDescent="0.45">
      <c r="G276" s="9">
        <v>45593</v>
      </c>
      <c r="H276" s="8">
        <v>19.8</v>
      </c>
      <c r="J276" s="7">
        <v>37772</v>
      </c>
      <c r="K276" s="8">
        <v>28.24</v>
      </c>
    </row>
    <row r="277" spans="7:11" x14ac:dyDescent="0.45">
      <c r="G277" s="9">
        <v>45590</v>
      </c>
      <c r="H277" s="8">
        <v>20.329999999999998</v>
      </c>
      <c r="J277" s="7">
        <v>37741</v>
      </c>
      <c r="K277" s="8">
        <v>28.05</v>
      </c>
    </row>
    <row r="278" spans="7:11" x14ac:dyDescent="0.45">
      <c r="G278" s="9">
        <v>45589</v>
      </c>
      <c r="H278" s="8">
        <v>19.079999999999998</v>
      </c>
      <c r="J278" s="7">
        <v>37711</v>
      </c>
      <c r="K278" s="8">
        <v>27.92</v>
      </c>
    </row>
    <row r="279" spans="7:11" x14ac:dyDescent="0.45">
      <c r="G279" s="9">
        <v>45588</v>
      </c>
      <c r="H279" s="8">
        <v>19.239999999999998</v>
      </c>
      <c r="J279" s="7">
        <v>37680</v>
      </c>
      <c r="K279" s="8">
        <v>28.46</v>
      </c>
    </row>
    <row r="280" spans="7:11" x14ac:dyDescent="0.45">
      <c r="G280" s="9">
        <v>45587</v>
      </c>
      <c r="H280" s="8">
        <v>18.2</v>
      </c>
      <c r="J280" s="7">
        <v>37652</v>
      </c>
      <c r="K280" s="8">
        <v>31.43</v>
      </c>
    </row>
    <row r="281" spans="7:11" x14ac:dyDescent="0.45">
      <c r="G281" s="9">
        <v>45586</v>
      </c>
      <c r="H281" s="8">
        <v>18.37</v>
      </c>
      <c r="J281" s="7">
        <v>37621</v>
      </c>
      <c r="K281" s="8">
        <v>32.590000000000003</v>
      </c>
    </row>
    <row r="282" spans="7:11" x14ac:dyDescent="0.45">
      <c r="G282" s="9">
        <v>45583</v>
      </c>
      <c r="H282" s="8">
        <v>18.03</v>
      </c>
      <c r="J282" s="7">
        <v>37590</v>
      </c>
      <c r="K282" s="8">
        <v>32.03</v>
      </c>
    </row>
    <row r="283" spans="7:11" x14ac:dyDescent="0.45">
      <c r="G283" s="9">
        <v>45582</v>
      </c>
      <c r="H283" s="8">
        <v>19.11</v>
      </c>
      <c r="J283" s="7">
        <v>37560</v>
      </c>
      <c r="K283" s="8">
        <v>29.24</v>
      </c>
    </row>
    <row r="284" spans="7:11" x14ac:dyDescent="0.45">
      <c r="G284" s="9">
        <v>45581</v>
      </c>
      <c r="H284" s="8">
        <v>19.579999999999998</v>
      </c>
      <c r="J284" s="7">
        <v>37529</v>
      </c>
      <c r="K284" s="8">
        <v>28.89</v>
      </c>
    </row>
    <row r="285" spans="7:11" x14ac:dyDescent="0.45">
      <c r="G285" s="9">
        <v>45580</v>
      </c>
      <c r="H285" s="8">
        <v>20.64</v>
      </c>
      <c r="J285" s="7">
        <v>37499</v>
      </c>
      <c r="K285" s="8">
        <v>31.53</v>
      </c>
    </row>
    <row r="286" spans="7:11" x14ac:dyDescent="0.45">
      <c r="G286" s="9">
        <v>45579</v>
      </c>
      <c r="H286" s="8">
        <v>19.7</v>
      </c>
      <c r="J286" s="7">
        <v>37468</v>
      </c>
      <c r="K286" s="8">
        <v>32.46</v>
      </c>
    </row>
    <row r="287" spans="7:11" x14ac:dyDescent="0.45">
      <c r="G287" s="9">
        <v>45576</v>
      </c>
      <c r="H287" s="8">
        <v>20.46</v>
      </c>
      <c r="J287" s="7">
        <v>37437</v>
      </c>
      <c r="K287" s="8">
        <v>37.92</v>
      </c>
    </row>
    <row r="288" spans="7:11" x14ac:dyDescent="0.45">
      <c r="G288" s="9">
        <v>45575</v>
      </c>
      <c r="H288" s="8">
        <v>20.93</v>
      </c>
      <c r="J288" s="7">
        <v>37407</v>
      </c>
      <c r="K288" s="8">
        <v>41.41</v>
      </c>
    </row>
    <row r="289" spans="7:11" x14ac:dyDescent="0.45">
      <c r="G289" s="9">
        <v>45574</v>
      </c>
      <c r="H289" s="8">
        <v>20.86</v>
      </c>
      <c r="J289" s="7">
        <v>37376</v>
      </c>
      <c r="K289" s="8">
        <v>43.81</v>
      </c>
    </row>
    <row r="290" spans="7:11" x14ac:dyDescent="0.45">
      <c r="G290" s="9">
        <v>45573</v>
      </c>
      <c r="H290" s="8">
        <v>21.42</v>
      </c>
      <c r="J290" s="7">
        <v>37346</v>
      </c>
      <c r="K290" s="8">
        <v>46.71</v>
      </c>
    </row>
    <row r="291" spans="7:11" x14ac:dyDescent="0.45">
      <c r="G291" s="9">
        <v>45572</v>
      </c>
      <c r="H291" s="8">
        <v>22.64</v>
      </c>
      <c r="J291" s="7">
        <v>37315</v>
      </c>
      <c r="K291" s="8">
        <v>44.57</v>
      </c>
    </row>
    <row r="292" spans="7:11" x14ac:dyDescent="0.45">
      <c r="G292" s="9">
        <v>45569</v>
      </c>
      <c r="H292" s="8">
        <v>19.21</v>
      </c>
      <c r="J292" s="7">
        <v>37287</v>
      </c>
      <c r="K292" s="8">
        <v>46.17</v>
      </c>
    </row>
    <row r="293" spans="7:11" x14ac:dyDescent="0.45">
      <c r="G293" s="9">
        <v>45568</v>
      </c>
      <c r="H293" s="8">
        <v>20.49</v>
      </c>
      <c r="J293" s="7">
        <v>37256</v>
      </c>
      <c r="K293" s="8">
        <v>46.37</v>
      </c>
    </row>
    <row r="294" spans="7:11" x14ac:dyDescent="0.45">
      <c r="G294" s="9">
        <v>45567</v>
      </c>
      <c r="H294" s="8">
        <v>18.899999999999999</v>
      </c>
      <c r="J294" s="7">
        <v>37225</v>
      </c>
      <c r="K294" s="8">
        <v>43.62</v>
      </c>
    </row>
    <row r="295" spans="7:11" x14ac:dyDescent="0.45">
      <c r="G295" s="9">
        <v>45566</v>
      </c>
      <c r="H295" s="8">
        <v>19.260000000000002</v>
      </c>
      <c r="J295" s="7">
        <v>37195</v>
      </c>
      <c r="K295" s="8">
        <v>39.72</v>
      </c>
    </row>
    <row r="296" spans="7:11" x14ac:dyDescent="0.45">
      <c r="G296" s="9">
        <v>45565</v>
      </c>
      <c r="H296" s="8">
        <v>16.73</v>
      </c>
      <c r="J296" s="7">
        <v>37164</v>
      </c>
      <c r="K296" s="8">
        <v>36.9</v>
      </c>
    </row>
    <row r="297" spans="7:11" x14ac:dyDescent="0.45">
      <c r="G297" s="9">
        <v>45562</v>
      </c>
      <c r="H297" s="8">
        <v>16.96</v>
      </c>
      <c r="J297" s="7">
        <v>37134</v>
      </c>
      <c r="K297" s="8">
        <v>37.85</v>
      </c>
    </row>
    <row r="298" spans="7:11" x14ac:dyDescent="0.45">
      <c r="G298" s="9">
        <v>45561</v>
      </c>
      <c r="H298" s="8">
        <v>15.37</v>
      </c>
      <c r="J298" s="7">
        <v>37103</v>
      </c>
      <c r="K298" s="8">
        <v>35.46</v>
      </c>
    </row>
    <row r="299" spans="7:11" x14ac:dyDescent="0.45">
      <c r="G299" s="9">
        <v>45560</v>
      </c>
      <c r="H299" s="8">
        <v>15.41</v>
      </c>
      <c r="J299" s="7">
        <v>37072</v>
      </c>
      <c r="K299" s="8">
        <v>33.67</v>
      </c>
    </row>
    <row r="300" spans="7:11" x14ac:dyDescent="0.45">
      <c r="G300" s="9">
        <v>45559</v>
      </c>
      <c r="H300" s="8">
        <v>15.39</v>
      </c>
      <c r="J300" s="7">
        <v>37042</v>
      </c>
      <c r="K300" s="8">
        <v>32.020000000000003</v>
      </c>
    </row>
    <row r="301" spans="7:11" x14ac:dyDescent="0.45">
      <c r="G301" s="9">
        <v>45558</v>
      </c>
      <c r="H301" s="8">
        <v>15.89</v>
      </c>
      <c r="J301" s="7">
        <v>37011</v>
      </c>
      <c r="K301" s="8">
        <v>27.96</v>
      </c>
    </row>
    <row r="302" spans="7:11" x14ac:dyDescent="0.45">
      <c r="G302" s="9">
        <v>45555</v>
      </c>
      <c r="H302" s="8">
        <v>16.149999999999999</v>
      </c>
      <c r="J302" s="7">
        <v>36981</v>
      </c>
      <c r="K302" s="8">
        <v>26.1</v>
      </c>
    </row>
    <row r="303" spans="7:11" x14ac:dyDescent="0.45">
      <c r="G303" s="9">
        <v>45554</v>
      </c>
      <c r="H303" s="8">
        <v>16.329999999999998</v>
      </c>
      <c r="J303" s="7">
        <v>36950</v>
      </c>
      <c r="K303" s="8">
        <v>27.81</v>
      </c>
    </row>
    <row r="304" spans="7:11" x14ac:dyDescent="0.45">
      <c r="G304" s="9">
        <v>45553</v>
      </c>
      <c r="H304" s="8">
        <v>18.23</v>
      </c>
      <c r="J304" s="7">
        <v>36922</v>
      </c>
      <c r="K304" s="8">
        <v>27.55</v>
      </c>
    </row>
    <row r="305" spans="7:11" x14ac:dyDescent="0.45">
      <c r="G305" s="9">
        <v>45552</v>
      </c>
      <c r="H305" s="8">
        <v>17.61</v>
      </c>
      <c r="J305" s="7">
        <v>36891</v>
      </c>
      <c r="K305" s="8">
        <v>26.62</v>
      </c>
    </row>
    <row r="306" spans="7:11" x14ac:dyDescent="0.45">
      <c r="G306" s="9">
        <v>45551</v>
      </c>
      <c r="H306" s="8">
        <v>17.14</v>
      </c>
      <c r="J306" s="7">
        <v>36860</v>
      </c>
      <c r="K306" s="8">
        <v>26.9</v>
      </c>
    </row>
    <row r="307" spans="7:11" x14ac:dyDescent="0.45">
      <c r="G307" s="9">
        <v>45548</v>
      </c>
      <c r="H307" s="8">
        <v>16.559999999999999</v>
      </c>
      <c r="J307" s="7">
        <v>36830</v>
      </c>
      <c r="K307" s="8">
        <v>26.5</v>
      </c>
    </row>
    <row r="308" spans="7:11" x14ac:dyDescent="0.45">
      <c r="G308" s="9">
        <v>45547</v>
      </c>
      <c r="H308" s="8">
        <v>17.07</v>
      </c>
      <c r="J308" s="7">
        <v>36799</v>
      </c>
      <c r="K308" s="8">
        <v>27.34</v>
      </c>
    </row>
    <row r="309" spans="7:11" x14ac:dyDescent="0.45">
      <c r="G309" s="9">
        <v>45546</v>
      </c>
      <c r="H309" s="8">
        <v>17.690000000000001</v>
      </c>
      <c r="J309" s="7">
        <v>36769</v>
      </c>
      <c r="K309" s="8">
        <v>27.97</v>
      </c>
    </row>
    <row r="310" spans="7:11" x14ac:dyDescent="0.45">
      <c r="G310" s="9">
        <v>45545</v>
      </c>
      <c r="H310" s="8">
        <v>19.079999999999998</v>
      </c>
      <c r="J310" s="7">
        <v>36738</v>
      </c>
      <c r="K310" s="8">
        <v>28.05</v>
      </c>
    </row>
    <row r="311" spans="7:11" x14ac:dyDescent="0.45">
      <c r="G311" s="9">
        <v>45544</v>
      </c>
      <c r="H311" s="8">
        <v>19.45</v>
      </c>
      <c r="J311" s="7">
        <v>36707</v>
      </c>
      <c r="K311" s="8">
        <v>28.16</v>
      </c>
    </row>
    <row r="312" spans="7:11" x14ac:dyDescent="0.45">
      <c r="G312" s="9">
        <v>45541</v>
      </c>
      <c r="H312" s="8">
        <v>22.38</v>
      </c>
      <c r="J312" s="7">
        <v>36677</v>
      </c>
      <c r="K312" s="8">
        <v>27.49</v>
      </c>
    </row>
    <row r="313" spans="7:11" x14ac:dyDescent="0.45">
      <c r="G313" s="9">
        <v>45540</v>
      </c>
      <c r="H313" s="8">
        <v>19.899999999999999</v>
      </c>
      <c r="J313" s="7">
        <v>36646</v>
      </c>
      <c r="K313" s="8">
        <v>28.5</v>
      </c>
    </row>
    <row r="314" spans="7:11" x14ac:dyDescent="0.45">
      <c r="G314" s="9">
        <v>45539</v>
      </c>
      <c r="H314" s="8">
        <v>21.32</v>
      </c>
      <c r="J314" s="7">
        <v>36616</v>
      </c>
      <c r="K314" s="8">
        <v>28.31</v>
      </c>
    </row>
    <row r="315" spans="7:11" x14ac:dyDescent="0.45">
      <c r="G315" s="9">
        <v>45538</v>
      </c>
      <c r="H315" s="8">
        <v>20.72</v>
      </c>
      <c r="J315" s="7">
        <v>36585</v>
      </c>
      <c r="K315" s="8">
        <v>27.76</v>
      </c>
    </row>
    <row r="316" spans="7:11" x14ac:dyDescent="0.45">
      <c r="G316" s="9">
        <v>45537</v>
      </c>
      <c r="H316" s="8">
        <v>15.55</v>
      </c>
      <c r="J316" s="7">
        <v>36556</v>
      </c>
      <c r="K316" s="8">
        <v>29.04</v>
      </c>
    </row>
    <row r="317" spans="7:11" x14ac:dyDescent="0.45">
      <c r="G317" s="9">
        <v>45534</v>
      </c>
      <c r="H317" s="8">
        <v>15</v>
      </c>
      <c r="J317" s="7">
        <v>36525</v>
      </c>
      <c r="K317" s="8">
        <v>29.66</v>
      </c>
    </row>
    <row r="318" spans="7:11" x14ac:dyDescent="0.45">
      <c r="G318" s="9">
        <v>45533</v>
      </c>
      <c r="H318" s="8">
        <v>15.65</v>
      </c>
      <c r="J318" s="7">
        <v>36494</v>
      </c>
      <c r="K318" s="8">
        <v>29.74</v>
      </c>
    </row>
    <row r="319" spans="7:11" x14ac:dyDescent="0.45">
      <c r="G319" s="9">
        <v>45532</v>
      </c>
      <c r="H319" s="8">
        <v>17.11</v>
      </c>
      <c r="J319" s="7">
        <v>36464</v>
      </c>
      <c r="K319" s="8">
        <v>28.66</v>
      </c>
    </row>
    <row r="320" spans="7:11" x14ac:dyDescent="0.45">
      <c r="G320" s="9">
        <v>45531</v>
      </c>
      <c r="H320" s="8">
        <v>15.43</v>
      </c>
      <c r="J320" s="7">
        <v>36433</v>
      </c>
      <c r="K320" s="8">
        <v>29.99</v>
      </c>
    </row>
    <row r="321" spans="7:11" x14ac:dyDescent="0.45">
      <c r="G321" s="9">
        <v>45530</v>
      </c>
      <c r="H321" s="8">
        <v>16.149999999999999</v>
      </c>
      <c r="J321" s="7">
        <v>36403</v>
      </c>
      <c r="K321" s="8">
        <v>30.89</v>
      </c>
    </row>
    <row r="322" spans="7:11" x14ac:dyDescent="0.45">
      <c r="G322" s="9">
        <v>45527</v>
      </c>
      <c r="H322" s="8">
        <v>15.86</v>
      </c>
      <c r="J322" s="7">
        <v>36372</v>
      </c>
      <c r="K322" s="8">
        <v>32.880000000000003</v>
      </c>
    </row>
    <row r="323" spans="7:11" x14ac:dyDescent="0.45">
      <c r="G323" s="9">
        <v>45526</v>
      </c>
      <c r="H323" s="8">
        <v>17.55</v>
      </c>
      <c r="J323" s="7">
        <v>36341</v>
      </c>
      <c r="K323" s="8">
        <v>32.24</v>
      </c>
    </row>
    <row r="324" spans="7:11" x14ac:dyDescent="0.45">
      <c r="G324" s="9">
        <v>45525</v>
      </c>
      <c r="H324" s="8">
        <v>16.27</v>
      </c>
      <c r="J324" s="7">
        <v>36311</v>
      </c>
      <c r="K324" s="8">
        <v>33.19</v>
      </c>
    </row>
    <row r="325" spans="7:11" x14ac:dyDescent="0.45">
      <c r="G325" s="9">
        <v>45524</v>
      </c>
      <c r="H325" s="8">
        <v>15.88</v>
      </c>
      <c r="J325" s="7">
        <v>36280</v>
      </c>
      <c r="K325" s="8">
        <v>34</v>
      </c>
    </row>
    <row r="326" spans="7:11" x14ac:dyDescent="0.45">
      <c r="G326" s="9">
        <v>45523</v>
      </c>
      <c r="H326" s="8">
        <v>14.65</v>
      </c>
      <c r="J326" s="7">
        <v>36250</v>
      </c>
      <c r="K326" s="8">
        <v>33.39</v>
      </c>
    </row>
    <row r="327" spans="7:11" x14ac:dyDescent="0.45">
      <c r="G327" s="9">
        <v>45520</v>
      </c>
      <c r="H327" s="8">
        <v>14.8</v>
      </c>
      <c r="J327" s="7">
        <v>36219</v>
      </c>
      <c r="K327" s="8">
        <v>32.67</v>
      </c>
    </row>
    <row r="328" spans="7:11" x14ac:dyDescent="0.45">
      <c r="G328" s="9">
        <v>45519</v>
      </c>
      <c r="H328" s="8">
        <v>15.23</v>
      </c>
      <c r="J328" s="7">
        <v>36191</v>
      </c>
      <c r="K328" s="8">
        <v>32.92</v>
      </c>
    </row>
    <row r="329" spans="7:11" x14ac:dyDescent="0.45">
      <c r="G329" s="9">
        <v>45518</v>
      </c>
      <c r="H329" s="8">
        <v>16.190000000000001</v>
      </c>
      <c r="J329" s="7">
        <v>36160</v>
      </c>
      <c r="K329" s="8">
        <v>31.56</v>
      </c>
    </row>
    <row r="330" spans="7:11" x14ac:dyDescent="0.45">
      <c r="G330" s="9">
        <v>45517</v>
      </c>
      <c r="H330" s="8">
        <v>18.12</v>
      </c>
      <c r="J330" s="7">
        <v>36129</v>
      </c>
      <c r="K330" s="8">
        <v>30.25</v>
      </c>
    </row>
    <row r="331" spans="7:11" x14ac:dyDescent="0.45">
      <c r="G331" s="9">
        <v>45516</v>
      </c>
      <c r="H331" s="8">
        <v>20.71</v>
      </c>
      <c r="J331" s="7">
        <v>36099</v>
      </c>
      <c r="K331" s="8">
        <v>27.2</v>
      </c>
    </row>
    <row r="332" spans="7:11" x14ac:dyDescent="0.45">
      <c r="G332" s="9">
        <v>45513</v>
      </c>
      <c r="H332" s="8">
        <v>20.37</v>
      </c>
      <c r="J332" s="7">
        <v>36068</v>
      </c>
      <c r="K332" s="8">
        <v>26.8</v>
      </c>
    </row>
    <row r="333" spans="7:11" x14ac:dyDescent="0.45">
      <c r="G333" s="9">
        <v>45512</v>
      </c>
      <c r="H333" s="8">
        <v>23.79</v>
      </c>
      <c r="J333" s="7">
        <v>36038</v>
      </c>
      <c r="K333" s="8">
        <v>28</v>
      </c>
    </row>
    <row r="334" spans="7:11" x14ac:dyDescent="0.45">
      <c r="G334" s="9">
        <v>45511</v>
      </c>
      <c r="H334" s="8">
        <v>27.85</v>
      </c>
      <c r="J334" s="7">
        <v>36007</v>
      </c>
      <c r="K334" s="8">
        <v>29.9</v>
      </c>
    </row>
    <row r="335" spans="7:11" x14ac:dyDescent="0.45">
      <c r="G335" s="9">
        <v>45510</v>
      </c>
      <c r="H335" s="8">
        <v>27.71</v>
      </c>
      <c r="J335" s="7">
        <v>35976</v>
      </c>
      <c r="K335" s="8">
        <v>28.44</v>
      </c>
    </row>
    <row r="336" spans="7:11" x14ac:dyDescent="0.45">
      <c r="G336" s="9">
        <v>45509</v>
      </c>
      <c r="H336" s="8">
        <v>38.57</v>
      </c>
      <c r="J336" s="7">
        <v>35946</v>
      </c>
      <c r="K336" s="8">
        <v>28.3</v>
      </c>
    </row>
    <row r="337" spans="7:11" x14ac:dyDescent="0.45">
      <c r="G337" s="9">
        <v>45506</v>
      </c>
      <c r="H337" s="8">
        <v>23.39</v>
      </c>
      <c r="J337" s="7">
        <v>35915</v>
      </c>
      <c r="K337" s="8">
        <v>28.26</v>
      </c>
    </row>
    <row r="338" spans="7:11" x14ac:dyDescent="0.45">
      <c r="G338" s="9">
        <v>45505</v>
      </c>
      <c r="H338" s="8">
        <v>18.59</v>
      </c>
      <c r="J338" s="7">
        <v>35885</v>
      </c>
      <c r="K338" s="8">
        <v>27.23</v>
      </c>
    </row>
    <row r="339" spans="7:11" x14ac:dyDescent="0.45">
      <c r="G339" s="9">
        <v>45504</v>
      </c>
      <c r="H339" s="8">
        <v>16.36</v>
      </c>
      <c r="J339" s="7">
        <v>35854</v>
      </c>
      <c r="K339" s="8">
        <v>25.85</v>
      </c>
    </row>
    <row r="340" spans="7:11" x14ac:dyDescent="0.45">
      <c r="G340" s="9">
        <v>45503</v>
      </c>
      <c r="H340" s="8">
        <v>17.690000000000001</v>
      </c>
      <c r="J340" s="7">
        <v>35826</v>
      </c>
      <c r="K340" s="8">
        <v>24.29</v>
      </c>
    </row>
    <row r="341" spans="7:11" x14ac:dyDescent="0.45">
      <c r="G341" s="9">
        <v>45502</v>
      </c>
      <c r="H341" s="8">
        <v>16.600000000000001</v>
      </c>
      <c r="J341" s="7">
        <v>35795</v>
      </c>
      <c r="K341" s="8">
        <v>24.23</v>
      </c>
    </row>
    <row r="342" spans="7:11" x14ac:dyDescent="0.45">
      <c r="G342" s="9">
        <v>45499</v>
      </c>
      <c r="H342" s="8">
        <v>16.39</v>
      </c>
      <c r="J342" s="7">
        <v>35764</v>
      </c>
      <c r="K342" s="8">
        <v>23.46</v>
      </c>
    </row>
    <row r="343" spans="7:11" x14ac:dyDescent="0.45">
      <c r="G343" s="9">
        <v>45498</v>
      </c>
      <c r="H343" s="8">
        <v>18.46</v>
      </c>
      <c r="J343" s="7">
        <v>35734</v>
      </c>
      <c r="K343" s="8">
        <v>23.58</v>
      </c>
    </row>
    <row r="344" spans="7:11" x14ac:dyDescent="0.45">
      <c r="G344" s="9">
        <v>45497</v>
      </c>
      <c r="H344" s="8">
        <v>18.04</v>
      </c>
      <c r="J344" s="7">
        <v>35703</v>
      </c>
      <c r="K344" s="8">
        <v>23.06</v>
      </c>
    </row>
    <row r="345" spans="7:11" x14ac:dyDescent="0.45">
      <c r="G345" s="9">
        <v>45496</v>
      </c>
      <c r="H345" s="8">
        <v>14.72</v>
      </c>
      <c r="J345" s="7">
        <v>35673</v>
      </c>
      <c r="K345" s="8">
        <v>22.83</v>
      </c>
    </row>
    <row r="346" spans="7:11" x14ac:dyDescent="0.45">
      <c r="G346" s="9">
        <v>45495</v>
      </c>
      <c r="H346" s="8">
        <v>14.91</v>
      </c>
      <c r="J346" s="7">
        <v>35642</v>
      </c>
      <c r="K346" s="8">
        <v>22.8</v>
      </c>
    </row>
    <row r="347" spans="7:11" x14ac:dyDescent="0.45">
      <c r="G347" s="9">
        <v>45492</v>
      </c>
      <c r="H347" s="8">
        <v>16.52</v>
      </c>
      <c r="J347" s="7">
        <v>35611</v>
      </c>
      <c r="K347" s="8">
        <v>21.61</v>
      </c>
    </row>
    <row r="348" spans="7:11" x14ac:dyDescent="0.45">
      <c r="G348" s="9">
        <v>45491</v>
      </c>
      <c r="H348" s="8">
        <v>15.93</v>
      </c>
      <c r="J348" s="7">
        <v>35581</v>
      </c>
      <c r="K348" s="8">
        <v>20.6</v>
      </c>
    </row>
    <row r="349" spans="7:11" x14ac:dyDescent="0.45">
      <c r="G349" s="9">
        <v>45490</v>
      </c>
      <c r="H349" s="8">
        <v>14.48</v>
      </c>
      <c r="J349" s="7">
        <v>35550</v>
      </c>
      <c r="K349" s="8">
        <v>18.940000000000001</v>
      </c>
    </row>
    <row r="350" spans="7:11" x14ac:dyDescent="0.45">
      <c r="G350" s="9">
        <v>45489</v>
      </c>
      <c r="H350" s="8">
        <v>13.19</v>
      </c>
      <c r="J350" s="7">
        <v>35520</v>
      </c>
      <c r="K350" s="8">
        <v>19.690000000000001</v>
      </c>
    </row>
    <row r="351" spans="7:11" x14ac:dyDescent="0.45">
      <c r="G351" s="9">
        <v>45488</v>
      </c>
      <c r="H351" s="8">
        <v>13.12</v>
      </c>
      <c r="J351" s="7">
        <v>35489</v>
      </c>
      <c r="K351" s="8">
        <v>20.09</v>
      </c>
    </row>
    <row r="352" spans="7:11" x14ac:dyDescent="0.45">
      <c r="G352" s="9">
        <v>45485</v>
      </c>
      <c r="H352" s="8">
        <v>12.46</v>
      </c>
      <c r="J352" s="7">
        <v>35461</v>
      </c>
      <c r="K352" s="8">
        <v>19.53</v>
      </c>
    </row>
    <row r="353" spans="7:11" x14ac:dyDescent="0.45">
      <c r="G353" s="9">
        <v>45484</v>
      </c>
      <c r="H353" s="8">
        <v>12.92</v>
      </c>
      <c r="J353" s="7">
        <v>35430</v>
      </c>
      <c r="K353" s="8">
        <v>19.190000000000001</v>
      </c>
    </row>
    <row r="354" spans="7:11" x14ac:dyDescent="0.45">
      <c r="G354" s="9">
        <v>45483</v>
      </c>
      <c r="H354" s="8">
        <v>12.85</v>
      </c>
      <c r="J354" s="7">
        <v>35399</v>
      </c>
      <c r="K354" s="8">
        <v>19.45</v>
      </c>
    </row>
    <row r="355" spans="7:11" x14ac:dyDescent="0.45">
      <c r="G355" s="9">
        <v>45482</v>
      </c>
      <c r="H355" s="8">
        <v>12.51</v>
      </c>
      <c r="J355" s="7">
        <v>35369</v>
      </c>
      <c r="K355" s="8">
        <v>19</v>
      </c>
    </row>
    <row r="356" spans="7:11" x14ac:dyDescent="0.45">
      <c r="G356" s="9">
        <v>45481</v>
      </c>
      <c r="H356" s="8">
        <v>12.37</v>
      </c>
      <c r="J356" s="7">
        <v>35338</v>
      </c>
      <c r="K356" s="8">
        <v>18.75</v>
      </c>
    </row>
    <row r="357" spans="7:11" x14ac:dyDescent="0.45">
      <c r="G357" s="9">
        <v>45478</v>
      </c>
      <c r="H357" s="8">
        <v>12.48</v>
      </c>
      <c r="J357" s="7">
        <v>35308</v>
      </c>
      <c r="K357" s="8">
        <v>18.600000000000001</v>
      </c>
    </row>
    <row r="358" spans="7:11" x14ac:dyDescent="0.45">
      <c r="G358" s="9">
        <v>45477</v>
      </c>
      <c r="H358" s="8">
        <v>12.26</v>
      </c>
      <c r="J358" s="7">
        <v>35277</v>
      </c>
      <c r="K358" s="8">
        <v>18.260000000000002</v>
      </c>
    </row>
    <row r="359" spans="7:11" x14ac:dyDescent="0.45">
      <c r="G359" s="9">
        <v>45476</v>
      </c>
      <c r="H359" s="8">
        <v>12.09</v>
      </c>
      <c r="J359" s="7">
        <v>35246</v>
      </c>
      <c r="K359" s="8">
        <v>19.149999999999999</v>
      </c>
    </row>
    <row r="360" spans="7:11" x14ac:dyDescent="0.45">
      <c r="G360" s="9">
        <v>45475</v>
      </c>
      <c r="H360" s="8">
        <v>12.03</v>
      </c>
      <c r="J360" s="7">
        <v>35216</v>
      </c>
      <c r="K360" s="8">
        <v>19.100000000000001</v>
      </c>
    </row>
    <row r="361" spans="7:11" x14ac:dyDescent="0.45">
      <c r="G361" s="9">
        <v>45474</v>
      </c>
      <c r="H361" s="8">
        <v>12.22</v>
      </c>
      <c r="J361" s="7">
        <v>35185</v>
      </c>
      <c r="K361" s="8">
        <v>18.850000000000001</v>
      </c>
    </row>
    <row r="362" spans="7:11" x14ac:dyDescent="0.45">
      <c r="G362" s="9">
        <v>45471</v>
      </c>
      <c r="H362" s="8">
        <v>12.44</v>
      </c>
      <c r="J362" s="7">
        <v>35155</v>
      </c>
      <c r="K362" s="8">
        <v>19.010000000000002</v>
      </c>
    </row>
    <row r="363" spans="7:11" x14ac:dyDescent="0.45">
      <c r="G363" s="9">
        <v>45470</v>
      </c>
      <c r="H363" s="8">
        <v>12.24</v>
      </c>
      <c r="J363" s="7">
        <v>35124</v>
      </c>
      <c r="K363" s="8">
        <v>19.100000000000001</v>
      </c>
    </row>
    <row r="364" spans="7:11" x14ac:dyDescent="0.45">
      <c r="G364" s="9">
        <v>45469</v>
      </c>
      <c r="H364" s="8">
        <v>12.55</v>
      </c>
      <c r="J364" s="7">
        <v>35095</v>
      </c>
      <c r="K364" s="8">
        <v>18.079999999999998</v>
      </c>
    </row>
    <row r="365" spans="7:11" x14ac:dyDescent="0.45">
      <c r="G365" s="9">
        <v>45468</v>
      </c>
      <c r="H365" s="8">
        <v>12.84</v>
      </c>
      <c r="J365" s="7">
        <v>35064</v>
      </c>
      <c r="K365" s="8">
        <v>18.100000000000001</v>
      </c>
    </row>
    <row r="366" spans="7:11" x14ac:dyDescent="0.45">
      <c r="G366" s="9">
        <v>45467</v>
      </c>
      <c r="H366" s="8">
        <v>13.33</v>
      </c>
      <c r="J366" s="7">
        <v>35033</v>
      </c>
      <c r="K366" s="8">
        <v>17.329999999999998</v>
      </c>
    </row>
    <row r="367" spans="7:11" x14ac:dyDescent="0.45">
      <c r="G367" s="9">
        <v>45464</v>
      </c>
      <c r="H367" s="8">
        <v>13.2</v>
      </c>
      <c r="J367" s="7">
        <v>35003</v>
      </c>
      <c r="K367" s="8">
        <v>16.760000000000002</v>
      </c>
    </row>
    <row r="368" spans="7:11" x14ac:dyDescent="0.45">
      <c r="G368" s="9">
        <v>45463</v>
      </c>
      <c r="H368" s="8">
        <v>13.28</v>
      </c>
      <c r="J368" s="7">
        <v>34972</v>
      </c>
      <c r="K368" s="8">
        <v>16.45</v>
      </c>
    </row>
    <row r="369" spans="7:11" x14ac:dyDescent="0.45">
      <c r="G369" s="9">
        <v>45462</v>
      </c>
      <c r="H369" s="8">
        <v>12.48</v>
      </c>
      <c r="J369" s="7">
        <v>34942</v>
      </c>
      <c r="K369" s="8">
        <v>16.010000000000002</v>
      </c>
    </row>
    <row r="370" spans="7:11" x14ac:dyDescent="0.45">
      <c r="G370" s="9">
        <v>45461</v>
      </c>
      <c r="H370" s="8">
        <v>12.3</v>
      </c>
      <c r="J370" s="7">
        <v>34911</v>
      </c>
      <c r="K370" s="8">
        <v>16.07</v>
      </c>
    </row>
    <row r="371" spans="7:11" x14ac:dyDescent="0.45">
      <c r="G371" s="9">
        <v>45460</v>
      </c>
      <c r="H371" s="8">
        <v>12.75</v>
      </c>
      <c r="J371" s="7">
        <v>34880</v>
      </c>
      <c r="K371" s="8">
        <v>15.67</v>
      </c>
    </row>
    <row r="372" spans="7:11" x14ac:dyDescent="0.45">
      <c r="G372" s="9">
        <v>45457</v>
      </c>
      <c r="H372" s="8">
        <v>12.66</v>
      </c>
      <c r="J372" s="7">
        <v>34850</v>
      </c>
      <c r="K372" s="8">
        <v>15.5</v>
      </c>
    </row>
    <row r="373" spans="7:11" x14ac:dyDescent="0.45">
      <c r="G373" s="9">
        <v>45456</v>
      </c>
      <c r="H373" s="8">
        <v>11.94</v>
      </c>
      <c r="J373" s="7">
        <v>34819</v>
      </c>
      <c r="K373" s="8">
        <v>15.31</v>
      </c>
    </row>
    <row r="374" spans="7:11" x14ac:dyDescent="0.45">
      <c r="G374" s="9">
        <v>45455</v>
      </c>
      <c r="H374" s="8">
        <v>12.04</v>
      </c>
      <c r="J374" s="7">
        <v>34789</v>
      </c>
      <c r="K374" s="8">
        <v>15.15</v>
      </c>
    </row>
    <row r="375" spans="7:11" x14ac:dyDescent="0.45">
      <c r="G375" s="9">
        <v>45454</v>
      </c>
      <c r="H375" s="8">
        <v>12.85</v>
      </c>
      <c r="J375" s="7">
        <v>34758</v>
      </c>
      <c r="K375" s="8">
        <v>15.11</v>
      </c>
    </row>
    <row r="376" spans="7:11" x14ac:dyDescent="0.45">
      <c r="G376" s="9">
        <v>45453</v>
      </c>
      <c r="H376" s="8">
        <v>12.74</v>
      </c>
      <c r="J376" s="7">
        <v>34730</v>
      </c>
      <c r="K376" s="8">
        <v>14.89</v>
      </c>
    </row>
    <row r="377" spans="7:11" x14ac:dyDescent="0.45">
      <c r="G377" s="9">
        <v>45450</v>
      </c>
      <c r="H377" s="8">
        <v>12.22</v>
      </c>
      <c r="J377" s="7">
        <v>34699</v>
      </c>
      <c r="K377" s="8">
        <v>14.88</v>
      </c>
    </row>
    <row r="378" spans="7:11" x14ac:dyDescent="0.45">
      <c r="G378" s="9">
        <v>45449</v>
      </c>
      <c r="H378" s="8">
        <v>12.58</v>
      </c>
      <c r="J378" s="7">
        <v>34668</v>
      </c>
      <c r="K378" s="8">
        <v>15.62</v>
      </c>
    </row>
    <row r="379" spans="7:11" x14ac:dyDescent="0.45">
      <c r="G379" s="9">
        <v>45448</v>
      </c>
      <c r="H379" s="8">
        <v>12.63</v>
      </c>
      <c r="J379" s="7">
        <v>34638</v>
      </c>
      <c r="K379" s="8">
        <v>16.32</v>
      </c>
    </row>
    <row r="380" spans="7:11" x14ac:dyDescent="0.45">
      <c r="G380" s="9">
        <v>45447</v>
      </c>
      <c r="H380" s="8">
        <v>13.16</v>
      </c>
      <c r="J380" s="7">
        <v>34607</v>
      </c>
      <c r="K380" s="8">
        <v>17.09</v>
      </c>
    </row>
    <row r="381" spans="7:11" x14ac:dyDescent="0.45">
      <c r="G381" s="9">
        <v>45446</v>
      </c>
      <c r="H381" s="8">
        <v>13.11</v>
      </c>
      <c r="J381" s="7">
        <v>34577</v>
      </c>
      <c r="K381" s="8">
        <v>17.440000000000001</v>
      </c>
    </row>
    <row r="382" spans="7:11" x14ac:dyDescent="0.45">
      <c r="G382" s="9">
        <v>45443</v>
      </c>
      <c r="H382" s="8">
        <v>12.92</v>
      </c>
      <c r="J382" s="7">
        <v>34546</v>
      </c>
      <c r="K382" s="8">
        <v>17.420000000000002</v>
      </c>
    </row>
    <row r="383" spans="7:11" x14ac:dyDescent="0.45">
      <c r="G383" s="9">
        <v>45442</v>
      </c>
      <c r="H383" s="8">
        <v>14.47</v>
      </c>
      <c r="J383" s="7">
        <v>34515</v>
      </c>
      <c r="K383" s="8">
        <v>18.05</v>
      </c>
    </row>
    <row r="384" spans="7:11" x14ac:dyDescent="0.45">
      <c r="G384" s="9">
        <v>45441</v>
      </c>
      <c r="H384" s="8">
        <v>14.28</v>
      </c>
      <c r="J384" s="7">
        <v>34485</v>
      </c>
      <c r="K384" s="8">
        <v>18.5</v>
      </c>
    </row>
    <row r="385" spans="7:11" x14ac:dyDescent="0.45">
      <c r="G385" s="9">
        <v>45440</v>
      </c>
      <c r="H385" s="8">
        <v>12.92</v>
      </c>
      <c r="J385" s="7">
        <v>34454</v>
      </c>
      <c r="K385" s="8">
        <v>19</v>
      </c>
    </row>
    <row r="386" spans="7:11" x14ac:dyDescent="0.45">
      <c r="G386" s="9">
        <v>45439</v>
      </c>
      <c r="H386" s="8">
        <v>12.36</v>
      </c>
      <c r="J386" s="7">
        <v>34424</v>
      </c>
      <c r="K386" s="8">
        <v>20.420000000000002</v>
      </c>
    </row>
    <row r="387" spans="7:11" x14ac:dyDescent="0.45">
      <c r="G387" s="9">
        <v>45436</v>
      </c>
      <c r="H387" s="8">
        <v>11.93</v>
      </c>
      <c r="J387" s="7">
        <v>34393</v>
      </c>
      <c r="K387" s="8">
        <v>21.02</v>
      </c>
    </row>
    <row r="388" spans="7:11" x14ac:dyDescent="0.45">
      <c r="G388" s="9">
        <v>45435</v>
      </c>
      <c r="H388" s="8">
        <v>12.77</v>
      </c>
      <c r="J388" s="7">
        <v>34365</v>
      </c>
      <c r="K388" s="8">
        <v>21.34</v>
      </c>
    </row>
    <row r="389" spans="7:11" x14ac:dyDescent="0.45">
      <c r="G389" s="9">
        <v>45434</v>
      </c>
      <c r="H389" s="8">
        <v>12.29</v>
      </c>
      <c r="J389" s="7">
        <v>34334</v>
      </c>
      <c r="K389" s="8">
        <v>21.29</v>
      </c>
    </row>
    <row r="390" spans="7:11" x14ac:dyDescent="0.45">
      <c r="G390" s="9">
        <v>45433</v>
      </c>
      <c r="H390" s="8">
        <v>11.86</v>
      </c>
      <c r="J390" s="7">
        <v>34303</v>
      </c>
      <c r="K390" s="8">
        <v>21.63</v>
      </c>
    </row>
    <row r="391" spans="7:11" x14ac:dyDescent="0.45">
      <c r="G391" s="9">
        <v>45432</v>
      </c>
      <c r="H391" s="8">
        <v>12.15</v>
      </c>
      <c r="J391" s="7">
        <v>34273</v>
      </c>
      <c r="K391" s="8">
        <v>22.19</v>
      </c>
    </row>
    <row r="392" spans="7:11" x14ac:dyDescent="0.45">
      <c r="G392" s="9">
        <v>45429</v>
      </c>
      <c r="H392" s="8">
        <v>11.99</v>
      </c>
      <c r="J392" s="7">
        <v>34242</v>
      </c>
      <c r="K392" s="8">
        <v>22.5</v>
      </c>
    </row>
    <row r="393" spans="7:11" x14ac:dyDescent="0.45">
      <c r="G393" s="9">
        <v>45428</v>
      </c>
      <c r="H393" s="8">
        <v>12.42</v>
      </c>
      <c r="J393" s="7">
        <v>34212</v>
      </c>
      <c r="K393" s="8">
        <v>22.65</v>
      </c>
    </row>
    <row r="394" spans="7:11" x14ac:dyDescent="0.45">
      <c r="G394" s="9">
        <v>45427</v>
      </c>
      <c r="H394" s="8">
        <v>12.45</v>
      </c>
      <c r="J394" s="7">
        <v>34181</v>
      </c>
      <c r="K394" s="8">
        <v>22.72</v>
      </c>
    </row>
    <row r="395" spans="7:11" x14ac:dyDescent="0.45">
      <c r="G395" s="9">
        <v>45426</v>
      </c>
      <c r="H395" s="8">
        <v>13.42</v>
      </c>
      <c r="J395" s="7">
        <v>34150</v>
      </c>
      <c r="K395" s="8">
        <v>23.18</v>
      </c>
    </row>
    <row r="396" spans="7:11" x14ac:dyDescent="0.45">
      <c r="G396" s="9">
        <v>45425</v>
      </c>
      <c r="H396" s="8">
        <v>13.6</v>
      </c>
      <c r="J396" s="7">
        <v>34120</v>
      </c>
      <c r="K396" s="8">
        <v>22.83</v>
      </c>
    </row>
    <row r="397" spans="7:11" x14ac:dyDescent="0.45">
      <c r="G397" s="9">
        <v>45422</v>
      </c>
      <c r="H397" s="8">
        <v>12.55</v>
      </c>
      <c r="J397" s="7">
        <v>34089</v>
      </c>
      <c r="K397" s="8">
        <v>22.53</v>
      </c>
    </row>
    <row r="398" spans="7:11" x14ac:dyDescent="0.45">
      <c r="G398" s="9">
        <v>45421</v>
      </c>
      <c r="H398" s="8">
        <v>12.69</v>
      </c>
      <c r="J398" s="7">
        <v>34059</v>
      </c>
      <c r="K398" s="8">
        <v>22.69</v>
      </c>
    </row>
    <row r="399" spans="7:11" x14ac:dyDescent="0.45">
      <c r="G399" s="9">
        <v>45420</v>
      </c>
      <c r="H399" s="8">
        <v>13</v>
      </c>
      <c r="J399" s="7">
        <v>34028</v>
      </c>
      <c r="K399" s="8">
        <v>22.55</v>
      </c>
    </row>
    <row r="400" spans="7:11" x14ac:dyDescent="0.45">
      <c r="G400" s="9">
        <v>45419</v>
      </c>
      <c r="H400" s="8">
        <v>13.23</v>
      </c>
      <c r="J400" s="7">
        <v>34000</v>
      </c>
      <c r="K400" s="8">
        <v>22.5</v>
      </c>
    </row>
    <row r="401" spans="7:11" x14ac:dyDescent="0.45">
      <c r="G401" s="9">
        <v>45418</v>
      </c>
      <c r="H401" s="8">
        <v>13.49</v>
      </c>
      <c r="J401" s="7">
        <v>33969</v>
      </c>
      <c r="K401" s="8">
        <v>22.82</v>
      </c>
    </row>
    <row r="402" spans="7:11" x14ac:dyDescent="0.45">
      <c r="G402" s="9">
        <v>45415</v>
      </c>
      <c r="H402" s="8">
        <v>13.49</v>
      </c>
      <c r="J402" s="7">
        <v>33938</v>
      </c>
      <c r="K402" s="8">
        <v>22.56</v>
      </c>
    </row>
    <row r="403" spans="7:11" x14ac:dyDescent="0.45">
      <c r="G403" s="9">
        <v>45414</v>
      </c>
      <c r="H403" s="8">
        <v>14.68</v>
      </c>
      <c r="J403" s="7">
        <v>33908</v>
      </c>
      <c r="K403" s="8">
        <v>22.43</v>
      </c>
    </row>
    <row r="404" spans="7:11" x14ac:dyDescent="0.45">
      <c r="G404" s="9">
        <v>45413</v>
      </c>
      <c r="H404" s="8">
        <v>15.39</v>
      </c>
      <c r="J404" s="7">
        <v>33877</v>
      </c>
      <c r="K404" s="8">
        <v>23.2</v>
      </c>
    </row>
    <row r="405" spans="7:11" x14ac:dyDescent="0.45">
      <c r="G405" s="9">
        <v>45412</v>
      </c>
      <c r="H405" s="8">
        <v>15.65</v>
      </c>
      <c r="J405" s="7">
        <v>33847</v>
      </c>
      <c r="K405" s="8">
        <v>23.6</v>
      </c>
    </row>
    <row r="406" spans="7:11" x14ac:dyDescent="0.45">
      <c r="G406" s="9">
        <v>45411</v>
      </c>
      <c r="H406" s="8">
        <v>14.67</v>
      </c>
      <c r="J406" s="7">
        <v>33816</v>
      </c>
      <c r="K406" s="8">
        <v>23.88</v>
      </c>
    </row>
    <row r="407" spans="7:11" x14ac:dyDescent="0.45">
      <c r="G407" s="9">
        <v>45408</v>
      </c>
      <c r="H407" s="8">
        <v>15.03</v>
      </c>
      <c r="J407" s="7">
        <v>33785</v>
      </c>
      <c r="K407" s="8">
        <v>23.95</v>
      </c>
    </row>
    <row r="408" spans="7:11" x14ac:dyDescent="0.45">
      <c r="G408" s="9">
        <v>45407</v>
      </c>
      <c r="H408" s="8">
        <v>15.37</v>
      </c>
      <c r="J408" s="7">
        <v>33755</v>
      </c>
      <c r="K408" s="8">
        <v>24.75</v>
      </c>
    </row>
    <row r="409" spans="7:11" x14ac:dyDescent="0.45">
      <c r="G409" s="9">
        <v>45406</v>
      </c>
      <c r="H409" s="8">
        <v>15.97</v>
      </c>
      <c r="J409" s="7">
        <v>33724</v>
      </c>
      <c r="K409" s="8">
        <v>24.73</v>
      </c>
    </row>
    <row r="410" spans="7:11" x14ac:dyDescent="0.45">
      <c r="G410" s="9">
        <v>45405</v>
      </c>
      <c r="H410" s="8">
        <v>15.69</v>
      </c>
      <c r="J410" s="7">
        <v>33694</v>
      </c>
      <c r="K410" s="8">
        <v>25.16</v>
      </c>
    </row>
    <row r="411" spans="7:11" x14ac:dyDescent="0.45">
      <c r="G411" s="9">
        <v>45404</v>
      </c>
      <c r="H411" s="8">
        <v>16.940000000000001</v>
      </c>
      <c r="J411" s="7">
        <v>33663</v>
      </c>
      <c r="K411" s="8">
        <v>25.6</v>
      </c>
    </row>
    <row r="412" spans="7:11" x14ac:dyDescent="0.45">
      <c r="G412" s="9">
        <v>45401</v>
      </c>
      <c r="H412" s="8">
        <v>18.71</v>
      </c>
      <c r="J412" s="7">
        <v>33634</v>
      </c>
      <c r="K412" s="8">
        <v>25.93</v>
      </c>
    </row>
    <row r="413" spans="7:11" x14ac:dyDescent="0.45">
      <c r="G413" s="9">
        <v>45400</v>
      </c>
      <c r="H413" s="8">
        <v>18</v>
      </c>
      <c r="J413" s="7">
        <v>33603</v>
      </c>
      <c r="K413" s="8">
        <v>24.33</v>
      </c>
    </row>
    <row r="414" spans="7:11" x14ac:dyDescent="0.45">
      <c r="G414" s="9">
        <v>45399</v>
      </c>
      <c r="H414" s="8">
        <v>18.21</v>
      </c>
      <c r="J414" s="7">
        <v>33572</v>
      </c>
      <c r="K414" s="8">
        <v>23.27</v>
      </c>
    </row>
    <row r="415" spans="7:11" x14ac:dyDescent="0.45">
      <c r="G415" s="9">
        <v>45398</v>
      </c>
      <c r="H415" s="8">
        <v>18.399999999999999</v>
      </c>
      <c r="J415" s="7">
        <v>33542</v>
      </c>
      <c r="K415" s="8">
        <v>22.49</v>
      </c>
    </row>
    <row r="416" spans="7:11" x14ac:dyDescent="0.45">
      <c r="G416" s="9">
        <v>45397</v>
      </c>
      <c r="H416" s="8">
        <v>19.23</v>
      </c>
      <c r="J416" s="7">
        <v>33511</v>
      </c>
      <c r="K416" s="8">
        <v>21.73</v>
      </c>
    </row>
    <row r="417" spans="7:11" x14ac:dyDescent="0.45">
      <c r="G417" s="9">
        <v>45394</v>
      </c>
      <c r="H417" s="8">
        <v>17.309999999999999</v>
      </c>
      <c r="J417" s="7">
        <v>33481</v>
      </c>
      <c r="K417" s="8">
        <v>21.22</v>
      </c>
    </row>
    <row r="418" spans="7:11" x14ac:dyDescent="0.45">
      <c r="G418" s="9">
        <v>45393</v>
      </c>
      <c r="H418" s="8">
        <v>14.91</v>
      </c>
      <c r="J418" s="7">
        <v>33450</v>
      </c>
      <c r="K418" s="8">
        <v>20.14</v>
      </c>
    </row>
    <row r="419" spans="7:11" x14ac:dyDescent="0.45">
      <c r="G419" s="9">
        <v>45392</v>
      </c>
      <c r="H419" s="8">
        <v>15.8</v>
      </c>
      <c r="J419" s="7">
        <v>33419</v>
      </c>
      <c r="K419" s="8">
        <v>19.489999999999998</v>
      </c>
    </row>
    <row r="420" spans="7:11" x14ac:dyDescent="0.45">
      <c r="G420" s="9">
        <v>45391</v>
      </c>
      <c r="H420" s="8">
        <v>14.98</v>
      </c>
      <c r="J420" s="7">
        <v>33389</v>
      </c>
      <c r="K420" s="8">
        <v>18.98</v>
      </c>
    </row>
    <row r="421" spans="7:11" x14ac:dyDescent="0.45">
      <c r="G421" s="9">
        <v>45390</v>
      </c>
      <c r="H421" s="8">
        <v>15.19</v>
      </c>
      <c r="J421" s="7">
        <v>33358</v>
      </c>
      <c r="K421" s="8">
        <v>18.579999999999998</v>
      </c>
    </row>
    <row r="422" spans="7:11" x14ac:dyDescent="0.45">
      <c r="G422" s="9">
        <v>45387</v>
      </c>
      <c r="H422" s="8">
        <v>16.03</v>
      </c>
      <c r="J422" s="7">
        <v>33328</v>
      </c>
      <c r="K422" s="8">
        <v>17.78</v>
      </c>
    </row>
    <row r="423" spans="7:11" x14ac:dyDescent="0.45">
      <c r="G423" s="9">
        <v>45386</v>
      </c>
      <c r="H423" s="8">
        <v>16.350000000000001</v>
      </c>
      <c r="J423" s="7">
        <v>33297</v>
      </c>
      <c r="K423" s="8">
        <v>17.190000000000001</v>
      </c>
    </row>
    <row r="424" spans="7:11" x14ac:dyDescent="0.45">
      <c r="G424" s="9">
        <v>45385</v>
      </c>
      <c r="H424" s="8">
        <v>14.33</v>
      </c>
      <c r="J424" s="7">
        <v>33269</v>
      </c>
      <c r="K424" s="8">
        <v>15.35</v>
      </c>
    </row>
    <row r="425" spans="7:11" x14ac:dyDescent="0.45">
      <c r="G425" s="9">
        <v>45384</v>
      </c>
      <c r="H425" s="8">
        <v>14.61</v>
      </c>
      <c r="J425" s="7">
        <v>33238</v>
      </c>
      <c r="K425" s="8">
        <v>15.41</v>
      </c>
    </row>
    <row r="426" spans="7:11" x14ac:dyDescent="0.45">
      <c r="G426" s="9">
        <v>45383</v>
      </c>
      <c r="H426" s="8">
        <v>13.65</v>
      </c>
      <c r="J426" s="7">
        <v>33207</v>
      </c>
      <c r="K426" s="8">
        <v>14.68</v>
      </c>
    </row>
    <row r="427" spans="7:11" x14ac:dyDescent="0.45">
      <c r="G427" s="9">
        <v>45379</v>
      </c>
      <c r="H427" s="8">
        <v>13.01</v>
      </c>
      <c r="J427" s="7">
        <v>33177</v>
      </c>
      <c r="K427" s="8">
        <v>14.21</v>
      </c>
    </row>
    <row r="428" spans="7:11" x14ac:dyDescent="0.45">
      <c r="G428" s="9">
        <v>45378</v>
      </c>
      <c r="H428" s="8">
        <v>12.78</v>
      </c>
      <c r="J428" s="7">
        <v>33146</v>
      </c>
      <c r="K428" s="8">
        <v>14.51</v>
      </c>
    </row>
    <row r="429" spans="7:11" x14ac:dyDescent="0.45">
      <c r="G429" s="9">
        <v>45377</v>
      </c>
      <c r="H429" s="8">
        <v>13.24</v>
      </c>
      <c r="J429" s="7">
        <v>33116</v>
      </c>
      <c r="K429" s="8">
        <v>15.33</v>
      </c>
    </row>
    <row r="430" spans="7:11" x14ac:dyDescent="0.45">
      <c r="G430" s="9">
        <v>45376</v>
      </c>
      <c r="H430" s="8">
        <v>13.19</v>
      </c>
      <c r="J430" s="7">
        <v>33085</v>
      </c>
      <c r="K430" s="8">
        <v>16.809999999999999</v>
      </c>
    </row>
    <row r="431" spans="7:11" x14ac:dyDescent="0.45">
      <c r="G431" s="9">
        <v>45373</v>
      </c>
      <c r="H431" s="8">
        <v>13.06</v>
      </c>
      <c r="J431" s="7">
        <v>33054</v>
      </c>
      <c r="K431" s="8">
        <v>16.95</v>
      </c>
    </row>
    <row r="432" spans="7:11" x14ac:dyDescent="0.45">
      <c r="G432" s="9">
        <v>45372</v>
      </c>
      <c r="H432" s="8">
        <v>12.92</v>
      </c>
      <c r="J432" s="7">
        <v>33024</v>
      </c>
      <c r="K432" s="8">
        <v>16.37</v>
      </c>
    </row>
    <row r="433" spans="7:11" x14ac:dyDescent="0.45">
      <c r="G433" s="9">
        <v>45371</v>
      </c>
      <c r="H433" s="8">
        <v>13.04</v>
      </c>
      <c r="J433" s="7">
        <v>32993</v>
      </c>
      <c r="K433" s="8">
        <v>15.7</v>
      </c>
    </row>
    <row r="434" spans="7:11" x14ac:dyDescent="0.45">
      <c r="G434" s="9">
        <v>45370</v>
      </c>
      <c r="H434" s="8">
        <v>13.82</v>
      </c>
      <c r="J434" s="7">
        <v>32963</v>
      </c>
      <c r="K434" s="8">
        <v>15.62</v>
      </c>
    </row>
    <row r="435" spans="7:11" x14ac:dyDescent="0.45">
      <c r="G435" s="9">
        <v>45369</v>
      </c>
      <c r="H435" s="8">
        <v>14.33</v>
      </c>
      <c r="J435" s="7">
        <v>32932</v>
      </c>
      <c r="K435" s="8">
        <v>14.97</v>
      </c>
    </row>
    <row r="436" spans="7:11" x14ac:dyDescent="0.45">
      <c r="G436" s="9">
        <v>45366</v>
      </c>
      <c r="H436" s="8">
        <v>14.41</v>
      </c>
      <c r="J436" s="7">
        <v>32904</v>
      </c>
      <c r="K436" s="8">
        <v>15.13</v>
      </c>
    </row>
    <row r="437" spans="7:11" x14ac:dyDescent="0.45">
      <c r="G437" s="9">
        <v>45365</v>
      </c>
      <c r="H437" s="8">
        <v>14.4</v>
      </c>
      <c r="J437" s="7">
        <v>32873</v>
      </c>
      <c r="K437" s="8">
        <v>15.24</v>
      </c>
    </row>
    <row r="438" spans="7:11" x14ac:dyDescent="0.45">
      <c r="G438" s="9">
        <v>45364</v>
      </c>
      <c r="H438" s="8">
        <v>13.75</v>
      </c>
      <c r="J438" s="7">
        <v>32842</v>
      </c>
      <c r="K438" s="8">
        <v>14.7</v>
      </c>
    </row>
    <row r="439" spans="7:11" x14ac:dyDescent="0.45">
      <c r="G439" s="9">
        <v>45363</v>
      </c>
      <c r="H439" s="8">
        <v>13.84</v>
      </c>
      <c r="J439" s="7">
        <v>32812</v>
      </c>
      <c r="K439" s="8">
        <v>14.84</v>
      </c>
    </row>
    <row r="440" spans="7:11" x14ac:dyDescent="0.45">
      <c r="G440" s="9">
        <v>45362</v>
      </c>
      <c r="H440" s="8">
        <v>15.22</v>
      </c>
      <c r="J440" s="7">
        <v>32781</v>
      </c>
      <c r="K440" s="8">
        <v>14.66</v>
      </c>
    </row>
    <row r="441" spans="7:11" x14ac:dyDescent="0.45">
      <c r="G441" s="9">
        <v>45359</v>
      </c>
      <c r="H441" s="8">
        <v>14.74</v>
      </c>
      <c r="J441" s="7">
        <v>32751</v>
      </c>
      <c r="K441" s="8">
        <v>14.32</v>
      </c>
    </row>
    <row r="442" spans="7:11" x14ac:dyDescent="0.45">
      <c r="G442" s="9">
        <v>45358</v>
      </c>
      <c r="H442" s="8">
        <v>14.44</v>
      </c>
      <c r="J442" s="7">
        <v>32720</v>
      </c>
      <c r="K442" s="8">
        <v>13.43</v>
      </c>
    </row>
    <row r="443" spans="7:11" x14ac:dyDescent="0.45">
      <c r="G443" s="9">
        <v>45357</v>
      </c>
      <c r="H443" s="8">
        <v>14.5</v>
      </c>
      <c r="J443" s="7">
        <v>32689</v>
      </c>
      <c r="K443" s="8">
        <v>12.84</v>
      </c>
    </row>
    <row r="444" spans="7:11" x14ac:dyDescent="0.45">
      <c r="G444" s="9">
        <v>45356</v>
      </c>
      <c r="H444" s="8">
        <v>14.46</v>
      </c>
      <c r="J444" s="7">
        <v>32659</v>
      </c>
      <c r="K444" s="8">
        <v>12.49</v>
      </c>
    </row>
    <row r="445" spans="7:11" x14ac:dyDescent="0.45">
      <c r="G445" s="9">
        <v>45355</v>
      </c>
      <c r="H445" s="8">
        <v>13.49</v>
      </c>
      <c r="J445" s="7">
        <v>32628</v>
      </c>
      <c r="K445" s="8">
        <v>12.07</v>
      </c>
    </row>
    <row r="446" spans="7:11" x14ac:dyDescent="0.45">
      <c r="G446" s="9">
        <v>45352</v>
      </c>
      <c r="H446" s="8">
        <v>13.11</v>
      </c>
      <c r="J446" s="7">
        <v>32598</v>
      </c>
      <c r="K446" s="8">
        <v>11.73</v>
      </c>
    </row>
    <row r="447" spans="7:11" x14ac:dyDescent="0.45">
      <c r="G447" s="9">
        <v>45351</v>
      </c>
      <c r="H447" s="8">
        <v>13.4</v>
      </c>
      <c r="J447" s="7">
        <v>32567</v>
      </c>
      <c r="K447" s="8">
        <v>11.97</v>
      </c>
    </row>
    <row r="448" spans="7:11" x14ac:dyDescent="0.45">
      <c r="G448" s="9">
        <v>45350</v>
      </c>
      <c r="H448" s="8">
        <v>13.84</v>
      </c>
      <c r="J448" s="7">
        <v>32539</v>
      </c>
      <c r="K448" s="8">
        <v>11.82</v>
      </c>
    </row>
    <row r="449" spans="7:11" x14ac:dyDescent="0.45">
      <c r="G449" s="9">
        <v>45349</v>
      </c>
      <c r="H449" s="8">
        <v>13.43</v>
      </c>
      <c r="J449" s="7">
        <v>32508</v>
      </c>
      <c r="K449" s="8">
        <v>11.64</v>
      </c>
    </row>
    <row r="450" spans="7:11" x14ac:dyDescent="0.45">
      <c r="G450" s="9">
        <v>45348</v>
      </c>
      <c r="H450" s="8">
        <v>13.74</v>
      </c>
      <c r="J450" s="7">
        <v>32477</v>
      </c>
      <c r="K450" s="8">
        <v>11.57</v>
      </c>
    </row>
    <row r="451" spans="7:11" x14ac:dyDescent="0.45">
      <c r="G451" s="9">
        <v>45345</v>
      </c>
      <c r="H451" s="8">
        <v>13.75</v>
      </c>
      <c r="J451" s="7">
        <v>32447</v>
      </c>
      <c r="K451" s="8">
        <v>12.02</v>
      </c>
    </row>
    <row r="452" spans="7:11" x14ac:dyDescent="0.45">
      <c r="G452" s="9">
        <v>45344</v>
      </c>
      <c r="H452" s="8">
        <v>14.54</v>
      </c>
      <c r="J452" s="7">
        <v>32416</v>
      </c>
      <c r="K452" s="8">
        <v>11.79</v>
      </c>
    </row>
    <row r="453" spans="7:11" x14ac:dyDescent="0.45">
      <c r="G453" s="9">
        <v>45343</v>
      </c>
      <c r="H453" s="8">
        <v>15.34</v>
      </c>
      <c r="J453" s="7">
        <v>32386</v>
      </c>
      <c r="K453" s="8">
        <v>11.78</v>
      </c>
    </row>
    <row r="454" spans="7:11" x14ac:dyDescent="0.45">
      <c r="G454" s="9">
        <v>45342</v>
      </c>
      <c r="H454" s="8">
        <v>15.42</v>
      </c>
      <c r="J454" s="7">
        <v>32355</v>
      </c>
      <c r="K454" s="8">
        <v>12.22</v>
      </c>
    </row>
    <row r="455" spans="7:11" x14ac:dyDescent="0.45">
      <c r="G455" s="9">
        <v>45341</v>
      </c>
      <c r="H455" s="8">
        <v>14.71</v>
      </c>
      <c r="J455" s="7">
        <v>32324</v>
      </c>
      <c r="K455" s="8">
        <v>12.49</v>
      </c>
    </row>
    <row r="456" spans="7:11" x14ac:dyDescent="0.45">
      <c r="G456" s="9">
        <v>45338</v>
      </c>
      <c r="H456" s="8">
        <v>14.24</v>
      </c>
      <c r="J456" s="7">
        <v>32294</v>
      </c>
      <c r="K456" s="8">
        <v>12.41</v>
      </c>
    </row>
    <row r="457" spans="7:11" x14ac:dyDescent="0.45">
      <c r="G457" s="9">
        <v>45337</v>
      </c>
      <c r="H457" s="8">
        <v>14.01</v>
      </c>
      <c r="J457" s="7">
        <v>32263</v>
      </c>
      <c r="K457" s="8">
        <v>13.39</v>
      </c>
    </row>
    <row r="458" spans="7:11" x14ac:dyDescent="0.45">
      <c r="G458" s="9">
        <v>45336</v>
      </c>
      <c r="H458" s="8">
        <v>14.38</v>
      </c>
      <c r="J458" s="7">
        <v>32233</v>
      </c>
      <c r="K458" s="8">
        <v>14.29</v>
      </c>
    </row>
    <row r="459" spans="7:11" x14ac:dyDescent="0.45">
      <c r="G459" s="9">
        <v>45335</v>
      </c>
      <c r="H459" s="8">
        <v>15.85</v>
      </c>
      <c r="J459" s="7">
        <v>32202</v>
      </c>
      <c r="K459" s="8">
        <v>14.16</v>
      </c>
    </row>
    <row r="460" spans="7:11" x14ac:dyDescent="0.45">
      <c r="G460" s="9">
        <v>45334</v>
      </c>
      <c r="H460" s="8">
        <v>13.93</v>
      </c>
      <c r="J460" s="7">
        <v>32173</v>
      </c>
      <c r="K460" s="8">
        <v>14.02</v>
      </c>
    </row>
    <row r="461" spans="7:11" x14ac:dyDescent="0.45">
      <c r="G461" s="9">
        <v>45331</v>
      </c>
      <c r="H461" s="8">
        <v>12.93</v>
      </c>
      <c r="J461" s="7">
        <v>32142</v>
      </c>
      <c r="K461" s="8">
        <v>13.77</v>
      </c>
    </row>
    <row r="462" spans="7:11" x14ac:dyDescent="0.45">
      <c r="G462" s="9">
        <v>45330</v>
      </c>
      <c r="H462" s="8">
        <v>12.79</v>
      </c>
      <c r="J462" s="7">
        <v>32111</v>
      </c>
      <c r="K462" s="8">
        <v>14.45</v>
      </c>
    </row>
    <row r="463" spans="7:11" x14ac:dyDescent="0.45">
      <c r="G463" s="9">
        <v>45329</v>
      </c>
      <c r="H463" s="8">
        <v>12.83</v>
      </c>
      <c r="J463" s="7">
        <v>32081</v>
      </c>
      <c r="K463" s="8">
        <v>17.079999999999998</v>
      </c>
    </row>
    <row r="464" spans="7:11" x14ac:dyDescent="0.45">
      <c r="G464" s="9">
        <v>45328</v>
      </c>
      <c r="H464" s="8">
        <v>13.06</v>
      </c>
      <c r="J464" s="7">
        <v>32050</v>
      </c>
      <c r="K464" s="8">
        <v>20.09</v>
      </c>
    </row>
    <row r="465" spans="7:11" x14ac:dyDescent="0.45">
      <c r="G465" s="9">
        <v>45327</v>
      </c>
      <c r="H465" s="8">
        <v>13.67</v>
      </c>
      <c r="J465" s="7">
        <v>32020</v>
      </c>
      <c r="K465" s="8">
        <v>21.42</v>
      </c>
    </row>
    <row r="466" spans="7:11" x14ac:dyDescent="0.45">
      <c r="G466" s="9">
        <v>45324</v>
      </c>
      <c r="H466" s="8">
        <v>13.85</v>
      </c>
      <c r="J466" s="7">
        <v>31989</v>
      </c>
      <c r="K466" s="8">
        <v>20.81</v>
      </c>
    </row>
    <row r="467" spans="7:11" x14ac:dyDescent="0.45">
      <c r="G467" s="9">
        <v>45323</v>
      </c>
      <c r="H467" s="8">
        <v>13.88</v>
      </c>
      <c r="J467" s="7">
        <v>31958</v>
      </c>
      <c r="K467" s="8">
        <v>20.9</v>
      </c>
    </row>
    <row r="468" spans="7:11" x14ac:dyDescent="0.45">
      <c r="G468" s="9">
        <v>45322</v>
      </c>
      <c r="H468" s="8">
        <v>14.35</v>
      </c>
      <c r="J468" s="7">
        <v>31928</v>
      </c>
      <c r="K468" s="8">
        <v>19.739999999999998</v>
      </c>
    </row>
    <row r="469" spans="7:11" x14ac:dyDescent="0.45">
      <c r="G469" s="9">
        <v>45321</v>
      </c>
      <c r="H469" s="8">
        <v>13.31</v>
      </c>
      <c r="J469" s="7">
        <v>31897</v>
      </c>
      <c r="K469" s="8">
        <v>19.45</v>
      </c>
    </row>
    <row r="470" spans="7:11" x14ac:dyDescent="0.45">
      <c r="G470" s="9">
        <v>45320</v>
      </c>
      <c r="H470" s="8">
        <v>13.6</v>
      </c>
      <c r="J470" s="7">
        <v>31867</v>
      </c>
      <c r="K470" s="8">
        <v>19.37</v>
      </c>
    </row>
    <row r="471" spans="7:11" x14ac:dyDescent="0.45">
      <c r="G471" s="9">
        <v>45317</v>
      </c>
      <c r="H471" s="8">
        <v>13.26</v>
      </c>
      <c r="J471" s="7">
        <v>31836</v>
      </c>
      <c r="K471" s="8">
        <v>18.86</v>
      </c>
    </row>
    <row r="472" spans="7:11" x14ac:dyDescent="0.45">
      <c r="G472" s="9">
        <v>45316</v>
      </c>
      <c r="H472" s="8">
        <v>13.45</v>
      </c>
      <c r="J472" s="7">
        <v>31808</v>
      </c>
      <c r="K472" s="8">
        <v>18.010000000000002</v>
      </c>
    </row>
    <row r="473" spans="7:11" x14ac:dyDescent="0.45">
      <c r="G473" s="9">
        <v>45315</v>
      </c>
      <c r="H473" s="8">
        <v>13.14</v>
      </c>
      <c r="J473" s="7">
        <v>31777</v>
      </c>
      <c r="K473" s="8">
        <v>17.170000000000002</v>
      </c>
    </row>
    <row r="474" spans="7:11" x14ac:dyDescent="0.45">
      <c r="G474" s="9">
        <v>45314</v>
      </c>
      <c r="H474" s="8">
        <v>12.55</v>
      </c>
      <c r="J474" s="7">
        <v>31746</v>
      </c>
      <c r="K474" s="8">
        <v>16.78</v>
      </c>
    </row>
    <row r="475" spans="7:11" x14ac:dyDescent="0.45">
      <c r="G475" s="9">
        <v>45313</v>
      </c>
      <c r="H475" s="8">
        <v>13.19</v>
      </c>
      <c r="J475" s="7">
        <v>31716</v>
      </c>
      <c r="K475" s="8">
        <v>16.12</v>
      </c>
    </row>
    <row r="476" spans="7:11" x14ac:dyDescent="0.45">
      <c r="G476" s="9">
        <v>45310</v>
      </c>
      <c r="H476" s="8">
        <v>13.3</v>
      </c>
      <c r="J476" s="7">
        <v>31685</v>
      </c>
      <c r="K476" s="8">
        <v>16.05</v>
      </c>
    </row>
    <row r="477" spans="7:11" x14ac:dyDescent="0.45">
      <c r="G477" s="9">
        <v>45309</v>
      </c>
      <c r="H477" s="8">
        <v>14.13</v>
      </c>
      <c r="J477" s="7">
        <v>31655</v>
      </c>
      <c r="K477" s="8">
        <v>16.55</v>
      </c>
    </row>
    <row r="478" spans="7:11" x14ac:dyDescent="0.45">
      <c r="G478" s="9">
        <v>45308</v>
      </c>
      <c r="H478" s="8">
        <v>14.79</v>
      </c>
      <c r="J478" s="7">
        <v>31624</v>
      </c>
      <c r="K478" s="8">
        <v>16.28</v>
      </c>
    </row>
    <row r="479" spans="7:11" x14ac:dyDescent="0.45">
      <c r="G479" s="9">
        <v>45307</v>
      </c>
      <c r="H479" s="8">
        <v>13.84</v>
      </c>
      <c r="J479" s="7">
        <v>31593</v>
      </c>
      <c r="K479" s="8">
        <v>16.68</v>
      </c>
    </row>
    <row r="480" spans="7:11" x14ac:dyDescent="0.45">
      <c r="G480" s="9">
        <v>45306</v>
      </c>
      <c r="H480" s="8">
        <v>13.25</v>
      </c>
      <c r="J480" s="7">
        <v>31563</v>
      </c>
      <c r="K480" s="8">
        <v>16.28</v>
      </c>
    </row>
    <row r="481" spans="7:11" x14ac:dyDescent="0.45">
      <c r="G481" s="9">
        <v>45303</v>
      </c>
      <c r="H481" s="8">
        <v>12.7</v>
      </c>
      <c r="J481" s="7">
        <v>31532</v>
      </c>
      <c r="K481" s="8">
        <v>16.32</v>
      </c>
    </row>
    <row r="482" spans="7:11" x14ac:dyDescent="0.45">
      <c r="G482" s="9">
        <v>45302</v>
      </c>
      <c r="H482" s="8">
        <v>12.44</v>
      </c>
      <c r="J482" s="7">
        <v>31502</v>
      </c>
      <c r="K482" s="8">
        <v>16</v>
      </c>
    </row>
    <row r="483" spans="7:11" x14ac:dyDescent="0.45">
      <c r="G483" s="9">
        <v>45301</v>
      </c>
      <c r="H483" s="8">
        <v>12.69</v>
      </c>
      <c r="J483" s="7">
        <v>31471</v>
      </c>
      <c r="K483" s="8">
        <v>15.08</v>
      </c>
    </row>
    <row r="484" spans="7:11" x14ac:dyDescent="0.45">
      <c r="G484" s="9">
        <v>45300</v>
      </c>
      <c r="H484" s="8">
        <v>12.76</v>
      </c>
      <c r="J484" s="7">
        <v>31443</v>
      </c>
      <c r="K484" s="8">
        <v>14.28</v>
      </c>
    </row>
    <row r="485" spans="7:11" x14ac:dyDescent="0.45">
      <c r="G485" s="9">
        <v>45299</v>
      </c>
      <c r="H485" s="8">
        <v>13.08</v>
      </c>
      <c r="J485" s="7">
        <v>31412</v>
      </c>
      <c r="K485" s="8">
        <v>14.19</v>
      </c>
    </row>
    <row r="486" spans="7:11" x14ac:dyDescent="0.45">
      <c r="G486" s="9">
        <v>45296</v>
      </c>
      <c r="H486" s="8">
        <v>13.35</v>
      </c>
      <c r="J486" s="7">
        <v>31381</v>
      </c>
      <c r="K486" s="8">
        <v>13.33</v>
      </c>
    </row>
    <row r="487" spans="7:11" x14ac:dyDescent="0.45">
      <c r="G487" s="9">
        <v>45295</v>
      </c>
      <c r="H487" s="8">
        <v>14.13</v>
      </c>
      <c r="J487" s="7">
        <v>31351</v>
      </c>
      <c r="K487" s="8">
        <v>12.39</v>
      </c>
    </row>
    <row r="488" spans="7:11" x14ac:dyDescent="0.45">
      <c r="G488" s="9">
        <v>45294</v>
      </c>
      <c r="H488" s="8">
        <v>14.04</v>
      </c>
      <c r="J488" s="7">
        <v>31320</v>
      </c>
      <c r="K488" s="8">
        <v>12.09</v>
      </c>
    </row>
    <row r="489" spans="7:11" x14ac:dyDescent="0.45">
      <c r="G489" s="9">
        <v>45293</v>
      </c>
      <c r="H489" s="8">
        <v>13.2</v>
      </c>
      <c r="J489" s="7">
        <v>31290</v>
      </c>
      <c r="K489" s="8">
        <v>12.26</v>
      </c>
    </row>
    <row r="490" spans="7:11" x14ac:dyDescent="0.45">
      <c r="G490" s="9">
        <v>45289</v>
      </c>
      <c r="H490" s="8">
        <v>12.45</v>
      </c>
      <c r="J490" s="7">
        <v>31259</v>
      </c>
      <c r="K490" s="8">
        <v>12.43</v>
      </c>
    </row>
    <row r="491" spans="7:11" x14ac:dyDescent="0.45">
      <c r="G491" s="9">
        <v>45288</v>
      </c>
      <c r="H491" s="8">
        <v>12.47</v>
      </c>
      <c r="J491" s="7">
        <v>31228</v>
      </c>
      <c r="K491" s="8">
        <v>12.1</v>
      </c>
    </row>
    <row r="492" spans="7:11" x14ac:dyDescent="0.45">
      <c r="G492" s="9">
        <v>45287</v>
      </c>
      <c r="H492" s="8">
        <v>12.43</v>
      </c>
      <c r="J492" s="7">
        <v>31198</v>
      </c>
      <c r="K492" s="8">
        <v>11.65</v>
      </c>
    </row>
    <row r="493" spans="7:11" x14ac:dyDescent="0.45">
      <c r="G493" s="9">
        <v>45286</v>
      </c>
      <c r="H493" s="8">
        <v>12.99</v>
      </c>
      <c r="J493" s="7">
        <v>31167</v>
      </c>
      <c r="K493" s="8">
        <v>11.2</v>
      </c>
    </row>
    <row r="494" spans="7:11" x14ac:dyDescent="0.45">
      <c r="G494" s="9">
        <v>45282</v>
      </c>
      <c r="H494" s="8">
        <v>13.03</v>
      </c>
      <c r="J494" s="7">
        <v>31137</v>
      </c>
      <c r="K494" s="8">
        <v>10.95</v>
      </c>
    </row>
    <row r="495" spans="7:11" x14ac:dyDescent="0.45">
      <c r="G495" s="9">
        <v>45281</v>
      </c>
      <c r="H495" s="8">
        <v>13.65</v>
      </c>
      <c r="J495" s="7">
        <v>31106</v>
      </c>
      <c r="K495" s="8">
        <v>10.98</v>
      </c>
    </row>
    <row r="496" spans="7:11" x14ac:dyDescent="0.45">
      <c r="G496" s="9">
        <v>45280</v>
      </c>
      <c r="H496" s="8">
        <v>13.67</v>
      </c>
      <c r="J496" s="7">
        <v>31078</v>
      </c>
      <c r="K496" s="8">
        <v>10.36</v>
      </c>
    </row>
    <row r="497" spans="7:11" x14ac:dyDescent="0.45">
      <c r="G497" s="9">
        <v>45279</v>
      </c>
      <c r="H497" s="8">
        <v>12.53</v>
      </c>
      <c r="J497" s="7">
        <v>31047</v>
      </c>
      <c r="K497" s="8">
        <v>9.89</v>
      </c>
    </row>
    <row r="498" spans="7:11" x14ac:dyDescent="0.45">
      <c r="G498" s="9">
        <v>45278</v>
      </c>
      <c r="H498" s="8">
        <v>12.56</v>
      </c>
      <c r="J498" s="7">
        <v>31016</v>
      </c>
      <c r="K498" s="8">
        <v>10.01</v>
      </c>
    </row>
    <row r="499" spans="7:11" x14ac:dyDescent="0.45">
      <c r="G499" s="9">
        <v>45275</v>
      </c>
      <c r="H499" s="8">
        <v>12.28</v>
      </c>
      <c r="J499" s="7">
        <v>30986</v>
      </c>
      <c r="K499" s="8">
        <v>9.94</v>
      </c>
    </row>
    <row r="500" spans="7:11" x14ac:dyDescent="0.45">
      <c r="G500" s="9">
        <v>45274</v>
      </c>
      <c r="H500" s="8">
        <v>12.48</v>
      </c>
      <c r="J500" s="7">
        <v>30955</v>
      </c>
      <c r="K500" s="8">
        <v>10.029999999999999</v>
      </c>
    </row>
    <row r="501" spans="7:11" x14ac:dyDescent="0.45">
      <c r="G501" s="9">
        <v>45273</v>
      </c>
      <c r="H501" s="8">
        <v>12.19</v>
      </c>
      <c r="J501" s="7">
        <v>30925</v>
      </c>
      <c r="K501" s="8">
        <v>10</v>
      </c>
    </row>
    <row r="502" spans="7:11" x14ac:dyDescent="0.45">
      <c r="G502" s="9">
        <v>45272</v>
      </c>
      <c r="H502" s="8">
        <v>12.07</v>
      </c>
      <c r="J502" s="7">
        <v>30894</v>
      </c>
      <c r="K502" s="8">
        <v>9.26</v>
      </c>
    </row>
    <row r="503" spans="7:11" x14ac:dyDescent="0.45">
      <c r="G503" s="9">
        <v>45271</v>
      </c>
      <c r="H503" s="8">
        <v>12.63</v>
      </c>
      <c r="J503" s="7">
        <v>30863</v>
      </c>
      <c r="K503" s="8">
        <v>9.4499999999999993</v>
      </c>
    </row>
    <row r="504" spans="7:11" x14ac:dyDescent="0.45">
      <c r="G504" s="9">
        <v>45268</v>
      </c>
      <c r="H504" s="8">
        <v>12.35</v>
      </c>
      <c r="J504" s="7">
        <v>30833</v>
      </c>
      <c r="K504" s="8">
        <v>9.86</v>
      </c>
    </row>
    <row r="505" spans="7:11" x14ac:dyDescent="0.45">
      <c r="G505" s="9">
        <v>45267</v>
      </c>
      <c r="H505" s="8">
        <v>13.06</v>
      </c>
      <c r="J505" s="7">
        <v>30802</v>
      </c>
      <c r="K505" s="8">
        <v>10.119999999999999</v>
      </c>
    </row>
    <row r="506" spans="7:11" x14ac:dyDescent="0.45">
      <c r="G506" s="9">
        <v>45266</v>
      </c>
      <c r="H506" s="8">
        <v>12.97</v>
      </c>
      <c r="J506" s="7">
        <v>30772</v>
      </c>
      <c r="K506" s="8">
        <v>10.31</v>
      </c>
    </row>
    <row r="507" spans="7:11" x14ac:dyDescent="0.45">
      <c r="G507" s="9">
        <v>45265</v>
      </c>
      <c r="H507" s="8">
        <v>12.85</v>
      </c>
      <c r="J507" s="7">
        <v>30741</v>
      </c>
      <c r="K507" s="8">
        <v>10.59</v>
      </c>
    </row>
    <row r="508" spans="7:11" x14ac:dyDescent="0.45">
      <c r="G508" s="9">
        <v>45264</v>
      </c>
      <c r="H508" s="8">
        <v>13.08</v>
      </c>
      <c r="J508" s="7">
        <v>30712</v>
      </c>
      <c r="K508" s="8">
        <v>11.52</v>
      </c>
    </row>
    <row r="509" spans="7:11" x14ac:dyDescent="0.45">
      <c r="G509" s="9">
        <v>45261</v>
      </c>
      <c r="H509" s="8">
        <v>12.63</v>
      </c>
      <c r="J509" s="7">
        <v>30681</v>
      </c>
      <c r="K509" s="8">
        <v>11.72</v>
      </c>
    </row>
    <row r="510" spans="7:11" x14ac:dyDescent="0.45">
      <c r="G510" s="9">
        <v>45260</v>
      </c>
      <c r="H510" s="8">
        <v>12.92</v>
      </c>
      <c r="J510" s="7">
        <v>30650</v>
      </c>
      <c r="K510" s="8">
        <v>11.98</v>
      </c>
    </row>
    <row r="511" spans="7:11" x14ac:dyDescent="0.45">
      <c r="G511" s="9">
        <v>45259</v>
      </c>
      <c r="H511" s="8">
        <v>12.98</v>
      </c>
      <c r="J511" s="7">
        <v>30620</v>
      </c>
      <c r="K511" s="8">
        <v>12.38</v>
      </c>
    </row>
    <row r="512" spans="7:11" x14ac:dyDescent="0.45">
      <c r="G512" s="9">
        <v>45258</v>
      </c>
      <c r="H512" s="8">
        <v>12.69</v>
      </c>
      <c r="J512" s="7">
        <v>30589</v>
      </c>
      <c r="K512" s="8">
        <v>12.57</v>
      </c>
    </row>
    <row r="513" spans="7:11" x14ac:dyDescent="0.45">
      <c r="G513" s="9">
        <v>45257</v>
      </c>
      <c r="H513" s="8">
        <v>12.69</v>
      </c>
      <c r="J513" s="7">
        <v>30559</v>
      </c>
      <c r="K513" s="8">
        <v>12.43</v>
      </c>
    </row>
    <row r="514" spans="7:11" x14ac:dyDescent="0.45">
      <c r="G514" s="9">
        <v>45254</v>
      </c>
      <c r="H514" s="8">
        <v>12.46</v>
      </c>
      <c r="J514" s="7">
        <v>30528</v>
      </c>
      <c r="K514" s="8">
        <v>13.02</v>
      </c>
    </row>
    <row r="515" spans="7:11" x14ac:dyDescent="0.45">
      <c r="G515" s="9">
        <v>45253</v>
      </c>
      <c r="H515" s="8">
        <v>12.8</v>
      </c>
      <c r="J515" s="7">
        <v>30497</v>
      </c>
      <c r="K515" s="8">
        <v>13.22</v>
      </c>
    </row>
    <row r="516" spans="7:11" x14ac:dyDescent="0.45">
      <c r="G516" s="9">
        <v>45252</v>
      </c>
      <c r="H516" s="8">
        <v>12.85</v>
      </c>
      <c r="J516" s="7">
        <v>30467</v>
      </c>
      <c r="K516" s="8">
        <v>13.09</v>
      </c>
    </row>
    <row r="517" spans="7:11" x14ac:dyDescent="0.45">
      <c r="G517" s="9">
        <v>45251</v>
      </c>
      <c r="H517" s="8">
        <v>13.35</v>
      </c>
      <c r="J517" s="7">
        <v>30436</v>
      </c>
      <c r="K517" s="8">
        <v>12.64</v>
      </c>
    </row>
    <row r="518" spans="7:11" x14ac:dyDescent="0.45">
      <c r="G518" s="9">
        <v>45250</v>
      </c>
      <c r="H518" s="8">
        <v>13.41</v>
      </c>
      <c r="J518" s="7">
        <v>30406</v>
      </c>
      <c r="K518" s="8">
        <v>12.23</v>
      </c>
    </row>
    <row r="519" spans="7:11" x14ac:dyDescent="0.45">
      <c r="G519" s="9">
        <v>45247</v>
      </c>
      <c r="H519" s="8">
        <v>13.8</v>
      </c>
      <c r="J519" s="7">
        <v>30375</v>
      </c>
      <c r="K519" s="8">
        <v>11.75</v>
      </c>
    </row>
    <row r="520" spans="7:11" x14ac:dyDescent="0.45">
      <c r="G520" s="9">
        <v>45246</v>
      </c>
      <c r="H520" s="8">
        <v>14.32</v>
      </c>
      <c r="J520" s="7">
        <v>30347</v>
      </c>
      <c r="K520" s="8">
        <v>11.48</v>
      </c>
    </row>
    <row r="521" spans="7:11" x14ac:dyDescent="0.45">
      <c r="G521" s="9">
        <v>45245</v>
      </c>
      <c r="H521" s="8">
        <v>14.18</v>
      </c>
      <c r="J521" s="7">
        <v>30316</v>
      </c>
      <c r="K521" s="8">
        <v>11.03</v>
      </c>
    </row>
    <row r="522" spans="7:11" x14ac:dyDescent="0.45">
      <c r="G522" s="9">
        <v>45244</v>
      </c>
      <c r="H522" s="8">
        <v>14.16</v>
      </c>
      <c r="J522" s="7">
        <v>30285</v>
      </c>
      <c r="K522" s="8">
        <v>10.67</v>
      </c>
    </row>
    <row r="523" spans="7:11" x14ac:dyDescent="0.45">
      <c r="G523" s="9">
        <v>45243</v>
      </c>
      <c r="H523" s="8">
        <v>14.76</v>
      </c>
      <c r="J523" s="7">
        <v>30255</v>
      </c>
      <c r="K523" s="8">
        <v>10.01</v>
      </c>
    </row>
    <row r="524" spans="7:11" x14ac:dyDescent="0.45">
      <c r="G524" s="9">
        <v>45240</v>
      </c>
      <c r="H524" s="8">
        <v>14.17</v>
      </c>
      <c r="J524" s="7">
        <v>30224</v>
      </c>
      <c r="K524" s="8">
        <v>9.0299999999999994</v>
      </c>
    </row>
    <row r="525" spans="7:11" x14ac:dyDescent="0.45">
      <c r="G525" s="9">
        <v>45239</v>
      </c>
      <c r="H525" s="8">
        <v>15.29</v>
      </c>
      <c r="J525" s="7">
        <v>30194</v>
      </c>
      <c r="K525" s="8">
        <v>7.97</v>
      </c>
    </row>
    <row r="526" spans="7:11" x14ac:dyDescent="0.45">
      <c r="G526" s="9">
        <v>45238</v>
      </c>
      <c r="H526" s="8">
        <v>14.45</v>
      </c>
      <c r="J526" s="7">
        <v>30163</v>
      </c>
      <c r="K526" s="8">
        <v>7.83</v>
      </c>
    </row>
    <row r="527" spans="7:11" x14ac:dyDescent="0.45">
      <c r="G527" s="9">
        <v>45237</v>
      </c>
      <c r="H527" s="8">
        <v>14.81</v>
      </c>
      <c r="J527" s="7">
        <v>30132</v>
      </c>
      <c r="K527" s="8">
        <v>7.74</v>
      </c>
    </row>
    <row r="528" spans="7:11" x14ac:dyDescent="0.45">
      <c r="G528" s="9">
        <v>45236</v>
      </c>
      <c r="H528" s="8">
        <v>14.89</v>
      </c>
      <c r="J528" s="7">
        <v>30102</v>
      </c>
      <c r="K528" s="8">
        <v>8.09</v>
      </c>
    </row>
    <row r="529" spans="7:11" x14ac:dyDescent="0.45">
      <c r="G529" s="9">
        <v>45233</v>
      </c>
      <c r="H529" s="8">
        <v>14.91</v>
      </c>
      <c r="J529" s="7">
        <v>30071</v>
      </c>
      <c r="K529" s="8">
        <v>7.97</v>
      </c>
    </row>
    <row r="530" spans="7:11" x14ac:dyDescent="0.45">
      <c r="G530" s="9">
        <v>45232</v>
      </c>
      <c r="H530" s="8">
        <v>15.66</v>
      </c>
      <c r="J530" s="7">
        <v>30041</v>
      </c>
      <c r="K530" s="8">
        <v>7.48</v>
      </c>
    </row>
    <row r="531" spans="7:11" x14ac:dyDescent="0.45">
      <c r="G531" s="9">
        <v>45231</v>
      </c>
      <c r="H531" s="8">
        <v>16.87</v>
      </c>
      <c r="J531" s="7">
        <v>30010</v>
      </c>
      <c r="K531" s="8">
        <v>7.64</v>
      </c>
    </row>
    <row r="532" spans="7:11" x14ac:dyDescent="0.45">
      <c r="G532" s="9">
        <v>45230</v>
      </c>
      <c r="H532" s="8">
        <v>18.14</v>
      </c>
      <c r="J532" s="7">
        <v>29982</v>
      </c>
      <c r="K532" s="8">
        <v>7.73</v>
      </c>
    </row>
    <row r="533" spans="7:11" x14ac:dyDescent="0.45">
      <c r="G533" s="9">
        <v>45229</v>
      </c>
      <c r="H533" s="8">
        <v>19.75</v>
      </c>
      <c r="J533" s="7">
        <v>29951</v>
      </c>
      <c r="K533" s="8">
        <v>8.06</v>
      </c>
    </row>
    <row r="534" spans="7:11" x14ac:dyDescent="0.45">
      <c r="G534" s="9">
        <v>45226</v>
      </c>
      <c r="H534" s="8">
        <v>21.27</v>
      </c>
      <c r="J534" s="7">
        <v>29920</v>
      </c>
      <c r="K534" s="8">
        <v>8.02</v>
      </c>
    </row>
    <row r="535" spans="7:11" x14ac:dyDescent="0.45">
      <c r="G535" s="9">
        <v>45225</v>
      </c>
      <c r="H535" s="8">
        <v>20.68</v>
      </c>
      <c r="J535" s="7">
        <v>29890</v>
      </c>
      <c r="K535" s="8">
        <v>7.83</v>
      </c>
    </row>
    <row r="536" spans="7:11" x14ac:dyDescent="0.45">
      <c r="G536" s="9">
        <v>45224</v>
      </c>
      <c r="H536" s="8">
        <v>20.190000000000001</v>
      </c>
      <c r="J536" s="7">
        <v>29859</v>
      </c>
      <c r="K536" s="8">
        <v>7.75</v>
      </c>
    </row>
    <row r="537" spans="7:11" x14ac:dyDescent="0.45">
      <c r="G537" s="9">
        <v>45223</v>
      </c>
      <c r="H537" s="8">
        <v>18.97</v>
      </c>
      <c r="J537" s="7">
        <v>29829</v>
      </c>
      <c r="K537" s="8">
        <v>8.5399999999999991</v>
      </c>
    </row>
    <row r="538" spans="7:11" x14ac:dyDescent="0.45">
      <c r="G538" s="9">
        <v>45222</v>
      </c>
      <c r="H538" s="8">
        <v>20.37</v>
      </c>
      <c r="J538" s="7">
        <v>29798</v>
      </c>
      <c r="K538" s="8">
        <v>8.5500000000000007</v>
      </c>
    </row>
    <row r="539" spans="7:11" x14ac:dyDescent="0.45">
      <c r="G539" s="9">
        <v>45219</v>
      </c>
      <c r="H539" s="8">
        <v>21.71</v>
      </c>
      <c r="J539" s="7">
        <v>29767</v>
      </c>
      <c r="K539" s="8">
        <v>8.81</v>
      </c>
    </row>
    <row r="540" spans="7:11" x14ac:dyDescent="0.45">
      <c r="G540" s="9">
        <v>45218</v>
      </c>
      <c r="H540" s="8">
        <v>21.4</v>
      </c>
      <c r="J540" s="7">
        <v>29737</v>
      </c>
      <c r="K540" s="8">
        <v>8.86</v>
      </c>
    </row>
    <row r="541" spans="7:11" x14ac:dyDescent="0.45">
      <c r="G541" s="9">
        <v>45217</v>
      </c>
      <c r="H541" s="8">
        <v>19.22</v>
      </c>
      <c r="J541" s="7">
        <v>29706</v>
      </c>
      <c r="K541" s="8">
        <v>9.1300000000000008</v>
      </c>
    </row>
    <row r="542" spans="7:11" x14ac:dyDescent="0.45">
      <c r="G542" s="9">
        <v>45216</v>
      </c>
      <c r="H542" s="8">
        <v>17.88</v>
      </c>
      <c r="J542" s="7">
        <v>29676</v>
      </c>
      <c r="K542" s="8">
        <v>9.14</v>
      </c>
    </row>
    <row r="543" spans="7:11" x14ac:dyDescent="0.45">
      <c r="G543" s="9">
        <v>45215</v>
      </c>
      <c r="H543" s="8">
        <v>17.21</v>
      </c>
      <c r="J543" s="7">
        <v>29645</v>
      </c>
      <c r="K543" s="8">
        <v>8.76</v>
      </c>
    </row>
    <row r="544" spans="7:11" x14ac:dyDescent="0.45">
      <c r="G544" s="9">
        <v>45212</v>
      </c>
      <c r="H544" s="8">
        <v>19.32</v>
      </c>
      <c r="J544" s="7">
        <v>29617</v>
      </c>
      <c r="K544" s="8">
        <v>9.02</v>
      </c>
    </row>
    <row r="545" spans="7:11" x14ac:dyDescent="0.45">
      <c r="G545" s="9">
        <v>45211</v>
      </c>
      <c r="H545" s="8">
        <v>16.690000000000001</v>
      </c>
      <c r="J545" s="7">
        <v>29586</v>
      </c>
      <c r="K545" s="8">
        <v>9.01</v>
      </c>
    </row>
    <row r="546" spans="7:11" x14ac:dyDescent="0.45">
      <c r="G546" s="9">
        <v>45210</v>
      </c>
      <c r="H546" s="8">
        <v>16.09</v>
      </c>
      <c r="J546" s="7">
        <v>29555</v>
      </c>
      <c r="K546" s="8">
        <v>9.19</v>
      </c>
    </row>
    <row r="547" spans="7:11" x14ac:dyDescent="0.45">
      <c r="G547" s="9">
        <v>45209</v>
      </c>
      <c r="H547" s="8">
        <v>17.03</v>
      </c>
      <c r="J547" s="7">
        <v>29525</v>
      </c>
      <c r="K547" s="8">
        <v>8.86</v>
      </c>
    </row>
    <row r="548" spans="7:11" x14ac:dyDescent="0.45">
      <c r="G548" s="9">
        <v>45208</v>
      </c>
      <c r="H548" s="8">
        <v>17.7</v>
      </c>
      <c r="J548" s="7">
        <v>29494</v>
      </c>
      <c r="K548" s="8">
        <v>8.64</v>
      </c>
    </row>
    <row r="549" spans="7:11" x14ac:dyDescent="0.45">
      <c r="G549" s="9">
        <v>45205</v>
      </c>
      <c r="H549" s="8">
        <v>17.45</v>
      </c>
      <c r="J549" s="7">
        <v>29464</v>
      </c>
      <c r="K549" s="8">
        <v>8.3800000000000008</v>
      </c>
    </row>
    <row r="550" spans="7:11" x14ac:dyDescent="0.45">
      <c r="G550" s="9">
        <v>45204</v>
      </c>
      <c r="H550" s="8">
        <v>18.489999999999998</v>
      </c>
      <c r="J550" s="7">
        <v>29433</v>
      </c>
      <c r="K550" s="8">
        <v>8.07</v>
      </c>
    </row>
    <row r="551" spans="7:11" x14ac:dyDescent="0.45">
      <c r="G551" s="9">
        <v>45203</v>
      </c>
      <c r="H551" s="8">
        <v>18.579999999999998</v>
      </c>
      <c r="J551" s="7">
        <v>29402</v>
      </c>
      <c r="K551" s="8">
        <v>7.67</v>
      </c>
    </row>
    <row r="552" spans="7:11" x14ac:dyDescent="0.45">
      <c r="G552" s="9">
        <v>45202</v>
      </c>
      <c r="H552" s="8">
        <v>19.78</v>
      </c>
      <c r="J552" s="7">
        <v>29372</v>
      </c>
      <c r="K552" s="8">
        <v>7.15</v>
      </c>
    </row>
    <row r="553" spans="7:11" x14ac:dyDescent="0.45">
      <c r="G553" s="9">
        <v>45201</v>
      </c>
      <c r="H553" s="8">
        <v>17.61</v>
      </c>
      <c r="J553" s="7">
        <v>29341</v>
      </c>
      <c r="K553" s="8">
        <v>6.79</v>
      </c>
    </row>
    <row r="554" spans="7:11" x14ac:dyDescent="0.45">
      <c r="G554" s="9">
        <v>45198</v>
      </c>
      <c r="H554" s="8">
        <v>17.52</v>
      </c>
      <c r="J554" s="7">
        <v>29311</v>
      </c>
      <c r="K554" s="8">
        <v>6.85</v>
      </c>
    </row>
    <row r="555" spans="7:11" x14ac:dyDescent="0.45">
      <c r="G555" s="9">
        <v>45197</v>
      </c>
      <c r="H555" s="8">
        <v>17.34</v>
      </c>
      <c r="J555" s="7">
        <v>29280</v>
      </c>
      <c r="K555" s="8">
        <v>7.61</v>
      </c>
    </row>
    <row r="556" spans="7:11" x14ac:dyDescent="0.45">
      <c r="G556" s="9">
        <v>45196</v>
      </c>
      <c r="H556" s="8">
        <v>18.22</v>
      </c>
      <c r="J556" s="7">
        <v>29251</v>
      </c>
      <c r="K556" s="8">
        <v>7.39</v>
      </c>
    </row>
    <row r="557" spans="7:11" x14ac:dyDescent="0.45">
      <c r="G557" s="9">
        <v>45195</v>
      </c>
      <c r="H557" s="8">
        <v>18.940000000000001</v>
      </c>
      <c r="J557" s="7">
        <v>29220</v>
      </c>
      <c r="K557" s="8">
        <v>7.25</v>
      </c>
    </row>
    <row r="558" spans="7:11" x14ac:dyDescent="0.45">
      <c r="G558" s="9">
        <v>45194</v>
      </c>
      <c r="H558" s="8">
        <v>16.899999999999999</v>
      </c>
      <c r="J558" s="7">
        <v>29189</v>
      </c>
      <c r="K558" s="8">
        <v>7.01</v>
      </c>
    </row>
    <row r="559" spans="7:11" x14ac:dyDescent="0.45">
      <c r="G559" s="9">
        <v>45191</v>
      </c>
      <c r="H559" s="8">
        <v>17.2</v>
      </c>
      <c r="J559" s="7">
        <v>29159</v>
      </c>
      <c r="K559" s="8">
        <v>7.11</v>
      </c>
    </row>
    <row r="560" spans="7:11" x14ac:dyDescent="0.45">
      <c r="G560" s="9">
        <v>45190</v>
      </c>
      <c r="H560" s="8">
        <v>17.54</v>
      </c>
      <c r="J560" s="7">
        <v>29128</v>
      </c>
      <c r="K560" s="8">
        <v>7.42</v>
      </c>
    </row>
    <row r="561" spans="7:11" x14ac:dyDescent="0.45">
      <c r="G561" s="9">
        <v>45189</v>
      </c>
      <c r="H561" s="8">
        <v>15.14</v>
      </c>
      <c r="J561" s="7">
        <v>29098</v>
      </c>
      <c r="K561" s="8">
        <v>7.45</v>
      </c>
    </row>
    <row r="562" spans="7:11" x14ac:dyDescent="0.45">
      <c r="G562" s="9">
        <v>45188</v>
      </c>
      <c r="H562" s="8">
        <v>14.11</v>
      </c>
      <c r="J562" s="7">
        <v>29067</v>
      </c>
      <c r="K562" s="8">
        <v>7.23</v>
      </c>
    </row>
    <row r="563" spans="7:11" x14ac:dyDescent="0.45">
      <c r="G563" s="9">
        <v>45187</v>
      </c>
      <c r="H563" s="8">
        <v>14</v>
      </c>
      <c r="J563" s="7">
        <v>29036</v>
      </c>
      <c r="K563" s="8">
        <v>7.27</v>
      </c>
    </row>
    <row r="564" spans="7:11" x14ac:dyDescent="0.45">
      <c r="G564" s="9">
        <v>45184</v>
      </c>
      <c r="H564" s="8">
        <v>13.79</v>
      </c>
      <c r="J564" s="7">
        <v>29006</v>
      </c>
      <c r="K564" s="8">
        <v>7.25</v>
      </c>
    </row>
    <row r="565" spans="7:11" x14ac:dyDescent="0.45">
      <c r="G565" s="9">
        <v>45183</v>
      </c>
      <c r="H565" s="8">
        <v>12.82</v>
      </c>
      <c r="J565" s="7">
        <v>28975</v>
      </c>
      <c r="K565" s="8">
        <v>7.55</v>
      </c>
    </row>
    <row r="566" spans="7:11" x14ac:dyDescent="0.45">
      <c r="G566" s="9">
        <v>45182</v>
      </c>
      <c r="H566" s="8">
        <v>13.48</v>
      </c>
      <c r="J566" s="7">
        <v>28945</v>
      </c>
      <c r="K566" s="8">
        <v>7.53</v>
      </c>
    </row>
    <row r="567" spans="7:11" x14ac:dyDescent="0.45">
      <c r="G567" s="9">
        <v>45181</v>
      </c>
      <c r="H567" s="8">
        <v>14.23</v>
      </c>
      <c r="J567" s="7">
        <v>28914</v>
      </c>
      <c r="K567" s="8">
        <v>7.57</v>
      </c>
    </row>
    <row r="568" spans="7:11" x14ac:dyDescent="0.45">
      <c r="G568" s="9">
        <v>45180</v>
      </c>
      <c r="H568" s="8">
        <v>13.8</v>
      </c>
      <c r="J568" s="7">
        <v>28886</v>
      </c>
      <c r="K568" s="8">
        <v>7.88</v>
      </c>
    </row>
    <row r="569" spans="7:11" x14ac:dyDescent="0.45">
      <c r="G569" s="9">
        <v>45177</v>
      </c>
      <c r="H569" s="8">
        <v>13.84</v>
      </c>
      <c r="J569" s="7">
        <v>28855</v>
      </c>
      <c r="K569" s="8">
        <v>7.79</v>
      </c>
    </row>
    <row r="570" spans="7:11" x14ac:dyDescent="0.45">
      <c r="G570" s="9">
        <v>45176</v>
      </c>
      <c r="H570" s="8">
        <v>14.4</v>
      </c>
      <c r="J570" s="7">
        <v>28824</v>
      </c>
      <c r="K570" s="8">
        <v>7.84</v>
      </c>
    </row>
    <row r="571" spans="7:11" x14ac:dyDescent="0.45">
      <c r="G571" s="9">
        <v>45175</v>
      </c>
      <c r="H571" s="8">
        <v>14.45</v>
      </c>
      <c r="J571" s="7">
        <v>28794</v>
      </c>
      <c r="K571" s="8">
        <v>8.51</v>
      </c>
    </row>
    <row r="572" spans="7:11" x14ac:dyDescent="0.45">
      <c r="G572" s="9">
        <v>45174</v>
      </c>
      <c r="H572" s="8">
        <v>14.01</v>
      </c>
      <c r="J572" s="7">
        <v>28763</v>
      </c>
      <c r="K572" s="8">
        <v>8.98</v>
      </c>
    </row>
    <row r="573" spans="7:11" x14ac:dyDescent="0.45">
      <c r="G573" s="9">
        <v>45173</v>
      </c>
      <c r="H573" s="8">
        <v>13.82</v>
      </c>
      <c r="J573" s="7">
        <v>28733</v>
      </c>
      <c r="K573" s="8">
        <v>9.07</v>
      </c>
    </row>
    <row r="574" spans="7:11" x14ac:dyDescent="0.45">
      <c r="G574" s="9">
        <v>45170</v>
      </c>
      <c r="H574" s="8">
        <v>13.09</v>
      </c>
      <c r="J574" s="7">
        <v>28702</v>
      </c>
      <c r="K574" s="8">
        <v>8.57</v>
      </c>
    </row>
    <row r="575" spans="7:11" x14ac:dyDescent="0.45">
      <c r="G575" s="9">
        <v>45169</v>
      </c>
      <c r="H575" s="8">
        <v>13.57</v>
      </c>
      <c r="J575" s="7">
        <v>28671</v>
      </c>
      <c r="K575" s="8">
        <v>8.6999999999999993</v>
      </c>
    </row>
    <row r="576" spans="7:11" x14ac:dyDescent="0.45">
      <c r="G576" s="9">
        <v>45168</v>
      </c>
      <c r="H576" s="8">
        <v>13.88</v>
      </c>
      <c r="J576" s="7">
        <v>28641</v>
      </c>
      <c r="K576" s="8">
        <v>8.75</v>
      </c>
    </row>
    <row r="577" spans="7:11" x14ac:dyDescent="0.45">
      <c r="G577" s="9">
        <v>45167</v>
      </c>
      <c r="H577" s="8">
        <v>14.45</v>
      </c>
      <c r="J577" s="7">
        <v>28610</v>
      </c>
      <c r="K577" s="8">
        <v>8.41</v>
      </c>
    </row>
    <row r="578" spans="7:11" x14ac:dyDescent="0.45">
      <c r="G578" s="9">
        <v>45166</v>
      </c>
      <c r="H578" s="8">
        <v>15.08</v>
      </c>
      <c r="J578" s="7">
        <v>28580</v>
      </c>
      <c r="K578" s="8">
        <v>8.1300000000000008</v>
      </c>
    </row>
    <row r="579" spans="7:11" x14ac:dyDescent="0.45">
      <c r="G579" s="9">
        <v>45163</v>
      </c>
      <c r="H579" s="8">
        <v>15.68</v>
      </c>
      <c r="J579" s="7">
        <v>28549</v>
      </c>
      <c r="K579" s="8">
        <v>8.16</v>
      </c>
    </row>
    <row r="580" spans="7:11" x14ac:dyDescent="0.45">
      <c r="G580" s="9">
        <v>45162</v>
      </c>
      <c r="H580" s="8">
        <v>17.2</v>
      </c>
      <c r="J580" s="7">
        <v>28521</v>
      </c>
      <c r="K580" s="8">
        <v>8.2799999999999994</v>
      </c>
    </row>
    <row r="581" spans="7:11" x14ac:dyDescent="0.45">
      <c r="G581" s="9">
        <v>45161</v>
      </c>
      <c r="H581" s="8">
        <v>15.98</v>
      </c>
      <c r="J581" s="7">
        <v>28490</v>
      </c>
      <c r="K581" s="8">
        <v>8.6199999999999992</v>
      </c>
    </row>
    <row r="582" spans="7:11" x14ac:dyDescent="0.45">
      <c r="G582" s="9">
        <v>45160</v>
      </c>
      <c r="H582" s="8">
        <v>16.97</v>
      </c>
      <c r="J582" s="7">
        <v>28459</v>
      </c>
      <c r="K582" s="8">
        <v>8.7100000000000009</v>
      </c>
    </row>
    <row r="583" spans="7:11" x14ac:dyDescent="0.45">
      <c r="G583" s="9">
        <v>45159</v>
      </c>
      <c r="H583" s="8">
        <v>17.13</v>
      </c>
      <c r="J583" s="7">
        <v>28429</v>
      </c>
      <c r="K583" s="8">
        <v>8.6999999999999993</v>
      </c>
    </row>
    <row r="584" spans="7:11" x14ac:dyDescent="0.45">
      <c r="G584" s="9">
        <v>45156</v>
      </c>
      <c r="H584" s="8">
        <v>17.3</v>
      </c>
      <c r="J584" s="7">
        <v>28398</v>
      </c>
      <c r="K584" s="8">
        <v>8.99</v>
      </c>
    </row>
    <row r="585" spans="7:11" x14ac:dyDescent="0.45">
      <c r="G585" s="9">
        <v>45155</v>
      </c>
      <c r="H585" s="8">
        <v>17.89</v>
      </c>
      <c r="J585" s="7">
        <v>28368</v>
      </c>
      <c r="K585" s="8">
        <v>9.2100000000000009</v>
      </c>
    </row>
    <row r="586" spans="7:11" x14ac:dyDescent="0.45">
      <c r="G586" s="9">
        <v>45154</v>
      </c>
      <c r="H586" s="8">
        <v>16.78</v>
      </c>
      <c r="J586" s="7">
        <v>28337</v>
      </c>
      <c r="K586" s="8">
        <v>9.5299999999999994</v>
      </c>
    </row>
    <row r="587" spans="7:11" x14ac:dyDescent="0.45">
      <c r="G587" s="9">
        <v>45153</v>
      </c>
      <c r="H587" s="8">
        <v>16.46</v>
      </c>
      <c r="J587" s="7">
        <v>28306</v>
      </c>
      <c r="K587" s="8">
        <v>9.5299999999999994</v>
      </c>
    </row>
    <row r="588" spans="7:11" x14ac:dyDescent="0.45">
      <c r="G588" s="9">
        <v>45152</v>
      </c>
      <c r="H588" s="8">
        <v>14.82</v>
      </c>
      <c r="J588" s="7">
        <v>28276</v>
      </c>
      <c r="K588" s="8">
        <v>9.58</v>
      </c>
    </row>
    <row r="589" spans="7:11" x14ac:dyDescent="0.45">
      <c r="G589" s="9">
        <v>45149</v>
      </c>
      <c r="H589" s="8">
        <v>14.84</v>
      </c>
      <c r="J589" s="7">
        <v>28245</v>
      </c>
      <c r="K589" s="8">
        <v>9.7200000000000006</v>
      </c>
    </row>
    <row r="590" spans="7:11" x14ac:dyDescent="0.45">
      <c r="G590" s="9">
        <v>45148</v>
      </c>
      <c r="H590" s="8">
        <v>15.85</v>
      </c>
      <c r="J590" s="7">
        <v>28215</v>
      </c>
      <c r="K590" s="8">
        <v>9.98</v>
      </c>
    </row>
    <row r="591" spans="7:11" x14ac:dyDescent="0.45">
      <c r="G591" s="9">
        <v>45147</v>
      </c>
      <c r="H591" s="8">
        <v>15.96</v>
      </c>
      <c r="J591" s="7">
        <v>28184</v>
      </c>
      <c r="K591" s="8">
        <v>10.08</v>
      </c>
    </row>
    <row r="592" spans="7:11" x14ac:dyDescent="0.45">
      <c r="G592" s="9">
        <v>45146</v>
      </c>
      <c r="H592" s="8">
        <v>15.99</v>
      </c>
      <c r="J592" s="7">
        <v>28156</v>
      </c>
      <c r="K592" s="8">
        <v>10.41</v>
      </c>
    </row>
    <row r="593" spans="7:11" x14ac:dyDescent="0.45">
      <c r="G593" s="9">
        <v>45145</v>
      </c>
      <c r="H593" s="8">
        <v>15.77</v>
      </c>
      <c r="J593" s="7">
        <v>28125</v>
      </c>
      <c r="K593" s="8">
        <v>10.57</v>
      </c>
    </row>
    <row r="594" spans="7:11" x14ac:dyDescent="0.45">
      <c r="G594" s="9">
        <v>45142</v>
      </c>
      <c r="H594" s="8">
        <v>17.100000000000001</v>
      </c>
      <c r="J594" s="7">
        <v>28094</v>
      </c>
      <c r="K594" s="8">
        <v>10.34</v>
      </c>
    </row>
    <row r="595" spans="7:11" x14ac:dyDescent="0.45">
      <c r="G595" s="9">
        <v>45141</v>
      </c>
      <c r="H595" s="8">
        <v>15.92</v>
      </c>
      <c r="J595" s="7">
        <v>28064</v>
      </c>
      <c r="K595" s="8">
        <v>10.54</v>
      </c>
    </row>
    <row r="596" spans="7:11" x14ac:dyDescent="0.45">
      <c r="G596" s="9">
        <v>45140</v>
      </c>
      <c r="H596" s="8">
        <v>16.09</v>
      </c>
      <c r="J596" s="7">
        <v>28033</v>
      </c>
      <c r="K596" s="8">
        <v>11.05</v>
      </c>
    </row>
    <row r="597" spans="7:11" x14ac:dyDescent="0.45">
      <c r="G597" s="9">
        <v>45139</v>
      </c>
      <c r="H597" s="8">
        <v>13.93</v>
      </c>
      <c r="J597" s="7">
        <v>28003</v>
      </c>
      <c r="K597" s="8">
        <v>10.93</v>
      </c>
    </row>
    <row r="598" spans="7:11" x14ac:dyDescent="0.45">
      <c r="G598" s="9">
        <v>45138</v>
      </c>
      <c r="H598" s="8">
        <v>13.63</v>
      </c>
      <c r="J598" s="7">
        <v>27972</v>
      </c>
      <c r="K598" s="8">
        <v>11.14</v>
      </c>
    </row>
    <row r="599" spans="7:11" x14ac:dyDescent="0.45">
      <c r="G599" s="9">
        <v>45135</v>
      </c>
      <c r="H599" s="8">
        <v>13.33</v>
      </c>
      <c r="J599" s="7">
        <v>27941</v>
      </c>
      <c r="K599" s="8">
        <v>11.01</v>
      </c>
    </row>
    <row r="600" spans="7:11" x14ac:dyDescent="0.45">
      <c r="G600" s="9">
        <v>45134</v>
      </c>
      <c r="H600" s="8">
        <v>14.41</v>
      </c>
      <c r="J600" s="7">
        <v>27911</v>
      </c>
      <c r="K600" s="8">
        <v>11.18</v>
      </c>
    </row>
    <row r="601" spans="7:11" x14ac:dyDescent="0.45">
      <c r="G601" s="9">
        <v>45133</v>
      </c>
      <c r="H601" s="8">
        <v>13.19</v>
      </c>
      <c r="J601" s="7">
        <v>27880</v>
      </c>
      <c r="K601" s="8">
        <v>11.51</v>
      </c>
    </row>
    <row r="602" spans="7:11" x14ac:dyDescent="0.45">
      <c r="G602" s="9">
        <v>45132</v>
      </c>
      <c r="H602" s="8">
        <v>13.86</v>
      </c>
      <c r="J602" s="7">
        <v>27850</v>
      </c>
      <c r="K602" s="8">
        <v>11.67</v>
      </c>
    </row>
    <row r="603" spans="7:11" x14ac:dyDescent="0.45">
      <c r="G603" s="9">
        <v>45131</v>
      </c>
      <c r="H603" s="8">
        <v>13.91</v>
      </c>
      <c r="J603" s="7">
        <v>27819</v>
      </c>
      <c r="K603" s="8">
        <v>11.94</v>
      </c>
    </row>
    <row r="604" spans="7:11" x14ac:dyDescent="0.45">
      <c r="G604" s="9">
        <v>45128</v>
      </c>
      <c r="H604" s="8">
        <v>13.6</v>
      </c>
      <c r="J604" s="7">
        <v>27790</v>
      </c>
      <c r="K604" s="8">
        <v>11.82</v>
      </c>
    </row>
    <row r="605" spans="7:11" x14ac:dyDescent="0.45">
      <c r="G605" s="9">
        <v>45127</v>
      </c>
      <c r="H605" s="8">
        <v>13.99</v>
      </c>
      <c r="J605" s="7">
        <v>27759</v>
      </c>
      <c r="K605" s="8">
        <v>11.14</v>
      </c>
    </row>
    <row r="606" spans="7:11" x14ac:dyDescent="0.45">
      <c r="G606" s="9">
        <v>45126</v>
      </c>
      <c r="H606" s="8">
        <v>13.76</v>
      </c>
      <c r="J606" s="7">
        <v>27728</v>
      </c>
      <c r="K606" s="8">
        <v>11.41</v>
      </c>
    </row>
    <row r="607" spans="7:11" x14ac:dyDescent="0.45">
      <c r="G607" s="9">
        <v>45125</v>
      </c>
      <c r="H607" s="8">
        <v>13.3</v>
      </c>
      <c r="J607" s="7">
        <v>27698</v>
      </c>
      <c r="K607" s="8">
        <v>11.32</v>
      </c>
    </row>
    <row r="608" spans="7:11" x14ac:dyDescent="0.45">
      <c r="G608" s="9">
        <v>45124</v>
      </c>
      <c r="H608" s="8">
        <v>13.48</v>
      </c>
      <c r="J608" s="7">
        <v>27667</v>
      </c>
      <c r="K608" s="8">
        <v>10.91</v>
      </c>
    </row>
    <row r="609" spans="7:11" x14ac:dyDescent="0.45">
      <c r="G609" s="9">
        <v>45121</v>
      </c>
      <c r="H609" s="8">
        <v>13.34</v>
      </c>
      <c r="J609" s="7">
        <v>27637</v>
      </c>
      <c r="K609" s="8">
        <v>10.95</v>
      </c>
    </row>
    <row r="610" spans="7:11" x14ac:dyDescent="0.45">
      <c r="G610" s="9">
        <v>45120</v>
      </c>
      <c r="H610" s="8">
        <v>13.61</v>
      </c>
      <c r="J610" s="7">
        <v>27606</v>
      </c>
      <c r="K610" s="8">
        <v>11.72</v>
      </c>
    </row>
    <row r="611" spans="7:11" x14ac:dyDescent="0.45">
      <c r="G611" s="9">
        <v>45119</v>
      </c>
      <c r="H611" s="8">
        <v>13.54</v>
      </c>
      <c r="J611" s="7">
        <v>27575</v>
      </c>
      <c r="K611" s="8">
        <v>11.61</v>
      </c>
    </row>
    <row r="612" spans="7:11" x14ac:dyDescent="0.45">
      <c r="G612" s="9">
        <v>45118</v>
      </c>
      <c r="H612" s="8">
        <v>14.84</v>
      </c>
      <c r="J612" s="7">
        <v>27545</v>
      </c>
      <c r="K612" s="8">
        <v>11.09</v>
      </c>
    </row>
    <row r="613" spans="7:11" x14ac:dyDescent="0.45">
      <c r="G613" s="9">
        <v>45117</v>
      </c>
      <c r="H613" s="8">
        <v>15.07</v>
      </c>
      <c r="J613" s="7">
        <v>27514</v>
      </c>
      <c r="K613" s="8">
        <v>10.220000000000001</v>
      </c>
    </row>
    <row r="614" spans="7:11" x14ac:dyDescent="0.45">
      <c r="G614" s="9">
        <v>45114</v>
      </c>
      <c r="H614" s="8">
        <v>14.83</v>
      </c>
      <c r="J614" s="7">
        <v>27484</v>
      </c>
      <c r="K614" s="8">
        <v>9.91</v>
      </c>
    </row>
    <row r="615" spans="7:11" x14ac:dyDescent="0.45">
      <c r="G615" s="9">
        <v>45113</v>
      </c>
      <c r="H615" s="8">
        <v>15.44</v>
      </c>
      <c r="J615" s="7">
        <v>27453</v>
      </c>
      <c r="K615" s="8">
        <v>9.32</v>
      </c>
    </row>
    <row r="616" spans="7:11" x14ac:dyDescent="0.45">
      <c r="G616" s="9">
        <v>45112</v>
      </c>
      <c r="H616" s="8">
        <v>14.18</v>
      </c>
      <c r="J616" s="7">
        <v>27425</v>
      </c>
      <c r="K616" s="8">
        <v>8.3000000000000007</v>
      </c>
    </row>
    <row r="617" spans="7:11" x14ac:dyDescent="0.45">
      <c r="G617" s="9">
        <v>45111</v>
      </c>
      <c r="H617" s="8">
        <v>13.7</v>
      </c>
      <c r="J617" s="7">
        <v>27394</v>
      </c>
      <c r="K617" s="8">
        <v>7.54</v>
      </c>
    </row>
    <row r="618" spans="7:11" x14ac:dyDescent="0.45">
      <c r="G618" s="9">
        <v>45110</v>
      </c>
      <c r="H618" s="8">
        <v>13.57</v>
      </c>
      <c r="J618" s="7">
        <v>27363</v>
      </c>
      <c r="K618" s="8">
        <v>8</v>
      </c>
    </row>
    <row r="619" spans="7:11" x14ac:dyDescent="0.45">
      <c r="G619" s="9">
        <v>45107</v>
      </c>
      <c r="H619" s="8">
        <v>13.59</v>
      </c>
      <c r="J619" s="7">
        <v>27333</v>
      </c>
      <c r="K619" s="8">
        <v>7.68</v>
      </c>
    </row>
    <row r="620" spans="7:11" x14ac:dyDescent="0.45">
      <c r="G620" s="9">
        <v>45106</v>
      </c>
      <c r="H620" s="8">
        <v>13.54</v>
      </c>
      <c r="J620" s="7">
        <v>27302</v>
      </c>
      <c r="K620" s="8">
        <v>7.48</v>
      </c>
    </row>
    <row r="621" spans="7:11" x14ac:dyDescent="0.45">
      <c r="G621" s="9">
        <v>45105</v>
      </c>
      <c r="H621" s="8">
        <v>13.43</v>
      </c>
      <c r="J621" s="7">
        <v>27272</v>
      </c>
      <c r="K621" s="8">
        <v>8.4600000000000009</v>
      </c>
    </row>
    <row r="622" spans="7:11" x14ac:dyDescent="0.45">
      <c r="G622" s="9">
        <v>45104</v>
      </c>
      <c r="H622" s="8">
        <v>13.74</v>
      </c>
      <c r="J622" s="7">
        <v>27241</v>
      </c>
      <c r="K622" s="8">
        <v>8.9499999999999993</v>
      </c>
    </row>
    <row r="623" spans="7:11" x14ac:dyDescent="0.45">
      <c r="G623" s="9">
        <v>45103</v>
      </c>
      <c r="H623" s="8">
        <v>14.25</v>
      </c>
      <c r="J623" s="7">
        <v>27210</v>
      </c>
      <c r="K623" s="8">
        <v>10.27</v>
      </c>
    </row>
    <row r="624" spans="7:11" x14ac:dyDescent="0.45">
      <c r="G624" s="9">
        <v>45100</v>
      </c>
      <c r="H624" s="8">
        <v>13.44</v>
      </c>
      <c r="J624" s="7">
        <v>27180</v>
      </c>
      <c r="K624" s="8">
        <v>10.41</v>
      </c>
    </row>
    <row r="625" spans="7:11" x14ac:dyDescent="0.45">
      <c r="G625" s="9">
        <v>45099</v>
      </c>
      <c r="H625" s="8">
        <v>12.91</v>
      </c>
      <c r="J625" s="7">
        <v>27149</v>
      </c>
      <c r="K625" s="8">
        <v>10.89</v>
      </c>
    </row>
    <row r="626" spans="7:11" x14ac:dyDescent="0.45">
      <c r="G626" s="9">
        <v>45098</v>
      </c>
      <c r="H626" s="8">
        <v>13.2</v>
      </c>
      <c r="J626" s="7">
        <v>27119</v>
      </c>
      <c r="K626" s="8">
        <v>11.66</v>
      </c>
    </row>
    <row r="627" spans="7:11" x14ac:dyDescent="0.45">
      <c r="G627" s="9">
        <v>45097</v>
      </c>
      <c r="H627" s="8">
        <v>13.88</v>
      </c>
      <c r="J627" s="7">
        <v>27088</v>
      </c>
      <c r="K627" s="8">
        <v>11.27</v>
      </c>
    </row>
    <row r="628" spans="7:11" x14ac:dyDescent="0.45">
      <c r="G628" s="9">
        <v>45096</v>
      </c>
      <c r="H628" s="8">
        <v>14.19</v>
      </c>
      <c r="J628" s="7">
        <v>27060</v>
      </c>
      <c r="K628" s="8">
        <v>11.68</v>
      </c>
    </row>
    <row r="629" spans="7:11" x14ac:dyDescent="0.45">
      <c r="G629" s="9">
        <v>45093</v>
      </c>
      <c r="H629" s="8">
        <v>13.54</v>
      </c>
      <c r="J629" s="7">
        <v>27029</v>
      </c>
      <c r="K629" s="8">
        <v>11.62</v>
      </c>
    </row>
    <row r="630" spans="7:11" x14ac:dyDescent="0.45">
      <c r="G630" s="9">
        <v>45092</v>
      </c>
      <c r="H630" s="8">
        <v>14.5</v>
      </c>
      <c r="J630" s="7">
        <v>26998</v>
      </c>
      <c r="K630" s="8">
        <v>12.74</v>
      </c>
    </row>
    <row r="631" spans="7:11" x14ac:dyDescent="0.45">
      <c r="G631" s="9">
        <v>45091</v>
      </c>
      <c r="H631" s="8">
        <v>13.88</v>
      </c>
      <c r="J631" s="7">
        <v>26968</v>
      </c>
      <c r="K631" s="8">
        <v>13.99</v>
      </c>
    </row>
    <row r="632" spans="7:11" x14ac:dyDescent="0.45">
      <c r="G632" s="9">
        <v>45090</v>
      </c>
      <c r="H632" s="8">
        <v>14.61</v>
      </c>
      <c r="J632" s="7">
        <v>26937</v>
      </c>
      <c r="K632" s="8">
        <v>13.73</v>
      </c>
    </row>
    <row r="633" spans="7:11" x14ac:dyDescent="0.45">
      <c r="G633" s="9">
        <v>45089</v>
      </c>
      <c r="H633" s="8">
        <v>15.01</v>
      </c>
      <c r="J633" s="7">
        <v>26907</v>
      </c>
      <c r="K633" s="8">
        <v>13.77</v>
      </c>
    </row>
    <row r="634" spans="7:11" x14ac:dyDescent="0.45">
      <c r="G634" s="9">
        <v>45086</v>
      </c>
      <c r="H634" s="8">
        <v>13.83</v>
      </c>
      <c r="J634" s="7">
        <v>26876</v>
      </c>
      <c r="K634" s="8">
        <v>14.33</v>
      </c>
    </row>
    <row r="635" spans="7:11" x14ac:dyDescent="0.45">
      <c r="G635" s="9">
        <v>45085</v>
      </c>
      <c r="H635" s="8">
        <v>13.65</v>
      </c>
      <c r="J635" s="7">
        <v>26845</v>
      </c>
      <c r="K635" s="8">
        <v>14.5</v>
      </c>
    </row>
    <row r="636" spans="7:11" x14ac:dyDescent="0.45">
      <c r="G636" s="9">
        <v>45084</v>
      </c>
      <c r="H636" s="8">
        <v>13.94</v>
      </c>
      <c r="J636" s="7">
        <v>26815</v>
      </c>
      <c r="K636" s="8">
        <v>15.13</v>
      </c>
    </row>
    <row r="637" spans="7:11" x14ac:dyDescent="0.45">
      <c r="G637" s="9">
        <v>45083</v>
      </c>
      <c r="H637" s="8">
        <v>13.96</v>
      </c>
      <c r="J637" s="7">
        <v>26784</v>
      </c>
      <c r="K637" s="8">
        <v>15.89</v>
      </c>
    </row>
    <row r="638" spans="7:11" x14ac:dyDescent="0.45">
      <c r="G638" s="9">
        <v>45082</v>
      </c>
      <c r="H638" s="8">
        <v>14.73</v>
      </c>
      <c r="J638" s="7">
        <v>26754</v>
      </c>
      <c r="K638" s="8">
        <v>16.53</v>
      </c>
    </row>
    <row r="639" spans="7:11" x14ac:dyDescent="0.45">
      <c r="G639" s="9">
        <v>45079</v>
      </c>
      <c r="H639" s="8">
        <v>14.6</v>
      </c>
      <c r="J639" s="7">
        <v>26723</v>
      </c>
      <c r="K639" s="8">
        <v>17.11</v>
      </c>
    </row>
    <row r="640" spans="7:11" x14ac:dyDescent="0.45">
      <c r="G640" s="9">
        <v>45078</v>
      </c>
      <c r="H640" s="8">
        <v>15.65</v>
      </c>
      <c r="J640" s="7">
        <v>26695</v>
      </c>
      <c r="K640" s="8">
        <v>18.09</v>
      </c>
    </row>
    <row r="641" spans="7:11" x14ac:dyDescent="0.45">
      <c r="G641" s="9">
        <v>45077</v>
      </c>
      <c r="H641" s="8">
        <v>17.940000000000001</v>
      </c>
      <c r="J641" s="7">
        <v>26664</v>
      </c>
      <c r="K641" s="8">
        <v>18.3</v>
      </c>
    </row>
    <row r="642" spans="7:11" x14ac:dyDescent="0.45">
      <c r="G642" s="9">
        <v>45076</v>
      </c>
      <c r="H642" s="8">
        <v>17.46</v>
      </c>
      <c r="J642" s="7">
        <v>26633</v>
      </c>
      <c r="K642" s="8">
        <v>18.190000000000001</v>
      </c>
    </row>
    <row r="643" spans="7:11" x14ac:dyDescent="0.45">
      <c r="G643" s="9">
        <v>45075</v>
      </c>
      <c r="H643" s="8">
        <v>17.46</v>
      </c>
      <c r="J643" s="7">
        <v>26603</v>
      </c>
      <c r="K643" s="8">
        <v>17.579999999999998</v>
      </c>
    </row>
    <row r="644" spans="7:11" x14ac:dyDescent="0.45">
      <c r="G644" s="9">
        <v>45072</v>
      </c>
      <c r="H644" s="8">
        <v>17.95</v>
      </c>
      <c r="J644" s="7">
        <v>26572</v>
      </c>
      <c r="K644" s="8">
        <v>17.82</v>
      </c>
    </row>
    <row r="645" spans="7:11" x14ac:dyDescent="0.45">
      <c r="G645" s="9">
        <v>45071</v>
      </c>
      <c r="H645" s="8">
        <v>19.14</v>
      </c>
      <c r="J645" s="7">
        <v>26542</v>
      </c>
      <c r="K645" s="8">
        <v>18.25</v>
      </c>
    </row>
    <row r="646" spans="7:11" x14ac:dyDescent="0.45">
      <c r="G646" s="9">
        <v>45070</v>
      </c>
      <c r="H646" s="8">
        <v>20.03</v>
      </c>
      <c r="J646" s="7">
        <v>26511</v>
      </c>
      <c r="K646" s="8">
        <v>17.79</v>
      </c>
    </row>
    <row r="647" spans="7:11" x14ac:dyDescent="0.45">
      <c r="G647" s="9">
        <v>45069</v>
      </c>
      <c r="H647" s="8">
        <v>18.53</v>
      </c>
      <c r="J647" s="7">
        <v>26480</v>
      </c>
      <c r="K647" s="8">
        <v>18.09</v>
      </c>
    </row>
    <row r="648" spans="7:11" x14ac:dyDescent="0.45">
      <c r="G648" s="9">
        <v>45068</v>
      </c>
      <c r="H648" s="8">
        <v>17.21</v>
      </c>
      <c r="J648" s="7">
        <v>26450</v>
      </c>
      <c r="K648" s="8">
        <v>18.2</v>
      </c>
    </row>
    <row r="649" spans="7:11" x14ac:dyDescent="0.45">
      <c r="G649" s="9">
        <v>45065</v>
      </c>
      <c r="H649" s="8">
        <v>16.809999999999999</v>
      </c>
      <c r="J649" s="7">
        <v>26419</v>
      </c>
      <c r="K649" s="8">
        <v>18.559999999999999</v>
      </c>
    </row>
    <row r="650" spans="7:11" x14ac:dyDescent="0.45">
      <c r="G650" s="9">
        <v>45064</v>
      </c>
      <c r="H650" s="8">
        <v>16.05</v>
      </c>
      <c r="J650" s="7">
        <v>26389</v>
      </c>
      <c r="K650" s="8">
        <v>18.54</v>
      </c>
    </row>
    <row r="651" spans="7:11" x14ac:dyDescent="0.45">
      <c r="G651" s="9">
        <v>45063</v>
      </c>
      <c r="H651" s="8">
        <v>16.87</v>
      </c>
      <c r="J651" s="7">
        <v>26358</v>
      </c>
      <c r="K651" s="8">
        <v>18.22</v>
      </c>
    </row>
    <row r="652" spans="7:11" x14ac:dyDescent="0.45">
      <c r="G652" s="9">
        <v>45062</v>
      </c>
      <c r="H652" s="8">
        <v>17.989999999999998</v>
      </c>
      <c r="J652" s="7">
        <v>26329</v>
      </c>
      <c r="K652" s="8">
        <v>18.010000000000002</v>
      </c>
    </row>
    <row r="653" spans="7:11" x14ac:dyDescent="0.45">
      <c r="G653" s="9">
        <v>45061</v>
      </c>
      <c r="H653" s="8">
        <v>17.12</v>
      </c>
      <c r="J653" s="7">
        <v>26298</v>
      </c>
      <c r="K653" s="8">
        <v>17.399999999999999</v>
      </c>
    </row>
    <row r="654" spans="7:11" x14ac:dyDescent="0.45">
      <c r="G654" s="9">
        <v>45058</v>
      </c>
      <c r="H654" s="8">
        <v>17.03</v>
      </c>
      <c r="J654" s="7">
        <v>26267</v>
      </c>
      <c r="K654" s="8">
        <v>16.54</v>
      </c>
    </row>
    <row r="655" spans="7:11" x14ac:dyDescent="0.45">
      <c r="G655" s="9">
        <v>45057</v>
      </c>
      <c r="H655" s="8">
        <v>16.93</v>
      </c>
      <c r="J655" s="7">
        <v>26237</v>
      </c>
      <c r="K655" s="8">
        <v>17.62</v>
      </c>
    </row>
    <row r="656" spans="7:11" x14ac:dyDescent="0.45">
      <c r="G656" s="9">
        <v>45056</v>
      </c>
      <c r="H656" s="8">
        <v>16.940000000000001</v>
      </c>
      <c r="J656" s="7">
        <v>26206</v>
      </c>
      <c r="K656" s="8">
        <v>18.309999999999999</v>
      </c>
    </row>
    <row r="657" spans="7:11" x14ac:dyDescent="0.45">
      <c r="G657" s="9">
        <v>45055</v>
      </c>
      <c r="H657" s="8">
        <v>17.71</v>
      </c>
      <c r="J657" s="7">
        <v>26176</v>
      </c>
      <c r="K657" s="8">
        <v>18.03</v>
      </c>
    </row>
    <row r="658" spans="7:11" x14ac:dyDescent="0.45">
      <c r="G658" s="9">
        <v>45054</v>
      </c>
      <c r="H658" s="8">
        <v>16.98</v>
      </c>
      <c r="J658" s="7">
        <v>26145</v>
      </c>
      <c r="K658" s="8">
        <v>18.48</v>
      </c>
    </row>
    <row r="659" spans="7:11" x14ac:dyDescent="0.45">
      <c r="G659" s="9">
        <v>45051</v>
      </c>
      <c r="H659" s="8">
        <v>17.190000000000001</v>
      </c>
      <c r="J659" s="7">
        <v>26114</v>
      </c>
      <c r="K659" s="8">
        <v>18.739999999999998</v>
      </c>
    </row>
    <row r="660" spans="7:11" x14ac:dyDescent="0.45">
      <c r="G660" s="9">
        <v>45050</v>
      </c>
      <c r="H660" s="8">
        <v>20.09</v>
      </c>
      <c r="J660" s="7">
        <v>26084</v>
      </c>
      <c r="K660" s="8">
        <v>19.22</v>
      </c>
    </row>
    <row r="661" spans="7:11" x14ac:dyDescent="0.45">
      <c r="G661" s="9">
        <v>45049</v>
      </c>
      <c r="H661" s="8">
        <v>18.34</v>
      </c>
      <c r="J661" s="7">
        <v>26053</v>
      </c>
      <c r="K661" s="8">
        <v>19.61</v>
      </c>
    </row>
    <row r="662" spans="7:11" x14ac:dyDescent="0.45">
      <c r="G662" s="9">
        <v>45048</v>
      </c>
      <c r="H662" s="8">
        <v>17.78</v>
      </c>
      <c r="J662" s="7">
        <v>26023</v>
      </c>
      <c r="K662" s="8">
        <v>19.079999999999998</v>
      </c>
    </row>
    <row r="663" spans="7:11" x14ac:dyDescent="0.45">
      <c r="G663" s="9">
        <v>45047</v>
      </c>
      <c r="H663" s="8">
        <v>16.079999999999998</v>
      </c>
      <c r="J663" s="7">
        <v>25992</v>
      </c>
      <c r="K663" s="8">
        <v>18.71</v>
      </c>
    </row>
    <row r="664" spans="7:11" x14ac:dyDescent="0.45">
      <c r="G664" s="9">
        <v>45044</v>
      </c>
      <c r="H664" s="8">
        <v>15.78</v>
      </c>
      <c r="J664" s="7">
        <v>25964</v>
      </c>
      <c r="K664" s="8">
        <v>18.12</v>
      </c>
    </row>
    <row r="665" spans="7:11" x14ac:dyDescent="0.45">
      <c r="G665" s="9">
        <v>45043</v>
      </c>
      <c r="H665" s="8">
        <v>17.03</v>
      </c>
      <c r="J665" s="7">
        <v>25933</v>
      </c>
      <c r="K665" s="8">
        <v>17.55</v>
      </c>
    </row>
    <row r="666" spans="7:11" x14ac:dyDescent="0.45">
      <c r="G666" s="9">
        <v>45042</v>
      </c>
      <c r="H666" s="8">
        <v>18.84</v>
      </c>
      <c r="J666" s="7">
        <v>25902</v>
      </c>
      <c r="K666" s="8">
        <v>16.190000000000001</v>
      </c>
    </row>
    <row r="667" spans="7:11" x14ac:dyDescent="0.45">
      <c r="G667" s="9">
        <v>45041</v>
      </c>
      <c r="H667" s="8">
        <v>18.760000000000002</v>
      </c>
      <c r="J667" s="7">
        <v>25872</v>
      </c>
      <c r="K667" s="8">
        <v>15.97</v>
      </c>
    </row>
    <row r="668" spans="7:11" x14ac:dyDescent="0.45">
      <c r="G668" s="9">
        <v>45040</v>
      </c>
      <c r="H668" s="8">
        <v>16.89</v>
      </c>
      <c r="J668" s="7">
        <v>25841</v>
      </c>
      <c r="K668" s="8">
        <v>15.41</v>
      </c>
    </row>
    <row r="669" spans="7:11" x14ac:dyDescent="0.45">
      <c r="G669" s="9">
        <v>45037</v>
      </c>
      <c r="H669" s="8">
        <v>16.77</v>
      </c>
      <c r="J669" s="7">
        <v>25811</v>
      </c>
      <c r="K669" s="8">
        <v>14.39</v>
      </c>
    </row>
    <row r="670" spans="7:11" x14ac:dyDescent="0.45">
      <c r="G670" s="9">
        <v>45036</v>
      </c>
      <c r="H670" s="8">
        <v>17.170000000000002</v>
      </c>
      <c r="J670" s="7">
        <v>25780</v>
      </c>
      <c r="K670" s="8">
        <v>13.85</v>
      </c>
    </row>
    <row r="671" spans="7:11" x14ac:dyDescent="0.45">
      <c r="G671" s="9">
        <v>45035</v>
      </c>
      <c r="H671" s="8">
        <v>16.46</v>
      </c>
      <c r="J671" s="7">
        <v>25749</v>
      </c>
      <c r="K671" s="8">
        <v>13.69</v>
      </c>
    </row>
    <row r="672" spans="7:11" x14ac:dyDescent="0.45">
      <c r="G672" s="9">
        <v>45034</v>
      </c>
      <c r="H672" s="8">
        <v>16.829999999999998</v>
      </c>
      <c r="J672" s="7">
        <v>25719</v>
      </c>
      <c r="K672" s="8">
        <v>13.69</v>
      </c>
    </row>
    <row r="673" spans="7:11" x14ac:dyDescent="0.45">
      <c r="G673" s="9">
        <v>45033</v>
      </c>
      <c r="H673" s="8">
        <v>16.95</v>
      </c>
      <c r="J673" s="7">
        <v>25688</v>
      </c>
      <c r="K673" s="8">
        <v>15.37</v>
      </c>
    </row>
    <row r="674" spans="7:11" x14ac:dyDescent="0.45">
      <c r="G674" s="9">
        <v>45030</v>
      </c>
      <c r="H674" s="8">
        <v>17.07</v>
      </c>
      <c r="J674" s="7">
        <v>25658</v>
      </c>
      <c r="K674" s="8">
        <v>15.75</v>
      </c>
    </row>
    <row r="675" spans="7:11" x14ac:dyDescent="0.45">
      <c r="G675" s="9">
        <v>45029</v>
      </c>
      <c r="H675" s="8">
        <v>17.8</v>
      </c>
      <c r="J675" s="7">
        <v>25627</v>
      </c>
      <c r="K675" s="8">
        <v>15.35</v>
      </c>
    </row>
    <row r="676" spans="7:11" x14ac:dyDescent="0.45">
      <c r="G676" s="9">
        <v>45028</v>
      </c>
      <c r="H676" s="8">
        <v>19.09</v>
      </c>
      <c r="J676" s="7">
        <v>25599</v>
      </c>
      <c r="K676" s="8">
        <v>15.76</v>
      </c>
    </row>
    <row r="677" spans="7:11" x14ac:dyDescent="0.45">
      <c r="G677" s="9">
        <v>45027</v>
      </c>
      <c r="H677" s="8">
        <v>19.100000000000001</v>
      </c>
      <c r="J677" s="7">
        <v>25568</v>
      </c>
      <c r="K677" s="8">
        <v>15.76</v>
      </c>
    </row>
    <row r="678" spans="7:11" x14ac:dyDescent="0.45">
      <c r="G678" s="9">
        <v>45026</v>
      </c>
      <c r="H678" s="8">
        <v>18.97</v>
      </c>
      <c r="J678" s="7">
        <v>25537</v>
      </c>
      <c r="K678" s="8">
        <v>16.54</v>
      </c>
    </row>
    <row r="679" spans="7:11" x14ac:dyDescent="0.45">
      <c r="G679" s="9">
        <v>45022</v>
      </c>
      <c r="H679" s="8">
        <v>18.399999999999999</v>
      </c>
      <c r="J679" s="7">
        <v>25507</v>
      </c>
      <c r="K679" s="8">
        <v>16.32</v>
      </c>
    </row>
    <row r="680" spans="7:11" x14ac:dyDescent="0.45">
      <c r="G680" s="9">
        <v>45021</v>
      </c>
      <c r="H680" s="8">
        <v>19.079999999999998</v>
      </c>
      <c r="J680" s="7">
        <v>25476</v>
      </c>
      <c r="K680" s="8">
        <v>16.05</v>
      </c>
    </row>
    <row r="681" spans="7:11" x14ac:dyDescent="0.45">
      <c r="G681" s="9">
        <v>45020</v>
      </c>
      <c r="H681" s="8">
        <v>19</v>
      </c>
      <c r="J681" s="7">
        <v>25446</v>
      </c>
      <c r="K681" s="8">
        <v>16.04</v>
      </c>
    </row>
    <row r="682" spans="7:11" x14ac:dyDescent="0.45">
      <c r="G682" s="9">
        <v>45019</v>
      </c>
      <c r="H682" s="8">
        <v>18.55</v>
      </c>
      <c r="J682" s="7">
        <v>25415</v>
      </c>
      <c r="K682" s="8">
        <v>16.170000000000002</v>
      </c>
    </row>
    <row r="683" spans="7:11" x14ac:dyDescent="0.45">
      <c r="G683" s="9">
        <v>45016</v>
      </c>
      <c r="H683" s="8">
        <v>18.7</v>
      </c>
      <c r="J683" s="7">
        <v>25384</v>
      </c>
      <c r="K683" s="8">
        <v>16.98</v>
      </c>
    </row>
    <row r="684" spans="7:11" x14ac:dyDescent="0.45">
      <c r="G684" s="9">
        <v>45015</v>
      </c>
      <c r="H684" s="8">
        <v>19.02</v>
      </c>
      <c r="J684" s="7">
        <v>25354</v>
      </c>
      <c r="K684" s="8">
        <v>17.93</v>
      </c>
    </row>
    <row r="685" spans="7:11" x14ac:dyDescent="0.45">
      <c r="G685" s="9">
        <v>45014</v>
      </c>
      <c r="H685" s="8">
        <v>19.12</v>
      </c>
      <c r="J685" s="7">
        <v>25323</v>
      </c>
      <c r="K685" s="8">
        <v>17.39</v>
      </c>
    </row>
    <row r="686" spans="7:11" x14ac:dyDescent="0.45">
      <c r="G686" s="9">
        <v>45013</v>
      </c>
      <c r="H686" s="8">
        <v>19.97</v>
      </c>
      <c r="J686" s="7">
        <v>25293</v>
      </c>
      <c r="K686" s="8">
        <v>17.059999999999999</v>
      </c>
    </row>
    <row r="687" spans="7:11" x14ac:dyDescent="0.45">
      <c r="G687" s="9">
        <v>45012</v>
      </c>
      <c r="H687" s="8">
        <v>20.6</v>
      </c>
      <c r="J687" s="7">
        <v>25262</v>
      </c>
      <c r="K687" s="8">
        <v>17.5</v>
      </c>
    </row>
    <row r="688" spans="7:11" x14ac:dyDescent="0.45">
      <c r="G688" s="9">
        <v>45009</v>
      </c>
      <c r="H688" s="8">
        <v>21.74</v>
      </c>
      <c r="J688" s="7">
        <v>25234</v>
      </c>
      <c r="K688" s="8">
        <v>17.649999999999999</v>
      </c>
    </row>
    <row r="689" spans="7:11" x14ac:dyDescent="0.45">
      <c r="G689" s="9">
        <v>45008</v>
      </c>
      <c r="H689" s="8">
        <v>22.61</v>
      </c>
      <c r="J689" s="7">
        <v>25203</v>
      </c>
      <c r="K689" s="8">
        <v>18.489999999999998</v>
      </c>
    </row>
    <row r="690" spans="7:11" x14ac:dyDescent="0.45">
      <c r="G690" s="9">
        <v>45007</v>
      </c>
      <c r="H690" s="8">
        <v>22.26</v>
      </c>
      <c r="J690" s="7">
        <v>25172</v>
      </c>
      <c r="K690" s="8">
        <v>18.41</v>
      </c>
    </row>
    <row r="691" spans="7:11" x14ac:dyDescent="0.45">
      <c r="G691" s="9">
        <v>45006</v>
      </c>
      <c r="H691" s="8">
        <v>21.38</v>
      </c>
      <c r="J691" s="7">
        <v>25142</v>
      </c>
      <c r="K691" s="8">
        <v>18.23</v>
      </c>
    </row>
    <row r="692" spans="7:11" x14ac:dyDescent="0.45">
      <c r="G692" s="9">
        <v>45005</v>
      </c>
      <c r="H692" s="8">
        <v>24.15</v>
      </c>
      <c r="J692" s="7">
        <v>25111</v>
      </c>
      <c r="K692" s="8">
        <v>17.899999999999999</v>
      </c>
    </row>
    <row r="693" spans="7:11" x14ac:dyDescent="0.45">
      <c r="G693" s="9">
        <v>45002</v>
      </c>
      <c r="H693" s="8">
        <v>25.51</v>
      </c>
      <c r="J693" s="7">
        <v>25081</v>
      </c>
      <c r="K693" s="8">
        <v>17.43</v>
      </c>
    </row>
    <row r="694" spans="7:11" x14ac:dyDescent="0.45">
      <c r="G694" s="9">
        <v>45001</v>
      </c>
      <c r="H694" s="8">
        <v>22.99</v>
      </c>
      <c r="J694" s="7">
        <v>25050</v>
      </c>
      <c r="K694" s="8">
        <v>17.91</v>
      </c>
    </row>
    <row r="695" spans="7:11" x14ac:dyDescent="0.45">
      <c r="G695" s="9">
        <v>45000</v>
      </c>
      <c r="H695" s="8">
        <v>26.14</v>
      </c>
      <c r="J695" s="7">
        <v>25019</v>
      </c>
      <c r="K695" s="8">
        <v>18.04</v>
      </c>
    </row>
    <row r="696" spans="7:11" x14ac:dyDescent="0.45">
      <c r="G696" s="9">
        <v>44999</v>
      </c>
      <c r="H696" s="8">
        <v>23.73</v>
      </c>
      <c r="J696" s="7">
        <v>24989</v>
      </c>
      <c r="K696" s="8">
        <v>17.71</v>
      </c>
    </row>
    <row r="697" spans="7:11" x14ac:dyDescent="0.45">
      <c r="G697" s="9">
        <v>44998</v>
      </c>
      <c r="H697" s="8">
        <v>26.52</v>
      </c>
      <c r="J697" s="7">
        <v>24958</v>
      </c>
      <c r="K697" s="8">
        <v>17.45</v>
      </c>
    </row>
    <row r="698" spans="7:11" x14ac:dyDescent="0.45">
      <c r="G698" s="9">
        <v>44995</v>
      </c>
      <c r="H698" s="8">
        <v>24.8</v>
      </c>
      <c r="J698" s="7">
        <v>24928</v>
      </c>
      <c r="K698" s="8">
        <v>16.38</v>
      </c>
    </row>
    <row r="699" spans="7:11" x14ac:dyDescent="0.45">
      <c r="G699" s="9">
        <v>44994</v>
      </c>
      <c r="H699" s="8">
        <v>22.61</v>
      </c>
      <c r="J699" s="7">
        <v>24897</v>
      </c>
      <c r="K699" s="8">
        <v>16.8</v>
      </c>
    </row>
    <row r="700" spans="7:11" x14ac:dyDescent="0.45">
      <c r="G700" s="9">
        <v>44993</v>
      </c>
      <c r="H700" s="8">
        <v>19.11</v>
      </c>
      <c r="J700" s="7">
        <v>24868</v>
      </c>
      <c r="K700" s="8">
        <v>17.71</v>
      </c>
    </row>
    <row r="701" spans="7:11" x14ac:dyDescent="0.45">
      <c r="G701" s="9">
        <v>44992</v>
      </c>
      <c r="H701" s="8">
        <v>19.59</v>
      </c>
      <c r="J701" s="7">
        <v>24837</v>
      </c>
      <c r="K701" s="8">
        <v>17.88</v>
      </c>
    </row>
    <row r="702" spans="7:11" x14ac:dyDescent="0.45">
      <c r="G702" s="9">
        <v>44991</v>
      </c>
      <c r="H702" s="8">
        <v>18.61</v>
      </c>
      <c r="J702" s="7">
        <v>24806</v>
      </c>
      <c r="K702" s="8">
        <v>17.420000000000002</v>
      </c>
    </row>
    <row r="703" spans="7:11" x14ac:dyDescent="0.45">
      <c r="G703" s="9">
        <v>44988</v>
      </c>
      <c r="H703" s="8">
        <v>18.489999999999998</v>
      </c>
      <c r="J703" s="7">
        <v>24776</v>
      </c>
      <c r="K703" s="8">
        <v>18.02</v>
      </c>
    </row>
    <row r="704" spans="7:11" x14ac:dyDescent="0.45">
      <c r="G704" s="9">
        <v>44987</v>
      </c>
      <c r="H704" s="8">
        <v>19.59</v>
      </c>
      <c r="J704" s="7">
        <v>24745</v>
      </c>
      <c r="K704" s="8">
        <v>18.079999999999998</v>
      </c>
    </row>
    <row r="705" spans="7:11" x14ac:dyDescent="0.45">
      <c r="G705" s="9">
        <v>44986</v>
      </c>
      <c r="H705" s="8">
        <v>20.58</v>
      </c>
      <c r="J705" s="7">
        <v>24715</v>
      </c>
      <c r="K705" s="8">
        <v>17.79</v>
      </c>
    </row>
    <row r="706" spans="7:11" x14ac:dyDescent="0.45">
      <c r="G706" s="9">
        <v>44985</v>
      </c>
      <c r="H706" s="8">
        <v>20.7</v>
      </c>
      <c r="J706" s="7">
        <v>24684</v>
      </c>
      <c r="K706" s="8">
        <v>17.48</v>
      </c>
    </row>
    <row r="707" spans="7:11" x14ac:dyDescent="0.45">
      <c r="G707" s="9">
        <v>44984</v>
      </c>
      <c r="H707" s="8">
        <v>20.95</v>
      </c>
      <c r="J707" s="7">
        <v>24653</v>
      </c>
      <c r="K707" s="8">
        <v>17.149999999999999</v>
      </c>
    </row>
    <row r="708" spans="7:11" x14ac:dyDescent="0.45">
      <c r="G708" s="9">
        <v>44981</v>
      </c>
      <c r="H708" s="8">
        <v>21.67</v>
      </c>
      <c r="J708" s="7">
        <v>24623</v>
      </c>
      <c r="K708" s="8">
        <v>17.239999999999998</v>
      </c>
    </row>
    <row r="709" spans="7:11" x14ac:dyDescent="0.45">
      <c r="G709" s="9">
        <v>44980</v>
      </c>
      <c r="H709" s="8">
        <v>21.14</v>
      </c>
      <c r="J709" s="7">
        <v>24592</v>
      </c>
      <c r="K709" s="8">
        <v>16.809999999999999</v>
      </c>
    </row>
    <row r="710" spans="7:11" x14ac:dyDescent="0.45">
      <c r="G710" s="9">
        <v>44979</v>
      </c>
      <c r="H710" s="8">
        <v>22.29</v>
      </c>
      <c r="J710" s="7">
        <v>24562</v>
      </c>
      <c r="K710" s="8">
        <v>16.41</v>
      </c>
    </row>
    <row r="711" spans="7:11" x14ac:dyDescent="0.45">
      <c r="G711" s="9">
        <v>44978</v>
      </c>
      <c r="H711" s="8">
        <v>22.87</v>
      </c>
      <c r="J711" s="7">
        <v>24531</v>
      </c>
      <c r="K711" s="8">
        <v>15.93</v>
      </c>
    </row>
    <row r="712" spans="7:11" x14ac:dyDescent="0.45">
      <c r="G712" s="9">
        <v>44977</v>
      </c>
      <c r="H712" s="8">
        <v>21.23</v>
      </c>
      <c r="J712" s="7">
        <v>24503</v>
      </c>
      <c r="K712" s="8">
        <v>15.31</v>
      </c>
    </row>
    <row r="713" spans="7:11" x14ac:dyDescent="0.45">
      <c r="G713" s="9">
        <v>44974</v>
      </c>
      <c r="H713" s="8">
        <v>20.02</v>
      </c>
      <c r="J713" s="7">
        <v>24472</v>
      </c>
      <c r="K713" s="8">
        <v>14.65</v>
      </c>
    </row>
    <row r="714" spans="7:11" x14ac:dyDescent="0.45">
      <c r="G714" s="9">
        <v>44973</v>
      </c>
      <c r="H714" s="8">
        <v>20.170000000000002</v>
      </c>
      <c r="J714" s="7">
        <v>24441</v>
      </c>
      <c r="K714" s="8">
        <v>14.63</v>
      </c>
    </row>
    <row r="715" spans="7:11" x14ac:dyDescent="0.45">
      <c r="G715" s="9">
        <v>44972</v>
      </c>
      <c r="H715" s="8">
        <v>18.23</v>
      </c>
      <c r="J715" s="7">
        <v>24411</v>
      </c>
      <c r="K715" s="8">
        <v>13.96</v>
      </c>
    </row>
    <row r="716" spans="7:11" x14ac:dyDescent="0.45">
      <c r="G716" s="9">
        <v>44971</v>
      </c>
      <c r="H716" s="8">
        <v>18.91</v>
      </c>
      <c r="J716" s="7">
        <v>24380</v>
      </c>
      <c r="K716" s="8">
        <v>14.12</v>
      </c>
    </row>
    <row r="717" spans="7:11" x14ac:dyDescent="0.45">
      <c r="G717" s="9">
        <v>44970</v>
      </c>
      <c r="H717" s="8">
        <v>20.34</v>
      </c>
      <c r="J717" s="7">
        <v>24350</v>
      </c>
      <c r="K717" s="8">
        <v>14.68</v>
      </c>
    </row>
    <row r="718" spans="7:11" x14ac:dyDescent="0.45">
      <c r="G718" s="9">
        <v>44967</v>
      </c>
      <c r="H718" s="8">
        <v>20.53</v>
      </c>
      <c r="J718" s="7">
        <v>24319</v>
      </c>
      <c r="K718" s="8">
        <v>15.67</v>
      </c>
    </row>
    <row r="719" spans="7:11" x14ac:dyDescent="0.45">
      <c r="G719" s="9">
        <v>44966</v>
      </c>
      <c r="H719" s="8">
        <v>20.71</v>
      </c>
      <c r="J719" s="7">
        <v>24288</v>
      </c>
      <c r="K719" s="8">
        <v>15.76</v>
      </c>
    </row>
    <row r="720" spans="7:11" x14ac:dyDescent="0.45">
      <c r="G720" s="9">
        <v>44965</v>
      </c>
      <c r="H720" s="8">
        <v>19.63</v>
      </c>
      <c r="J720" s="7">
        <v>24258</v>
      </c>
      <c r="K720" s="8">
        <v>16.010000000000002</v>
      </c>
    </row>
    <row r="721" spans="7:11" x14ac:dyDescent="0.45">
      <c r="G721" s="9">
        <v>44964</v>
      </c>
      <c r="H721" s="8">
        <v>18.66</v>
      </c>
      <c r="J721" s="7">
        <v>24227</v>
      </c>
      <c r="K721" s="8">
        <v>17.03</v>
      </c>
    </row>
    <row r="722" spans="7:11" x14ac:dyDescent="0.45">
      <c r="G722" s="9">
        <v>44963</v>
      </c>
      <c r="H722" s="8">
        <v>19.43</v>
      </c>
      <c r="J722" s="7">
        <v>24197</v>
      </c>
      <c r="K722" s="8">
        <v>16.64</v>
      </c>
    </row>
    <row r="723" spans="7:11" x14ac:dyDescent="0.45">
      <c r="G723" s="9">
        <v>44960</v>
      </c>
      <c r="H723" s="8">
        <v>18.329999999999998</v>
      </c>
      <c r="J723" s="7">
        <v>24166</v>
      </c>
      <c r="K723" s="8">
        <v>17.52</v>
      </c>
    </row>
    <row r="724" spans="7:11" x14ac:dyDescent="0.45">
      <c r="G724" s="9">
        <v>44959</v>
      </c>
      <c r="H724" s="8">
        <v>18.73</v>
      </c>
      <c r="J724" s="7">
        <v>24138</v>
      </c>
      <c r="K724" s="8">
        <v>17.809999999999999</v>
      </c>
    </row>
    <row r="725" spans="7:11" x14ac:dyDescent="0.45">
      <c r="G725" s="9">
        <v>44958</v>
      </c>
      <c r="H725" s="8">
        <v>17.87</v>
      </c>
      <c r="J725" s="7">
        <v>24107</v>
      </c>
      <c r="K725" s="8">
        <v>17.670000000000002</v>
      </c>
    </row>
    <row r="726" spans="7:11" x14ac:dyDescent="0.45">
      <c r="G726" s="9">
        <v>44957</v>
      </c>
      <c r="H726" s="8">
        <v>19.399999999999999</v>
      </c>
      <c r="J726" s="7">
        <v>24076</v>
      </c>
      <c r="K726" s="8">
        <v>18</v>
      </c>
    </row>
    <row r="727" spans="7:11" x14ac:dyDescent="0.45">
      <c r="G727" s="9">
        <v>44956</v>
      </c>
      <c r="H727" s="8">
        <v>19.940000000000001</v>
      </c>
      <c r="J727" s="7">
        <v>24046</v>
      </c>
      <c r="K727" s="8">
        <v>18.100000000000001</v>
      </c>
    </row>
    <row r="728" spans="7:11" x14ac:dyDescent="0.45">
      <c r="G728" s="9">
        <v>44953</v>
      </c>
      <c r="H728" s="8">
        <v>18.510000000000002</v>
      </c>
      <c r="J728" s="7">
        <v>24015</v>
      </c>
      <c r="K728" s="8">
        <v>17.95</v>
      </c>
    </row>
    <row r="729" spans="7:11" x14ac:dyDescent="0.45">
      <c r="G729" s="9">
        <v>44952</v>
      </c>
      <c r="H729" s="8">
        <v>18.73</v>
      </c>
      <c r="J729" s="7">
        <v>23985</v>
      </c>
      <c r="K729" s="8">
        <v>17.53</v>
      </c>
    </row>
    <row r="730" spans="7:11" x14ac:dyDescent="0.45">
      <c r="G730" s="9">
        <v>44951</v>
      </c>
      <c r="H730" s="8">
        <v>19.079999999999998</v>
      </c>
      <c r="J730" s="7">
        <v>23954</v>
      </c>
      <c r="K730" s="8">
        <v>17.38</v>
      </c>
    </row>
    <row r="731" spans="7:11" x14ac:dyDescent="0.45">
      <c r="G731" s="9">
        <v>44950</v>
      </c>
      <c r="H731" s="8">
        <v>19.2</v>
      </c>
      <c r="J731" s="7">
        <v>23923</v>
      </c>
      <c r="K731" s="8">
        <v>17.57</v>
      </c>
    </row>
    <row r="732" spans="7:11" x14ac:dyDescent="0.45">
      <c r="G732" s="9">
        <v>44949</v>
      </c>
      <c r="H732" s="8">
        <v>19.809999999999999</v>
      </c>
      <c r="J732" s="7">
        <v>23893</v>
      </c>
      <c r="K732" s="8">
        <v>18.649999999999999</v>
      </c>
    </row>
    <row r="733" spans="7:11" x14ac:dyDescent="0.45">
      <c r="G733" s="9">
        <v>44946</v>
      </c>
      <c r="H733" s="8">
        <v>19.850000000000001</v>
      </c>
      <c r="J733" s="7">
        <v>23862</v>
      </c>
      <c r="K733" s="8">
        <v>18.59</v>
      </c>
    </row>
    <row r="734" spans="7:11" x14ac:dyDescent="0.45">
      <c r="G734" s="9">
        <v>44945</v>
      </c>
      <c r="H734" s="8">
        <v>20.52</v>
      </c>
      <c r="J734" s="7">
        <v>23832</v>
      </c>
      <c r="K734" s="8">
        <v>18.55</v>
      </c>
    </row>
    <row r="735" spans="7:11" x14ac:dyDescent="0.45">
      <c r="G735" s="9">
        <v>44944</v>
      </c>
      <c r="H735" s="8">
        <v>20.34</v>
      </c>
      <c r="J735" s="7">
        <v>23801</v>
      </c>
      <c r="K735" s="8">
        <v>18.71</v>
      </c>
    </row>
    <row r="736" spans="7:11" x14ac:dyDescent="0.45">
      <c r="G736" s="9">
        <v>44943</v>
      </c>
      <c r="H736" s="8">
        <v>19.36</v>
      </c>
      <c r="J736" s="7">
        <v>23773</v>
      </c>
      <c r="K736" s="8">
        <v>18.75</v>
      </c>
    </row>
    <row r="737" spans="7:11" x14ac:dyDescent="0.45">
      <c r="G737" s="9">
        <v>44942</v>
      </c>
      <c r="H737" s="8">
        <v>19.489999999999998</v>
      </c>
      <c r="J737" s="7">
        <v>23742</v>
      </c>
      <c r="K737" s="8">
        <v>18.45</v>
      </c>
    </row>
    <row r="738" spans="7:11" x14ac:dyDescent="0.45">
      <c r="G738" s="9">
        <v>44939</v>
      </c>
      <c r="H738" s="8">
        <v>18.350000000000001</v>
      </c>
      <c r="J738" s="7">
        <v>23711</v>
      </c>
      <c r="K738" s="8">
        <v>18.89</v>
      </c>
    </row>
    <row r="739" spans="7:11" x14ac:dyDescent="0.45">
      <c r="G739" s="9">
        <v>44938</v>
      </c>
      <c r="H739" s="8">
        <v>18.829999999999998</v>
      </c>
      <c r="J739" s="7">
        <v>23681</v>
      </c>
      <c r="K739" s="8">
        <v>18.87</v>
      </c>
    </row>
    <row r="740" spans="7:11" x14ac:dyDescent="0.45">
      <c r="G740" s="9">
        <v>44937</v>
      </c>
      <c r="H740" s="8">
        <v>21.09</v>
      </c>
      <c r="J740" s="7">
        <v>23650</v>
      </c>
      <c r="K740" s="8">
        <v>18.66</v>
      </c>
    </row>
    <row r="741" spans="7:11" x14ac:dyDescent="0.45">
      <c r="G741" s="9">
        <v>44936</v>
      </c>
      <c r="H741" s="8">
        <v>20.58</v>
      </c>
      <c r="J741" s="7">
        <v>23620</v>
      </c>
      <c r="K741" s="8">
        <v>18.54</v>
      </c>
    </row>
    <row r="742" spans="7:11" x14ac:dyDescent="0.45">
      <c r="G742" s="9">
        <v>44935</v>
      </c>
      <c r="H742" s="8">
        <v>21.97</v>
      </c>
      <c r="J742" s="7">
        <v>23589</v>
      </c>
      <c r="K742" s="8">
        <v>19.010000000000002</v>
      </c>
    </row>
    <row r="743" spans="7:11" x14ac:dyDescent="0.45">
      <c r="G743" s="9">
        <v>44932</v>
      </c>
      <c r="H743" s="8">
        <v>21.13</v>
      </c>
      <c r="J743" s="7">
        <v>23558</v>
      </c>
      <c r="K743" s="8">
        <v>18.53</v>
      </c>
    </row>
    <row r="744" spans="7:11" x14ac:dyDescent="0.45">
      <c r="G744" s="9">
        <v>44931</v>
      </c>
      <c r="H744" s="8">
        <v>22.46</v>
      </c>
      <c r="J744" s="7">
        <v>23528</v>
      </c>
      <c r="K744" s="8">
        <v>18.86</v>
      </c>
    </row>
    <row r="745" spans="7:11" x14ac:dyDescent="0.45">
      <c r="G745" s="9">
        <v>44930</v>
      </c>
      <c r="H745" s="8">
        <v>22.01</v>
      </c>
      <c r="J745" s="7">
        <v>23497</v>
      </c>
      <c r="K745" s="8">
        <v>18.899999999999999</v>
      </c>
    </row>
    <row r="746" spans="7:11" x14ac:dyDescent="0.45">
      <c r="G746" s="9">
        <v>44929</v>
      </c>
      <c r="H746" s="8">
        <v>22.9</v>
      </c>
      <c r="J746" s="7">
        <v>23467</v>
      </c>
      <c r="K746" s="8">
        <v>18.850000000000001</v>
      </c>
    </row>
    <row r="747" spans="7:11" x14ac:dyDescent="0.45">
      <c r="G747" s="9">
        <v>44925</v>
      </c>
      <c r="H747" s="8">
        <v>21.67</v>
      </c>
      <c r="J747" s="7">
        <v>23436</v>
      </c>
      <c r="K747" s="8">
        <v>18.75</v>
      </c>
    </row>
    <row r="748" spans="7:11" x14ac:dyDescent="0.45">
      <c r="G748" s="9">
        <v>44924</v>
      </c>
      <c r="H748" s="8">
        <v>21.44</v>
      </c>
      <c r="J748" s="7">
        <v>23407</v>
      </c>
      <c r="K748" s="8">
        <v>18.77</v>
      </c>
    </row>
    <row r="749" spans="7:11" x14ac:dyDescent="0.45">
      <c r="G749" s="9">
        <v>44923</v>
      </c>
      <c r="H749" s="8">
        <v>22.14</v>
      </c>
      <c r="J749" s="7">
        <v>23376</v>
      </c>
      <c r="K749" s="8">
        <v>18.45</v>
      </c>
    </row>
    <row r="750" spans="7:11" x14ac:dyDescent="0.45">
      <c r="G750" s="9">
        <v>44922</v>
      </c>
      <c r="H750" s="8">
        <v>21.65</v>
      </c>
      <c r="J750" s="7">
        <v>23345</v>
      </c>
      <c r="K750" s="8">
        <v>18.16</v>
      </c>
    </row>
    <row r="751" spans="7:11" x14ac:dyDescent="0.45">
      <c r="G751" s="9">
        <v>44918</v>
      </c>
      <c r="H751" s="8">
        <v>20.87</v>
      </c>
      <c r="J751" s="7">
        <v>23315</v>
      </c>
      <c r="K751" s="8">
        <v>18.350000000000001</v>
      </c>
    </row>
    <row r="752" spans="7:11" x14ac:dyDescent="0.45">
      <c r="G752" s="9">
        <v>44917</v>
      </c>
      <c r="H752" s="8">
        <v>21.97</v>
      </c>
      <c r="J752" s="7">
        <v>23284</v>
      </c>
      <c r="K752" s="8">
        <v>18.399999999999999</v>
      </c>
    </row>
    <row r="753" spans="7:11" x14ac:dyDescent="0.45">
      <c r="G753" s="9">
        <v>44916</v>
      </c>
      <c r="H753" s="8">
        <v>20.07</v>
      </c>
      <c r="J753" s="7">
        <v>23254</v>
      </c>
      <c r="K753" s="8">
        <v>18.11</v>
      </c>
    </row>
    <row r="754" spans="7:11" x14ac:dyDescent="0.45">
      <c r="G754" s="9">
        <v>44915</v>
      </c>
      <c r="H754" s="8">
        <v>21.48</v>
      </c>
      <c r="J754" s="7">
        <v>23223</v>
      </c>
      <c r="K754" s="8">
        <v>17.8</v>
      </c>
    </row>
    <row r="755" spans="7:11" x14ac:dyDescent="0.45">
      <c r="G755" s="9">
        <v>44914</v>
      </c>
      <c r="H755" s="8">
        <v>22.42</v>
      </c>
      <c r="J755" s="7">
        <v>23192</v>
      </c>
      <c r="K755" s="8">
        <v>18.260000000000002</v>
      </c>
    </row>
    <row r="756" spans="7:11" x14ac:dyDescent="0.45">
      <c r="G756" s="9">
        <v>44911</v>
      </c>
      <c r="H756" s="8">
        <v>22.62</v>
      </c>
      <c r="J756" s="7">
        <v>23162</v>
      </c>
      <c r="K756" s="8">
        <v>18.47</v>
      </c>
    </row>
    <row r="757" spans="7:11" x14ac:dyDescent="0.45">
      <c r="G757" s="9">
        <v>44910</v>
      </c>
      <c r="H757" s="8">
        <v>22.83</v>
      </c>
      <c r="J757" s="7">
        <v>23131</v>
      </c>
      <c r="K757" s="8">
        <v>18.32</v>
      </c>
    </row>
    <row r="758" spans="7:11" x14ac:dyDescent="0.45">
      <c r="G758" s="9">
        <v>44909</v>
      </c>
      <c r="H758" s="8">
        <v>21.14</v>
      </c>
      <c r="J758" s="7">
        <v>23101</v>
      </c>
      <c r="K758" s="8">
        <v>17.7</v>
      </c>
    </row>
    <row r="759" spans="7:11" x14ac:dyDescent="0.45">
      <c r="G759" s="9">
        <v>44908</v>
      </c>
      <c r="H759" s="8">
        <v>22.55</v>
      </c>
      <c r="J759" s="7">
        <v>23070</v>
      </c>
      <c r="K759" s="8">
        <v>17.829999999999998</v>
      </c>
    </row>
    <row r="760" spans="7:11" x14ac:dyDescent="0.45">
      <c r="G760" s="9">
        <v>44907</v>
      </c>
      <c r="H760" s="8">
        <v>25</v>
      </c>
      <c r="J760" s="7">
        <v>23042</v>
      </c>
      <c r="K760" s="8">
        <v>17.66</v>
      </c>
    </row>
    <row r="761" spans="7:11" x14ac:dyDescent="0.45">
      <c r="G761" s="9">
        <v>44904</v>
      </c>
      <c r="H761" s="8">
        <v>22.83</v>
      </c>
      <c r="J761" s="7">
        <v>23011</v>
      </c>
      <c r="K761" s="8">
        <v>17.07</v>
      </c>
    </row>
    <row r="762" spans="7:11" x14ac:dyDescent="0.45">
      <c r="G762" s="9">
        <v>44903</v>
      </c>
      <c r="H762" s="8">
        <v>22.29</v>
      </c>
      <c r="J762" s="7">
        <v>22980</v>
      </c>
      <c r="K762" s="8">
        <v>16.57</v>
      </c>
    </row>
    <row r="763" spans="7:11" x14ac:dyDescent="0.45">
      <c r="G763" s="9">
        <v>44902</v>
      </c>
      <c r="H763" s="8">
        <v>22.68</v>
      </c>
      <c r="J763" s="7">
        <v>22950</v>
      </c>
      <c r="K763" s="8">
        <v>15.7</v>
      </c>
    </row>
    <row r="764" spans="7:11" x14ac:dyDescent="0.45">
      <c r="G764" s="9">
        <v>44901</v>
      </c>
      <c r="H764" s="8">
        <v>22.17</v>
      </c>
      <c r="J764" s="7">
        <v>22919</v>
      </c>
      <c r="K764" s="8">
        <v>16.43</v>
      </c>
    </row>
    <row r="765" spans="7:11" x14ac:dyDescent="0.45">
      <c r="G765" s="9">
        <v>44900</v>
      </c>
      <c r="H765" s="8">
        <v>20.75</v>
      </c>
      <c r="J765" s="7">
        <v>22889</v>
      </c>
      <c r="K765" s="8">
        <v>16.670000000000002</v>
      </c>
    </row>
    <row r="766" spans="7:11" x14ac:dyDescent="0.45">
      <c r="G766" s="9">
        <v>44897</v>
      </c>
      <c r="H766" s="8">
        <v>19.059999999999999</v>
      </c>
      <c r="J766" s="7">
        <v>22858</v>
      </c>
      <c r="K766" s="8">
        <v>16.32</v>
      </c>
    </row>
    <row r="767" spans="7:11" x14ac:dyDescent="0.45">
      <c r="G767" s="9">
        <v>44896</v>
      </c>
      <c r="H767" s="8">
        <v>19.84</v>
      </c>
      <c r="J767" s="7">
        <v>22827</v>
      </c>
      <c r="K767" s="8">
        <v>16.03</v>
      </c>
    </row>
    <row r="768" spans="7:11" x14ac:dyDescent="0.45">
      <c r="G768" s="9">
        <v>44895</v>
      </c>
      <c r="H768" s="8">
        <v>20.58</v>
      </c>
      <c r="J768" s="7">
        <v>22797</v>
      </c>
      <c r="K768" s="8">
        <v>18.329999999999998</v>
      </c>
    </row>
    <row r="769" spans="7:11" x14ac:dyDescent="0.45">
      <c r="G769" s="9">
        <v>44894</v>
      </c>
      <c r="H769" s="8">
        <v>21.89</v>
      </c>
      <c r="J769" s="7">
        <v>22766</v>
      </c>
      <c r="K769" s="8">
        <v>20</v>
      </c>
    </row>
    <row r="770" spans="7:11" x14ac:dyDescent="0.45">
      <c r="G770" s="9">
        <v>44893</v>
      </c>
      <c r="H770" s="8">
        <v>22.21</v>
      </c>
      <c r="J770" s="7">
        <v>22736</v>
      </c>
      <c r="K770" s="8">
        <v>20.86</v>
      </c>
    </row>
    <row r="771" spans="7:11" x14ac:dyDescent="0.45">
      <c r="G771" s="9">
        <v>44890</v>
      </c>
      <c r="H771" s="8">
        <v>20.5</v>
      </c>
      <c r="J771" s="7">
        <v>22705</v>
      </c>
      <c r="K771" s="8">
        <v>21.21</v>
      </c>
    </row>
    <row r="772" spans="7:11" x14ac:dyDescent="0.45">
      <c r="G772" s="9">
        <v>44889</v>
      </c>
      <c r="H772" s="8">
        <v>20.420000000000002</v>
      </c>
      <c r="J772" s="7">
        <v>22677</v>
      </c>
      <c r="K772" s="8">
        <v>21.25</v>
      </c>
    </row>
    <row r="773" spans="7:11" x14ac:dyDescent="0.45">
      <c r="G773" s="9">
        <v>44888</v>
      </c>
      <c r="H773" s="8">
        <v>20.350000000000001</v>
      </c>
      <c r="J773" s="7">
        <v>22646</v>
      </c>
      <c r="K773" s="8">
        <v>22.49</v>
      </c>
    </row>
    <row r="774" spans="7:11" x14ac:dyDescent="0.45">
      <c r="G774" s="9">
        <v>44887</v>
      </c>
      <c r="H774" s="8">
        <v>21.29</v>
      </c>
      <c r="J774" s="7">
        <v>22615</v>
      </c>
      <c r="K774" s="8">
        <v>22.61</v>
      </c>
    </row>
    <row r="775" spans="7:11" x14ac:dyDescent="0.45">
      <c r="G775" s="9">
        <v>44886</v>
      </c>
      <c r="H775" s="8">
        <v>22.36</v>
      </c>
      <c r="J775" s="7">
        <v>22585</v>
      </c>
      <c r="K775" s="8">
        <v>21.96</v>
      </c>
    </row>
    <row r="776" spans="7:11" x14ac:dyDescent="0.45">
      <c r="G776" s="9">
        <v>44883</v>
      </c>
      <c r="H776" s="8">
        <v>23.12</v>
      </c>
      <c r="J776" s="7">
        <v>22554</v>
      </c>
      <c r="K776" s="8">
        <v>22.05</v>
      </c>
    </row>
    <row r="777" spans="7:11" x14ac:dyDescent="0.45">
      <c r="G777" s="9">
        <v>44882</v>
      </c>
      <c r="H777" s="8">
        <v>23.93</v>
      </c>
      <c r="J777" s="7">
        <v>22524</v>
      </c>
      <c r="K777" s="8">
        <v>22.27</v>
      </c>
    </row>
    <row r="778" spans="7:11" x14ac:dyDescent="0.45">
      <c r="G778" s="9">
        <v>44881</v>
      </c>
      <c r="H778" s="8">
        <v>24.11</v>
      </c>
      <c r="J778" s="7">
        <v>22493</v>
      </c>
      <c r="K778" s="8">
        <v>21.55</v>
      </c>
    </row>
    <row r="779" spans="7:11" x14ac:dyDescent="0.45">
      <c r="G779" s="9">
        <v>44880</v>
      </c>
      <c r="H779" s="8">
        <v>24.54</v>
      </c>
      <c r="J779" s="7">
        <v>22462</v>
      </c>
      <c r="K779" s="8">
        <v>21.66</v>
      </c>
    </row>
    <row r="780" spans="7:11" x14ac:dyDescent="0.45">
      <c r="G780" s="9">
        <v>44879</v>
      </c>
      <c r="H780" s="8">
        <v>23.73</v>
      </c>
      <c r="J780" s="7">
        <v>22432</v>
      </c>
      <c r="K780" s="8">
        <v>21.8</v>
      </c>
    </row>
    <row r="781" spans="7:11" x14ac:dyDescent="0.45">
      <c r="G781" s="9">
        <v>44876</v>
      </c>
      <c r="H781" s="8">
        <v>22.52</v>
      </c>
      <c r="J781" s="7">
        <v>22401</v>
      </c>
      <c r="K781" s="8">
        <v>21.44</v>
      </c>
    </row>
    <row r="782" spans="7:11" x14ac:dyDescent="0.45">
      <c r="G782" s="9">
        <v>44875</v>
      </c>
      <c r="H782" s="8">
        <v>23.53</v>
      </c>
      <c r="J782" s="7">
        <v>22371</v>
      </c>
      <c r="K782" s="8">
        <v>20.75</v>
      </c>
    </row>
    <row r="783" spans="7:11" x14ac:dyDescent="0.45">
      <c r="G783" s="9">
        <v>44874</v>
      </c>
      <c r="H783" s="8">
        <v>26.09</v>
      </c>
      <c r="J783" s="7">
        <v>22340</v>
      </c>
      <c r="K783" s="8">
        <v>19.739999999999998</v>
      </c>
    </row>
    <row r="784" spans="7:11" x14ac:dyDescent="0.45">
      <c r="G784" s="9">
        <v>44873</v>
      </c>
      <c r="H784" s="8">
        <v>25.54</v>
      </c>
      <c r="J784" s="7">
        <v>22312</v>
      </c>
      <c r="K784" s="8">
        <v>18.600000000000001</v>
      </c>
    </row>
    <row r="785" spans="7:11" x14ac:dyDescent="0.45">
      <c r="G785" s="9">
        <v>44872</v>
      </c>
      <c r="H785" s="8">
        <v>24.35</v>
      </c>
      <c r="J785" s="7">
        <v>22281</v>
      </c>
      <c r="K785" s="8">
        <v>17.37</v>
      </c>
    </row>
    <row r="786" spans="7:11" x14ac:dyDescent="0.45">
      <c r="G786" s="9">
        <v>44869</v>
      </c>
      <c r="H786" s="8">
        <v>24.55</v>
      </c>
      <c r="J786" s="7">
        <v>22250</v>
      </c>
      <c r="K786" s="8">
        <v>16.96</v>
      </c>
    </row>
    <row r="787" spans="7:11" x14ac:dyDescent="0.45">
      <c r="G787" s="9">
        <v>44868</v>
      </c>
      <c r="H787" s="8">
        <v>25.3</v>
      </c>
      <c r="J787" s="7">
        <v>22220</v>
      </c>
      <c r="K787" s="8">
        <v>16.43</v>
      </c>
    </row>
    <row r="788" spans="7:11" x14ac:dyDescent="0.45">
      <c r="G788" s="9">
        <v>44867</v>
      </c>
      <c r="H788" s="8">
        <v>25.86</v>
      </c>
      <c r="J788" s="7">
        <v>22189</v>
      </c>
      <c r="K788" s="8">
        <v>16.760000000000002</v>
      </c>
    </row>
    <row r="789" spans="7:11" x14ac:dyDescent="0.45">
      <c r="G789" s="9">
        <v>44866</v>
      </c>
      <c r="H789" s="8">
        <v>25.81</v>
      </c>
      <c r="J789" s="7">
        <v>22159</v>
      </c>
      <c r="K789" s="8">
        <v>17.3</v>
      </c>
    </row>
    <row r="790" spans="7:11" x14ac:dyDescent="0.45">
      <c r="G790" s="9">
        <v>44865</v>
      </c>
      <c r="H790" s="8">
        <v>25.88</v>
      </c>
      <c r="J790" s="7">
        <v>22128</v>
      </c>
      <c r="K790" s="8">
        <v>17.11</v>
      </c>
    </row>
    <row r="791" spans="7:11" x14ac:dyDescent="0.45">
      <c r="G791" s="9">
        <v>44862</v>
      </c>
      <c r="H791" s="8">
        <v>25.75</v>
      </c>
      <c r="J791" s="7">
        <v>22097</v>
      </c>
      <c r="K791" s="8">
        <v>17.559999999999999</v>
      </c>
    </row>
    <row r="792" spans="7:11" x14ac:dyDescent="0.45">
      <c r="G792" s="9">
        <v>44861</v>
      </c>
      <c r="H792" s="8">
        <v>27.39</v>
      </c>
      <c r="J792" s="7">
        <v>22067</v>
      </c>
      <c r="K792" s="8">
        <v>16.72</v>
      </c>
    </row>
    <row r="793" spans="7:11" x14ac:dyDescent="0.45">
      <c r="G793" s="9">
        <v>44860</v>
      </c>
      <c r="H793" s="8">
        <v>27.28</v>
      </c>
      <c r="J793" s="7">
        <v>22036</v>
      </c>
      <c r="K793" s="8">
        <v>16.649999999999999</v>
      </c>
    </row>
    <row r="794" spans="7:11" x14ac:dyDescent="0.45">
      <c r="G794" s="9">
        <v>44859</v>
      </c>
      <c r="H794" s="8">
        <v>28.46</v>
      </c>
      <c r="J794" s="7">
        <v>22006</v>
      </c>
      <c r="K794" s="8">
        <v>16.23</v>
      </c>
    </row>
    <row r="795" spans="7:11" x14ac:dyDescent="0.45">
      <c r="G795" s="9">
        <v>44858</v>
      </c>
      <c r="H795" s="8">
        <v>29.85</v>
      </c>
      <c r="J795" s="7">
        <v>21975</v>
      </c>
      <c r="K795" s="8">
        <v>16.45</v>
      </c>
    </row>
    <row r="796" spans="7:11" x14ac:dyDescent="0.45">
      <c r="G796" s="9">
        <v>44855</v>
      </c>
      <c r="H796" s="8">
        <v>29.69</v>
      </c>
      <c r="J796" s="7">
        <v>21946</v>
      </c>
      <c r="K796" s="8">
        <v>17.12</v>
      </c>
    </row>
    <row r="797" spans="7:11" x14ac:dyDescent="0.45">
      <c r="G797" s="9">
        <v>44854</v>
      </c>
      <c r="H797" s="8">
        <v>29.98</v>
      </c>
      <c r="J797" s="7">
        <v>21915</v>
      </c>
      <c r="K797" s="8">
        <v>17.420000000000002</v>
      </c>
    </row>
    <row r="798" spans="7:11" x14ac:dyDescent="0.45">
      <c r="G798" s="9">
        <v>44853</v>
      </c>
      <c r="H798" s="8">
        <v>30.76</v>
      </c>
      <c r="J798" s="7">
        <v>21884</v>
      </c>
      <c r="K798" s="8">
        <v>16.82</v>
      </c>
    </row>
    <row r="799" spans="7:11" x14ac:dyDescent="0.45">
      <c r="G799" s="9">
        <v>44852</v>
      </c>
      <c r="H799" s="8">
        <v>30.5</v>
      </c>
      <c r="J799" s="7">
        <v>21854</v>
      </c>
      <c r="K799" s="8">
        <v>16.68</v>
      </c>
    </row>
    <row r="800" spans="7:11" x14ac:dyDescent="0.45">
      <c r="G800" s="9">
        <v>44851</v>
      </c>
      <c r="H800" s="8">
        <v>31.37</v>
      </c>
      <c r="J800" s="7">
        <v>21823</v>
      </c>
      <c r="K800" s="8">
        <v>16.63</v>
      </c>
    </row>
    <row r="801" spans="7:11" x14ac:dyDescent="0.45">
      <c r="G801" s="9">
        <v>44848</v>
      </c>
      <c r="H801" s="8">
        <v>32.020000000000003</v>
      </c>
      <c r="J801" s="7">
        <v>21793</v>
      </c>
      <c r="K801" s="8">
        <v>17.37</v>
      </c>
    </row>
    <row r="802" spans="7:11" x14ac:dyDescent="0.45">
      <c r="G802" s="9">
        <v>44847</v>
      </c>
      <c r="H802" s="8">
        <v>31.94</v>
      </c>
      <c r="J802" s="7">
        <v>21762</v>
      </c>
      <c r="K802" s="8">
        <v>17.52</v>
      </c>
    </row>
    <row r="803" spans="7:11" x14ac:dyDescent="0.45">
      <c r="G803" s="9">
        <v>44846</v>
      </c>
      <c r="H803" s="8">
        <v>33.57</v>
      </c>
      <c r="J803" s="7">
        <v>21731</v>
      </c>
      <c r="K803" s="8">
        <v>16.899999999999999</v>
      </c>
    </row>
    <row r="804" spans="7:11" x14ac:dyDescent="0.45">
      <c r="G804" s="9">
        <v>44845</v>
      </c>
      <c r="H804" s="8">
        <v>33.630000000000003</v>
      </c>
      <c r="J804" s="7">
        <v>21701</v>
      </c>
      <c r="K804" s="8">
        <v>17.55</v>
      </c>
    </row>
    <row r="805" spans="7:11" x14ac:dyDescent="0.45">
      <c r="G805" s="9">
        <v>44844</v>
      </c>
      <c r="H805" s="8">
        <v>32.450000000000003</v>
      </c>
      <c r="J805" s="7">
        <v>21670</v>
      </c>
      <c r="K805" s="8">
        <v>17.809999999999999</v>
      </c>
    </row>
    <row r="806" spans="7:11" x14ac:dyDescent="0.45">
      <c r="G806" s="9">
        <v>44841</v>
      </c>
      <c r="H806" s="8">
        <v>31.36</v>
      </c>
      <c r="J806" s="7">
        <v>21640</v>
      </c>
      <c r="K806" s="8">
        <v>18.059999999999999</v>
      </c>
    </row>
    <row r="807" spans="7:11" x14ac:dyDescent="0.45">
      <c r="G807" s="9">
        <v>44840</v>
      </c>
      <c r="H807" s="8">
        <v>30.52</v>
      </c>
      <c r="J807" s="7">
        <v>21609</v>
      </c>
      <c r="K807" s="8">
        <v>18.04</v>
      </c>
    </row>
    <row r="808" spans="7:11" x14ac:dyDescent="0.45">
      <c r="G808" s="9">
        <v>44839</v>
      </c>
      <c r="H808" s="8">
        <v>28.55</v>
      </c>
      <c r="J808" s="7">
        <v>21581</v>
      </c>
      <c r="K808" s="8">
        <v>18.77</v>
      </c>
    </row>
    <row r="809" spans="7:11" x14ac:dyDescent="0.45">
      <c r="G809" s="9">
        <v>44838</v>
      </c>
      <c r="H809" s="8">
        <v>29.07</v>
      </c>
      <c r="J809" s="7">
        <v>21550</v>
      </c>
      <c r="K809" s="8">
        <v>18.510000000000002</v>
      </c>
    </row>
    <row r="810" spans="7:11" x14ac:dyDescent="0.45">
      <c r="G810" s="9">
        <v>44837</v>
      </c>
      <c r="H810" s="8">
        <v>30.1</v>
      </c>
      <c r="J810" s="7">
        <v>21519</v>
      </c>
      <c r="K810" s="8">
        <v>18.190000000000001</v>
      </c>
    </row>
    <row r="811" spans="7:11" x14ac:dyDescent="0.45">
      <c r="G811" s="9">
        <v>44834</v>
      </c>
      <c r="H811" s="8">
        <v>31.62</v>
      </c>
      <c r="J811" s="7">
        <v>21489</v>
      </c>
      <c r="K811" s="8">
        <v>17.670000000000002</v>
      </c>
    </row>
    <row r="812" spans="7:11" x14ac:dyDescent="0.45">
      <c r="G812" s="9">
        <v>44833</v>
      </c>
      <c r="H812" s="8">
        <v>31.84</v>
      </c>
      <c r="J812" s="7">
        <v>21458</v>
      </c>
      <c r="K812" s="8">
        <v>17</v>
      </c>
    </row>
    <row r="813" spans="7:11" x14ac:dyDescent="0.45">
      <c r="G813" s="9">
        <v>44832</v>
      </c>
      <c r="H813" s="8">
        <v>30.18</v>
      </c>
      <c r="J813" s="7">
        <v>21428</v>
      </c>
      <c r="K813" s="8">
        <v>16.47</v>
      </c>
    </row>
    <row r="814" spans="7:11" x14ac:dyDescent="0.45">
      <c r="G814" s="9">
        <v>44831</v>
      </c>
      <c r="H814" s="8">
        <v>32.6</v>
      </c>
      <c r="J814" s="7">
        <v>21397</v>
      </c>
      <c r="K814" s="8">
        <v>15.78</v>
      </c>
    </row>
    <row r="815" spans="7:11" x14ac:dyDescent="0.45">
      <c r="G815" s="9">
        <v>44830</v>
      </c>
      <c r="H815" s="8">
        <v>32.26</v>
      </c>
      <c r="J815" s="7">
        <v>21366</v>
      </c>
      <c r="K815" s="8">
        <v>15.27</v>
      </c>
    </row>
    <row r="816" spans="7:11" x14ac:dyDescent="0.45">
      <c r="G816" s="9">
        <v>44827</v>
      </c>
      <c r="H816" s="8">
        <v>29.92</v>
      </c>
      <c r="J816" s="7">
        <v>21336</v>
      </c>
      <c r="K816" s="8">
        <v>14.57</v>
      </c>
    </row>
    <row r="817" spans="7:11" x14ac:dyDescent="0.45">
      <c r="G817" s="9">
        <v>44826</v>
      </c>
      <c r="H817" s="8">
        <v>27.35</v>
      </c>
      <c r="J817" s="7">
        <v>21305</v>
      </c>
      <c r="K817" s="8">
        <v>13.79</v>
      </c>
    </row>
    <row r="818" spans="7:11" x14ac:dyDescent="0.45">
      <c r="G818" s="9">
        <v>44825</v>
      </c>
      <c r="H818" s="8">
        <v>27.99</v>
      </c>
      <c r="J818" s="7">
        <v>21275</v>
      </c>
      <c r="K818" s="8">
        <v>13.41</v>
      </c>
    </row>
    <row r="819" spans="7:11" x14ac:dyDescent="0.45">
      <c r="G819" s="9">
        <v>44824</v>
      </c>
      <c r="H819" s="8">
        <v>27.16</v>
      </c>
      <c r="J819" s="7">
        <v>21244</v>
      </c>
      <c r="K819" s="8">
        <v>12.83</v>
      </c>
    </row>
    <row r="820" spans="7:11" x14ac:dyDescent="0.45">
      <c r="G820" s="9">
        <v>44823</v>
      </c>
      <c r="H820" s="8">
        <v>25.76</v>
      </c>
      <c r="J820" s="7">
        <v>21216</v>
      </c>
      <c r="K820" s="8">
        <v>12.49</v>
      </c>
    </row>
    <row r="821" spans="7:11" x14ac:dyDescent="0.45">
      <c r="G821" s="9">
        <v>44820</v>
      </c>
      <c r="H821" s="8">
        <v>26.3</v>
      </c>
      <c r="J821" s="7">
        <v>21185</v>
      </c>
      <c r="K821" s="8">
        <v>11.97</v>
      </c>
    </row>
    <row r="822" spans="7:11" x14ac:dyDescent="0.45">
      <c r="G822" s="9">
        <v>44819</v>
      </c>
      <c r="H822" s="8">
        <v>26.27</v>
      </c>
      <c r="J822" s="7">
        <v>21154</v>
      </c>
      <c r="K822" s="8">
        <v>11.86</v>
      </c>
    </row>
    <row r="823" spans="7:11" x14ac:dyDescent="0.45">
      <c r="G823" s="9">
        <v>44818</v>
      </c>
      <c r="H823" s="8">
        <v>26.16</v>
      </c>
      <c r="J823" s="7">
        <v>21124</v>
      </c>
      <c r="K823" s="8">
        <v>12</v>
      </c>
    </row>
    <row r="824" spans="7:11" x14ac:dyDescent="0.45">
      <c r="G824" s="9">
        <v>44817</v>
      </c>
      <c r="H824" s="8">
        <v>27.27</v>
      </c>
      <c r="J824" s="7">
        <v>21093</v>
      </c>
      <c r="K824" s="8">
        <v>12.67</v>
      </c>
    </row>
    <row r="825" spans="7:11" x14ac:dyDescent="0.45">
      <c r="G825" s="9">
        <v>44816</v>
      </c>
      <c r="H825" s="8">
        <v>23.87</v>
      </c>
      <c r="J825" s="7">
        <v>21063</v>
      </c>
      <c r="K825" s="8">
        <v>13.27</v>
      </c>
    </row>
    <row r="826" spans="7:11" x14ac:dyDescent="0.45">
      <c r="G826" s="9">
        <v>44813</v>
      </c>
      <c r="H826" s="8">
        <v>22.79</v>
      </c>
      <c r="J826" s="7">
        <v>21032</v>
      </c>
      <c r="K826" s="8">
        <v>14.12</v>
      </c>
    </row>
    <row r="827" spans="7:11" x14ac:dyDescent="0.45">
      <c r="G827" s="9">
        <v>44812</v>
      </c>
      <c r="H827" s="8">
        <v>23.61</v>
      </c>
      <c r="J827" s="7">
        <v>21001</v>
      </c>
      <c r="K827" s="8">
        <v>13.9</v>
      </c>
    </row>
    <row r="828" spans="7:11" x14ac:dyDescent="0.45">
      <c r="G828" s="9">
        <v>44811</v>
      </c>
      <c r="H828" s="8">
        <v>24.64</v>
      </c>
      <c r="J828" s="7">
        <v>20971</v>
      </c>
      <c r="K828" s="8">
        <v>13.71</v>
      </c>
    </row>
    <row r="829" spans="7:11" x14ac:dyDescent="0.45">
      <c r="G829" s="9">
        <v>44810</v>
      </c>
      <c r="H829" s="8">
        <v>26.91</v>
      </c>
      <c r="J829" s="7">
        <v>20940</v>
      </c>
      <c r="K829" s="8">
        <v>13.22</v>
      </c>
    </row>
    <row r="830" spans="7:11" x14ac:dyDescent="0.45">
      <c r="G830" s="9">
        <v>44809</v>
      </c>
      <c r="H830" s="8">
        <v>25.99</v>
      </c>
      <c r="J830" s="7">
        <v>20910</v>
      </c>
      <c r="K830" s="8">
        <v>12.95</v>
      </c>
    </row>
    <row r="831" spans="7:11" x14ac:dyDescent="0.45">
      <c r="G831" s="9">
        <v>44806</v>
      </c>
      <c r="H831" s="8">
        <v>25.47</v>
      </c>
      <c r="J831" s="7">
        <v>20879</v>
      </c>
      <c r="K831" s="8">
        <v>12.77</v>
      </c>
    </row>
    <row r="832" spans="7:11" x14ac:dyDescent="0.45">
      <c r="G832" s="9">
        <v>44805</v>
      </c>
      <c r="H832" s="8">
        <v>25.56</v>
      </c>
      <c r="J832" s="7">
        <v>20851</v>
      </c>
      <c r="K832" s="8">
        <v>13.34</v>
      </c>
    </row>
    <row r="833" spans="7:11" x14ac:dyDescent="0.45">
      <c r="G833" s="9">
        <v>44804</v>
      </c>
      <c r="H833" s="8">
        <v>25.87</v>
      </c>
      <c r="J833" s="7">
        <v>20820</v>
      </c>
      <c r="K833" s="8">
        <v>13.62</v>
      </c>
    </row>
    <row r="834" spans="7:11" x14ac:dyDescent="0.45">
      <c r="G834" s="9">
        <v>44803</v>
      </c>
      <c r="H834" s="8">
        <v>26.21</v>
      </c>
      <c r="J834" s="7">
        <v>20789</v>
      </c>
      <c r="K834" s="8">
        <v>13.35</v>
      </c>
    </row>
    <row r="835" spans="7:11" x14ac:dyDescent="0.45">
      <c r="G835" s="9">
        <v>44802</v>
      </c>
      <c r="H835" s="8">
        <v>26.21</v>
      </c>
      <c r="J835" s="7">
        <v>20759</v>
      </c>
      <c r="K835" s="8">
        <v>13.43</v>
      </c>
    </row>
    <row r="836" spans="7:11" x14ac:dyDescent="0.45">
      <c r="G836" s="9">
        <v>44799</v>
      </c>
      <c r="H836" s="8">
        <v>25.56</v>
      </c>
      <c r="J836" s="7">
        <v>20728</v>
      </c>
      <c r="K836" s="8">
        <v>13.54</v>
      </c>
    </row>
    <row r="837" spans="7:11" x14ac:dyDescent="0.45">
      <c r="G837" s="9">
        <v>44798</v>
      </c>
      <c r="H837" s="8">
        <v>21.78</v>
      </c>
      <c r="J837" s="7">
        <v>20698</v>
      </c>
      <c r="K837" s="8">
        <v>13.83</v>
      </c>
    </row>
    <row r="838" spans="7:11" x14ac:dyDescent="0.45">
      <c r="G838" s="9">
        <v>44797</v>
      </c>
      <c r="H838" s="8">
        <v>22.82</v>
      </c>
      <c r="J838" s="7">
        <v>20667</v>
      </c>
      <c r="K838" s="8">
        <v>13.73</v>
      </c>
    </row>
    <row r="839" spans="7:11" x14ac:dyDescent="0.45">
      <c r="G839" s="9">
        <v>44796</v>
      </c>
      <c r="H839" s="8">
        <v>24.11</v>
      </c>
      <c r="J839" s="7">
        <v>20636</v>
      </c>
      <c r="K839" s="8">
        <v>12.85</v>
      </c>
    </row>
    <row r="840" spans="7:11" x14ac:dyDescent="0.45">
      <c r="G840" s="9">
        <v>44795</v>
      </c>
      <c r="H840" s="8">
        <v>23.8</v>
      </c>
      <c r="J840" s="7">
        <v>20606</v>
      </c>
      <c r="K840" s="8">
        <v>12.82</v>
      </c>
    </row>
    <row r="841" spans="7:11" x14ac:dyDescent="0.45">
      <c r="G841" s="9">
        <v>44792</v>
      </c>
      <c r="H841" s="8">
        <v>20.6</v>
      </c>
      <c r="J841" s="7">
        <v>20575</v>
      </c>
      <c r="K841" s="8">
        <v>13.13</v>
      </c>
    </row>
    <row r="842" spans="7:11" x14ac:dyDescent="0.45">
      <c r="G842" s="9">
        <v>44791</v>
      </c>
      <c r="H842" s="8">
        <v>19.559999999999999</v>
      </c>
      <c r="J842" s="7">
        <v>20545</v>
      </c>
      <c r="K842" s="8">
        <v>12.87</v>
      </c>
    </row>
    <row r="843" spans="7:11" x14ac:dyDescent="0.45">
      <c r="G843" s="9">
        <v>44790</v>
      </c>
      <c r="H843" s="8">
        <v>19.899999999999999</v>
      </c>
      <c r="J843" s="7">
        <v>20514</v>
      </c>
      <c r="K843" s="8">
        <v>12.12</v>
      </c>
    </row>
    <row r="844" spans="7:11" x14ac:dyDescent="0.45">
      <c r="G844" s="9">
        <v>44789</v>
      </c>
      <c r="H844" s="8">
        <v>19.690000000000001</v>
      </c>
      <c r="J844" s="7">
        <v>20485</v>
      </c>
      <c r="K844" s="8">
        <v>12.12</v>
      </c>
    </row>
    <row r="845" spans="7:11" x14ac:dyDescent="0.45">
      <c r="G845" s="9">
        <v>44788</v>
      </c>
      <c r="H845" s="8">
        <v>19.95</v>
      </c>
      <c r="J845" s="7">
        <v>20454</v>
      </c>
      <c r="K845" s="8">
        <v>12.53</v>
      </c>
    </row>
    <row r="846" spans="7:11" x14ac:dyDescent="0.45">
      <c r="G846" s="9">
        <v>44785</v>
      </c>
      <c r="H846" s="8">
        <v>19.53</v>
      </c>
      <c r="J846" s="7">
        <v>20423</v>
      </c>
      <c r="K846" s="8">
        <v>12.63</v>
      </c>
    </row>
    <row r="847" spans="7:11" x14ac:dyDescent="0.45">
      <c r="G847" s="9">
        <v>44784</v>
      </c>
      <c r="H847" s="8">
        <v>20.2</v>
      </c>
      <c r="J847" s="7">
        <v>20393</v>
      </c>
      <c r="K847" s="8">
        <v>12.03</v>
      </c>
    </row>
    <row r="848" spans="7:11" x14ac:dyDescent="0.45">
      <c r="G848" s="9">
        <v>44783</v>
      </c>
      <c r="H848" s="8">
        <v>19.739999999999998</v>
      </c>
      <c r="J848" s="7">
        <v>20362</v>
      </c>
      <c r="K848" s="8">
        <v>12.89</v>
      </c>
    </row>
    <row r="849" spans="7:11" x14ac:dyDescent="0.45">
      <c r="G849" s="9">
        <v>44782</v>
      </c>
      <c r="H849" s="8">
        <v>21.77</v>
      </c>
      <c r="J849" s="7">
        <v>20332</v>
      </c>
      <c r="K849" s="8">
        <v>12.6</v>
      </c>
    </row>
    <row r="850" spans="7:11" x14ac:dyDescent="0.45">
      <c r="G850" s="9">
        <v>44781</v>
      </c>
      <c r="H850" s="8">
        <v>21.29</v>
      </c>
      <c r="J850" s="7">
        <v>20301</v>
      </c>
      <c r="K850" s="8">
        <v>12.96</v>
      </c>
    </row>
    <row r="851" spans="7:11" x14ac:dyDescent="0.45">
      <c r="G851" s="9">
        <v>44778</v>
      </c>
      <c r="H851" s="8">
        <v>21.15</v>
      </c>
      <c r="J851" s="7">
        <v>20270</v>
      </c>
      <c r="K851" s="8">
        <v>12.35</v>
      </c>
    </row>
    <row r="852" spans="7:11" x14ac:dyDescent="0.45">
      <c r="G852" s="9">
        <v>44777</v>
      </c>
      <c r="H852" s="8">
        <v>21.44</v>
      </c>
      <c r="J852" s="7">
        <v>20240</v>
      </c>
      <c r="K852" s="8">
        <v>12</v>
      </c>
    </row>
    <row r="853" spans="7:11" x14ac:dyDescent="0.45">
      <c r="G853" s="9">
        <v>44776</v>
      </c>
      <c r="H853" s="8">
        <v>21.95</v>
      </c>
      <c r="J853" s="7">
        <v>20209</v>
      </c>
      <c r="K853" s="8">
        <v>12.39</v>
      </c>
    </row>
    <row r="854" spans="7:11" x14ac:dyDescent="0.45">
      <c r="G854" s="9">
        <v>44775</v>
      </c>
      <c r="H854" s="8">
        <v>23.93</v>
      </c>
      <c r="J854" s="7">
        <v>20179</v>
      </c>
      <c r="K854" s="8">
        <v>12.33</v>
      </c>
    </row>
    <row r="855" spans="7:11" x14ac:dyDescent="0.45">
      <c r="G855" s="9">
        <v>44774</v>
      </c>
      <c r="H855" s="8">
        <v>22.84</v>
      </c>
      <c r="J855" s="7">
        <v>20148</v>
      </c>
      <c r="K855" s="8">
        <v>12.7</v>
      </c>
    </row>
    <row r="856" spans="7:11" x14ac:dyDescent="0.45">
      <c r="G856" s="9">
        <v>44771</v>
      </c>
      <c r="H856" s="8">
        <v>21.33</v>
      </c>
      <c r="J856" s="7">
        <v>20120</v>
      </c>
      <c r="K856" s="8">
        <v>12.56</v>
      </c>
    </row>
    <row r="857" spans="7:11" x14ac:dyDescent="0.45">
      <c r="G857" s="9">
        <v>44770</v>
      </c>
      <c r="H857" s="8">
        <v>22.33</v>
      </c>
      <c r="J857" s="7">
        <v>20089</v>
      </c>
      <c r="K857" s="8">
        <v>12.62</v>
      </c>
    </row>
    <row r="858" spans="7:11" x14ac:dyDescent="0.45">
      <c r="G858" s="9">
        <v>44769</v>
      </c>
      <c r="H858" s="8">
        <v>23.24</v>
      </c>
      <c r="J858" s="7">
        <v>20058</v>
      </c>
      <c r="K858" s="8">
        <v>12.28</v>
      </c>
    </row>
    <row r="859" spans="7:11" x14ac:dyDescent="0.45">
      <c r="G859" s="9">
        <v>44768</v>
      </c>
      <c r="H859" s="8">
        <v>24.69</v>
      </c>
      <c r="J859" s="7">
        <v>20028</v>
      </c>
      <c r="K859" s="8">
        <v>12.02</v>
      </c>
    </row>
    <row r="860" spans="7:11" x14ac:dyDescent="0.45">
      <c r="G860" s="9">
        <v>44767</v>
      </c>
      <c r="H860" s="8">
        <v>23.36</v>
      </c>
      <c r="J860" s="7">
        <v>19997</v>
      </c>
      <c r="K860" s="8">
        <v>11.96</v>
      </c>
    </row>
    <row r="861" spans="7:11" x14ac:dyDescent="0.45">
      <c r="G861" s="9">
        <v>44764</v>
      </c>
      <c r="H861" s="8">
        <v>23.03</v>
      </c>
      <c r="J861" s="7">
        <v>19967</v>
      </c>
      <c r="K861" s="8">
        <v>11.7</v>
      </c>
    </row>
    <row r="862" spans="7:11" x14ac:dyDescent="0.45">
      <c r="G862" s="9">
        <v>44763</v>
      </c>
      <c r="H862" s="8">
        <v>23.11</v>
      </c>
      <c r="J862" s="7">
        <v>19936</v>
      </c>
      <c r="K862" s="8">
        <v>11.49</v>
      </c>
    </row>
    <row r="863" spans="7:11" x14ac:dyDescent="0.45">
      <c r="G863" s="9">
        <v>44762</v>
      </c>
      <c r="H863" s="8">
        <v>23.88</v>
      </c>
      <c r="J863" s="7">
        <v>19905</v>
      </c>
      <c r="K863" s="8">
        <v>11.05</v>
      </c>
    </row>
    <row r="864" spans="7:11" x14ac:dyDescent="0.45">
      <c r="G864" s="9">
        <v>44761</v>
      </c>
      <c r="H864" s="8">
        <v>24.5</v>
      </c>
      <c r="J864" s="7">
        <v>19875</v>
      </c>
      <c r="K864" s="8">
        <v>11.06</v>
      </c>
    </row>
    <row r="865" spans="7:11" x14ac:dyDescent="0.45">
      <c r="G865" s="9">
        <v>44760</v>
      </c>
      <c r="H865" s="8">
        <v>25.3</v>
      </c>
      <c r="J865" s="7">
        <v>19844</v>
      </c>
      <c r="K865" s="8">
        <v>10.74</v>
      </c>
    </row>
    <row r="866" spans="7:11" x14ac:dyDescent="0.45">
      <c r="G866" s="9">
        <v>44757</v>
      </c>
      <c r="H866" s="8">
        <v>24.23</v>
      </c>
      <c r="J866" s="7">
        <v>19814</v>
      </c>
      <c r="K866" s="8">
        <v>10.42</v>
      </c>
    </row>
    <row r="867" spans="7:11" x14ac:dyDescent="0.45">
      <c r="G867" s="9">
        <v>44756</v>
      </c>
      <c r="H867" s="8">
        <v>26.4</v>
      </c>
      <c r="J867" s="7">
        <v>19783</v>
      </c>
      <c r="K867" s="8">
        <v>10.26</v>
      </c>
    </row>
    <row r="868" spans="7:11" x14ac:dyDescent="0.45">
      <c r="G868" s="9">
        <v>44755</v>
      </c>
      <c r="H868" s="8">
        <v>26.82</v>
      </c>
      <c r="J868" s="7">
        <v>19755</v>
      </c>
      <c r="K868" s="8">
        <v>10.09</v>
      </c>
    </row>
    <row r="869" spans="7:11" x14ac:dyDescent="0.45">
      <c r="G869" s="9">
        <v>44754</v>
      </c>
      <c r="H869" s="8">
        <v>27.29</v>
      </c>
      <c r="J869" s="7">
        <v>19724</v>
      </c>
      <c r="K869" s="8">
        <v>9.89</v>
      </c>
    </row>
    <row r="870" spans="7:11" x14ac:dyDescent="0.45">
      <c r="G870" s="9">
        <v>44753</v>
      </c>
      <c r="H870" s="8">
        <v>26.17</v>
      </c>
      <c r="J870" s="7">
        <v>19693</v>
      </c>
      <c r="K870" s="8">
        <v>9.7100000000000009</v>
      </c>
    </row>
    <row r="871" spans="7:11" x14ac:dyDescent="0.45">
      <c r="G871" s="9">
        <v>44750</v>
      </c>
      <c r="H871" s="8">
        <v>24.64</v>
      </c>
      <c r="J871" s="7">
        <v>19663</v>
      </c>
      <c r="K871" s="8">
        <v>9.4499999999999993</v>
      </c>
    </row>
    <row r="872" spans="7:11" x14ac:dyDescent="0.45">
      <c r="G872" s="9">
        <v>44749</v>
      </c>
      <c r="H872" s="8">
        <v>26.08</v>
      </c>
      <c r="J872" s="7">
        <v>19632</v>
      </c>
      <c r="K872" s="8">
        <v>9.1300000000000008</v>
      </c>
    </row>
    <row r="873" spans="7:11" x14ac:dyDescent="0.45">
      <c r="G873" s="9">
        <v>44748</v>
      </c>
      <c r="H873" s="8">
        <v>26.73</v>
      </c>
      <c r="J873" s="7">
        <v>19602</v>
      </c>
      <c r="K873" s="8">
        <v>9.61</v>
      </c>
    </row>
    <row r="874" spans="7:11" x14ac:dyDescent="0.45">
      <c r="G874" s="9">
        <v>44747</v>
      </c>
      <c r="H874" s="8">
        <v>27.54</v>
      </c>
      <c r="J874" s="7">
        <v>19571</v>
      </c>
      <c r="K874" s="8">
        <v>9.6300000000000008</v>
      </c>
    </row>
    <row r="875" spans="7:11" x14ac:dyDescent="0.45">
      <c r="G875" s="9">
        <v>44746</v>
      </c>
      <c r="H875" s="8">
        <v>27.53</v>
      </c>
      <c r="J875" s="7">
        <v>19540</v>
      </c>
      <c r="K875" s="8">
        <v>9.5399999999999991</v>
      </c>
    </row>
    <row r="876" spans="7:11" x14ac:dyDescent="0.45">
      <c r="G876" s="9">
        <v>44743</v>
      </c>
      <c r="H876" s="8">
        <v>26.7</v>
      </c>
      <c r="J876" s="7">
        <v>19510</v>
      </c>
      <c r="K876" s="8">
        <v>10</v>
      </c>
    </row>
    <row r="877" spans="7:11" x14ac:dyDescent="0.45">
      <c r="G877" s="9">
        <v>44742</v>
      </c>
      <c r="H877" s="8">
        <v>28.71</v>
      </c>
      <c r="J877" s="7">
        <v>19479</v>
      </c>
      <c r="K877" s="8">
        <v>10.06</v>
      </c>
    </row>
    <row r="878" spans="7:11" x14ac:dyDescent="0.45">
      <c r="G878" s="9">
        <v>44741</v>
      </c>
      <c r="H878" s="8">
        <v>28.16</v>
      </c>
      <c r="J878" s="7">
        <v>19449</v>
      </c>
      <c r="K878" s="8">
        <v>10.7</v>
      </c>
    </row>
    <row r="879" spans="7:11" x14ac:dyDescent="0.45">
      <c r="G879" s="9">
        <v>44740</v>
      </c>
      <c r="H879" s="8">
        <v>28.36</v>
      </c>
      <c r="J879" s="7">
        <v>19418</v>
      </c>
      <c r="K879" s="8">
        <v>10.69</v>
      </c>
    </row>
    <row r="880" spans="7:11" x14ac:dyDescent="0.45">
      <c r="G880" s="9">
        <v>44739</v>
      </c>
      <c r="H880" s="8">
        <v>26.95</v>
      </c>
      <c r="J880" s="7">
        <v>19390</v>
      </c>
      <c r="K880" s="8">
        <v>10.86</v>
      </c>
    </row>
    <row r="881" spans="7:11" x14ac:dyDescent="0.45">
      <c r="G881" s="9">
        <v>44736</v>
      </c>
      <c r="H881" s="8">
        <v>27.23</v>
      </c>
      <c r="J881" s="7">
        <v>19359</v>
      </c>
      <c r="K881" s="8">
        <v>10.85</v>
      </c>
    </row>
    <row r="882" spans="7:11" x14ac:dyDescent="0.45">
      <c r="G882" s="9">
        <v>44735</v>
      </c>
      <c r="H882" s="8">
        <v>29.05</v>
      </c>
      <c r="J882" s="7">
        <v>19328</v>
      </c>
      <c r="K882" s="8">
        <v>10.49</v>
      </c>
    </row>
    <row r="883" spans="7:11" x14ac:dyDescent="0.45">
      <c r="G883" s="9">
        <v>44734</v>
      </c>
      <c r="H883" s="8">
        <v>28.95</v>
      </c>
      <c r="J883" s="7">
        <v>19298</v>
      </c>
      <c r="K883" s="8">
        <v>10.220000000000001</v>
      </c>
    </row>
    <row r="884" spans="7:11" x14ac:dyDescent="0.45">
      <c r="G884" s="9">
        <v>44733</v>
      </c>
      <c r="H884" s="8">
        <v>30.19</v>
      </c>
      <c r="J884" s="7">
        <v>19267</v>
      </c>
      <c r="K884" s="8">
        <v>10.5</v>
      </c>
    </row>
    <row r="885" spans="7:11" x14ac:dyDescent="0.45">
      <c r="G885" s="9">
        <v>44732</v>
      </c>
      <c r="H885" s="8">
        <v>31.03</v>
      </c>
      <c r="J885" s="7">
        <v>19237</v>
      </c>
      <c r="K885" s="8">
        <v>10.7</v>
      </c>
    </row>
    <row r="886" spans="7:11" x14ac:dyDescent="0.45">
      <c r="G886" s="9">
        <v>44729</v>
      </c>
      <c r="H886" s="8">
        <v>31.13</v>
      </c>
      <c r="J886" s="7">
        <v>19206</v>
      </c>
      <c r="K886" s="8">
        <v>10.69</v>
      </c>
    </row>
    <row r="887" spans="7:11" x14ac:dyDescent="0.45">
      <c r="G887" s="9">
        <v>44728</v>
      </c>
      <c r="H887" s="8">
        <v>32.950000000000003</v>
      </c>
      <c r="J887" s="7">
        <v>19175</v>
      </c>
      <c r="K887" s="8">
        <v>10.42</v>
      </c>
    </row>
    <row r="888" spans="7:11" x14ac:dyDescent="0.45">
      <c r="G888" s="9">
        <v>44727</v>
      </c>
      <c r="H888" s="8">
        <v>29.62</v>
      </c>
      <c r="J888" s="7">
        <v>19145</v>
      </c>
      <c r="K888" s="8">
        <v>10.06</v>
      </c>
    </row>
    <row r="889" spans="7:11" x14ac:dyDescent="0.45">
      <c r="G889" s="9">
        <v>44726</v>
      </c>
      <c r="H889" s="8">
        <v>32.69</v>
      </c>
      <c r="J889" s="7">
        <v>19114</v>
      </c>
      <c r="K889" s="8">
        <v>9.9700000000000006</v>
      </c>
    </row>
    <row r="890" spans="7:11" x14ac:dyDescent="0.45">
      <c r="G890" s="9">
        <v>44725</v>
      </c>
      <c r="H890" s="8">
        <v>34.020000000000003</v>
      </c>
      <c r="J890" s="7">
        <v>19084</v>
      </c>
      <c r="K890" s="8">
        <v>9.92</v>
      </c>
    </row>
    <row r="891" spans="7:11" x14ac:dyDescent="0.45">
      <c r="G891" s="9">
        <v>44722</v>
      </c>
      <c r="H891" s="8">
        <v>27.75</v>
      </c>
      <c r="J891" s="7">
        <v>19053</v>
      </c>
      <c r="K891" s="8">
        <v>9.84</v>
      </c>
    </row>
    <row r="892" spans="7:11" x14ac:dyDescent="0.45">
      <c r="G892" s="9">
        <v>44721</v>
      </c>
      <c r="H892" s="8">
        <v>26.09</v>
      </c>
      <c r="J892" s="7">
        <v>19024</v>
      </c>
      <c r="K892" s="8">
        <v>9.9700000000000006</v>
      </c>
    </row>
    <row r="893" spans="7:11" x14ac:dyDescent="0.45">
      <c r="G893" s="9">
        <v>44720</v>
      </c>
      <c r="H893" s="8">
        <v>23.96</v>
      </c>
      <c r="J893" s="7">
        <v>18993</v>
      </c>
      <c r="K893" s="8">
        <v>9.59</v>
      </c>
    </row>
    <row r="894" spans="7:11" x14ac:dyDescent="0.45">
      <c r="G894" s="9">
        <v>44719</v>
      </c>
      <c r="H894" s="8">
        <v>24.02</v>
      </c>
      <c r="J894" s="7">
        <v>18962</v>
      </c>
      <c r="K894" s="8">
        <v>9.2200000000000006</v>
      </c>
    </row>
    <row r="895" spans="7:11" x14ac:dyDescent="0.45">
      <c r="G895" s="9">
        <v>44718</v>
      </c>
      <c r="H895" s="8">
        <v>25.07</v>
      </c>
      <c r="J895" s="7">
        <v>18932</v>
      </c>
      <c r="K895" s="8">
        <v>9.39</v>
      </c>
    </row>
    <row r="896" spans="7:11" x14ac:dyDescent="0.45">
      <c r="G896" s="9">
        <v>44715</v>
      </c>
      <c r="H896" s="8">
        <v>24.79</v>
      </c>
      <c r="J896" s="7">
        <v>18901</v>
      </c>
      <c r="K896" s="8">
        <v>9.35</v>
      </c>
    </row>
    <row r="897" spans="7:11" x14ac:dyDescent="0.45">
      <c r="G897" s="9">
        <v>44714</v>
      </c>
      <c r="H897" s="8">
        <v>24.72</v>
      </c>
      <c r="J897" s="7">
        <v>18871</v>
      </c>
      <c r="K897" s="8">
        <v>8.8699999999999992</v>
      </c>
    </row>
    <row r="898" spans="7:11" x14ac:dyDescent="0.45">
      <c r="G898" s="9">
        <v>44713</v>
      </c>
      <c r="H898" s="8">
        <v>25.69</v>
      </c>
      <c r="J898" s="7">
        <v>18840</v>
      </c>
      <c r="K898" s="8">
        <v>8.2799999999999994</v>
      </c>
    </row>
    <row r="899" spans="7:11" x14ac:dyDescent="0.45">
      <c r="G899" s="9">
        <v>44712</v>
      </c>
      <c r="H899" s="8">
        <v>26.19</v>
      </c>
      <c r="J899" s="7">
        <v>18809</v>
      </c>
      <c r="K899" s="8">
        <v>7.92</v>
      </c>
    </row>
    <row r="900" spans="7:11" x14ac:dyDescent="0.45">
      <c r="G900" s="9">
        <v>44711</v>
      </c>
      <c r="H900" s="8">
        <v>26.54</v>
      </c>
      <c r="J900" s="7">
        <v>18779</v>
      </c>
      <c r="K900" s="8">
        <v>7.96</v>
      </c>
    </row>
    <row r="901" spans="7:11" x14ac:dyDescent="0.45">
      <c r="G901" s="9">
        <v>44708</v>
      </c>
      <c r="H901" s="8">
        <v>25.72</v>
      </c>
      <c r="J901" s="7">
        <v>18748</v>
      </c>
      <c r="K901" s="8">
        <v>7.85</v>
      </c>
    </row>
    <row r="902" spans="7:11" x14ac:dyDescent="0.45">
      <c r="G902" s="9">
        <v>44707</v>
      </c>
      <c r="H902" s="8">
        <v>27.5</v>
      </c>
      <c r="J902" s="7">
        <v>18718</v>
      </c>
      <c r="K902" s="8">
        <v>7.64</v>
      </c>
    </row>
    <row r="903" spans="7:11" x14ac:dyDescent="0.45">
      <c r="G903" s="9">
        <v>44706</v>
      </c>
      <c r="H903" s="8">
        <v>28.37</v>
      </c>
      <c r="J903" s="7">
        <v>18687</v>
      </c>
      <c r="K903" s="8">
        <v>7.76</v>
      </c>
    </row>
    <row r="904" spans="7:11" x14ac:dyDescent="0.45">
      <c r="G904" s="9">
        <v>44705</v>
      </c>
      <c r="H904" s="8">
        <v>29.45</v>
      </c>
      <c r="J904" s="7">
        <v>18659</v>
      </c>
      <c r="K904" s="8">
        <v>7.48</v>
      </c>
    </row>
    <row r="905" spans="7:11" x14ac:dyDescent="0.45">
      <c r="G905" s="9">
        <v>44704</v>
      </c>
      <c r="H905" s="8">
        <v>28.48</v>
      </c>
      <c r="J905" s="7">
        <v>18628</v>
      </c>
      <c r="K905" s="8">
        <v>6.95</v>
      </c>
    </row>
    <row r="906" spans="7:11" x14ac:dyDescent="0.45">
      <c r="G906" s="9">
        <v>44701</v>
      </c>
      <c r="H906" s="8">
        <v>29.43</v>
      </c>
      <c r="J906" s="7">
        <v>18597</v>
      </c>
      <c r="K906" s="8">
        <v>7.08</v>
      </c>
    </row>
    <row r="907" spans="7:11" x14ac:dyDescent="0.45">
      <c r="G907" s="9">
        <v>44700</v>
      </c>
      <c r="H907" s="8">
        <v>29.35</v>
      </c>
      <c r="J907" s="7">
        <v>18567</v>
      </c>
      <c r="K907" s="8">
        <v>7.2</v>
      </c>
    </row>
    <row r="908" spans="7:11" x14ac:dyDescent="0.45">
      <c r="G908" s="9">
        <v>44699</v>
      </c>
      <c r="H908" s="8">
        <v>30.96</v>
      </c>
      <c r="J908" s="7">
        <v>18536</v>
      </c>
      <c r="K908" s="8">
        <v>7.01</v>
      </c>
    </row>
    <row r="909" spans="7:11" x14ac:dyDescent="0.45">
      <c r="G909" s="9">
        <v>44698</v>
      </c>
      <c r="H909" s="8">
        <v>26.1</v>
      </c>
      <c r="J909" s="7">
        <v>18506</v>
      </c>
      <c r="K909" s="8">
        <v>6.93</v>
      </c>
    </row>
    <row r="910" spans="7:11" x14ac:dyDescent="0.45">
      <c r="G910" s="9">
        <v>44697</v>
      </c>
      <c r="H910" s="8">
        <v>27.47</v>
      </c>
      <c r="J910" s="7">
        <v>18475</v>
      </c>
      <c r="K910" s="8">
        <v>6.68</v>
      </c>
    </row>
    <row r="911" spans="7:11" x14ac:dyDescent="0.45">
      <c r="G911" s="9">
        <v>44694</v>
      </c>
      <c r="H911" s="8">
        <v>28.87</v>
      </c>
      <c r="J911" s="7">
        <v>18444</v>
      </c>
      <c r="K911" s="8">
        <v>7.38</v>
      </c>
    </row>
    <row r="912" spans="7:11" x14ac:dyDescent="0.45">
      <c r="G912" s="9">
        <v>44693</v>
      </c>
      <c r="H912" s="8">
        <v>31.77</v>
      </c>
      <c r="J912" s="7">
        <v>18414</v>
      </c>
      <c r="K912" s="8">
        <v>7.43</v>
      </c>
    </row>
    <row r="913" spans="7:11" x14ac:dyDescent="0.45">
      <c r="G913" s="9">
        <v>44692</v>
      </c>
      <c r="H913" s="8">
        <v>32.56</v>
      </c>
      <c r="J913" s="7">
        <v>18383</v>
      </c>
      <c r="K913" s="8">
        <v>7.35</v>
      </c>
    </row>
    <row r="914" spans="7:11" x14ac:dyDescent="0.45">
      <c r="G914" s="9">
        <v>44691</v>
      </c>
      <c r="H914" s="8">
        <v>32.99</v>
      </c>
      <c r="J914" s="7">
        <v>18353</v>
      </c>
      <c r="K914" s="8">
        <v>7.32</v>
      </c>
    </row>
    <row r="915" spans="7:11" x14ac:dyDescent="0.45">
      <c r="G915" s="9">
        <v>44690</v>
      </c>
      <c r="H915" s="8">
        <v>34.75</v>
      </c>
      <c r="J915" s="7">
        <v>18322</v>
      </c>
      <c r="K915" s="8">
        <v>7.31</v>
      </c>
    </row>
    <row r="916" spans="7:11" x14ac:dyDescent="0.45">
      <c r="G916" s="9">
        <v>44687</v>
      </c>
      <c r="H916" s="8">
        <v>30.19</v>
      </c>
      <c r="J916" s="7">
        <v>18294</v>
      </c>
      <c r="K916" s="8">
        <v>7.22</v>
      </c>
    </row>
    <row r="917" spans="7:11" x14ac:dyDescent="0.45">
      <c r="G917" s="9">
        <v>44686</v>
      </c>
      <c r="H917" s="8">
        <v>31.2</v>
      </c>
      <c r="J917" s="7">
        <v>18263</v>
      </c>
      <c r="K917" s="8">
        <v>7.13</v>
      </c>
    </row>
    <row r="918" spans="7:11" x14ac:dyDescent="0.45">
      <c r="G918" s="9">
        <v>44685</v>
      </c>
      <c r="H918" s="8">
        <v>25.42</v>
      </c>
      <c r="J918" s="7">
        <v>18232</v>
      </c>
      <c r="K918" s="8">
        <v>6.87</v>
      </c>
    </row>
    <row r="919" spans="7:11" x14ac:dyDescent="0.45">
      <c r="G919" s="9">
        <v>44684</v>
      </c>
      <c r="H919" s="8">
        <v>29.25</v>
      </c>
      <c r="J919" s="7">
        <v>18202</v>
      </c>
      <c r="K919" s="8">
        <v>6.71</v>
      </c>
    </row>
    <row r="920" spans="7:11" x14ac:dyDescent="0.45">
      <c r="G920" s="9">
        <v>44683</v>
      </c>
      <c r="H920" s="8">
        <v>32.340000000000003</v>
      </c>
      <c r="J920" s="7">
        <v>18171</v>
      </c>
      <c r="K920" s="8">
        <v>6.48</v>
      </c>
    </row>
    <row r="921" spans="7:11" x14ac:dyDescent="0.45">
      <c r="G921" s="9">
        <v>44680</v>
      </c>
      <c r="H921" s="8">
        <v>33.4</v>
      </c>
      <c r="J921" s="7">
        <v>18141</v>
      </c>
      <c r="K921" s="8">
        <v>6.39</v>
      </c>
    </row>
    <row r="922" spans="7:11" x14ac:dyDescent="0.45">
      <c r="G922" s="9">
        <v>44679</v>
      </c>
      <c r="H922" s="8">
        <v>29.99</v>
      </c>
      <c r="J922" s="7">
        <v>18110</v>
      </c>
      <c r="K922" s="8">
        <v>6.16</v>
      </c>
    </row>
    <row r="923" spans="7:11" x14ac:dyDescent="0.45">
      <c r="G923" s="9">
        <v>44678</v>
      </c>
      <c r="H923" s="8">
        <v>31.6</v>
      </c>
      <c r="J923" s="7">
        <v>18079</v>
      </c>
      <c r="K923" s="8">
        <v>5.82</v>
      </c>
    </row>
    <row r="924" spans="7:11" x14ac:dyDescent="0.45">
      <c r="G924" s="9">
        <v>44677</v>
      </c>
      <c r="H924" s="8">
        <v>33.520000000000003</v>
      </c>
      <c r="J924" s="7">
        <v>18049</v>
      </c>
      <c r="K924" s="8">
        <v>6.18</v>
      </c>
    </row>
    <row r="925" spans="7:11" x14ac:dyDescent="0.45">
      <c r="G925" s="9">
        <v>44676</v>
      </c>
      <c r="H925" s="8">
        <v>27.02</v>
      </c>
      <c r="J925" s="7">
        <v>18018</v>
      </c>
      <c r="K925" s="8">
        <v>6.24</v>
      </c>
    </row>
    <row r="926" spans="7:11" x14ac:dyDescent="0.45">
      <c r="G926" s="9">
        <v>44673</v>
      </c>
      <c r="H926" s="8">
        <v>28.21</v>
      </c>
      <c r="J926" s="7">
        <v>17988</v>
      </c>
      <c r="K926" s="8">
        <v>6.26</v>
      </c>
    </row>
    <row r="927" spans="7:11" x14ac:dyDescent="0.45">
      <c r="G927" s="9">
        <v>44672</v>
      </c>
      <c r="H927" s="8">
        <v>22.68</v>
      </c>
      <c r="J927" s="7">
        <v>17957</v>
      </c>
      <c r="K927" s="8">
        <v>6.29</v>
      </c>
    </row>
    <row r="928" spans="7:11" x14ac:dyDescent="0.45">
      <c r="G928" s="9">
        <v>44671</v>
      </c>
      <c r="H928" s="8">
        <v>20.32</v>
      </c>
      <c r="J928" s="7">
        <v>17929</v>
      </c>
      <c r="K928" s="8">
        <v>6.62</v>
      </c>
    </row>
    <row r="929" spans="7:11" x14ac:dyDescent="0.45">
      <c r="G929" s="9">
        <v>44670</v>
      </c>
      <c r="H929" s="8">
        <v>21.37</v>
      </c>
      <c r="J929" s="7">
        <v>17898</v>
      </c>
      <c r="K929" s="8">
        <v>6.63</v>
      </c>
    </row>
    <row r="930" spans="7:11" x14ac:dyDescent="0.45">
      <c r="G930" s="9">
        <v>44669</v>
      </c>
      <c r="H930" s="8">
        <v>22.17</v>
      </c>
      <c r="J930" s="7">
        <v>17867</v>
      </c>
      <c r="K930" s="8">
        <v>6.9</v>
      </c>
    </row>
    <row r="931" spans="7:11" x14ac:dyDescent="0.45">
      <c r="G931" s="9">
        <v>44665</v>
      </c>
      <c r="H931" s="8">
        <v>22.7</v>
      </c>
      <c r="J931" s="7">
        <v>17837</v>
      </c>
      <c r="K931" s="8">
        <v>7.55</v>
      </c>
    </row>
    <row r="932" spans="7:11" x14ac:dyDescent="0.45">
      <c r="G932" s="9">
        <v>44664</v>
      </c>
      <c r="H932" s="8">
        <v>21.82</v>
      </c>
      <c r="J932" s="7">
        <v>17806</v>
      </c>
      <c r="K932" s="8">
        <v>7.61</v>
      </c>
    </row>
    <row r="933" spans="7:11" x14ac:dyDescent="0.45">
      <c r="G933" s="9">
        <v>44663</v>
      </c>
      <c r="H933" s="8">
        <v>24.26</v>
      </c>
      <c r="J933" s="7">
        <v>17776</v>
      </c>
      <c r="K933" s="8">
        <v>7.97</v>
      </c>
    </row>
    <row r="934" spans="7:11" x14ac:dyDescent="0.45">
      <c r="G934" s="9">
        <v>44662</v>
      </c>
      <c r="H934" s="8">
        <v>24.37</v>
      </c>
      <c r="J934" s="7">
        <v>17745</v>
      </c>
      <c r="K934" s="8">
        <v>8.51</v>
      </c>
    </row>
    <row r="935" spans="7:11" x14ac:dyDescent="0.45">
      <c r="G935" s="9">
        <v>44659</v>
      </c>
      <c r="H935" s="8">
        <v>21.16</v>
      </c>
      <c r="J935" s="7">
        <v>17714</v>
      </c>
      <c r="K935" s="8">
        <v>9.0399999999999991</v>
      </c>
    </row>
    <row r="936" spans="7:11" x14ac:dyDescent="0.45">
      <c r="G936" s="9">
        <v>44658</v>
      </c>
      <c r="H936" s="8">
        <v>21.55</v>
      </c>
      <c r="J936" s="7">
        <v>17684</v>
      </c>
      <c r="K936" s="8">
        <v>8.92</v>
      </c>
    </row>
    <row r="937" spans="7:11" x14ac:dyDescent="0.45">
      <c r="G937" s="9">
        <v>44657</v>
      </c>
      <c r="H937" s="8">
        <v>22.1</v>
      </c>
      <c r="J937" s="7">
        <v>17653</v>
      </c>
      <c r="K937" s="8">
        <v>8.75</v>
      </c>
    </row>
    <row r="938" spans="7:11" x14ac:dyDescent="0.45">
      <c r="G938" s="9">
        <v>44656</v>
      </c>
      <c r="H938" s="8">
        <v>21.03</v>
      </c>
      <c r="J938" s="7">
        <v>17623</v>
      </c>
      <c r="K938" s="8">
        <v>8.36</v>
      </c>
    </row>
    <row r="939" spans="7:11" x14ac:dyDescent="0.45">
      <c r="G939" s="9">
        <v>44655</v>
      </c>
      <c r="H939" s="8">
        <v>18.57</v>
      </c>
      <c r="J939" s="7">
        <v>17592</v>
      </c>
      <c r="K939" s="8">
        <v>8.41</v>
      </c>
    </row>
    <row r="940" spans="7:11" x14ac:dyDescent="0.45">
      <c r="G940" s="9">
        <v>44652</v>
      </c>
      <c r="H940" s="8">
        <v>19.63</v>
      </c>
      <c r="J940" s="7">
        <v>17563</v>
      </c>
      <c r="K940" s="8">
        <v>9.02</v>
      </c>
    </row>
    <row r="941" spans="7:11" x14ac:dyDescent="0.45">
      <c r="G941" s="9">
        <v>44651</v>
      </c>
      <c r="H941" s="8">
        <v>20.56</v>
      </c>
      <c r="J941" s="7">
        <v>17532</v>
      </c>
      <c r="K941" s="8">
        <v>9.34</v>
      </c>
    </row>
    <row r="942" spans="7:11" x14ac:dyDescent="0.45">
      <c r="G942" s="9">
        <v>44650</v>
      </c>
      <c r="H942" s="8">
        <v>19.329999999999998</v>
      </c>
      <c r="J942" s="7">
        <v>17501</v>
      </c>
      <c r="K942" s="8">
        <v>9.6</v>
      </c>
    </row>
    <row r="943" spans="7:11" x14ac:dyDescent="0.45">
      <c r="G943" s="9">
        <v>44649</v>
      </c>
      <c r="H943" s="8">
        <v>18.899999999999999</v>
      </c>
      <c r="J943" s="7">
        <v>17471</v>
      </c>
      <c r="K943" s="8">
        <v>9.84</v>
      </c>
    </row>
    <row r="944" spans="7:11" x14ac:dyDescent="0.45">
      <c r="G944" s="9">
        <v>44648</v>
      </c>
      <c r="H944" s="8">
        <v>19.63</v>
      </c>
      <c r="J944" s="7">
        <v>17440</v>
      </c>
      <c r="K944" s="8">
        <v>9.7200000000000006</v>
      </c>
    </row>
    <row r="945" spans="7:11" x14ac:dyDescent="0.45">
      <c r="G945" s="9">
        <v>44645</v>
      </c>
      <c r="H945" s="8">
        <v>20.81</v>
      </c>
      <c r="J945" s="7">
        <v>17410</v>
      </c>
      <c r="K945" s="8">
        <v>10.220000000000001</v>
      </c>
    </row>
    <row r="946" spans="7:11" x14ac:dyDescent="0.45">
      <c r="G946" s="9">
        <v>44644</v>
      </c>
      <c r="H946" s="8">
        <v>21.67</v>
      </c>
      <c r="J946" s="7">
        <v>17379</v>
      </c>
      <c r="K946" s="8">
        <v>10.68</v>
      </c>
    </row>
    <row r="947" spans="7:11" x14ac:dyDescent="0.45">
      <c r="G947" s="9">
        <v>44643</v>
      </c>
      <c r="H947" s="8">
        <v>23.57</v>
      </c>
      <c r="J947" s="7">
        <v>17348</v>
      </c>
      <c r="K947" s="8">
        <v>10.31</v>
      </c>
    </row>
    <row r="948" spans="7:11" x14ac:dyDescent="0.45">
      <c r="G948" s="9">
        <v>44642</v>
      </c>
      <c r="H948" s="8">
        <v>22.94</v>
      </c>
      <c r="J948" s="7">
        <v>17318</v>
      </c>
      <c r="K948" s="8">
        <v>10.37</v>
      </c>
    </row>
    <row r="949" spans="7:11" x14ac:dyDescent="0.45">
      <c r="G949" s="9">
        <v>44641</v>
      </c>
      <c r="H949" s="8">
        <v>23.53</v>
      </c>
      <c r="J949" s="7">
        <v>17287</v>
      </c>
      <c r="K949" s="8">
        <v>11</v>
      </c>
    </row>
    <row r="950" spans="7:11" x14ac:dyDescent="0.45">
      <c r="G950" s="9">
        <v>44638</v>
      </c>
      <c r="H950" s="8">
        <v>23.87</v>
      </c>
      <c r="J950" s="7">
        <v>17257</v>
      </c>
      <c r="K950" s="8">
        <v>11.94</v>
      </c>
    </row>
    <row r="951" spans="7:11" x14ac:dyDescent="0.45">
      <c r="G951" s="9">
        <v>44637</v>
      </c>
      <c r="H951" s="8">
        <v>25.67</v>
      </c>
      <c r="J951" s="7">
        <v>17226</v>
      </c>
      <c r="K951" s="8">
        <v>13.17</v>
      </c>
    </row>
    <row r="952" spans="7:11" x14ac:dyDescent="0.45">
      <c r="G952" s="9">
        <v>44636</v>
      </c>
      <c r="H952" s="8">
        <v>26.67</v>
      </c>
      <c r="J952" s="7">
        <v>17198</v>
      </c>
      <c r="K952" s="8">
        <v>13.46</v>
      </c>
    </row>
    <row r="953" spans="7:11" x14ac:dyDescent="0.45">
      <c r="G953" s="9">
        <v>44635</v>
      </c>
      <c r="H953" s="8">
        <v>29.83</v>
      </c>
      <c r="J953" s="7">
        <v>17167</v>
      </c>
      <c r="K953" s="8">
        <v>14.27</v>
      </c>
    </row>
    <row r="954" spans="7:11" x14ac:dyDescent="0.45">
      <c r="G954" s="9">
        <v>44634</v>
      </c>
      <c r="H954" s="8">
        <v>31.77</v>
      </c>
      <c r="J954" s="7">
        <v>17136</v>
      </c>
      <c r="K954" s="8">
        <v>14.64</v>
      </c>
    </row>
    <row r="955" spans="7:11" x14ac:dyDescent="0.45">
      <c r="G955" s="9">
        <v>44631</v>
      </c>
      <c r="H955" s="8">
        <v>30.75</v>
      </c>
      <c r="J955" s="7">
        <v>17106</v>
      </c>
      <c r="K955" s="8">
        <v>15.58</v>
      </c>
    </row>
    <row r="956" spans="7:11" x14ac:dyDescent="0.45">
      <c r="G956" s="9">
        <v>44630</v>
      </c>
      <c r="H956" s="8">
        <v>30.23</v>
      </c>
      <c r="J956" s="7">
        <v>17075</v>
      </c>
      <c r="K956" s="8">
        <v>16.96</v>
      </c>
    </row>
    <row r="957" spans="7:11" x14ac:dyDescent="0.45">
      <c r="G957" s="9">
        <v>44629</v>
      </c>
      <c r="H957" s="8">
        <v>32.450000000000003</v>
      </c>
      <c r="J957" s="7">
        <v>17045</v>
      </c>
      <c r="K957" s="8">
        <v>20.27</v>
      </c>
    </row>
    <row r="958" spans="7:11" x14ac:dyDescent="0.45">
      <c r="G958" s="9">
        <v>44628</v>
      </c>
      <c r="H958" s="8">
        <v>35.130000000000003</v>
      </c>
      <c r="J958" s="7">
        <v>17014</v>
      </c>
      <c r="K958" s="8">
        <v>21.07</v>
      </c>
    </row>
    <row r="959" spans="7:11" x14ac:dyDescent="0.45">
      <c r="G959" s="9">
        <v>44627</v>
      </c>
      <c r="H959" s="8">
        <v>36.450000000000003</v>
      </c>
      <c r="J959" s="7">
        <v>16983</v>
      </c>
      <c r="K959" s="8">
        <v>22.12</v>
      </c>
    </row>
    <row r="960" spans="7:11" x14ac:dyDescent="0.45">
      <c r="G960" s="9">
        <v>44624</v>
      </c>
      <c r="H960" s="8">
        <v>31.98</v>
      </c>
      <c r="J960" s="7">
        <v>16953</v>
      </c>
      <c r="K960" s="8">
        <v>21.74</v>
      </c>
    </row>
    <row r="961" spans="7:11" x14ac:dyDescent="0.45">
      <c r="G961" s="9">
        <v>44623</v>
      </c>
      <c r="H961" s="8">
        <v>30.48</v>
      </c>
      <c r="J961" s="7">
        <v>16922</v>
      </c>
      <c r="K961" s="8">
        <v>21.2</v>
      </c>
    </row>
    <row r="962" spans="7:11" x14ac:dyDescent="0.45">
      <c r="G962" s="9">
        <v>44622</v>
      </c>
      <c r="H962" s="8">
        <v>30.74</v>
      </c>
      <c r="J962" s="7">
        <v>16892</v>
      </c>
      <c r="K962" s="8">
        <v>19.48</v>
      </c>
    </row>
    <row r="963" spans="7:11" x14ac:dyDescent="0.45">
      <c r="G963" s="9">
        <v>44621</v>
      </c>
      <c r="H963" s="8">
        <v>33.32</v>
      </c>
      <c r="J963" s="7">
        <v>16861</v>
      </c>
      <c r="K963" s="8">
        <v>19.64</v>
      </c>
    </row>
    <row r="964" spans="7:11" x14ac:dyDescent="0.45">
      <c r="G964" s="9">
        <v>44620</v>
      </c>
      <c r="H964" s="8">
        <v>30.15</v>
      </c>
      <c r="J964" s="7">
        <v>16833</v>
      </c>
      <c r="K964" s="8">
        <v>19.170000000000002</v>
      </c>
    </row>
    <row r="965" spans="7:11" x14ac:dyDescent="0.45">
      <c r="G965" s="9">
        <v>44617</v>
      </c>
      <c r="H965" s="8">
        <v>27.59</v>
      </c>
      <c r="J965" s="7">
        <v>16802</v>
      </c>
      <c r="K965" s="8">
        <v>18.05</v>
      </c>
    </row>
    <row r="966" spans="7:11" x14ac:dyDescent="0.45">
      <c r="G966" s="9">
        <v>44616</v>
      </c>
      <c r="H966" s="8">
        <v>30.32</v>
      </c>
      <c r="J966" s="7">
        <v>16771</v>
      </c>
      <c r="K966" s="8">
        <v>17.57</v>
      </c>
    </row>
    <row r="967" spans="7:11" x14ac:dyDescent="0.45">
      <c r="G967" s="9">
        <v>44615</v>
      </c>
      <c r="H967" s="8">
        <v>31.02</v>
      </c>
      <c r="J967" s="7">
        <v>16741</v>
      </c>
      <c r="K967" s="8">
        <v>16.84</v>
      </c>
    </row>
    <row r="968" spans="7:11" x14ac:dyDescent="0.45">
      <c r="G968" s="9">
        <v>44614</v>
      </c>
      <c r="H968" s="8">
        <v>28.81</v>
      </c>
      <c r="J968" s="7">
        <v>16710</v>
      </c>
      <c r="K968" s="8">
        <v>16</v>
      </c>
    </row>
    <row r="969" spans="7:11" x14ac:dyDescent="0.45">
      <c r="G969" s="9">
        <v>44610</v>
      </c>
      <c r="H969" s="8">
        <v>27.75</v>
      </c>
      <c r="J969" s="7">
        <v>16680</v>
      </c>
      <c r="K969" s="8">
        <v>14.93</v>
      </c>
    </row>
    <row r="970" spans="7:11" x14ac:dyDescent="0.45">
      <c r="G970" s="9">
        <v>44609</v>
      </c>
      <c r="H970" s="8">
        <v>28.11</v>
      </c>
      <c r="J970" s="7">
        <v>16649</v>
      </c>
      <c r="K970" s="8">
        <v>14.83</v>
      </c>
    </row>
    <row r="971" spans="7:11" x14ac:dyDescent="0.45">
      <c r="G971" s="9">
        <v>44608</v>
      </c>
      <c r="H971" s="8">
        <v>24.29</v>
      </c>
      <c r="J971" s="7">
        <v>16618</v>
      </c>
      <c r="K971" s="8">
        <v>15.09</v>
      </c>
    </row>
    <row r="972" spans="7:11" x14ac:dyDescent="0.45">
      <c r="G972" s="9">
        <v>44607</v>
      </c>
      <c r="H972" s="8">
        <v>25.7</v>
      </c>
      <c r="J972" s="7">
        <v>16588</v>
      </c>
      <c r="K972" s="8">
        <v>15.02</v>
      </c>
    </row>
    <row r="973" spans="7:11" x14ac:dyDescent="0.45">
      <c r="G973" s="9">
        <v>44606</v>
      </c>
      <c r="H973" s="8">
        <v>28.33</v>
      </c>
      <c r="J973" s="7">
        <v>16557</v>
      </c>
      <c r="K973" s="8">
        <v>14.67</v>
      </c>
    </row>
    <row r="974" spans="7:11" x14ac:dyDescent="0.45">
      <c r="G974" s="9">
        <v>44603</v>
      </c>
      <c r="H974" s="8">
        <v>27.36</v>
      </c>
      <c r="J974" s="7">
        <v>16527</v>
      </c>
      <c r="K974" s="8">
        <v>14.51</v>
      </c>
    </row>
    <row r="975" spans="7:11" x14ac:dyDescent="0.45">
      <c r="G975" s="9">
        <v>44602</v>
      </c>
      <c r="H975" s="8">
        <v>23.91</v>
      </c>
      <c r="J975" s="7">
        <v>16496</v>
      </c>
      <c r="K975" s="8">
        <v>14.67</v>
      </c>
    </row>
    <row r="976" spans="7:11" x14ac:dyDescent="0.45">
      <c r="G976" s="9">
        <v>44601</v>
      </c>
      <c r="H976" s="8">
        <v>19.96</v>
      </c>
      <c r="J976" s="7">
        <v>16468</v>
      </c>
      <c r="K976" s="8">
        <v>14.35</v>
      </c>
    </row>
    <row r="977" spans="7:11" x14ac:dyDescent="0.45">
      <c r="G977" s="9">
        <v>44600</v>
      </c>
      <c r="H977" s="8">
        <v>21.44</v>
      </c>
      <c r="J977" s="7">
        <v>16437</v>
      </c>
      <c r="K977" s="8">
        <v>14.09</v>
      </c>
    </row>
    <row r="978" spans="7:11" x14ac:dyDescent="0.45">
      <c r="G978" s="9">
        <v>44599</v>
      </c>
      <c r="H978" s="8">
        <v>22.86</v>
      </c>
      <c r="J978" s="7">
        <v>16406</v>
      </c>
      <c r="K978" s="8">
        <v>13.93</v>
      </c>
    </row>
    <row r="979" spans="7:11" x14ac:dyDescent="0.45">
      <c r="G979" s="9">
        <v>44596</v>
      </c>
      <c r="H979" s="8">
        <v>23.22</v>
      </c>
      <c r="J979" s="7">
        <v>16376</v>
      </c>
      <c r="K979" s="8">
        <v>14.19</v>
      </c>
    </row>
    <row r="980" spans="7:11" x14ac:dyDescent="0.45">
      <c r="G980" s="9">
        <v>44595</v>
      </c>
      <c r="H980" s="8">
        <v>24.35</v>
      </c>
      <c r="J980" s="7">
        <v>16345</v>
      </c>
      <c r="K980" s="8">
        <v>14</v>
      </c>
    </row>
    <row r="981" spans="7:11" x14ac:dyDescent="0.45">
      <c r="G981" s="9">
        <v>44594</v>
      </c>
      <c r="H981" s="8">
        <v>22.09</v>
      </c>
      <c r="J981" s="7">
        <v>16315</v>
      </c>
      <c r="K981" s="8">
        <v>14.13</v>
      </c>
    </row>
    <row r="982" spans="7:11" x14ac:dyDescent="0.45">
      <c r="G982" s="9">
        <v>44593</v>
      </c>
      <c r="H982" s="8">
        <v>21.96</v>
      </c>
      <c r="J982" s="7">
        <v>16284</v>
      </c>
      <c r="K982" s="8">
        <v>14.23</v>
      </c>
    </row>
    <row r="983" spans="7:11" x14ac:dyDescent="0.45">
      <c r="G983" s="9">
        <v>44592</v>
      </c>
      <c r="H983" s="8">
        <v>24.83</v>
      </c>
      <c r="J983" s="7">
        <v>16253</v>
      </c>
      <c r="K983" s="8">
        <v>13.77</v>
      </c>
    </row>
    <row r="984" spans="7:11" x14ac:dyDescent="0.45">
      <c r="G984" s="9">
        <v>44589</v>
      </c>
      <c r="H984" s="8">
        <v>27.66</v>
      </c>
      <c r="J984" s="7">
        <v>16223</v>
      </c>
      <c r="K984" s="8">
        <v>13.1</v>
      </c>
    </row>
    <row r="985" spans="7:11" x14ac:dyDescent="0.45">
      <c r="G985" s="9">
        <v>44588</v>
      </c>
      <c r="H985" s="8">
        <v>30.49</v>
      </c>
      <c r="J985" s="7">
        <v>16192</v>
      </c>
      <c r="K985" s="8">
        <v>12.83</v>
      </c>
    </row>
    <row r="986" spans="7:11" x14ac:dyDescent="0.45">
      <c r="G986" s="9">
        <v>44587</v>
      </c>
      <c r="H986" s="8">
        <v>31.96</v>
      </c>
      <c r="J986" s="7">
        <v>16162</v>
      </c>
      <c r="K986" s="8">
        <v>13.01</v>
      </c>
    </row>
    <row r="987" spans="7:11" x14ac:dyDescent="0.45">
      <c r="G987" s="9">
        <v>44586</v>
      </c>
      <c r="H987" s="8">
        <v>31.16</v>
      </c>
      <c r="J987" s="7">
        <v>16131</v>
      </c>
      <c r="K987" s="8">
        <v>12.61</v>
      </c>
    </row>
    <row r="988" spans="7:11" x14ac:dyDescent="0.45">
      <c r="G988" s="9">
        <v>44585</v>
      </c>
      <c r="H988" s="8">
        <v>29.9</v>
      </c>
      <c r="J988" s="7">
        <v>16102</v>
      </c>
      <c r="K988" s="8">
        <v>12.65</v>
      </c>
    </row>
    <row r="989" spans="7:11" x14ac:dyDescent="0.45">
      <c r="G989" s="9">
        <v>44582</v>
      </c>
      <c r="H989" s="8">
        <v>28.85</v>
      </c>
      <c r="J989" s="7">
        <v>16071</v>
      </c>
      <c r="K989" s="8">
        <v>12.21</v>
      </c>
    </row>
    <row r="990" spans="7:11" x14ac:dyDescent="0.45">
      <c r="G990" s="9">
        <v>44581</v>
      </c>
      <c r="H990" s="8">
        <v>25.59</v>
      </c>
      <c r="J990" s="7">
        <v>16040</v>
      </c>
      <c r="K990" s="8">
        <v>11.48</v>
      </c>
    </row>
    <row r="991" spans="7:11" x14ac:dyDescent="0.45">
      <c r="G991" s="9">
        <v>44580</v>
      </c>
      <c r="H991" s="8">
        <v>23.85</v>
      </c>
      <c r="J991" s="7">
        <v>16010</v>
      </c>
      <c r="K991" s="8">
        <v>11.5</v>
      </c>
    </row>
    <row r="992" spans="7:11" x14ac:dyDescent="0.45">
      <c r="G992" s="9">
        <v>44579</v>
      </c>
      <c r="H992" s="8">
        <v>22.79</v>
      </c>
      <c r="J992" s="7">
        <v>15979</v>
      </c>
      <c r="K992" s="8">
        <v>11.1</v>
      </c>
    </row>
    <row r="993" spans="7:11" x14ac:dyDescent="0.45">
      <c r="G993" s="9">
        <v>44575</v>
      </c>
      <c r="H993" s="8">
        <v>19.190000000000001</v>
      </c>
      <c r="J993" s="7">
        <v>15949</v>
      </c>
      <c r="K993" s="8">
        <v>10.8</v>
      </c>
    </row>
    <row r="994" spans="7:11" x14ac:dyDescent="0.45">
      <c r="G994" s="9">
        <v>44574</v>
      </c>
      <c r="H994" s="8">
        <v>20.309999999999999</v>
      </c>
      <c r="J994" s="7">
        <v>15918</v>
      </c>
      <c r="K994" s="8">
        <v>11.3</v>
      </c>
    </row>
    <row r="995" spans="7:11" x14ac:dyDescent="0.45">
      <c r="G995" s="9">
        <v>44573</v>
      </c>
      <c r="H995" s="8">
        <v>17.62</v>
      </c>
      <c r="J995" s="7">
        <v>15887</v>
      </c>
      <c r="K995" s="8">
        <v>11</v>
      </c>
    </row>
    <row r="996" spans="7:11" x14ac:dyDescent="0.45">
      <c r="G996" s="9">
        <v>44572</v>
      </c>
      <c r="H996" s="8">
        <v>18.41</v>
      </c>
      <c r="J996" s="7">
        <v>15857</v>
      </c>
      <c r="K996" s="8">
        <v>10.91</v>
      </c>
    </row>
    <row r="997" spans="7:11" x14ac:dyDescent="0.45">
      <c r="G997" s="9">
        <v>44571</v>
      </c>
      <c r="H997" s="8">
        <v>19.399999999999999</v>
      </c>
      <c r="J997" s="7">
        <v>15826</v>
      </c>
      <c r="K997" s="8">
        <v>10.59</v>
      </c>
    </row>
    <row r="998" spans="7:11" x14ac:dyDescent="0.45">
      <c r="G998" s="9">
        <v>44568</v>
      </c>
      <c r="H998" s="8">
        <v>18.760000000000002</v>
      </c>
      <c r="J998" s="7">
        <v>15796</v>
      </c>
      <c r="K998" s="8">
        <v>10.35</v>
      </c>
    </row>
    <row r="999" spans="7:11" x14ac:dyDescent="0.45">
      <c r="G999" s="9">
        <v>44567</v>
      </c>
      <c r="H999" s="8">
        <v>19.61</v>
      </c>
      <c r="J999" s="7">
        <v>15765</v>
      </c>
      <c r="K999" s="8">
        <v>10.119999999999999</v>
      </c>
    </row>
    <row r="1000" spans="7:11" x14ac:dyDescent="0.45">
      <c r="G1000" s="9">
        <v>44566</v>
      </c>
      <c r="H1000" s="8">
        <v>19.73</v>
      </c>
      <c r="J1000" s="7">
        <v>15737</v>
      </c>
      <c r="K1000" s="8">
        <v>9.67</v>
      </c>
    </row>
    <row r="1001" spans="7:11" x14ac:dyDescent="0.45">
      <c r="G1001" s="9">
        <v>44565</v>
      </c>
      <c r="H1001" s="8">
        <v>16.91</v>
      </c>
      <c r="J1001" s="7">
        <v>15706</v>
      </c>
      <c r="K1001" s="8">
        <v>9.24</v>
      </c>
    </row>
    <row r="1002" spans="7:11" x14ac:dyDescent="0.45">
      <c r="G1002" s="9">
        <v>44564</v>
      </c>
      <c r="H1002" s="8">
        <v>16.600000000000001</v>
      </c>
      <c r="J1002" s="7">
        <v>15675</v>
      </c>
      <c r="K1002" s="8">
        <v>9.4700000000000006</v>
      </c>
    </row>
    <row r="1003" spans="7:11" x14ac:dyDescent="0.45">
      <c r="G1003" s="9">
        <v>44561</v>
      </c>
      <c r="H1003" s="8">
        <v>17.22</v>
      </c>
      <c r="J1003" s="7">
        <v>15645</v>
      </c>
      <c r="K1003" s="8">
        <v>9.61</v>
      </c>
    </row>
    <row r="1004" spans="7:11" x14ac:dyDescent="0.45">
      <c r="G1004" s="9">
        <v>44560</v>
      </c>
      <c r="H1004" s="8">
        <v>17.329999999999998</v>
      </c>
      <c r="J1004" s="7">
        <v>15614</v>
      </c>
      <c r="K1004" s="8">
        <v>9.23</v>
      </c>
    </row>
    <row r="1005" spans="7:11" x14ac:dyDescent="0.45">
      <c r="G1005" s="9">
        <v>44559</v>
      </c>
      <c r="H1005" s="8">
        <v>16.95</v>
      </c>
      <c r="J1005" s="7">
        <v>15584</v>
      </c>
      <c r="K1005" s="8">
        <v>9.01</v>
      </c>
    </row>
    <row r="1006" spans="7:11" x14ac:dyDescent="0.45">
      <c r="G1006" s="9">
        <v>44558</v>
      </c>
      <c r="H1006" s="8">
        <v>17.54</v>
      </c>
      <c r="J1006" s="7">
        <v>15553</v>
      </c>
      <c r="K1006" s="8">
        <v>8.94</v>
      </c>
    </row>
    <row r="1007" spans="7:11" x14ac:dyDescent="0.45">
      <c r="G1007" s="9">
        <v>44557</v>
      </c>
      <c r="H1007" s="8">
        <v>17.68</v>
      </c>
      <c r="J1007" s="7">
        <v>15522</v>
      </c>
      <c r="K1007" s="8">
        <v>8.5</v>
      </c>
    </row>
    <row r="1008" spans="7:11" x14ac:dyDescent="0.45">
      <c r="G1008" s="9">
        <v>44553</v>
      </c>
      <c r="H1008" s="8">
        <v>17.96</v>
      </c>
      <c r="J1008" s="7">
        <v>15492</v>
      </c>
      <c r="K1008" s="8">
        <v>7.93</v>
      </c>
    </row>
    <row r="1009" spans="7:11" x14ac:dyDescent="0.45">
      <c r="G1009" s="9">
        <v>44552</v>
      </c>
      <c r="H1009" s="8">
        <v>18.63</v>
      </c>
      <c r="J1009" s="7">
        <v>15461</v>
      </c>
      <c r="K1009" s="8">
        <v>7.69</v>
      </c>
    </row>
    <row r="1010" spans="7:11" x14ac:dyDescent="0.45">
      <c r="G1010" s="9">
        <v>44551</v>
      </c>
      <c r="H1010" s="8">
        <v>21.01</v>
      </c>
      <c r="J1010" s="7">
        <v>15431</v>
      </c>
      <c r="K1010" s="8">
        <v>7.87</v>
      </c>
    </row>
    <row r="1011" spans="7:11" x14ac:dyDescent="0.45">
      <c r="G1011" s="9">
        <v>44550</v>
      </c>
      <c r="H1011" s="8">
        <v>22.87</v>
      </c>
      <c r="J1011" s="7">
        <v>15400</v>
      </c>
      <c r="K1011" s="8">
        <v>8.01</v>
      </c>
    </row>
    <row r="1012" spans="7:11" x14ac:dyDescent="0.45">
      <c r="G1012" s="9">
        <v>44547</v>
      </c>
      <c r="H1012" s="8">
        <v>21.57</v>
      </c>
      <c r="J1012" s="7">
        <v>15372</v>
      </c>
      <c r="K1012" s="8">
        <v>7.97</v>
      </c>
    </row>
    <row r="1013" spans="7:11" x14ac:dyDescent="0.45">
      <c r="G1013" s="9">
        <v>44546</v>
      </c>
      <c r="H1013" s="8">
        <v>20.57</v>
      </c>
      <c r="J1013" s="7">
        <v>15341</v>
      </c>
      <c r="K1013" s="8">
        <v>7.55</v>
      </c>
    </row>
    <row r="1014" spans="7:11" x14ac:dyDescent="0.45">
      <c r="G1014" s="9">
        <v>44545</v>
      </c>
      <c r="H1014" s="8">
        <v>19.29</v>
      </c>
      <c r="J1014" s="7">
        <v>15310</v>
      </c>
      <c r="K1014" s="8">
        <v>8.01</v>
      </c>
    </row>
    <row r="1015" spans="7:11" x14ac:dyDescent="0.45">
      <c r="G1015" s="9">
        <v>44544</v>
      </c>
      <c r="H1015" s="8">
        <v>21.89</v>
      </c>
      <c r="J1015" s="7">
        <v>15280</v>
      </c>
      <c r="K1015" s="8">
        <v>8.33</v>
      </c>
    </row>
    <row r="1016" spans="7:11" x14ac:dyDescent="0.45">
      <c r="G1016" s="9">
        <v>44543</v>
      </c>
      <c r="H1016" s="8">
        <v>20.309999999999999</v>
      </c>
      <c r="J1016" s="7">
        <v>15249</v>
      </c>
      <c r="K1016" s="8">
        <v>8.61</v>
      </c>
    </row>
    <row r="1017" spans="7:11" x14ac:dyDescent="0.45">
      <c r="G1017" s="9">
        <v>44540</v>
      </c>
      <c r="H1017" s="8">
        <v>18.690000000000001</v>
      </c>
      <c r="J1017" s="7">
        <v>15219</v>
      </c>
      <c r="K1017" s="8">
        <v>8.83</v>
      </c>
    </row>
    <row r="1018" spans="7:11" x14ac:dyDescent="0.45">
      <c r="G1018" s="9">
        <v>44539</v>
      </c>
      <c r="H1018" s="8">
        <v>21.58</v>
      </c>
      <c r="J1018" s="7">
        <v>15188</v>
      </c>
      <c r="K1018" s="8">
        <v>9.1300000000000008</v>
      </c>
    </row>
    <row r="1019" spans="7:11" x14ac:dyDescent="0.45">
      <c r="G1019" s="9">
        <v>44538</v>
      </c>
      <c r="H1019" s="8">
        <v>19.899999999999999</v>
      </c>
      <c r="J1019" s="7">
        <v>15157</v>
      </c>
      <c r="K1019" s="8">
        <v>8.9499999999999993</v>
      </c>
    </row>
    <row r="1020" spans="7:11" x14ac:dyDescent="0.45">
      <c r="G1020" s="9">
        <v>44537</v>
      </c>
      <c r="H1020" s="8">
        <v>21.89</v>
      </c>
      <c r="J1020" s="7">
        <v>15127</v>
      </c>
      <c r="K1020" s="8">
        <v>8.73</v>
      </c>
    </row>
    <row r="1021" spans="7:11" x14ac:dyDescent="0.45">
      <c r="G1021" s="9">
        <v>44536</v>
      </c>
      <c r="H1021" s="8">
        <v>27.18</v>
      </c>
      <c r="J1021" s="7">
        <v>15096</v>
      </c>
      <c r="K1021" s="8">
        <v>9.01</v>
      </c>
    </row>
    <row r="1022" spans="7:11" x14ac:dyDescent="0.45">
      <c r="G1022" s="9">
        <v>44533</v>
      </c>
      <c r="H1022" s="8">
        <v>30.67</v>
      </c>
      <c r="J1022" s="7">
        <v>15066</v>
      </c>
      <c r="K1022" s="8">
        <v>9.39</v>
      </c>
    </row>
    <row r="1023" spans="7:11" x14ac:dyDescent="0.45">
      <c r="G1023" s="9">
        <v>44532</v>
      </c>
      <c r="H1023" s="8">
        <v>27.95</v>
      </c>
      <c r="J1023" s="7">
        <v>15035</v>
      </c>
      <c r="K1023" s="8">
        <v>9.36</v>
      </c>
    </row>
    <row r="1024" spans="7:11" x14ac:dyDescent="0.45">
      <c r="G1024" s="9">
        <v>44531</v>
      </c>
      <c r="H1024" s="8">
        <v>31.12</v>
      </c>
      <c r="J1024" s="7">
        <v>15007</v>
      </c>
      <c r="K1024" s="8">
        <v>10.02</v>
      </c>
    </row>
    <row r="1025" spans="7:11" x14ac:dyDescent="0.45">
      <c r="G1025" s="9">
        <v>44530</v>
      </c>
      <c r="H1025" s="8">
        <v>27.19</v>
      </c>
      <c r="J1025" s="7">
        <v>14976</v>
      </c>
      <c r="K1025" s="8">
        <v>10.029999999999999</v>
      </c>
    </row>
    <row r="1026" spans="7:11" x14ac:dyDescent="0.45">
      <c r="G1026" s="9">
        <v>44529</v>
      </c>
      <c r="H1026" s="8">
        <v>22.96</v>
      </c>
      <c r="J1026" s="7">
        <v>14945</v>
      </c>
      <c r="K1026" s="8">
        <v>10.36</v>
      </c>
    </row>
    <row r="1027" spans="7:11" x14ac:dyDescent="0.45">
      <c r="G1027" s="9">
        <v>44526</v>
      </c>
      <c r="H1027" s="8">
        <v>28.62</v>
      </c>
      <c r="J1027" s="7">
        <v>14915</v>
      </c>
      <c r="K1027" s="8">
        <v>10.029999999999999</v>
      </c>
    </row>
    <row r="1028" spans="7:11" x14ac:dyDescent="0.45">
      <c r="G1028" s="9">
        <v>44524</v>
      </c>
      <c r="H1028" s="8">
        <v>18.579999999999998</v>
      </c>
      <c r="J1028" s="7">
        <v>14884</v>
      </c>
      <c r="K1028" s="8">
        <v>9.84</v>
      </c>
    </row>
    <row r="1029" spans="7:11" x14ac:dyDescent="0.45">
      <c r="G1029" s="9">
        <v>44523</v>
      </c>
      <c r="H1029" s="8">
        <v>19.38</v>
      </c>
      <c r="J1029" s="7">
        <v>14854</v>
      </c>
      <c r="K1029" s="8">
        <v>9.56</v>
      </c>
    </row>
    <row r="1030" spans="7:11" x14ac:dyDescent="0.45">
      <c r="G1030" s="9">
        <v>44522</v>
      </c>
      <c r="H1030" s="8">
        <v>19.170000000000002</v>
      </c>
      <c r="J1030" s="7">
        <v>14823</v>
      </c>
      <c r="K1030" s="8">
        <v>9.48</v>
      </c>
    </row>
    <row r="1031" spans="7:11" x14ac:dyDescent="0.45">
      <c r="G1031" s="9">
        <v>44519</v>
      </c>
      <c r="H1031" s="8">
        <v>17.91</v>
      </c>
      <c r="J1031" s="7">
        <v>14792</v>
      </c>
      <c r="K1031" s="8">
        <v>9.3000000000000007</v>
      </c>
    </row>
    <row r="1032" spans="7:11" x14ac:dyDescent="0.45">
      <c r="G1032" s="9">
        <v>44518</v>
      </c>
      <c r="H1032" s="8">
        <v>17.59</v>
      </c>
      <c r="J1032" s="7">
        <v>14762</v>
      </c>
      <c r="K1032" s="8">
        <v>10.34</v>
      </c>
    </row>
    <row r="1033" spans="7:11" x14ac:dyDescent="0.45">
      <c r="G1033" s="9">
        <v>44517</v>
      </c>
      <c r="H1033" s="8">
        <v>17.11</v>
      </c>
      <c r="J1033" s="7">
        <v>14731</v>
      </c>
      <c r="K1033" s="8">
        <v>12.19</v>
      </c>
    </row>
    <row r="1034" spans="7:11" x14ac:dyDescent="0.45">
      <c r="G1034" s="9">
        <v>44516</v>
      </c>
      <c r="H1034" s="8">
        <v>16.37</v>
      </c>
      <c r="J1034" s="7">
        <v>14701</v>
      </c>
      <c r="K1034" s="8">
        <v>12.27</v>
      </c>
    </row>
    <row r="1035" spans="7:11" x14ac:dyDescent="0.45">
      <c r="G1035" s="9">
        <v>44515</v>
      </c>
      <c r="H1035" s="8">
        <v>16.489999999999998</v>
      </c>
      <c r="J1035" s="7">
        <v>14670</v>
      </c>
      <c r="K1035" s="8">
        <v>12.73</v>
      </c>
    </row>
    <row r="1036" spans="7:11" x14ac:dyDescent="0.45">
      <c r="G1036" s="9">
        <v>44512</v>
      </c>
      <c r="H1036" s="8">
        <v>16.29</v>
      </c>
      <c r="J1036" s="7">
        <v>14641</v>
      </c>
      <c r="K1036" s="8">
        <v>13.23</v>
      </c>
    </row>
    <row r="1037" spans="7:11" x14ac:dyDescent="0.45">
      <c r="G1037" s="9">
        <v>44511</v>
      </c>
      <c r="H1037" s="8">
        <v>17.66</v>
      </c>
      <c r="J1037" s="7">
        <v>14610</v>
      </c>
      <c r="K1037" s="8">
        <v>13.74</v>
      </c>
    </row>
    <row r="1038" spans="7:11" x14ac:dyDescent="0.45">
      <c r="G1038" s="9">
        <v>44510</v>
      </c>
      <c r="H1038" s="8">
        <v>18.73</v>
      </c>
      <c r="J1038" s="7">
        <v>14579</v>
      </c>
      <c r="K1038" s="8">
        <v>14.56</v>
      </c>
    </row>
    <row r="1039" spans="7:11" x14ac:dyDescent="0.45">
      <c r="G1039" s="9">
        <v>44509</v>
      </c>
      <c r="H1039" s="8">
        <v>17.78</v>
      </c>
      <c r="J1039" s="7">
        <v>14549</v>
      </c>
      <c r="K1039" s="8">
        <v>15.36</v>
      </c>
    </row>
    <row r="1040" spans="7:11" x14ac:dyDescent="0.45">
      <c r="G1040" s="9">
        <v>44508</v>
      </c>
      <c r="H1040" s="8">
        <v>17.22</v>
      </c>
      <c r="J1040" s="7">
        <v>14518</v>
      </c>
      <c r="K1040" s="8">
        <v>15.77</v>
      </c>
    </row>
    <row r="1041" spans="7:11" x14ac:dyDescent="0.45">
      <c r="G1041" s="9">
        <v>44505</v>
      </c>
      <c r="H1041" s="8">
        <v>16.48</v>
      </c>
      <c r="J1041" s="7">
        <v>14488</v>
      </c>
      <c r="K1041" s="8">
        <v>14.55</v>
      </c>
    </row>
    <row r="1042" spans="7:11" x14ac:dyDescent="0.45">
      <c r="G1042" s="9">
        <v>44504</v>
      </c>
      <c r="H1042" s="8">
        <v>15.44</v>
      </c>
      <c r="J1042" s="7">
        <v>14457</v>
      </c>
      <c r="K1042" s="8">
        <v>15.08</v>
      </c>
    </row>
    <row r="1043" spans="7:11" x14ac:dyDescent="0.45">
      <c r="G1043" s="9">
        <v>44503</v>
      </c>
      <c r="H1043" s="8">
        <v>15.1</v>
      </c>
      <c r="J1043" s="7">
        <v>14426</v>
      </c>
      <c r="K1043" s="8">
        <v>15.04</v>
      </c>
    </row>
    <row r="1044" spans="7:11" x14ac:dyDescent="0.45">
      <c r="G1044" s="9">
        <v>44502</v>
      </c>
      <c r="H1044" s="8">
        <v>16.03</v>
      </c>
      <c r="J1044" s="7">
        <v>14396</v>
      </c>
      <c r="K1044" s="8">
        <v>15.11</v>
      </c>
    </row>
    <row r="1045" spans="7:11" x14ac:dyDescent="0.45">
      <c r="G1045" s="9">
        <v>44501</v>
      </c>
      <c r="H1045" s="8">
        <v>16.41</v>
      </c>
      <c r="J1045" s="7">
        <v>14365</v>
      </c>
      <c r="K1045" s="8">
        <v>14.9</v>
      </c>
    </row>
    <row r="1046" spans="7:11" x14ac:dyDescent="0.45">
      <c r="G1046" s="9">
        <v>44498</v>
      </c>
      <c r="H1046" s="8">
        <v>16.260000000000002</v>
      </c>
      <c r="J1046" s="7">
        <v>14335</v>
      </c>
      <c r="K1046" s="8">
        <v>17.45</v>
      </c>
    </row>
    <row r="1047" spans="7:11" x14ac:dyDescent="0.45">
      <c r="G1047" s="9">
        <v>44497</v>
      </c>
      <c r="H1047" s="8">
        <v>16.53</v>
      </c>
      <c r="J1047" s="7">
        <v>14304</v>
      </c>
      <c r="K1047" s="8">
        <v>18.059999999999999</v>
      </c>
    </row>
    <row r="1048" spans="7:11" x14ac:dyDescent="0.45">
      <c r="G1048" s="9">
        <v>44496</v>
      </c>
      <c r="H1048" s="8">
        <v>16.98</v>
      </c>
      <c r="J1048" s="7">
        <v>14276</v>
      </c>
      <c r="K1048" s="8">
        <v>18.84</v>
      </c>
    </row>
    <row r="1049" spans="7:11" x14ac:dyDescent="0.45">
      <c r="G1049" s="9">
        <v>44495</v>
      </c>
      <c r="H1049" s="8">
        <v>15.98</v>
      </c>
      <c r="J1049" s="7">
        <v>14245</v>
      </c>
      <c r="K1049" s="8">
        <v>19.829999999999998</v>
      </c>
    </row>
    <row r="1050" spans="7:11" x14ac:dyDescent="0.45">
      <c r="G1050" s="9">
        <v>44494</v>
      </c>
      <c r="H1050" s="8">
        <v>15.24</v>
      </c>
      <c r="J1050" s="7">
        <v>14214</v>
      </c>
      <c r="K1050" s="8">
        <v>20.64</v>
      </c>
    </row>
    <row r="1051" spans="7:11" x14ac:dyDescent="0.45">
      <c r="G1051" s="9">
        <v>44491</v>
      </c>
      <c r="H1051" s="8">
        <v>15.43</v>
      </c>
      <c r="J1051" s="7">
        <v>14184</v>
      </c>
      <c r="K1051" s="8">
        <v>20.84</v>
      </c>
    </row>
    <row r="1052" spans="7:11" x14ac:dyDescent="0.45">
      <c r="G1052" s="9">
        <v>44490</v>
      </c>
      <c r="H1052" s="8">
        <v>15.01</v>
      </c>
      <c r="J1052" s="7">
        <v>14153</v>
      </c>
      <c r="K1052" s="8">
        <v>18.95</v>
      </c>
    </row>
    <row r="1053" spans="7:11" x14ac:dyDescent="0.45">
      <c r="G1053" s="9">
        <v>44489</v>
      </c>
      <c r="H1053" s="8">
        <v>15.49</v>
      </c>
      <c r="J1053" s="7">
        <v>14123</v>
      </c>
      <c r="K1053" s="8">
        <v>18.37</v>
      </c>
    </row>
    <row r="1054" spans="7:11" x14ac:dyDescent="0.45">
      <c r="G1054" s="9">
        <v>44488</v>
      </c>
      <c r="H1054" s="8">
        <v>15.7</v>
      </c>
      <c r="J1054" s="7">
        <v>14092</v>
      </c>
      <c r="K1054" s="8">
        <v>17</v>
      </c>
    </row>
    <row r="1055" spans="7:11" x14ac:dyDescent="0.45">
      <c r="G1055" s="9">
        <v>44487</v>
      </c>
      <c r="H1055" s="8">
        <v>16.309999999999999</v>
      </c>
      <c r="J1055" s="7">
        <v>14061</v>
      </c>
      <c r="K1055" s="8">
        <v>13.26</v>
      </c>
    </row>
    <row r="1056" spans="7:11" x14ac:dyDescent="0.45">
      <c r="G1056" s="9">
        <v>44484</v>
      </c>
      <c r="H1056" s="8">
        <v>16.3</v>
      </c>
      <c r="J1056" s="7">
        <v>14031</v>
      </c>
      <c r="K1056" s="8">
        <v>11.93</v>
      </c>
    </row>
    <row r="1057" spans="7:11" x14ac:dyDescent="0.45">
      <c r="G1057" s="9">
        <v>44483</v>
      </c>
      <c r="H1057" s="8">
        <v>16.86</v>
      </c>
      <c r="J1057" s="7">
        <v>14000</v>
      </c>
      <c r="K1057" s="8">
        <v>10.95</v>
      </c>
    </row>
    <row r="1058" spans="7:11" x14ac:dyDescent="0.45">
      <c r="G1058" s="9">
        <v>44482</v>
      </c>
      <c r="H1058" s="8">
        <v>18.64</v>
      </c>
      <c r="J1058" s="7">
        <v>13970</v>
      </c>
      <c r="K1058" s="8">
        <v>10.63</v>
      </c>
    </row>
    <row r="1059" spans="7:11" x14ac:dyDescent="0.45">
      <c r="G1059" s="9">
        <v>44481</v>
      </c>
      <c r="H1059" s="8">
        <v>19.850000000000001</v>
      </c>
      <c r="J1059" s="7">
        <v>13939</v>
      </c>
      <c r="K1059" s="8">
        <v>10.79</v>
      </c>
    </row>
    <row r="1060" spans="7:11" x14ac:dyDescent="0.45">
      <c r="G1060" s="9">
        <v>44480</v>
      </c>
      <c r="H1060" s="8">
        <v>20</v>
      </c>
      <c r="J1060" s="7">
        <v>13911</v>
      </c>
      <c r="K1060" s="8">
        <v>10.5</v>
      </c>
    </row>
    <row r="1061" spans="7:11" x14ac:dyDescent="0.45">
      <c r="G1061" s="9">
        <v>44477</v>
      </c>
      <c r="H1061" s="8">
        <v>18.77</v>
      </c>
      <c r="J1061" s="7">
        <v>13880</v>
      </c>
      <c r="K1061" s="8">
        <v>9.75</v>
      </c>
    </row>
    <row r="1062" spans="7:11" x14ac:dyDescent="0.45">
      <c r="G1062" s="9">
        <v>44476</v>
      </c>
      <c r="H1062" s="8">
        <v>19.54</v>
      </c>
      <c r="J1062" s="7">
        <v>13849</v>
      </c>
      <c r="K1062" s="8">
        <v>9.66</v>
      </c>
    </row>
    <row r="1063" spans="7:11" x14ac:dyDescent="0.45">
      <c r="G1063" s="9">
        <v>44475</v>
      </c>
      <c r="H1063" s="8">
        <v>21</v>
      </c>
      <c r="J1063" s="7">
        <v>13819</v>
      </c>
      <c r="K1063" s="8">
        <v>10.32</v>
      </c>
    </row>
    <row r="1064" spans="7:11" x14ac:dyDescent="0.45">
      <c r="G1064" s="9">
        <v>44474</v>
      </c>
      <c r="H1064" s="8">
        <v>21.3</v>
      </c>
      <c r="J1064" s="7">
        <v>13788</v>
      </c>
      <c r="K1064" s="8">
        <v>11.78</v>
      </c>
    </row>
    <row r="1065" spans="7:11" x14ac:dyDescent="0.45">
      <c r="G1065" s="9">
        <v>44473</v>
      </c>
      <c r="H1065" s="8">
        <v>22.96</v>
      </c>
      <c r="J1065" s="7">
        <v>13758</v>
      </c>
      <c r="K1065" s="8">
        <v>13.91</v>
      </c>
    </row>
    <row r="1066" spans="7:11" x14ac:dyDescent="0.45">
      <c r="G1066" s="9">
        <v>44470</v>
      </c>
      <c r="H1066" s="8">
        <v>21.15</v>
      </c>
      <c r="J1066" s="7">
        <v>13727</v>
      </c>
      <c r="K1066" s="8">
        <v>13.96</v>
      </c>
    </row>
    <row r="1067" spans="7:11" x14ac:dyDescent="0.45">
      <c r="G1067" s="9">
        <v>44469</v>
      </c>
      <c r="H1067" s="8">
        <v>23.14</v>
      </c>
      <c r="J1067" s="7">
        <v>13696</v>
      </c>
      <c r="K1067" s="8">
        <v>13.37</v>
      </c>
    </row>
    <row r="1068" spans="7:11" x14ac:dyDescent="0.45">
      <c r="G1068" s="9">
        <v>44468</v>
      </c>
      <c r="H1068" s="8">
        <v>22.56</v>
      </c>
      <c r="J1068" s="7">
        <v>13666</v>
      </c>
      <c r="K1068" s="8">
        <v>14.13</v>
      </c>
    </row>
    <row r="1069" spans="7:11" x14ac:dyDescent="0.45">
      <c r="G1069" s="9">
        <v>44467</v>
      </c>
      <c r="H1069" s="8">
        <v>23.25</v>
      </c>
      <c r="J1069" s="7">
        <v>13635</v>
      </c>
      <c r="K1069" s="8">
        <v>15.05</v>
      </c>
    </row>
    <row r="1070" spans="7:11" x14ac:dyDescent="0.45">
      <c r="G1070" s="9">
        <v>44466</v>
      </c>
      <c r="H1070" s="8">
        <v>18.760000000000002</v>
      </c>
      <c r="J1070" s="7">
        <v>13605</v>
      </c>
      <c r="K1070" s="8">
        <v>16.3</v>
      </c>
    </row>
    <row r="1071" spans="7:11" x14ac:dyDescent="0.45">
      <c r="G1071" s="9">
        <v>44463</v>
      </c>
      <c r="H1071" s="8">
        <v>17.75</v>
      </c>
      <c r="J1071" s="7">
        <v>13574</v>
      </c>
      <c r="K1071" s="8">
        <v>16.77</v>
      </c>
    </row>
    <row r="1072" spans="7:11" x14ac:dyDescent="0.45">
      <c r="G1072" s="9">
        <v>44462</v>
      </c>
      <c r="H1072" s="8">
        <v>18.63</v>
      </c>
      <c r="J1072" s="7">
        <v>13546</v>
      </c>
      <c r="K1072" s="8">
        <v>16.75</v>
      </c>
    </row>
    <row r="1073" spans="7:11" x14ac:dyDescent="0.45">
      <c r="G1073" s="9">
        <v>44461</v>
      </c>
      <c r="H1073" s="8">
        <v>20.87</v>
      </c>
      <c r="J1073" s="7">
        <v>13515</v>
      </c>
      <c r="K1073" s="8">
        <v>16.73</v>
      </c>
    </row>
    <row r="1074" spans="7:11" x14ac:dyDescent="0.45">
      <c r="G1074" s="9">
        <v>44460</v>
      </c>
      <c r="H1074" s="8">
        <v>24.36</v>
      </c>
      <c r="J1074" s="7">
        <v>13484</v>
      </c>
      <c r="K1074" s="8">
        <v>17.48</v>
      </c>
    </row>
    <row r="1075" spans="7:11" x14ac:dyDescent="0.45">
      <c r="G1075" s="9">
        <v>44459</v>
      </c>
      <c r="H1075" s="8">
        <v>25.71</v>
      </c>
      <c r="J1075" s="7">
        <v>13454</v>
      </c>
      <c r="K1075" s="8">
        <v>17.47</v>
      </c>
    </row>
    <row r="1076" spans="7:11" x14ac:dyDescent="0.45">
      <c r="G1076" s="9">
        <v>44456</v>
      </c>
      <c r="H1076" s="8">
        <v>20.81</v>
      </c>
      <c r="J1076" s="7">
        <v>13423</v>
      </c>
      <c r="K1076" s="8">
        <v>17.07</v>
      </c>
    </row>
    <row r="1077" spans="7:11" x14ac:dyDescent="0.45">
      <c r="G1077" s="9">
        <v>44455</v>
      </c>
      <c r="H1077" s="8">
        <v>18.690000000000001</v>
      </c>
      <c r="J1077" s="7">
        <v>13393</v>
      </c>
      <c r="K1077" s="8">
        <v>17.25</v>
      </c>
    </row>
    <row r="1078" spans="7:11" x14ac:dyDescent="0.45">
      <c r="G1078" s="9">
        <v>44454</v>
      </c>
      <c r="H1078" s="8">
        <v>18.18</v>
      </c>
      <c r="J1078" s="7">
        <v>13362</v>
      </c>
      <c r="K1078" s="8">
        <v>17.29</v>
      </c>
    </row>
    <row r="1079" spans="7:11" x14ac:dyDescent="0.45">
      <c r="G1079" s="9">
        <v>44453</v>
      </c>
      <c r="H1079" s="8">
        <v>19.46</v>
      </c>
      <c r="J1079" s="7">
        <v>13331</v>
      </c>
      <c r="K1079" s="8">
        <v>16.690000000000001</v>
      </c>
    </row>
    <row r="1080" spans="7:11" x14ac:dyDescent="0.45">
      <c r="G1080" s="9">
        <v>44452</v>
      </c>
      <c r="H1080" s="8">
        <v>19.37</v>
      </c>
      <c r="J1080" s="7">
        <v>13301</v>
      </c>
      <c r="K1080" s="8">
        <v>16.579999999999998</v>
      </c>
    </row>
    <row r="1081" spans="7:11" x14ac:dyDescent="0.45">
      <c r="G1081" s="9">
        <v>44449</v>
      </c>
      <c r="H1081" s="8">
        <v>20.95</v>
      </c>
      <c r="J1081" s="7">
        <v>13270</v>
      </c>
      <c r="K1081" s="8">
        <v>18.149999999999999</v>
      </c>
    </row>
    <row r="1082" spans="7:11" x14ac:dyDescent="0.45">
      <c r="G1082" s="9">
        <v>44448</v>
      </c>
      <c r="H1082" s="8">
        <v>18.8</v>
      </c>
      <c r="J1082" s="7">
        <v>13240</v>
      </c>
      <c r="K1082" s="8">
        <v>18.809999999999999</v>
      </c>
    </row>
    <row r="1083" spans="7:11" x14ac:dyDescent="0.45">
      <c r="G1083" s="9">
        <v>44447</v>
      </c>
      <c r="H1083" s="8">
        <v>17.96</v>
      </c>
      <c r="J1083" s="7">
        <v>13209</v>
      </c>
      <c r="K1083" s="8">
        <v>18.649999999999999</v>
      </c>
    </row>
    <row r="1084" spans="7:11" x14ac:dyDescent="0.45">
      <c r="G1084" s="9">
        <v>44446</v>
      </c>
      <c r="H1084" s="8">
        <v>18.14</v>
      </c>
      <c r="J1084" s="7">
        <v>13180</v>
      </c>
      <c r="K1084" s="8">
        <v>17.87</v>
      </c>
    </row>
    <row r="1085" spans="7:11" x14ac:dyDescent="0.45">
      <c r="G1085" s="9">
        <v>44442</v>
      </c>
      <c r="H1085" s="8">
        <v>16.41</v>
      </c>
      <c r="J1085" s="7">
        <v>13149</v>
      </c>
      <c r="K1085" s="8">
        <v>17.16</v>
      </c>
    </row>
    <row r="1086" spans="7:11" x14ac:dyDescent="0.45">
      <c r="G1086" s="9">
        <v>44441</v>
      </c>
      <c r="H1086" s="8">
        <v>16.41</v>
      </c>
      <c r="J1086" s="7">
        <v>13118</v>
      </c>
      <c r="K1086" s="8">
        <v>17.16</v>
      </c>
    </row>
    <row r="1087" spans="7:11" x14ac:dyDescent="0.45">
      <c r="G1087" s="9">
        <v>44440</v>
      </c>
      <c r="H1087" s="8">
        <v>16.11</v>
      </c>
      <c r="J1087" s="7">
        <v>13088</v>
      </c>
      <c r="K1087" s="8">
        <v>15.68</v>
      </c>
    </row>
    <row r="1088" spans="7:11" x14ac:dyDescent="0.45">
      <c r="G1088" s="9">
        <v>44439</v>
      </c>
      <c r="H1088" s="8">
        <v>16.48</v>
      </c>
      <c r="J1088" s="7">
        <v>13057</v>
      </c>
      <c r="K1088" s="8">
        <v>15.28</v>
      </c>
    </row>
    <row r="1089" spans="7:11" x14ac:dyDescent="0.45">
      <c r="G1089" s="9">
        <v>44438</v>
      </c>
      <c r="H1089" s="8">
        <v>16.190000000000001</v>
      </c>
      <c r="J1089" s="7">
        <v>13027</v>
      </c>
      <c r="K1089" s="8">
        <v>14.64</v>
      </c>
    </row>
    <row r="1090" spans="7:11" x14ac:dyDescent="0.45">
      <c r="G1090" s="9">
        <v>44435</v>
      </c>
      <c r="H1090" s="8">
        <v>16.39</v>
      </c>
      <c r="J1090" s="7">
        <v>12996</v>
      </c>
      <c r="K1090" s="8">
        <v>13.42</v>
      </c>
    </row>
    <row r="1091" spans="7:11" x14ac:dyDescent="0.45">
      <c r="G1091" s="9">
        <v>44434</v>
      </c>
      <c r="H1091" s="8">
        <v>18.84</v>
      </c>
      <c r="J1091" s="7">
        <v>12965</v>
      </c>
      <c r="K1091" s="8">
        <v>12.49</v>
      </c>
    </row>
    <row r="1092" spans="7:11" x14ac:dyDescent="0.45">
      <c r="G1092" s="9">
        <v>44433</v>
      </c>
      <c r="H1092" s="8">
        <v>16.79</v>
      </c>
      <c r="J1092" s="7">
        <v>12935</v>
      </c>
      <c r="K1092" s="8">
        <v>12.45</v>
      </c>
    </row>
    <row r="1093" spans="7:11" x14ac:dyDescent="0.45">
      <c r="G1093" s="9">
        <v>44432</v>
      </c>
      <c r="H1093" s="8">
        <v>17.22</v>
      </c>
      <c r="J1093" s="7">
        <v>12904</v>
      </c>
      <c r="K1093" s="8">
        <v>11.95</v>
      </c>
    </row>
    <row r="1094" spans="7:11" x14ac:dyDescent="0.45">
      <c r="G1094" s="9">
        <v>44431</v>
      </c>
      <c r="H1094" s="8">
        <v>17.149999999999999</v>
      </c>
      <c r="J1094" s="7">
        <v>12874</v>
      </c>
      <c r="K1094" s="8">
        <v>11.52</v>
      </c>
    </row>
    <row r="1095" spans="7:11" x14ac:dyDescent="0.45">
      <c r="G1095" s="9">
        <v>44428</v>
      </c>
      <c r="H1095" s="8">
        <v>18.559999999999999</v>
      </c>
      <c r="J1095" s="7">
        <v>12843</v>
      </c>
      <c r="K1095" s="8">
        <v>13.82</v>
      </c>
    </row>
    <row r="1096" spans="7:11" x14ac:dyDescent="0.45">
      <c r="G1096" s="9">
        <v>44427</v>
      </c>
      <c r="H1096" s="8">
        <v>21.67</v>
      </c>
      <c r="J1096" s="7">
        <v>12815</v>
      </c>
      <c r="K1096" s="8">
        <v>16.25</v>
      </c>
    </row>
    <row r="1097" spans="7:11" x14ac:dyDescent="0.45">
      <c r="G1097" s="9">
        <v>44426</v>
      </c>
      <c r="H1097" s="8">
        <v>21.57</v>
      </c>
      <c r="J1097" s="7">
        <v>12784</v>
      </c>
      <c r="K1097" s="8">
        <v>18.899999999999999</v>
      </c>
    </row>
    <row r="1098" spans="7:11" x14ac:dyDescent="0.45">
      <c r="G1098" s="9">
        <v>44425</v>
      </c>
      <c r="H1098" s="8">
        <v>17.91</v>
      </c>
      <c r="J1098" s="7">
        <v>12753</v>
      </c>
      <c r="K1098" s="8">
        <v>18.940000000000001</v>
      </c>
    </row>
    <row r="1099" spans="7:11" x14ac:dyDescent="0.45">
      <c r="G1099" s="9">
        <v>44424</v>
      </c>
      <c r="H1099" s="8">
        <v>16.12</v>
      </c>
      <c r="J1099" s="7">
        <v>12723</v>
      </c>
      <c r="K1099" s="8">
        <v>18.579999999999998</v>
      </c>
    </row>
    <row r="1100" spans="7:11" x14ac:dyDescent="0.45">
      <c r="G1100" s="9">
        <v>44421</v>
      </c>
      <c r="H1100" s="8">
        <v>15.45</v>
      </c>
      <c r="J1100" s="7">
        <v>12692</v>
      </c>
      <c r="K1100" s="8">
        <v>18.600000000000001</v>
      </c>
    </row>
    <row r="1101" spans="7:11" x14ac:dyDescent="0.45">
      <c r="G1101" s="9">
        <v>44420</v>
      </c>
      <c r="H1101" s="8">
        <v>15.59</v>
      </c>
      <c r="J1101" s="7">
        <v>12662</v>
      </c>
      <c r="K1101" s="8">
        <v>19.23</v>
      </c>
    </row>
    <row r="1102" spans="7:11" x14ac:dyDescent="0.45">
      <c r="G1102" s="9">
        <v>44419</v>
      </c>
      <c r="H1102" s="8">
        <v>16.059999999999999</v>
      </c>
      <c r="J1102" s="7">
        <v>12631</v>
      </c>
      <c r="K1102" s="8">
        <v>20.18</v>
      </c>
    </row>
    <row r="1103" spans="7:11" x14ac:dyDescent="0.45">
      <c r="G1103" s="9">
        <v>44418</v>
      </c>
      <c r="H1103" s="8">
        <v>16.79</v>
      </c>
      <c r="J1103" s="7">
        <v>12600</v>
      </c>
      <c r="K1103" s="8">
        <v>21.38</v>
      </c>
    </row>
    <row r="1104" spans="7:11" x14ac:dyDescent="0.45">
      <c r="G1104" s="9">
        <v>44417</v>
      </c>
      <c r="H1104" s="8">
        <v>16.72</v>
      </c>
      <c r="J1104" s="7">
        <v>12570</v>
      </c>
      <c r="K1104" s="8">
        <v>21.29</v>
      </c>
    </row>
    <row r="1105" spans="7:11" x14ac:dyDescent="0.45">
      <c r="G1105" s="9">
        <v>44414</v>
      </c>
      <c r="H1105" s="8">
        <v>16.149999999999999</v>
      </c>
      <c r="J1105" s="7">
        <v>12539</v>
      </c>
      <c r="K1105" s="8">
        <v>23.91</v>
      </c>
    </row>
    <row r="1106" spans="7:11" x14ac:dyDescent="0.45">
      <c r="G1106" s="9">
        <v>44413</v>
      </c>
      <c r="H1106" s="8">
        <v>17.28</v>
      </c>
      <c r="J1106" s="7">
        <v>12509</v>
      </c>
      <c r="K1106" s="8">
        <v>23.73</v>
      </c>
    </row>
    <row r="1107" spans="7:11" x14ac:dyDescent="0.45">
      <c r="G1107" s="9">
        <v>44412</v>
      </c>
      <c r="H1107" s="8">
        <v>17.97</v>
      </c>
      <c r="J1107" s="7">
        <v>12478</v>
      </c>
      <c r="K1107" s="8">
        <v>25.25</v>
      </c>
    </row>
    <row r="1108" spans="7:11" x14ac:dyDescent="0.45">
      <c r="G1108" s="9">
        <v>44411</v>
      </c>
      <c r="H1108" s="8">
        <v>18.04</v>
      </c>
      <c r="J1108" s="7">
        <v>12450</v>
      </c>
      <c r="K1108" s="8">
        <v>23.73</v>
      </c>
    </row>
    <row r="1109" spans="7:11" x14ac:dyDescent="0.45">
      <c r="G1109" s="9">
        <v>44410</v>
      </c>
      <c r="H1109" s="8">
        <v>19.46</v>
      </c>
      <c r="J1109" s="7">
        <v>12419</v>
      </c>
      <c r="K1109" s="8">
        <v>22.66</v>
      </c>
    </row>
    <row r="1110" spans="7:11" x14ac:dyDescent="0.45">
      <c r="G1110" s="9">
        <v>44407</v>
      </c>
      <c r="H1110" s="8">
        <v>18.239999999999998</v>
      </c>
      <c r="J1110" s="7">
        <v>12388</v>
      </c>
      <c r="K1110" s="8">
        <v>22.35</v>
      </c>
    </row>
    <row r="1111" spans="7:11" x14ac:dyDescent="0.45">
      <c r="G1111" s="9">
        <v>44406</v>
      </c>
      <c r="H1111" s="8">
        <v>17.7</v>
      </c>
      <c r="J1111" s="7">
        <v>12358</v>
      </c>
      <c r="K1111" s="8">
        <v>21.95</v>
      </c>
    </row>
    <row r="1112" spans="7:11" x14ac:dyDescent="0.45">
      <c r="G1112" s="9">
        <v>44405</v>
      </c>
      <c r="H1112" s="8">
        <v>18.309999999999999</v>
      </c>
      <c r="J1112" s="7">
        <v>12327</v>
      </c>
      <c r="K1112" s="8">
        <v>24.46</v>
      </c>
    </row>
    <row r="1113" spans="7:11" x14ac:dyDescent="0.45">
      <c r="G1113" s="9">
        <v>44404</v>
      </c>
      <c r="H1113" s="8">
        <v>19.36</v>
      </c>
      <c r="J1113" s="7">
        <v>12297</v>
      </c>
      <c r="K1113" s="8">
        <v>24.81</v>
      </c>
    </row>
    <row r="1114" spans="7:11" x14ac:dyDescent="0.45">
      <c r="G1114" s="9">
        <v>44403</v>
      </c>
      <c r="H1114" s="8">
        <v>17.579999999999998</v>
      </c>
      <c r="J1114" s="7">
        <v>12266</v>
      </c>
      <c r="K1114" s="8">
        <v>26.27</v>
      </c>
    </row>
    <row r="1115" spans="7:11" x14ac:dyDescent="0.45">
      <c r="G1115" s="9">
        <v>44400</v>
      </c>
      <c r="H1115" s="8">
        <v>17.2</v>
      </c>
      <c r="J1115" s="7">
        <v>12235</v>
      </c>
      <c r="K1115" s="8">
        <v>24.45</v>
      </c>
    </row>
    <row r="1116" spans="7:11" x14ac:dyDescent="0.45">
      <c r="G1116" s="9">
        <v>44399</v>
      </c>
      <c r="H1116" s="8">
        <v>17.690000000000001</v>
      </c>
      <c r="J1116" s="7">
        <v>12205</v>
      </c>
      <c r="K1116" s="8">
        <v>20.99</v>
      </c>
    </row>
    <row r="1117" spans="7:11" x14ac:dyDescent="0.45">
      <c r="G1117" s="9">
        <v>44398</v>
      </c>
      <c r="H1117" s="8">
        <v>17.91</v>
      </c>
      <c r="J1117" s="7">
        <v>12174</v>
      </c>
      <c r="K1117" s="8">
        <v>16.399999999999999</v>
      </c>
    </row>
    <row r="1118" spans="7:11" x14ac:dyDescent="0.45">
      <c r="G1118" s="9">
        <v>44397</v>
      </c>
      <c r="H1118" s="8">
        <v>19.73</v>
      </c>
      <c r="J1118" s="7">
        <v>12144</v>
      </c>
      <c r="K1118" s="8">
        <v>14.92</v>
      </c>
    </row>
    <row r="1119" spans="7:11" x14ac:dyDescent="0.45">
      <c r="G1119" s="9">
        <v>44396</v>
      </c>
      <c r="H1119" s="8">
        <v>22.5</v>
      </c>
      <c r="J1119" s="7">
        <v>12113</v>
      </c>
      <c r="K1119" s="8">
        <v>15.06</v>
      </c>
    </row>
    <row r="1120" spans="7:11" x14ac:dyDescent="0.45">
      <c r="G1120" s="9">
        <v>44393</v>
      </c>
      <c r="H1120" s="8">
        <v>18.45</v>
      </c>
      <c r="J1120" s="7">
        <v>12085</v>
      </c>
      <c r="K1120" s="8">
        <v>17.190000000000001</v>
      </c>
    </row>
    <row r="1121" spans="7:11" x14ac:dyDescent="0.45">
      <c r="G1121" s="9">
        <v>44392</v>
      </c>
      <c r="H1121" s="8">
        <v>17.010000000000002</v>
      </c>
      <c r="J1121" s="7">
        <v>12054</v>
      </c>
      <c r="K1121" s="8">
        <v>16.63</v>
      </c>
    </row>
    <row r="1122" spans="7:11" x14ac:dyDescent="0.45">
      <c r="G1122" s="9">
        <v>44391</v>
      </c>
      <c r="H1122" s="8">
        <v>16.329999999999998</v>
      </c>
      <c r="J1122" s="7">
        <v>12023</v>
      </c>
      <c r="K1122" s="8">
        <v>16.52</v>
      </c>
    </row>
    <row r="1123" spans="7:11" x14ac:dyDescent="0.45">
      <c r="G1123" s="9">
        <v>44390</v>
      </c>
      <c r="H1123" s="8">
        <v>17.12</v>
      </c>
      <c r="J1123" s="7">
        <v>11993</v>
      </c>
      <c r="K1123" s="8">
        <v>16.059999999999999</v>
      </c>
    </row>
    <row r="1124" spans="7:11" x14ac:dyDescent="0.45">
      <c r="G1124" s="9">
        <v>44389</v>
      </c>
      <c r="H1124" s="8">
        <v>16.170000000000002</v>
      </c>
      <c r="J1124" s="7">
        <v>11962</v>
      </c>
      <c r="K1124" s="8">
        <v>17.96</v>
      </c>
    </row>
    <row r="1125" spans="7:11" x14ac:dyDescent="0.45">
      <c r="G1125" s="9">
        <v>44386</v>
      </c>
      <c r="H1125" s="8">
        <v>16.18</v>
      </c>
      <c r="J1125" s="7">
        <v>11932</v>
      </c>
      <c r="K1125" s="8">
        <v>15.8</v>
      </c>
    </row>
    <row r="1126" spans="7:11" x14ac:dyDescent="0.45">
      <c r="G1126" s="9">
        <v>44385</v>
      </c>
      <c r="H1126" s="8">
        <v>19</v>
      </c>
      <c r="J1126" s="7">
        <v>11901</v>
      </c>
      <c r="K1126" s="8">
        <v>10.16</v>
      </c>
    </row>
    <row r="1127" spans="7:11" x14ac:dyDescent="0.45">
      <c r="G1127" s="9">
        <v>44384</v>
      </c>
      <c r="H1127" s="8">
        <v>16.2</v>
      </c>
      <c r="J1127" s="7">
        <v>11870</v>
      </c>
      <c r="K1127" s="8">
        <v>9.35</v>
      </c>
    </row>
    <row r="1128" spans="7:11" x14ac:dyDescent="0.45">
      <c r="G1128" s="9">
        <v>44383</v>
      </c>
      <c r="H1128" s="8">
        <v>16.440000000000001</v>
      </c>
      <c r="J1128" s="7">
        <v>11840</v>
      </c>
      <c r="K1128" s="8">
        <v>10.46</v>
      </c>
    </row>
    <row r="1129" spans="7:11" x14ac:dyDescent="0.45">
      <c r="G1129" s="9">
        <v>44379</v>
      </c>
      <c r="H1129" s="8">
        <v>15.07</v>
      </c>
      <c r="J1129" s="7">
        <v>11809</v>
      </c>
      <c r="K1129" s="8">
        <v>11.56</v>
      </c>
    </row>
    <row r="1130" spans="7:11" x14ac:dyDescent="0.45">
      <c r="G1130" s="9">
        <v>44378</v>
      </c>
      <c r="H1130" s="8">
        <v>15.48</v>
      </c>
      <c r="J1130" s="7">
        <v>11779</v>
      </c>
      <c r="K1130" s="8">
        <v>14.75</v>
      </c>
    </row>
    <row r="1131" spans="7:11" x14ac:dyDescent="0.45">
      <c r="G1131" s="9">
        <v>44377</v>
      </c>
      <c r="H1131" s="8">
        <v>15.83</v>
      </c>
      <c r="J1131" s="7">
        <v>11748</v>
      </c>
      <c r="K1131" s="8">
        <v>14.27</v>
      </c>
    </row>
    <row r="1132" spans="7:11" x14ac:dyDescent="0.45">
      <c r="G1132" s="9">
        <v>44376</v>
      </c>
      <c r="H1132" s="8">
        <v>16.02</v>
      </c>
      <c r="J1132" s="7">
        <v>11719</v>
      </c>
      <c r="K1132" s="8">
        <v>13.99</v>
      </c>
    </row>
    <row r="1133" spans="7:11" x14ac:dyDescent="0.45">
      <c r="G1133" s="9">
        <v>44375</v>
      </c>
      <c r="H1133" s="8">
        <v>15.76</v>
      </c>
      <c r="J1133" s="7">
        <v>11688</v>
      </c>
      <c r="K1133" s="8">
        <v>13.84</v>
      </c>
    </row>
    <row r="1134" spans="7:11" x14ac:dyDescent="0.45">
      <c r="G1134" s="9">
        <v>44372</v>
      </c>
      <c r="H1134" s="8">
        <v>15.62</v>
      </c>
      <c r="J1134" s="7">
        <v>11657</v>
      </c>
      <c r="K1134" s="8">
        <v>16.23</v>
      </c>
    </row>
    <row r="1135" spans="7:11" x14ac:dyDescent="0.45">
      <c r="G1135" s="9">
        <v>44371</v>
      </c>
      <c r="H1135" s="8">
        <v>15.97</v>
      </c>
      <c r="J1135" s="7">
        <v>11627</v>
      </c>
      <c r="K1135" s="8">
        <v>15.3</v>
      </c>
    </row>
    <row r="1136" spans="7:11" x14ac:dyDescent="0.45">
      <c r="G1136" s="9">
        <v>44370</v>
      </c>
      <c r="H1136" s="8">
        <v>16.32</v>
      </c>
      <c r="J1136" s="7">
        <v>11596</v>
      </c>
      <c r="K1136" s="8">
        <v>16.899999999999999</v>
      </c>
    </row>
    <row r="1137" spans="7:11" x14ac:dyDescent="0.45">
      <c r="G1137" s="9">
        <v>44369</v>
      </c>
      <c r="H1137" s="8">
        <v>16.66</v>
      </c>
      <c r="J1137" s="7">
        <v>11566</v>
      </c>
      <c r="K1137" s="8">
        <v>19.04</v>
      </c>
    </row>
    <row r="1138" spans="7:11" x14ac:dyDescent="0.45">
      <c r="G1138" s="9">
        <v>44368</v>
      </c>
      <c r="H1138" s="8">
        <v>17.89</v>
      </c>
      <c r="J1138" s="7">
        <v>11535</v>
      </c>
      <c r="K1138" s="8">
        <v>18.86</v>
      </c>
    </row>
    <row r="1139" spans="7:11" x14ac:dyDescent="0.45">
      <c r="G1139" s="9">
        <v>44365</v>
      </c>
      <c r="H1139" s="8">
        <v>20.7</v>
      </c>
      <c r="J1139" s="7">
        <v>11504</v>
      </c>
      <c r="K1139" s="8">
        <v>17.559999999999999</v>
      </c>
    </row>
    <row r="1140" spans="7:11" x14ac:dyDescent="0.45">
      <c r="G1140" s="9">
        <v>44364</v>
      </c>
      <c r="H1140" s="8">
        <v>17.75</v>
      </c>
      <c r="J1140" s="7">
        <v>11474</v>
      </c>
      <c r="K1140" s="8">
        <v>17.48</v>
      </c>
    </row>
    <row r="1141" spans="7:11" x14ac:dyDescent="0.45">
      <c r="G1141" s="9">
        <v>44363</v>
      </c>
      <c r="H1141" s="8">
        <v>18.149999999999999</v>
      </c>
      <c r="J1141" s="7">
        <v>11443</v>
      </c>
      <c r="K1141" s="8">
        <v>18.66</v>
      </c>
    </row>
    <row r="1142" spans="7:11" x14ac:dyDescent="0.45">
      <c r="G1142" s="9">
        <v>44362</v>
      </c>
      <c r="H1142" s="8">
        <v>17.02</v>
      </c>
      <c r="J1142" s="7">
        <v>11413</v>
      </c>
      <c r="K1142" s="8">
        <v>19.920000000000002</v>
      </c>
    </row>
    <row r="1143" spans="7:11" x14ac:dyDescent="0.45">
      <c r="G1143" s="9">
        <v>44361</v>
      </c>
      <c r="H1143" s="8">
        <v>16.39</v>
      </c>
      <c r="J1143" s="7">
        <v>11382</v>
      </c>
      <c r="K1143" s="8">
        <v>18.899999999999999</v>
      </c>
    </row>
    <row r="1144" spans="7:11" x14ac:dyDescent="0.45">
      <c r="G1144" s="9">
        <v>44358</v>
      </c>
      <c r="H1144" s="8">
        <v>15.65</v>
      </c>
      <c r="J1144" s="7">
        <v>11354</v>
      </c>
      <c r="K1144" s="8">
        <v>17</v>
      </c>
    </row>
    <row r="1145" spans="7:11" x14ac:dyDescent="0.45">
      <c r="G1145" s="9">
        <v>44357</v>
      </c>
      <c r="H1145" s="8">
        <v>16.100000000000001</v>
      </c>
      <c r="J1145" s="7">
        <v>11323</v>
      </c>
      <c r="K1145" s="8">
        <v>15.99</v>
      </c>
    </row>
    <row r="1146" spans="7:11" x14ac:dyDescent="0.45">
      <c r="G1146" s="9">
        <v>44356</v>
      </c>
      <c r="H1146" s="8">
        <v>17.89</v>
      </c>
      <c r="J1146" s="7">
        <v>11292</v>
      </c>
      <c r="K1146" s="8">
        <v>16.25</v>
      </c>
    </row>
    <row r="1147" spans="7:11" x14ac:dyDescent="0.45">
      <c r="G1147" s="9">
        <v>44355</v>
      </c>
      <c r="H1147" s="8">
        <v>17.07</v>
      </c>
      <c r="J1147" s="7">
        <v>11262</v>
      </c>
      <c r="K1147" s="8">
        <v>16.64</v>
      </c>
    </row>
    <row r="1148" spans="7:11" x14ac:dyDescent="0.45">
      <c r="G1148" s="9">
        <v>44354</v>
      </c>
      <c r="H1148" s="8">
        <v>16.420000000000002</v>
      </c>
      <c r="J1148" s="7">
        <v>11231</v>
      </c>
      <c r="K1148" s="8">
        <v>18.39</v>
      </c>
    </row>
    <row r="1149" spans="7:11" x14ac:dyDescent="0.45">
      <c r="G1149" s="9">
        <v>44351</v>
      </c>
      <c r="H1149" s="8">
        <v>16.420000000000002</v>
      </c>
      <c r="J1149" s="7">
        <v>11201</v>
      </c>
      <c r="K1149" s="8">
        <v>17.57</v>
      </c>
    </row>
    <row r="1150" spans="7:11" x14ac:dyDescent="0.45">
      <c r="G1150" s="9">
        <v>44350</v>
      </c>
      <c r="H1150" s="8">
        <v>18.04</v>
      </c>
      <c r="J1150" s="7">
        <v>11170</v>
      </c>
      <c r="K1150" s="8">
        <v>17.03</v>
      </c>
    </row>
    <row r="1151" spans="7:11" x14ac:dyDescent="0.45">
      <c r="G1151" s="9">
        <v>44349</v>
      </c>
      <c r="H1151" s="8">
        <v>17.48</v>
      </c>
      <c r="J1151" s="7">
        <v>11139</v>
      </c>
      <c r="K1151" s="8">
        <v>16.68</v>
      </c>
    </row>
    <row r="1152" spans="7:11" x14ac:dyDescent="0.45">
      <c r="G1152" s="9">
        <v>44348</v>
      </c>
      <c r="H1152" s="8">
        <v>17.899999999999999</v>
      </c>
      <c r="J1152" s="7">
        <v>11109</v>
      </c>
      <c r="K1152" s="8">
        <v>17.829999999999998</v>
      </c>
    </row>
    <row r="1153" spans="7:11" x14ac:dyDescent="0.45">
      <c r="G1153" s="9">
        <v>44344</v>
      </c>
      <c r="H1153" s="8">
        <v>16.760000000000002</v>
      </c>
      <c r="J1153" s="7">
        <v>11078</v>
      </c>
      <c r="K1153" s="8">
        <v>18.22</v>
      </c>
    </row>
    <row r="1154" spans="7:11" x14ac:dyDescent="0.45">
      <c r="G1154" s="9">
        <v>44343</v>
      </c>
      <c r="H1154" s="8">
        <v>16.739999999999998</v>
      </c>
      <c r="J1154" s="7">
        <v>11048</v>
      </c>
      <c r="K1154" s="8">
        <v>16.510000000000002</v>
      </c>
    </row>
    <row r="1155" spans="7:11" x14ac:dyDescent="0.45">
      <c r="G1155" s="9">
        <v>44342</v>
      </c>
      <c r="H1155" s="8">
        <v>17.36</v>
      </c>
      <c r="J1155" s="7">
        <v>11017</v>
      </c>
      <c r="K1155" s="8">
        <v>15.35</v>
      </c>
    </row>
    <row r="1156" spans="7:11" x14ac:dyDescent="0.45">
      <c r="G1156" s="9">
        <v>44341</v>
      </c>
      <c r="H1156" s="8">
        <v>18.84</v>
      </c>
      <c r="J1156" s="7">
        <v>10989</v>
      </c>
      <c r="K1156" s="8">
        <v>13.94</v>
      </c>
    </row>
    <row r="1157" spans="7:11" x14ac:dyDescent="0.45">
      <c r="G1157" s="9">
        <v>44340</v>
      </c>
      <c r="H1157" s="8">
        <v>18.399999999999999</v>
      </c>
      <c r="J1157" s="7">
        <v>10958</v>
      </c>
      <c r="K1157" s="8">
        <v>13.29</v>
      </c>
    </row>
    <row r="1158" spans="7:11" x14ac:dyDescent="0.45">
      <c r="G1158" s="9">
        <v>44337</v>
      </c>
      <c r="H1158" s="8">
        <v>20.149999999999999</v>
      </c>
      <c r="J1158" s="7">
        <v>10927</v>
      </c>
      <c r="K1158" s="8">
        <v>12.94</v>
      </c>
    </row>
    <row r="1159" spans="7:11" x14ac:dyDescent="0.45">
      <c r="G1159" s="9">
        <v>44336</v>
      </c>
      <c r="H1159" s="8">
        <v>20.67</v>
      </c>
      <c r="J1159" s="7">
        <v>10897</v>
      </c>
      <c r="K1159" s="8">
        <v>17.809999999999999</v>
      </c>
    </row>
    <row r="1160" spans="7:11" x14ac:dyDescent="0.45">
      <c r="G1160" s="9">
        <v>44335</v>
      </c>
      <c r="H1160" s="8">
        <v>22.18</v>
      </c>
      <c r="J1160" s="7">
        <v>10866</v>
      </c>
      <c r="K1160" s="8">
        <v>20.170000000000002</v>
      </c>
    </row>
    <row r="1161" spans="7:11" x14ac:dyDescent="0.45">
      <c r="G1161" s="9">
        <v>44334</v>
      </c>
      <c r="H1161" s="8">
        <v>21.34</v>
      </c>
      <c r="J1161" s="7">
        <v>10836</v>
      </c>
      <c r="K1161" s="8">
        <v>19.63</v>
      </c>
    </row>
    <row r="1162" spans="7:11" x14ac:dyDescent="0.45">
      <c r="G1162" s="9">
        <v>44333</v>
      </c>
      <c r="H1162" s="8">
        <v>19.72</v>
      </c>
      <c r="J1162" s="7">
        <v>10805</v>
      </c>
      <c r="K1162" s="8">
        <v>18.809999999999999</v>
      </c>
    </row>
    <row r="1163" spans="7:11" x14ac:dyDescent="0.45">
      <c r="G1163" s="9">
        <v>44330</v>
      </c>
      <c r="H1163" s="8">
        <v>18.809999999999999</v>
      </c>
      <c r="J1163" s="7">
        <v>10774</v>
      </c>
      <c r="K1163" s="8">
        <v>17.489999999999998</v>
      </c>
    </row>
    <row r="1164" spans="7:11" x14ac:dyDescent="0.45">
      <c r="G1164" s="9">
        <v>44329</v>
      </c>
      <c r="H1164" s="8">
        <v>23.13</v>
      </c>
      <c r="J1164" s="7">
        <v>10744</v>
      </c>
      <c r="K1164" s="8">
        <v>17.38</v>
      </c>
    </row>
    <row r="1165" spans="7:11" x14ac:dyDescent="0.45">
      <c r="G1165" s="9">
        <v>44328</v>
      </c>
      <c r="H1165" s="8">
        <v>27.59</v>
      </c>
      <c r="J1165" s="7">
        <v>10713</v>
      </c>
      <c r="K1165" s="8">
        <v>17.350000000000001</v>
      </c>
    </row>
    <row r="1166" spans="7:11" x14ac:dyDescent="0.45">
      <c r="G1166" s="9">
        <v>44327</v>
      </c>
      <c r="H1166" s="8">
        <v>21.84</v>
      </c>
      <c r="J1166" s="7">
        <v>10683</v>
      </c>
      <c r="K1166" s="8">
        <v>17.68</v>
      </c>
    </row>
    <row r="1167" spans="7:11" x14ac:dyDescent="0.45">
      <c r="G1167" s="9">
        <v>44326</v>
      </c>
      <c r="H1167" s="8">
        <v>19.66</v>
      </c>
      <c r="J1167" s="7">
        <v>10652</v>
      </c>
      <c r="K1167" s="8">
        <v>17.62</v>
      </c>
    </row>
    <row r="1168" spans="7:11" x14ac:dyDescent="0.45">
      <c r="G1168" s="9">
        <v>44323</v>
      </c>
      <c r="H1168" s="8">
        <v>16.690000000000001</v>
      </c>
      <c r="J1168" s="7">
        <v>10624</v>
      </c>
      <c r="K1168" s="8">
        <v>17.77</v>
      </c>
    </row>
    <row r="1169" spans="7:11" x14ac:dyDescent="0.45">
      <c r="G1169" s="9">
        <v>44322</v>
      </c>
      <c r="H1169" s="8">
        <v>18.39</v>
      </c>
      <c r="J1169" s="7">
        <v>10593</v>
      </c>
      <c r="K1169" s="8">
        <v>16.78</v>
      </c>
    </row>
    <row r="1170" spans="7:11" x14ac:dyDescent="0.45">
      <c r="G1170" s="9">
        <v>44321</v>
      </c>
      <c r="H1170" s="8">
        <v>19.149999999999999</v>
      </c>
      <c r="J1170" s="7">
        <v>10562</v>
      </c>
      <c r="K1170" s="8">
        <v>16.989999999999998</v>
      </c>
    </row>
    <row r="1171" spans="7:11" x14ac:dyDescent="0.45">
      <c r="G1171" s="9">
        <v>44320</v>
      </c>
      <c r="H1171" s="8">
        <v>19.48</v>
      </c>
      <c r="J1171" s="7">
        <v>10532</v>
      </c>
      <c r="K1171" s="8">
        <v>16.18</v>
      </c>
    </row>
    <row r="1172" spans="7:11" x14ac:dyDescent="0.45">
      <c r="G1172" s="9">
        <v>44319</v>
      </c>
      <c r="H1172" s="8">
        <v>18.309999999999999</v>
      </c>
      <c r="J1172" s="7">
        <v>10501</v>
      </c>
      <c r="K1172" s="8">
        <v>16.14</v>
      </c>
    </row>
    <row r="1173" spans="7:11" x14ac:dyDescent="0.45">
      <c r="G1173" s="9">
        <v>44316</v>
      </c>
      <c r="H1173" s="8">
        <v>18.61</v>
      </c>
      <c r="J1173" s="7">
        <v>10471</v>
      </c>
      <c r="K1173" s="8">
        <v>15.33</v>
      </c>
    </row>
    <row r="1174" spans="7:11" x14ac:dyDescent="0.45">
      <c r="G1174" s="9">
        <v>44315</v>
      </c>
      <c r="H1174" s="8">
        <v>17.61</v>
      </c>
      <c r="J1174" s="7">
        <v>10440</v>
      </c>
      <c r="K1174" s="8">
        <v>15.11</v>
      </c>
    </row>
    <row r="1175" spans="7:11" x14ac:dyDescent="0.45">
      <c r="G1175" s="9">
        <v>44314</v>
      </c>
      <c r="H1175" s="8">
        <v>17.28</v>
      </c>
      <c r="J1175" s="7">
        <v>10409</v>
      </c>
      <c r="K1175" s="8">
        <v>15.28</v>
      </c>
    </row>
    <row r="1176" spans="7:11" x14ac:dyDescent="0.45">
      <c r="G1176" s="9">
        <v>44313</v>
      </c>
      <c r="H1176" s="8">
        <v>17.559999999999999</v>
      </c>
      <c r="J1176" s="7">
        <v>10379</v>
      </c>
      <c r="K1176" s="8">
        <v>16.37</v>
      </c>
    </row>
    <row r="1177" spans="7:11" x14ac:dyDescent="0.45">
      <c r="G1177" s="9">
        <v>44312</v>
      </c>
      <c r="H1177" s="8">
        <v>17.64</v>
      </c>
      <c r="J1177" s="7">
        <v>10348</v>
      </c>
      <c r="K1177" s="8">
        <v>16.170000000000002</v>
      </c>
    </row>
    <row r="1178" spans="7:11" x14ac:dyDescent="0.45">
      <c r="G1178" s="9">
        <v>44309</v>
      </c>
      <c r="H1178" s="8">
        <v>17.329999999999998</v>
      </c>
      <c r="J1178" s="7">
        <v>10318</v>
      </c>
      <c r="K1178" s="8">
        <v>15.51</v>
      </c>
    </row>
    <row r="1179" spans="7:11" x14ac:dyDescent="0.45">
      <c r="G1179" s="9">
        <v>44308</v>
      </c>
      <c r="H1179" s="8">
        <v>18.71</v>
      </c>
      <c r="J1179" s="7">
        <v>10287</v>
      </c>
      <c r="K1179" s="8">
        <v>15</v>
      </c>
    </row>
    <row r="1180" spans="7:11" x14ac:dyDescent="0.45">
      <c r="G1180" s="9">
        <v>44307</v>
      </c>
      <c r="H1180" s="8">
        <v>17.5</v>
      </c>
      <c r="J1180" s="7">
        <v>10258</v>
      </c>
      <c r="K1180" s="8">
        <v>15.47</v>
      </c>
    </row>
    <row r="1181" spans="7:11" x14ac:dyDescent="0.45">
      <c r="G1181" s="9">
        <v>44306</v>
      </c>
      <c r="H1181" s="8">
        <v>18.68</v>
      </c>
      <c r="J1181" s="7">
        <v>10227</v>
      </c>
      <c r="K1181" s="8">
        <v>15.73</v>
      </c>
    </row>
    <row r="1182" spans="7:11" x14ac:dyDescent="0.45">
      <c r="G1182" s="9">
        <v>44305</v>
      </c>
      <c r="H1182" s="8">
        <v>17.29</v>
      </c>
      <c r="J1182" s="7">
        <v>10196</v>
      </c>
      <c r="K1182" s="8">
        <v>15.22</v>
      </c>
    </row>
    <row r="1183" spans="7:11" x14ac:dyDescent="0.45">
      <c r="G1183" s="9">
        <v>44302</v>
      </c>
      <c r="H1183" s="8">
        <v>16.25</v>
      </c>
      <c r="J1183" s="7">
        <v>10166</v>
      </c>
      <c r="K1183" s="8">
        <v>14.73</v>
      </c>
    </row>
    <row r="1184" spans="7:11" x14ac:dyDescent="0.45">
      <c r="G1184" s="9">
        <v>44301</v>
      </c>
      <c r="H1184" s="8">
        <v>16.57</v>
      </c>
      <c r="J1184" s="7">
        <v>10135</v>
      </c>
      <c r="K1184" s="8">
        <v>14.82</v>
      </c>
    </row>
    <row r="1185" spans="7:11" x14ac:dyDescent="0.45">
      <c r="G1185" s="9">
        <v>44300</v>
      </c>
      <c r="H1185" s="8">
        <v>16.989999999999998</v>
      </c>
      <c r="J1185" s="7">
        <v>10105</v>
      </c>
      <c r="K1185" s="8">
        <v>13.9</v>
      </c>
    </row>
    <row r="1186" spans="7:11" x14ac:dyDescent="0.45">
      <c r="G1186" s="9">
        <v>44299</v>
      </c>
      <c r="H1186" s="8">
        <v>16.649999999999999</v>
      </c>
      <c r="J1186" s="7">
        <v>10074</v>
      </c>
      <c r="K1186" s="8">
        <v>13.08</v>
      </c>
    </row>
    <row r="1187" spans="7:11" x14ac:dyDescent="0.45">
      <c r="G1187" s="9">
        <v>44298</v>
      </c>
      <c r="H1187" s="8">
        <v>16.91</v>
      </c>
      <c r="J1187" s="7">
        <v>10043</v>
      </c>
      <c r="K1187" s="8">
        <v>12.67</v>
      </c>
    </row>
    <row r="1188" spans="7:11" x14ac:dyDescent="0.45">
      <c r="G1188" s="9">
        <v>44295</v>
      </c>
      <c r="H1188" s="8">
        <v>16.690000000000001</v>
      </c>
      <c r="J1188" s="7">
        <v>10013</v>
      </c>
      <c r="K1188" s="8">
        <v>12.39</v>
      </c>
    </row>
    <row r="1189" spans="7:11" x14ac:dyDescent="0.45">
      <c r="G1189" s="9">
        <v>44294</v>
      </c>
      <c r="H1189" s="8">
        <v>16.95</v>
      </c>
      <c r="J1189" s="7">
        <v>9982</v>
      </c>
      <c r="K1189" s="8">
        <v>11.87</v>
      </c>
    </row>
    <row r="1190" spans="7:11" x14ac:dyDescent="0.45">
      <c r="G1190" s="9">
        <v>44293</v>
      </c>
      <c r="H1190" s="8">
        <v>17.16</v>
      </c>
      <c r="J1190" s="7">
        <v>9952</v>
      </c>
      <c r="K1190" s="8">
        <v>11.48</v>
      </c>
    </row>
    <row r="1191" spans="7:11" x14ac:dyDescent="0.45">
      <c r="G1191" s="9">
        <v>44292</v>
      </c>
      <c r="H1191" s="8">
        <v>18.12</v>
      </c>
      <c r="J1191" s="7">
        <v>9921</v>
      </c>
      <c r="K1191" s="8">
        <v>11.22</v>
      </c>
    </row>
    <row r="1192" spans="7:11" x14ac:dyDescent="0.45">
      <c r="G1192" s="9">
        <v>44291</v>
      </c>
      <c r="H1192" s="8">
        <v>17.91</v>
      </c>
      <c r="J1192" s="7">
        <v>9893</v>
      </c>
      <c r="K1192" s="8">
        <v>10.9</v>
      </c>
    </row>
    <row r="1193" spans="7:11" x14ac:dyDescent="0.45">
      <c r="G1193" s="9">
        <v>44287</v>
      </c>
      <c r="H1193" s="8">
        <v>17.329999999999998</v>
      </c>
      <c r="J1193" s="7">
        <v>9862</v>
      </c>
      <c r="K1193" s="8">
        <v>10.88</v>
      </c>
    </row>
    <row r="1194" spans="7:11" x14ac:dyDescent="0.45">
      <c r="G1194" s="9">
        <v>44286</v>
      </c>
      <c r="H1194" s="8">
        <v>19.399999999999999</v>
      </c>
      <c r="J1194" s="7">
        <v>9831</v>
      </c>
      <c r="K1194" s="8">
        <v>10.63</v>
      </c>
    </row>
    <row r="1195" spans="7:11" x14ac:dyDescent="0.45">
      <c r="G1195" s="9">
        <v>44285</v>
      </c>
      <c r="H1195" s="8">
        <v>19.61</v>
      </c>
      <c r="J1195" s="7">
        <v>9801</v>
      </c>
      <c r="K1195" s="8">
        <v>10.48</v>
      </c>
    </row>
    <row r="1196" spans="7:11" x14ac:dyDescent="0.45">
      <c r="G1196" s="9">
        <v>44284</v>
      </c>
      <c r="H1196" s="8">
        <v>20.74</v>
      </c>
      <c r="J1196" s="7">
        <v>9770</v>
      </c>
      <c r="K1196" s="8">
        <v>10.72</v>
      </c>
    </row>
    <row r="1197" spans="7:11" x14ac:dyDescent="0.45">
      <c r="G1197" s="9">
        <v>44281</v>
      </c>
      <c r="H1197" s="8">
        <v>18.86</v>
      </c>
      <c r="J1197" s="7">
        <v>9740</v>
      </c>
      <c r="K1197" s="8">
        <v>10.56</v>
      </c>
    </row>
    <row r="1198" spans="7:11" x14ac:dyDescent="0.45">
      <c r="G1198" s="9">
        <v>44280</v>
      </c>
      <c r="H1198" s="8">
        <v>19.809999999999999</v>
      </c>
      <c r="J1198" s="7">
        <v>9709</v>
      </c>
      <c r="K1198" s="8">
        <v>10.14</v>
      </c>
    </row>
    <row r="1199" spans="7:11" x14ac:dyDescent="0.45">
      <c r="G1199" s="9">
        <v>44279</v>
      </c>
      <c r="H1199" s="8">
        <v>21.2</v>
      </c>
      <c r="J1199" s="7">
        <v>9678</v>
      </c>
      <c r="K1199" s="8">
        <v>9.73</v>
      </c>
    </row>
    <row r="1200" spans="7:11" x14ac:dyDescent="0.45">
      <c r="G1200" s="9">
        <v>44278</v>
      </c>
      <c r="H1200" s="8">
        <v>20.3</v>
      </c>
      <c r="J1200" s="7">
        <v>9648</v>
      </c>
      <c r="K1200" s="8">
        <v>9.2799999999999994</v>
      </c>
    </row>
    <row r="1201" spans="7:11" x14ac:dyDescent="0.45">
      <c r="G1201" s="9">
        <v>44277</v>
      </c>
      <c r="H1201" s="8">
        <v>18.88</v>
      </c>
      <c r="J1201" s="7">
        <v>9617</v>
      </c>
      <c r="K1201" s="8">
        <v>9.2100000000000009</v>
      </c>
    </row>
    <row r="1202" spans="7:11" x14ac:dyDescent="0.45">
      <c r="G1202" s="9">
        <v>44274</v>
      </c>
      <c r="H1202" s="8">
        <v>20.95</v>
      </c>
      <c r="J1202" s="7">
        <v>9587</v>
      </c>
      <c r="K1202" s="8">
        <v>9.4600000000000009</v>
      </c>
    </row>
    <row r="1203" spans="7:11" x14ac:dyDescent="0.45">
      <c r="G1203" s="9">
        <v>44273</v>
      </c>
      <c r="H1203" s="8">
        <v>21.58</v>
      </c>
      <c r="J1203" s="7">
        <v>9556</v>
      </c>
      <c r="K1203" s="8">
        <v>10.15</v>
      </c>
    </row>
    <row r="1204" spans="7:11" x14ac:dyDescent="0.45">
      <c r="G1204" s="9">
        <v>44272</v>
      </c>
      <c r="H1204" s="8">
        <v>19.23</v>
      </c>
      <c r="J1204" s="7">
        <v>9528</v>
      </c>
      <c r="K1204" s="8">
        <v>10.130000000000001</v>
      </c>
    </row>
    <row r="1205" spans="7:11" x14ac:dyDescent="0.45">
      <c r="G1205" s="9">
        <v>44271</v>
      </c>
      <c r="H1205" s="8">
        <v>19.79</v>
      </c>
      <c r="J1205" s="7">
        <v>9497</v>
      </c>
      <c r="K1205" s="8">
        <v>9.9700000000000006</v>
      </c>
    </row>
    <row r="1206" spans="7:11" x14ac:dyDescent="0.45">
      <c r="G1206" s="9">
        <v>44270</v>
      </c>
      <c r="H1206" s="8">
        <v>20.03</v>
      </c>
      <c r="J1206" s="7">
        <v>9466</v>
      </c>
      <c r="K1206" s="8">
        <v>10.02</v>
      </c>
    </row>
    <row r="1207" spans="7:11" x14ac:dyDescent="0.45">
      <c r="G1207" s="9">
        <v>44267</v>
      </c>
      <c r="H1207" s="8">
        <v>20.69</v>
      </c>
      <c r="J1207" s="7">
        <v>9436</v>
      </c>
      <c r="K1207" s="8">
        <v>9.93</v>
      </c>
    </row>
    <row r="1208" spans="7:11" x14ac:dyDescent="0.45">
      <c r="G1208" s="9">
        <v>44266</v>
      </c>
      <c r="H1208" s="8">
        <v>21.91</v>
      </c>
      <c r="J1208" s="7">
        <v>9405</v>
      </c>
      <c r="K1208" s="8">
        <v>9.84</v>
      </c>
    </row>
    <row r="1209" spans="7:11" x14ac:dyDescent="0.45">
      <c r="G1209" s="9">
        <v>44265</v>
      </c>
      <c r="H1209" s="8">
        <v>22.56</v>
      </c>
      <c r="J1209" s="7">
        <v>9375</v>
      </c>
      <c r="K1209" s="8">
        <v>9.84</v>
      </c>
    </row>
    <row r="1210" spans="7:11" x14ac:dyDescent="0.45">
      <c r="G1210" s="9">
        <v>44264</v>
      </c>
      <c r="H1210" s="8">
        <v>24.03</v>
      </c>
      <c r="J1210" s="7">
        <v>9344</v>
      </c>
      <c r="K1210" s="8">
        <v>9.94</v>
      </c>
    </row>
    <row r="1211" spans="7:11" x14ac:dyDescent="0.45">
      <c r="G1211" s="9">
        <v>44263</v>
      </c>
      <c r="H1211" s="8">
        <v>25.47</v>
      </c>
      <c r="J1211" s="7">
        <v>9313</v>
      </c>
      <c r="K1211" s="8">
        <v>9.91</v>
      </c>
    </row>
    <row r="1212" spans="7:11" x14ac:dyDescent="0.45">
      <c r="G1212" s="9">
        <v>44260</v>
      </c>
      <c r="H1212" s="8">
        <v>24.66</v>
      </c>
      <c r="J1212" s="7">
        <v>9283</v>
      </c>
      <c r="K1212" s="8">
        <v>9.98</v>
      </c>
    </row>
    <row r="1213" spans="7:11" x14ac:dyDescent="0.45">
      <c r="G1213" s="9">
        <v>44259</v>
      </c>
      <c r="H1213" s="8">
        <v>28.57</v>
      </c>
      <c r="J1213" s="7">
        <v>9252</v>
      </c>
      <c r="K1213" s="8">
        <v>9.91</v>
      </c>
    </row>
    <row r="1214" spans="7:11" x14ac:dyDescent="0.45">
      <c r="G1214" s="9">
        <v>44258</v>
      </c>
      <c r="H1214" s="8">
        <v>26.67</v>
      </c>
      <c r="J1214" s="7">
        <v>9222</v>
      </c>
      <c r="K1214" s="8">
        <v>10.29</v>
      </c>
    </row>
    <row r="1215" spans="7:11" x14ac:dyDescent="0.45">
      <c r="G1215" s="9">
        <v>44257</v>
      </c>
      <c r="H1215" s="8">
        <v>24.1</v>
      </c>
      <c r="J1215" s="7">
        <v>9191</v>
      </c>
      <c r="K1215" s="8">
        <v>10.85</v>
      </c>
    </row>
    <row r="1216" spans="7:11" x14ac:dyDescent="0.45">
      <c r="G1216" s="9">
        <v>44256</v>
      </c>
      <c r="H1216" s="8">
        <v>23.35</v>
      </c>
      <c r="J1216" s="7">
        <v>9163</v>
      </c>
      <c r="K1216" s="8">
        <v>11.06</v>
      </c>
    </row>
    <row r="1217" spans="7:11" x14ac:dyDescent="0.45">
      <c r="G1217" s="9">
        <v>44253</v>
      </c>
      <c r="H1217" s="8">
        <v>27.95</v>
      </c>
      <c r="J1217" s="7">
        <v>9132</v>
      </c>
      <c r="K1217" s="8">
        <v>10.92</v>
      </c>
    </row>
    <row r="1218" spans="7:11" x14ac:dyDescent="0.45">
      <c r="G1218" s="9">
        <v>44252</v>
      </c>
      <c r="H1218" s="8">
        <v>28.89</v>
      </c>
      <c r="J1218" s="7">
        <v>9101</v>
      </c>
      <c r="K1218" s="8">
        <v>10.32</v>
      </c>
    </row>
    <row r="1219" spans="7:11" x14ac:dyDescent="0.45">
      <c r="G1219" s="9">
        <v>44251</v>
      </c>
      <c r="H1219" s="8">
        <v>21.34</v>
      </c>
      <c r="J1219" s="7">
        <v>9071</v>
      </c>
      <c r="K1219" s="8">
        <v>9.73</v>
      </c>
    </row>
    <row r="1220" spans="7:11" x14ac:dyDescent="0.45">
      <c r="G1220" s="9">
        <v>44250</v>
      </c>
      <c r="H1220" s="8">
        <v>23.11</v>
      </c>
      <c r="J1220" s="7">
        <v>9040</v>
      </c>
      <c r="K1220" s="8">
        <v>9.81</v>
      </c>
    </row>
    <row r="1221" spans="7:11" x14ac:dyDescent="0.45">
      <c r="G1221" s="9">
        <v>44249</v>
      </c>
      <c r="H1221" s="8">
        <v>23.45</v>
      </c>
      <c r="J1221" s="7">
        <v>9010</v>
      </c>
      <c r="K1221" s="8">
        <v>9.8699999999999992</v>
      </c>
    </row>
    <row r="1222" spans="7:11" x14ac:dyDescent="0.45">
      <c r="G1222" s="9">
        <v>44246</v>
      </c>
      <c r="H1222" s="8">
        <v>22.05</v>
      </c>
      <c r="J1222" s="7">
        <v>8979</v>
      </c>
      <c r="K1222" s="8">
        <v>9.5</v>
      </c>
    </row>
    <row r="1223" spans="7:11" x14ac:dyDescent="0.45">
      <c r="G1223" s="9">
        <v>44245</v>
      </c>
      <c r="H1223" s="8">
        <v>22.49</v>
      </c>
      <c r="J1223" s="7">
        <v>8948</v>
      </c>
      <c r="K1223" s="8">
        <v>9.0399999999999991</v>
      </c>
    </row>
    <row r="1224" spans="7:11" x14ac:dyDescent="0.45">
      <c r="G1224" s="9">
        <v>44244</v>
      </c>
      <c r="H1224" s="8">
        <v>21.5</v>
      </c>
      <c r="J1224" s="7">
        <v>8918</v>
      </c>
      <c r="K1224" s="8">
        <v>8.83</v>
      </c>
    </row>
    <row r="1225" spans="7:11" x14ac:dyDescent="0.45">
      <c r="G1225" s="9">
        <v>44243</v>
      </c>
      <c r="H1225" s="8">
        <v>21.46</v>
      </c>
      <c r="J1225" s="7">
        <v>8887</v>
      </c>
      <c r="K1225" s="8">
        <v>8.82</v>
      </c>
    </row>
    <row r="1226" spans="7:11" x14ac:dyDescent="0.45">
      <c r="G1226" s="9">
        <v>44239</v>
      </c>
      <c r="H1226" s="8">
        <v>19.97</v>
      </c>
      <c r="J1226" s="7">
        <v>8857</v>
      </c>
      <c r="K1226" s="8">
        <v>8.99</v>
      </c>
    </row>
    <row r="1227" spans="7:11" x14ac:dyDescent="0.45">
      <c r="G1227" s="9">
        <v>44238</v>
      </c>
      <c r="H1227" s="8">
        <v>21.25</v>
      </c>
      <c r="J1227" s="7">
        <v>8826</v>
      </c>
      <c r="K1227" s="8">
        <v>9.1300000000000008</v>
      </c>
    </row>
    <row r="1228" spans="7:11" x14ac:dyDescent="0.45">
      <c r="G1228" s="9">
        <v>44237</v>
      </c>
      <c r="H1228" s="8">
        <v>21.99</v>
      </c>
      <c r="J1228" s="7">
        <v>8797</v>
      </c>
      <c r="K1228" s="8">
        <v>9.0500000000000007</v>
      </c>
    </row>
    <row r="1229" spans="7:11" x14ac:dyDescent="0.45">
      <c r="G1229" s="9">
        <v>44236</v>
      </c>
      <c r="H1229" s="8">
        <v>21.63</v>
      </c>
      <c r="J1229" s="7">
        <v>8766</v>
      </c>
      <c r="K1229" s="8">
        <v>8.7200000000000006</v>
      </c>
    </row>
    <row r="1230" spans="7:11" x14ac:dyDescent="0.45">
      <c r="G1230" s="9">
        <v>44235</v>
      </c>
      <c r="H1230" s="8">
        <v>21.24</v>
      </c>
      <c r="J1230" s="7">
        <v>8735</v>
      </c>
      <c r="K1230" s="8">
        <v>8.65</v>
      </c>
    </row>
    <row r="1231" spans="7:11" x14ac:dyDescent="0.45">
      <c r="G1231" s="9">
        <v>44232</v>
      </c>
      <c r="H1231" s="8">
        <v>20.87</v>
      </c>
      <c r="J1231" s="7">
        <v>8705</v>
      </c>
      <c r="K1231" s="8">
        <v>8.6199999999999992</v>
      </c>
    </row>
    <row r="1232" spans="7:11" x14ac:dyDescent="0.45">
      <c r="G1232" s="9">
        <v>44231</v>
      </c>
      <c r="H1232" s="8">
        <v>21.77</v>
      </c>
      <c r="J1232" s="7">
        <v>8674</v>
      </c>
      <c r="K1232" s="8">
        <v>8.98</v>
      </c>
    </row>
    <row r="1233" spans="7:11" x14ac:dyDescent="0.45">
      <c r="G1233" s="9">
        <v>44230</v>
      </c>
      <c r="H1233" s="8">
        <v>22.91</v>
      </c>
      <c r="J1233" s="7">
        <v>8644</v>
      </c>
      <c r="K1233" s="8">
        <v>9.17</v>
      </c>
    </row>
    <row r="1234" spans="7:11" x14ac:dyDescent="0.45">
      <c r="G1234" s="9">
        <v>44229</v>
      </c>
      <c r="H1234" s="8">
        <v>25.56</v>
      </c>
      <c r="J1234" s="7">
        <v>8613</v>
      </c>
      <c r="K1234" s="8">
        <v>9.3800000000000008</v>
      </c>
    </row>
    <row r="1235" spans="7:11" x14ac:dyDescent="0.45">
      <c r="G1235" s="9">
        <v>44228</v>
      </c>
      <c r="H1235" s="8">
        <v>30.24</v>
      </c>
      <c r="J1235" s="7">
        <v>8582</v>
      </c>
      <c r="K1235" s="8">
        <v>9.99</v>
      </c>
    </row>
    <row r="1236" spans="7:11" x14ac:dyDescent="0.45">
      <c r="G1236" s="9">
        <v>44225</v>
      </c>
      <c r="H1236" s="8">
        <v>33.090000000000003</v>
      </c>
      <c r="J1236" s="7">
        <v>8552</v>
      </c>
      <c r="K1236" s="8">
        <v>10.69</v>
      </c>
    </row>
    <row r="1237" spans="7:11" x14ac:dyDescent="0.45">
      <c r="G1237" s="9">
        <v>44224</v>
      </c>
      <c r="H1237" s="8">
        <v>30.21</v>
      </c>
      <c r="J1237" s="7">
        <v>8521</v>
      </c>
      <c r="K1237" s="8">
        <v>11.57</v>
      </c>
    </row>
    <row r="1238" spans="7:11" x14ac:dyDescent="0.45">
      <c r="G1238" s="9">
        <v>44223</v>
      </c>
      <c r="H1238" s="8">
        <v>37.21</v>
      </c>
      <c r="J1238" s="7">
        <v>8491</v>
      </c>
      <c r="K1238" s="8">
        <v>12.37</v>
      </c>
    </row>
    <row r="1239" spans="7:11" x14ac:dyDescent="0.45">
      <c r="G1239" s="9">
        <v>44222</v>
      </c>
      <c r="H1239" s="8">
        <v>23.02</v>
      </c>
      <c r="J1239" s="7">
        <v>8460</v>
      </c>
      <c r="K1239" s="8">
        <v>12.57</v>
      </c>
    </row>
    <row r="1240" spans="7:11" x14ac:dyDescent="0.45">
      <c r="G1240" s="9">
        <v>44221</v>
      </c>
      <c r="H1240" s="8">
        <v>23.19</v>
      </c>
      <c r="J1240" s="7">
        <v>8432</v>
      </c>
      <c r="K1240" s="8">
        <v>12.46</v>
      </c>
    </row>
    <row r="1241" spans="7:11" x14ac:dyDescent="0.45">
      <c r="G1241" s="9">
        <v>44219</v>
      </c>
      <c r="H1241" s="8">
        <v>21.93</v>
      </c>
      <c r="J1241" s="7">
        <v>8401</v>
      </c>
      <c r="K1241" s="8">
        <v>12.72</v>
      </c>
    </row>
    <row r="1242" spans="7:11" x14ac:dyDescent="0.45">
      <c r="G1242" s="9">
        <v>44218</v>
      </c>
      <c r="H1242" s="8">
        <v>21.91</v>
      </c>
      <c r="J1242" s="7">
        <v>8370</v>
      </c>
      <c r="K1242" s="8">
        <v>13.4</v>
      </c>
    </row>
    <row r="1243" spans="7:11" x14ac:dyDescent="0.45">
      <c r="G1243" s="9">
        <v>44217</v>
      </c>
      <c r="H1243" s="8">
        <v>21.32</v>
      </c>
      <c r="J1243" s="7">
        <v>8340</v>
      </c>
      <c r="K1243" s="8">
        <v>14.86</v>
      </c>
    </row>
    <row r="1244" spans="7:11" x14ac:dyDescent="0.45">
      <c r="G1244" s="9">
        <v>44216</v>
      </c>
      <c r="H1244" s="8">
        <v>21.58</v>
      </c>
      <c r="J1244" s="7">
        <v>8309</v>
      </c>
      <c r="K1244" s="8">
        <v>15.36</v>
      </c>
    </row>
    <row r="1245" spans="7:11" x14ac:dyDescent="0.45">
      <c r="G1245" s="9">
        <v>44215</v>
      </c>
      <c r="H1245" s="8">
        <v>23.24</v>
      </c>
      <c r="J1245" s="7">
        <v>8279</v>
      </c>
      <c r="K1245" s="8">
        <v>15.86</v>
      </c>
    </row>
    <row r="1246" spans="7:11" x14ac:dyDescent="0.45">
      <c r="G1246" s="9">
        <v>44212</v>
      </c>
      <c r="H1246" s="8">
        <v>24.21</v>
      </c>
      <c r="J1246" s="7">
        <v>8248</v>
      </c>
      <c r="K1246" s="8">
        <v>16.260000000000002</v>
      </c>
    </row>
    <row r="1247" spans="7:11" x14ac:dyDescent="0.45">
      <c r="G1247" s="9">
        <v>44211</v>
      </c>
      <c r="H1247" s="8">
        <v>24.34</v>
      </c>
      <c r="J1247" s="7">
        <v>8217</v>
      </c>
      <c r="K1247" s="8">
        <v>17.239999999999998</v>
      </c>
    </row>
    <row r="1248" spans="7:11" x14ac:dyDescent="0.45">
      <c r="G1248" s="9">
        <v>44210</v>
      </c>
      <c r="H1248" s="8">
        <v>23.25</v>
      </c>
      <c r="J1248" s="7">
        <v>8187</v>
      </c>
      <c r="K1248" s="8">
        <v>18.68</v>
      </c>
    </row>
    <row r="1249" spans="7:11" x14ac:dyDescent="0.45">
      <c r="G1249" s="9">
        <v>44209</v>
      </c>
      <c r="H1249" s="8">
        <v>22.21</v>
      </c>
      <c r="J1249" s="7">
        <v>8156</v>
      </c>
      <c r="K1249" s="8">
        <v>19.399999999999999</v>
      </c>
    </row>
    <row r="1250" spans="7:11" x14ac:dyDescent="0.45">
      <c r="G1250" s="9">
        <v>44208</v>
      </c>
      <c r="H1250" s="8">
        <v>23.33</v>
      </c>
      <c r="J1250" s="7">
        <v>8126</v>
      </c>
      <c r="K1250" s="8">
        <v>19.850000000000001</v>
      </c>
    </row>
    <row r="1251" spans="7:11" x14ac:dyDescent="0.45">
      <c r="G1251" s="9">
        <v>44207</v>
      </c>
      <c r="H1251" s="8">
        <v>24.08</v>
      </c>
      <c r="J1251" s="7">
        <v>8095</v>
      </c>
      <c r="K1251" s="8">
        <v>20.91</v>
      </c>
    </row>
    <row r="1252" spans="7:11" x14ac:dyDescent="0.45">
      <c r="G1252" s="9">
        <v>44205</v>
      </c>
      <c r="H1252" s="8">
        <v>21.69</v>
      </c>
      <c r="J1252" s="7">
        <v>8067</v>
      </c>
      <c r="K1252" s="8">
        <v>22.58</v>
      </c>
    </row>
    <row r="1253" spans="7:11" x14ac:dyDescent="0.45">
      <c r="G1253" s="9">
        <v>44204</v>
      </c>
      <c r="H1253" s="8">
        <v>21.56</v>
      </c>
      <c r="J1253" s="7">
        <v>8036</v>
      </c>
      <c r="K1253" s="8">
        <v>25.21</v>
      </c>
    </row>
    <row r="1254" spans="7:11" x14ac:dyDescent="0.45">
      <c r="G1254" s="9">
        <v>44203</v>
      </c>
      <c r="H1254" s="8">
        <v>22.37</v>
      </c>
      <c r="J1254" s="7">
        <v>8005</v>
      </c>
      <c r="K1254" s="8">
        <v>21.23</v>
      </c>
    </row>
    <row r="1255" spans="7:11" x14ac:dyDescent="0.45">
      <c r="G1255" s="9">
        <v>44202</v>
      </c>
      <c r="H1255" s="8">
        <v>25.07</v>
      </c>
      <c r="J1255" s="7">
        <v>7975</v>
      </c>
      <c r="K1255" s="8">
        <v>17.87</v>
      </c>
    </row>
    <row r="1256" spans="7:11" x14ac:dyDescent="0.45">
      <c r="G1256" s="9">
        <v>44201</v>
      </c>
      <c r="H1256" s="8">
        <v>25.34</v>
      </c>
      <c r="J1256" s="7">
        <v>7944</v>
      </c>
      <c r="K1256" s="8">
        <v>15.83</v>
      </c>
    </row>
    <row r="1257" spans="7:11" x14ac:dyDescent="0.45">
      <c r="G1257" s="9">
        <v>44200</v>
      </c>
      <c r="H1257" s="8">
        <v>26.97</v>
      </c>
      <c r="J1257" s="7">
        <v>7914</v>
      </c>
      <c r="K1257" s="8">
        <v>14.02</v>
      </c>
    </row>
    <row r="1258" spans="7:11" x14ac:dyDescent="0.45">
      <c r="G1258" s="9">
        <v>44197</v>
      </c>
      <c r="H1258" s="8">
        <v>22.68</v>
      </c>
      <c r="J1258" s="7">
        <v>7883</v>
      </c>
      <c r="K1258" s="8">
        <v>13</v>
      </c>
    </row>
    <row r="1259" spans="7:11" x14ac:dyDescent="0.45">
      <c r="G1259" s="9">
        <v>44196</v>
      </c>
      <c r="H1259" s="8">
        <v>22.75</v>
      </c>
      <c r="J1259" s="7">
        <v>7852</v>
      </c>
      <c r="K1259" s="8">
        <v>12.02</v>
      </c>
    </row>
    <row r="1260" spans="7:11" x14ac:dyDescent="0.45">
      <c r="G1260" s="9">
        <v>44195</v>
      </c>
      <c r="H1260" s="8">
        <v>22.77</v>
      </c>
      <c r="J1260" s="7">
        <v>7822</v>
      </c>
      <c r="K1260" s="8">
        <v>12.12</v>
      </c>
    </row>
    <row r="1261" spans="7:11" x14ac:dyDescent="0.45">
      <c r="G1261" s="9">
        <v>44194</v>
      </c>
      <c r="H1261" s="8">
        <v>23.08</v>
      </c>
      <c r="J1261" s="7">
        <v>7791</v>
      </c>
      <c r="K1261" s="8">
        <v>10.97</v>
      </c>
    </row>
    <row r="1262" spans="7:11" x14ac:dyDescent="0.45">
      <c r="G1262" s="9">
        <v>44193</v>
      </c>
      <c r="H1262" s="8">
        <v>21.7</v>
      </c>
      <c r="J1262" s="7">
        <v>7761</v>
      </c>
      <c r="K1262" s="8">
        <v>10.23</v>
      </c>
    </row>
    <row r="1263" spans="7:11" x14ac:dyDescent="0.45">
      <c r="G1263" s="9">
        <v>44189</v>
      </c>
      <c r="H1263" s="8">
        <v>21.53</v>
      </c>
      <c r="J1263" s="7">
        <v>7730</v>
      </c>
      <c r="K1263" s="8">
        <v>9.8699999999999992</v>
      </c>
    </row>
    <row r="1264" spans="7:11" x14ac:dyDescent="0.45">
      <c r="G1264" s="9">
        <v>44188</v>
      </c>
      <c r="H1264" s="8">
        <v>23.31</v>
      </c>
      <c r="J1264" s="7">
        <v>7702</v>
      </c>
      <c r="K1264" s="8">
        <v>9.39</v>
      </c>
    </row>
    <row r="1265" spans="7:11" x14ac:dyDescent="0.45">
      <c r="G1265" s="9">
        <v>44187</v>
      </c>
      <c r="H1265" s="8">
        <v>24.23</v>
      </c>
      <c r="J1265" s="7">
        <v>7671</v>
      </c>
      <c r="K1265" s="8">
        <v>8.51</v>
      </c>
    </row>
    <row r="1266" spans="7:11" x14ac:dyDescent="0.45">
      <c r="G1266" s="9">
        <v>44186</v>
      </c>
      <c r="H1266" s="8">
        <v>25.16</v>
      </c>
      <c r="J1266" s="7">
        <v>7640</v>
      </c>
      <c r="K1266" s="8">
        <v>9.23</v>
      </c>
    </row>
    <row r="1267" spans="7:11" x14ac:dyDescent="0.45">
      <c r="G1267" s="9">
        <v>44184</v>
      </c>
      <c r="H1267" s="8">
        <v>21.81</v>
      </c>
      <c r="J1267" s="7">
        <v>7610</v>
      </c>
      <c r="K1267" s="8">
        <v>9.59</v>
      </c>
    </row>
    <row r="1268" spans="7:11" x14ac:dyDescent="0.45">
      <c r="G1268" s="9">
        <v>44183</v>
      </c>
      <c r="H1268" s="8">
        <v>21.57</v>
      </c>
      <c r="J1268" s="7">
        <v>7579</v>
      </c>
      <c r="K1268" s="8">
        <v>9.4499999999999993</v>
      </c>
    </row>
    <row r="1269" spans="7:11" x14ac:dyDescent="0.45">
      <c r="G1269" s="9">
        <v>44182</v>
      </c>
      <c r="H1269" s="8">
        <v>21.93</v>
      </c>
      <c r="J1269" s="7">
        <v>7549</v>
      </c>
      <c r="K1269" s="8">
        <v>9.01</v>
      </c>
    </row>
    <row r="1270" spans="7:11" x14ac:dyDescent="0.45">
      <c r="G1270" s="9">
        <v>44181</v>
      </c>
      <c r="H1270" s="8">
        <v>22.5</v>
      </c>
      <c r="J1270" s="7">
        <v>7518</v>
      </c>
      <c r="K1270" s="8">
        <v>9.26</v>
      </c>
    </row>
    <row r="1271" spans="7:11" x14ac:dyDescent="0.45">
      <c r="G1271" s="9">
        <v>44180</v>
      </c>
      <c r="H1271" s="8">
        <v>22.89</v>
      </c>
      <c r="J1271" s="7">
        <v>7487</v>
      </c>
      <c r="K1271" s="8">
        <v>9.16</v>
      </c>
    </row>
    <row r="1272" spans="7:11" x14ac:dyDescent="0.45">
      <c r="G1272" s="9">
        <v>44179</v>
      </c>
      <c r="H1272" s="8">
        <v>24.72</v>
      </c>
      <c r="J1272" s="7">
        <v>7457</v>
      </c>
      <c r="K1272" s="8">
        <v>9.1999999999999993</v>
      </c>
    </row>
    <row r="1273" spans="7:11" x14ac:dyDescent="0.45">
      <c r="G1273" s="9">
        <v>44177</v>
      </c>
      <c r="H1273" s="8">
        <v>23.4</v>
      </c>
      <c r="J1273" s="7">
        <v>7426</v>
      </c>
      <c r="K1273" s="8">
        <v>9.6999999999999993</v>
      </c>
    </row>
    <row r="1274" spans="7:11" x14ac:dyDescent="0.45">
      <c r="G1274" s="9">
        <v>44176</v>
      </c>
      <c r="H1274" s="8">
        <v>23.31</v>
      </c>
      <c r="J1274" s="7">
        <v>7396</v>
      </c>
      <c r="K1274" s="8">
        <v>9.66</v>
      </c>
    </row>
    <row r="1275" spans="7:11" x14ac:dyDescent="0.45">
      <c r="G1275" s="9">
        <v>44175</v>
      </c>
      <c r="H1275" s="8">
        <v>22.52</v>
      </c>
      <c r="J1275" s="7">
        <v>7365</v>
      </c>
      <c r="K1275" s="8">
        <v>8.92</v>
      </c>
    </row>
    <row r="1276" spans="7:11" x14ac:dyDescent="0.45">
      <c r="G1276" s="9">
        <v>44174</v>
      </c>
      <c r="H1276" s="8">
        <v>22.27</v>
      </c>
      <c r="J1276" s="7">
        <v>7336</v>
      </c>
      <c r="K1276" s="8">
        <v>9.61</v>
      </c>
    </row>
    <row r="1277" spans="7:11" x14ac:dyDescent="0.45">
      <c r="G1277" s="9">
        <v>44173</v>
      </c>
      <c r="H1277" s="8">
        <v>20.68</v>
      </c>
      <c r="J1277" s="7">
        <v>7305</v>
      </c>
      <c r="K1277" s="8">
        <v>9.59</v>
      </c>
    </row>
    <row r="1278" spans="7:11" x14ac:dyDescent="0.45">
      <c r="G1278" s="9">
        <v>44172</v>
      </c>
      <c r="H1278" s="8">
        <v>21.3</v>
      </c>
      <c r="J1278" s="7">
        <v>7274</v>
      </c>
      <c r="K1278" s="8">
        <v>9.83</v>
      </c>
    </row>
    <row r="1279" spans="7:11" x14ac:dyDescent="0.45">
      <c r="G1279" s="9">
        <v>44170</v>
      </c>
      <c r="H1279" s="8">
        <v>20.66</v>
      </c>
      <c r="J1279" s="7">
        <v>7244</v>
      </c>
      <c r="K1279" s="8">
        <v>10.07</v>
      </c>
    </row>
    <row r="1280" spans="7:11" x14ac:dyDescent="0.45">
      <c r="G1280" s="9">
        <v>44169</v>
      </c>
      <c r="H1280" s="8">
        <v>20.79</v>
      </c>
      <c r="J1280" s="7">
        <v>7213</v>
      </c>
      <c r="K1280" s="8">
        <v>9.5299999999999994</v>
      </c>
    </row>
    <row r="1281" spans="7:11" x14ac:dyDescent="0.45">
      <c r="G1281" s="9">
        <v>44168</v>
      </c>
      <c r="H1281" s="8">
        <v>21.28</v>
      </c>
      <c r="J1281" s="7">
        <v>7183</v>
      </c>
      <c r="K1281" s="8">
        <v>9.34</v>
      </c>
    </row>
    <row r="1282" spans="7:11" x14ac:dyDescent="0.45">
      <c r="G1282" s="9">
        <v>44167</v>
      </c>
      <c r="H1282" s="8">
        <v>21.17</v>
      </c>
      <c r="J1282" s="7">
        <v>7152</v>
      </c>
      <c r="K1282" s="8">
        <v>9.9600000000000009</v>
      </c>
    </row>
    <row r="1283" spans="7:11" x14ac:dyDescent="0.45">
      <c r="G1283" s="9">
        <v>44166</v>
      </c>
      <c r="H1283" s="8">
        <v>20.77</v>
      </c>
      <c r="J1283" s="7">
        <v>7121</v>
      </c>
      <c r="K1283" s="8">
        <v>9.59</v>
      </c>
    </row>
    <row r="1284" spans="7:11" x14ac:dyDescent="0.45">
      <c r="G1284" s="9">
        <v>44165</v>
      </c>
      <c r="H1284" s="8">
        <v>20.57</v>
      </c>
      <c r="J1284" s="7">
        <v>7091</v>
      </c>
      <c r="K1284" s="8">
        <v>9.3000000000000007</v>
      </c>
    </row>
    <row r="1285" spans="7:11" x14ac:dyDescent="0.45">
      <c r="G1285" s="9">
        <v>44162</v>
      </c>
      <c r="H1285" s="8">
        <v>20.84</v>
      </c>
      <c r="J1285" s="7">
        <v>7060</v>
      </c>
      <c r="K1285" s="8">
        <v>8.65</v>
      </c>
    </row>
    <row r="1286" spans="7:11" x14ac:dyDescent="0.45">
      <c r="G1286" s="9">
        <v>44160</v>
      </c>
      <c r="H1286" s="8">
        <v>21.25</v>
      </c>
      <c r="J1286" s="7">
        <v>7030</v>
      </c>
      <c r="K1286" s="8">
        <v>8.33</v>
      </c>
    </row>
    <row r="1287" spans="7:11" x14ac:dyDescent="0.45">
      <c r="G1287" s="9">
        <v>44159</v>
      </c>
      <c r="H1287" s="8">
        <v>21.64</v>
      </c>
      <c r="J1287" s="7">
        <v>6999</v>
      </c>
      <c r="K1287" s="8">
        <v>8.0399999999999991</v>
      </c>
    </row>
    <row r="1288" spans="7:11" x14ac:dyDescent="0.45">
      <c r="G1288" s="9">
        <v>44158</v>
      </c>
      <c r="H1288" s="8">
        <v>22.66</v>
      </c>
      <c r="J1288" s="7">
        <v>6971</v>
      </c>
      <c r="K1288" s="8">
        <v>7.97</v>
      </c>
    </row>
    <row r="1289" spans="7:11" x14ac:dyDescent="0.45">
      <c r="G1289" s="9">
        <v>44155</v>
      </c>
      <c r="H1289" s="8">
        <v>23.7</v>
      </c>
      <c r="J1289" s="7">
        <v>6940</v>
      </c>
      <c r="K1289" s="8">
        <v>7.98</v>
      </c>
    </row>
    <row r="1290" spans="7:11" x14ac:dyDescent="0.45">
      <c r="G1290" s="9">
        <v>44154</v>
      </c>
      <c r="H1290" s="8">
        <v>23.11</v>
      </c>
      <c r="J1290" s="7">
        <v>6909</v>
      </c>
      <c r="K1290" s="8">
        <v>7.95</v>
      </c>
    </row>
    <row r="1291" spans="7:11" x14ac:dyDescent="0.45">
      <c r="G1291" s="9">
        <v>44153</v>
      </c>
      <c r="H1291" s="8">
        <v>23.84</v>
      </c>
      <c r="J1291" s="7">
        <v>6879</v>
      </c>
      <c r="K1291" s="8">
        <v>7.57</v>
      </c>
    </row>
    <row r="1292" spans="7:11" x14ac:dyDescent="0.45">
      <c r="G1292" s="9">
        <v>44152</v>
      </c>
      <c r="H1292" s="8">
        <v>22.71</v>
      </c>
      <c r="J1292" s="7">
        <v>6848</v>
      </c>
      <c r="K1292" s="8">
        <v>7.09</v>
      </c>
    </row>
    <row r="1293" spans="7:11" x14ac:dyDescent="0.45">
      <c r="G1293" s="9">
        <v>44151</v>
      </c>
      <c r="H1293" s="8">
        <v>22.45</v>
      </c>
      <c r="J1293" s="7">
        <v>6818</v>
      </c>
      <c r="K1293" s="8">
        <v>6.97</v>
      </c>
    </row>
    <row r="1294" spans="7:11" x14ac:dyDescent="0.45">
      <c r="G1294" s="9">
        <v>44148</v>
      </c>
      <c r="H1294" s="8">
        <v>23.1</v>
      </c>
      <c r="J1294" s="7">
        <v>6787</v>
      </c>
      <c r="K1294" s="8">
        <v>6.76</v>
      </c>
    </row>
    <row r="1295" spans="7:11" x14ac:dyDescent="0.45">
      <c r="G1295" s="9">
        <v>44147</v>
      </c>
      <c r="H1295" s="8">
        <v>25.35</v>
      </c>
      <c r="J1295" s="7">
        <v>6756</v>
      </c>
      <c r="K1295" s="8">
        <v>6.56</v>
      </c>
    </row>
    <row r="1296" spans="7:11" x14ac:dyDescent="0.45">
      <c r="G1296" s="9">
        <v>44146</v>
      </c>
      <c r="H1296" s="8">
        <v>23.45</v>
      </c>
      <c r="J1296" s="7">
        <v>6726</v>
      </c>
      <c r="K1296" s="8">
        <v>6.42</v>
      </c>
    </row>
    <row r="1297" spans="7:11" x14ac:dyDescent="0.45">
      <c r="G1297" s="9">
        <v>44145</v>
      </c>
      <c r="H1297" s="8">
        <v>24.8</v>
      </c>
      <c r="J1297" s="7">
        <v>6695</v>
      </c>
      <c r="K1297" s="8">
        <v>6.09</v>
      </c>
    </row>
    <row r="1298" spans="7:11" x14ac:dyDescent="0.45">
      <c r="G1298" s="9">
        <v>44144</v>
      </c>
      <c r="H1298" s="8">
        <v>25.75</v>
      </c>
      <c r="J1298" s="7">
        <v>6665</v>
      </c>
      <c r="K1298" s="8">
        <v>6.03</v>
      </c>
    </row>
    <row r="1299" spans="7:11" x14ac:dyDescent="0.45">
      <c r="G1299" s="9">
        <v>44141</v>
      </c>
      <c r="H1299" s="8">
        <v>24.86</v>
      </c>
      <c r="J1299" s="7">
        <v>6634</v>
      </c>
      <c r="K1299" s="8">
        <v>6.03</v>
      </c>
    </row>
    <row r="1300" spans="7:11" x14ac:dyDescent="0.45">
      <c r="G1300" s="9">
        <v>44140</v>
      </c>
      <c r="H1300" s="8">
        <v>27.58</v>
      </c>
      <c r="J1300" s="7">
        <v>6606</v>
      </c>
      <c r="K1300" s="8">
        <v>5.74</v>
      </c>
    </row>
    <row r="1301" spans="7:11" x14ac:dyDescent="0.45">
      <c r="G1301" s="9">
        <v>44139</v>
      </c>
      <c r="H1301" s="8">
        <v>29.57</v>
      </c>
      <c r="J1301" s="7">
        <v>6575</v>
      </c>
      <c r="K1301" s="8">
        <v>5.31</v>
      </c>
    </row>
    <row r="1302" spans="7:11" x14ac:dyDescent="0.45">
      <c r="G1302" s="9">
        <v>44138</v>
      </c>
      <c r="H1302" s="8">
        <v>35.549999999999997</v>
      </c>
      <c r="J1302" s="7">
        <v>6544</v>
      </c>
      <c r="K1302" s="8">
        <v>5.41</v>
      </c>
    </row>
    <row r="1303" spans="7:11" x14ac:dyDescent="0.45">
      <c r="G1303" s="9">
        <v>44137</v>
      </c>
      <c r="H1303" s="8">
        <v>37.130000000000003</v>
      </c>
      <c r="J1303" s="7">
        <v>6514</v>
      </c>
      <c r="K1303" s="8">
        <v>5.81</v>
      </c>
    </row>
    <row r="1304" spans="7:11" x14ac:dyDescent="0.45">
      <c r="G1304" s="9">
        <v>44134</v>
      </c>
      <c r="H1304" s="8">
        <v>38.020000000000003</v>
      </c>
      <c r="J1304" s="7">
        <v>6483</v>
      </c>
      <c r="K1304" s="8">
        <v>6.05</v>
      </c>
    </row>
    <row r="1305" spans="7:11" x14ac:dyDescent="0.45">
      <c r="G1305" s="9">
        <v>44133</v>
      </c>
      <c r="H1305" s="8">
        <v>37.590000000000003</v>
      </c>
      <c r="J1305" s="7">
        <v>6453</v>
      </c>
      <c r="K1305" s="8">
        <v>6.26</v>
      </c>
    </row>
    <row r="1306" spans="7:11" x14ac:dyDescent="0.45">
      <c r="G1306" s="9">
        <v>44132</v>
      </c>
      <c r="H1306" s="8">
        <v>40.28</v>
      </c>
      <c r="J1306" s="7">
        <v>6422</v>
      </c>
      <c r="K1306" s="8">
        <v>6.35</v>
      </c>
    </row>
    <row r="1307" spans="7:11" x14ac:dyDescent="0.45">
      <c r="G1307" s="9">
        <v>44131</v>
      </c>
      <c r="H1307" s="8">
        <v>33.35</v>
      </c>
      <c r="J1307" s="7">
        <v>6391</v>
      </c>
      <c r="K1307" s="8">
        <v>6.43</v>
      </c>
    </row>
    <row r="1308" spans="7:11" x14ac:dyDescent="0.45">
      <c r="G1308" s="9">
        <v>44130</v>
      </c>
      <c r="H1308" s="8">
        <v>32.46</v>
      </c>
      <c r="J1308" s="7">
        <v>6361</v>
      </c>
      <c r="K1308" s="8">
        <v>6.21</v>
      </c>
    </row>
    <row r="1309" spans="7:11" x14ac:dyDescent="0.45">
      <c r="G1309" s="9">
        <v>44127</v>
      </c>
      <c r="H1309" s="8">
        <v>27.55</v>
      </c>
      <c r="J1309" s="7">
        <v>6330</v>
      </c>
      <c r="K1309" s="8">
        <v>6.34</v>
      </c>
    </row>
    <row r="1310" spans="7:11" x14ac:dyDescent="0.45">
      <c r="G1310" s="9">
        <v>44126</v>
      </c>
      <c r="H1310" s="8">
        <v>28.11</v>
      </c>
      <c r="J1310" s="7">
        <v>6300</v>
      </c>
      <c r="K1310" s="8">
        <v>6.34</v>
      </c>
    </row>
    <row r="1311" spans="7:11" x14ac:dyDescent="0.45">
      <c r="G1311" s="9">
        <v>44125</v>
      </c>
      <c r="H1311" s="8">
        <v>28.65</v>
      </c>
      <c r="J1311" s="7">
        <v>6269</v>
      </c>
      <c r="K1311" s="8">
        <v>6.07</v>
      </c>
    </row>
    <row r="1312" spans="7:11" x14ac:dyDescent="0.45">
      <c r="G1312" s="9">
        <v>44124</v>
      </c>
      <c r="H1312" s="8">
        <v>29.35</v>
      </c>
      <c r="J1312" s="7">
        <v>6241</v>
      </c>
      <c r="K1312" s="8">
        <v>6.34</v>
      </c>
    </row>
    <row r="1313" spans="7:11" x14ac:dyDescent="0.45">
      <c r="G1313" s="9">
        <v>44123</v>
      </c>
      <c r="H1313" s="8">
        <v>29.18</v>
      </c>
      <c r="J1313" s="7">
        <v>6210</v>
      </c>
      <c r="K1313" s="8">
        <v>6.41</v>
      </c>
    </row>
    <row r="1314" spans="7:11" x14ac:dyDescent="0.45">
      <c r="G1314" s="9">
        <v>44120</v>
      </c>
      <c r="H1314" s="8">
        <v>27.41</v>
      </c>
      <c r="J1314" s="7">
        <v>6179</v>
      </c>
      <c r="K1314" s="8">
        <v>6.92</v>
      </c>
    </row>
    <row r="1315" spans="7:11" x14ac:dyDescent="0.45">
      <c r="G1315" s="9">
        <v>44119</v>
      </c>
      <c r="H1315" s="8">
        <v>26.97</v>
      </c>
      <c r="J1315" s="7">
        <v>6149</v>
      </c>
      <c r="K1315" s="8">
        <v>7.02</v>
      </c>
    </row>
    <row r="1316" spans="7:11" x14ac:dyDescent="0.45">
      <c r="G1316" s="9">
        <v>44118</v>
      </c>
      <c r="H1316" s="8">
        <v>26.4</v>
      </c>
      <c r="J1316" s="7">
        <v>6118</v>
      </c>
      <c r="K1316" s="8">
        <v>7.08</v>
      </c>
    </row>
    <row r="1317" spans="7:11" x14ac:dyDescent="0.45">
      <c r="G1317" s="9">
        <v>44117</v>
      </c>
      <c r="H1317" s="8">
        <v>26.07</v>
      </c>
      <c r="J1317" s="7">
        <v>6088</v>
      </c>
      <c r="K1317" s="8">
        <v>7.08</v>
      </c>
    </row>
    <row r="1318" spans="7:11" x14ac:dyDescent="0.45">
      <c r="G1318" s="9">
        <v>44116</v>
      </c>
      <c r="H1318" s="8">
        <v>25.07</v>
      </c>
      <c r="J1318" s="7">
        <v>6057</v>
      </c>
      <c r="K1318" s="8">
        <v>7.33</v>
      </c>
    </row>
    <row r="1319" spans="7:11" x14ac:dyDescent="0.45">
      <c r="G1319" s="9">
        <v>44113</v>
      </c>
      <c r="H1319" s="8">
        <v>25</v>
      </c>
      <c r="J1319" s="7">
        <v>6026</v>
      </c>
      <c r="K1319" s="8">
        <v>7.77</v>
      </c>
    </row>
    <row r="1320" spans="7:11" x14ac:dyDescent="0.45">
      <c r="G1320" s="9">
        <v>44112</v>
      </c>
      <c r="H1320" s="8">
        <v>26.36</v>
      </c>
      <c r="J1320" s="7">
        <v>5996</v>
      </c>
      <c r="K1320" s="8">
        <v>8.0500000000000007</v>
      </c>
    </row>
    <row r="1321" spans="7:11" x14ac:dyDescent="0.45">
      <c r="G1321" s="9">
        <v>44111</v>
      </c>
      <c r="H1321" s="8">
        <v>28.06</v>
      </c>
      <c r="J1321" s="7">
        <v>5965</v>
      </c>
      <c r="K1321" s="8">
        <v>8.27</v>
      </c>
    </row>
    <row r="1322" spans="7:11" x14ac:dyDescent="0.45">
      <c r="G1322" s="9">
        <v>44110</v>
      </c>
      <c r="H1322" s="8">
        <v>29.48</v>
      </c>
      <c r="J1322" s="7">
        <v>5935</v>
      </c>
      <c r="K1322" s="8">
        <v>8.8000000000000007</v>
      </c>
    </row>
    <row r="1323" spans="7:11" x14ac:dyDescent="0.45">
      <c r="G1323" s="9">
        <v>44109</v>
      </c>
      <c r="H1323" s="8">
        <v>27.96</v>
      </c>
      <c r="J1323" s="7">
        <v>5904</v>
      </c>
      <c r="K1323" s="8">
        <v>9.31</v>
      </c>
    </row>
    <row r="1324" spans="7:11" x14ac:dyDescent="0.45">
      <c r="G1324" s="9">
        <v>44106</v>
      </c>
      <c r="H1324" s="8">
        <v>27.63</v>
      </c>
      <c r="J1324" s="7">
        <v>5875</v>
      </c>
      <c r="K1324" s="8">
        <v>9.99</v>
      </c>
    </row>
    <row r="1325" spans="7:11" x14ac:dyDescent="0.45">
      <c r="G1325" s="9">
        <v>44105</v>
      </c>
      <c r="H1325" s="8">
        <v>26.7</v>
      </c>
      <c r="J1325" s="7">
        <v>5844</v>
      </c>
      <c r="K1325" s="8">
        <v>10.77</v>
      </c>
    </row>
    <row r="1326" spans="7:11" x14ac:dyDescent="0.45">
      <c r="G1326" s="9">
        <v>44104</v>
      </c>
      <c r="H1326" s="8">
        <v>26.37</v>
      </c>
      <c r="J1326" s="7">
        <v>5813</v>
      </c>
      <c r="K1326" s="8">
        <v>11.13</v>
      </c>
    </row>
    <row r="1327" spans="7:11" x14ac:dyDescent="0.45">
      <c r="G1327" s="9">
        <v>44103</v>
      </c>
      <c r="H1327" s="8">
        <v>26.27</v>
      </c>
      <c r="J1327" s="7">
        <v>5783</v>
      </c>
      <c r="K1327" s="8">
        <v>11.15</v>
      </c>
    </row>
    <row r="1328" spans="7:11" x14ac:dyDescent="0.45">
      <c r="G1328" s="9">
        <v>44102</v>
      </c>
      <c r="H1328" s="8">
        <v>26.19</v>
      </c>
      <c r="J1328" s="7">
        <v>5752</v>
      </c>
      <c r="K1328" s="8">
        <v>10.96</v>
      </c>
    </row>
    <row r="1329" spans="7:11" x14ac:dyDescent="0.45">
      <c r="G1329" s="9">
        <v>44099</v>
      </c>
      <c r="H1329" s="8">
        <v>26.38</v>
      </c>
      <c r="J1329" s="7">
        <v>5722</v>
      </c>
      <c r="K1329" s="8">
        <v>10.99</v>
      </c>
    </row>
    <row r="1330" spans="7:11" x14ac:dyDescent="0.45">
      <c r="G1330" s="9">
        <v>44098</v>
      </c>
      <c r="H1330" s="8">
        <v>28.51</v>
      </c>
      <c r="J1330" s="7">
        <v>5691</v>
      </c>
      <c r="K1330" s="8">
        <v>10.97</v>
      </c>
    </row>
    <row r="1331" spans="7:11" x14ac:dyDescent="0.45">
      <c r="G1331" s="9">
        <v>44097</v>
      </c>
      <c r="H1331" s="8">
        <v>28.58</v>
      </c>
      <c r="J1331" s="7">
        <v>5660</v>
      </c>
      <c r="K1331" s="8">
        <v>11.49</v>
      </c>
    </row>
    <row r="1332" spans="7:11" x14ac:dyDescent="0.45">
      <c r="G1332" s="9">
        <v>44096</v>
      </c>
      <c r="H1332" s="8">
        <v>26.86</v>
      </c>
      <c r="J1332" s="7">
        <v>5630</v>
      </c>
      <c r="K1332" s="8">
        <v>11.87</v>
      </c>
    </row>
    <row r="1333" spans="7:11" x14ac:dyDescent="0.45">
      <c r="G1333" s="9">
        <v>44095</v>
      </c>
      <c r="H1333" s="8">
        <v>27.78</v>
      </c>
      <c r="J1333" s="7">
        <v>5599</v>
      </c>
      <c r="K1333" s="8">
        <v>12.72</v>
      </c>
    </row>
    <row r="1334" spans="7:11" x14ac:dyDescent="0.45">
      <c r="G1334" s="9">
        <v>44092</v>
      </c>
      <c r="H1334" s="8">
        <v>25.83</v>
      </c>
      <c r="J1334" s="7">
        <v>5569</v>
      </c>
      <c r="K1334" s="8">
        <v>12.41</v>
      </c>
    </row>
    <row r="1335" spans="7:11" x14ac:dyDescent="0.45">
      <c r="G1335" s="9">
        <v>44091</v>
      </c>
      <c r="H1335" s="8">
        <v>26.46</v>
      </c>
      <c r="J1335" s="7">
        <v>5538</v>
      </c>
      <c r="K1335" s="8">
        <v>12.72</v>
      </c>
    </row>
    <row r="1336" spans="7:11" x14ac:dyDescent="0.45">
      <c r="G1336" s="9">
        <v>44090</v>
      </c>
      <c r="H1336" s="8">
        <v>26.04</v>
      </c>
      <c r="J1336" s="7">
        <v>5510</v>
      </c>
      <c r="K1336" s="8">
        <v>13.6</v>
      </c>
    </row>
    <row r="1337" spans="7:11" x14ac:dyDescent="0.45">
      <c r="G1337" s="9">
        <v>44089</v>
      </c>
      <c r="H1337" s="8">
        <v>25.59</v>
      </c>
      <c r="J1337" s="7">
        <v>5479</v>
      </c>
      <c r="K1337" s="8">
        <v>14.13</v>
      </c>
    </row>
    <row r="1338" spans="7:11" x14ac:dyDescent="0.45">
      <c r="G1338" s="9">
        <v>44088</v>
      </c>
      <c r="H1338" s="8">
        <v>25.85</v>
      </c>
      <c r="J1338" s="7">
        <v>5448</v>
      </c>
      <c r="K1338" s="8">
        <v>14.51</v>
      </c>
    </row>
    <row r="1339" spans="7:11" x14ac:dyDescent="0.45">
      <c r="G1339" s="9">
        <v>44085</v>
      </c>
      <c r="H1339" s="8">
        <v>26.87</v>
      </c>
      <c r="J1339" s="7">
        <v>5418</v>
      </c>
      <c r="K1339" s="8">
        <v>14.27</v>
      </c>
    </row>
    <row r="1340" spans="7:11" x14ac:dyDescent="0.45">
      <c r="G1340" s="9">
        <v>44084</v>
      </c>
      <c r="H1340" s="8">
        <v>29.71</v>
      </c>
      <c r="J1340" s="7">
        <v>5387</v>
      </c>
      <c r="K1340" s="8">
        <v>14.03</v>
      </c>
    </row>
    <row r="1341" spans="7:11" x14ac:dyDescent="0.45">
      <c r="G1341" s="9">
        <v>44083</v>
      </c>
      <c r="H1341" s="8">
        <v>28.81</v>
      </c>
      <c r="J1341" s="7">
        <v>5357</v>
      </c>
      <c r="K1341" s="8">
        <v>13.8</v>
      </c>
    </row>
    <row r="1342" spans="7:11" x14ac:dyDescent="0.45">
      <c r="G1342" s="9">
        <v>44082</v>
      </c>
      <c r="H1342" s="8">
        <v>31.46</v>
      </c>
      <c r="J1342" s="7">
        <v>5326</v>
      </c>
      <c r="K1342" s="8">
        <v>13.57</v>
      </c>
    </row>
    <row r="1343" spans="7:11" x14ac:dyDescent="0.45">
      <c r="G1343" s="9">
        <v>44078</v>
      </c>
      <c r="H1343" s="8">
        <v>30.75</v>
      </c>
      <c r="J1343" s="7">
        <v>5295</v>
      </c>
      <c r="K1343" s="8">
        <v>14.14</v>
      </c>
    </row>
    <row r="1344" spans="7:11" x14ac:dyDescent="0.45">
      <c r="G1344" s="9">
        <v>44077</v>
      </c>
      <c r="H1344" s="8">
        <v>33.6</v>
      </c>
      <c r="J1344" s="7">
        <v>5265</v>
      </c>
      <c r="K1344" s="8">
        <v>13.98</v>
      </c>
    </row>
    <row r="1345" spans="7:11" x14ac:dyDescent="0.45">
      <c r="G1345" s="9">
        <v>44076</v>
      </c>
      <c r="H1345" s="8">
        <v>26.57</v>
      </c>
      <c r="J1345" s="7">
        <v>5234</v>
      </c>
      <c r="K1345" s="8">
        <v>13.69</v>
      </c>
    </row>
    <row r="1346" spans="7:11" x14ac:dyDescent="0.45">
      <c r="G1346" s="9">
        <v>44075</v>
      </c>
      <c r="H1346" s="8">
        <v>26.12</v>
      </c>
      <c r="J1346" s="7">
        <v>5204</v>
      </c>
      <c r="K1346" s="8">
        <v>13.81</v>
      </c>
    </row>
    <row r="1347" spans="7:11" x14ac:dyDescent="0.45">
      <c r="G1347" s="9">
        <v>44074</v>
      </c>
      <c r="H1347" s="8">
        <v>26.41</v>
      </c>
      <c r="J1347" s="7">
        <v>5173</v>
      </c>
      <c r="K1347" s="8">
        <v>13.86</v>
      </c>
    </row>
    <row r="1348" spans="7:11" x14ac:dyDescent="0.45">
      <c r="G1348" s="9">
        <v>44071</v>
      </c>
      <c r="H1348" s="8">
        <v>22.96</v>
      </c>
      <c r="J1348" s="7">
        <v>5145</v>
      </c>
      <c r="K1348" s="8">
        <v>13.48</v>
      </c>
    </row>
    <row r="1349" spans="7:11" x14ac:dyDescent="0.45">
      <c r="G1349" s="9">
        <v>44070</v>
      </c>
      <c r="H1349" s="8">
        <v>24.47</v>
      </c>
      <c r="J1349" s="7">
        <v>5114</v>
      </c>
      <c r="K1349" s="8">
        <v>12.76</v>
      </c>
    </row>
    <row r="1350" spans="7:11" x14ac:dyDescent="0.45">
      <c r="G1350" s="9">
        <v>44069</v>
      </c>
      <c r="H1350" s="8">
        <v>23.27</v>
      </c>
      <c r="J1350" s="7">
        <v>5083</v>
      </c>
      <c r="K1350" s="8">
        <v>12.66</v>
      </c>
    </row>
    <row r="1351" spans="7:11" x14ac:dyDescent="0.45">
      <c r="G1351" s="9">
        <v>44068</v>
      </c>
      <c r="H1351" s="8">
        <v>22.03</v>
      </c>
      <c r="J1351" s="7">
        <v>5053</v>
      </c>
      <c r="K1351" s="8">
        <v>12.87</v>
      </c>
    </row>
    <row r="1352" spans="7:11" x14ac:dyDescent="0.45">
      <c r="G1352" s="9">
        <v>44067</v>
      </c>
      <c r="H1352" s="8">
        <v>22.37</v>
      </c>
      <c r="J1352" s="7">
        <v>5022</v>
      </c>
      <c r="K1352" s="8">
        <v>13.17</v>
      </c>
    </row>
    <row r="1353" spans="7:11" x14ac:dyDescent="0.45">
      <c r="G1353" s="9">
        <v>44064</v>
      </c>
      <c r="H1353" s="8">
        <v>22.54</v>
      </c>
      <c r="J1353" s="7">
        <v>4992</v>
      </c>
      <c r="K1353" s="8">
        <v>12.93</v>
      </c>
    </row>
    <row r="1354" spans="7:11" x14ac:dyDescent="0.45">
      <c r="G1354" s="9">
        <v>44063</v>
      </c>
      <c r="H1354" s="8">
        <v>22.72</v>
      </c>
      <c r="J1354" s="7">
        <v>4961</v>
      </c>
      <c r="K1354" s="8">
        <v>12.48</v>
      </c>
    </row>
    <row r="1355" spans="7:11" x14ac:dyDescent="0.45">
      <c r="G1355" s="9">
        <v>44062</v>
      </c>
      <c r="H1355" s="8">
        <v>22.54</v>
      </c>
      <c r="J1355" s="7">
        <v>4930</v>
      </c>
      <c r="K1355" s="8">
        <v>12.21</v>
      </c>
    </row>
    <row r="1356" spans="7:11" x14ac:dyDescent="0.45">
      <c r="G1356" s="9">
        <v>44061</v>
      </c>
      <c r="H1356" s="8">
        <v>21.51</v>
      </c>
      <c r="J1356" s="7">
        <v>4900</v>
      </c>
      <c r="K1356" s="8">
        <v>12.75</v>
      </c>
    </row>
    <row r="1357" spans="7:11" x14ac:dyDescent="0.45">
      <c r="G1357" s="9">
        <v>44060</v>
      </c>
      <c r="H1357" s="8">
        <v>21.35</v>
      </c>
      <c r="J1357" s="7">
        <v>4869</v>
      </c>
      <c r="K1357" s="8">
        <v>12.99</v>
      </c>
    </row>
    <row r="1358" spans="7:11" x14ac:dyDescent="0.45">
      <c r="G1358" s="9">
        <v>44057</v>
      </c>
      <c r="H1358" s="8">
        <v>22.05</v>
      </c>
      <c r="J1358" s="7">
        <v>4839</v>
      </c>
      <c r="K1358" s="8">
        <v>12.89</v>
      </c>
    </row>
    <row r="1359" spans="7:11" x14ac:dyDescent="0.45">
      <c r="G1359" s="9">
        <v>44056</v>
      </c>
      <c r="H1359" s="8">
        <v>22.13</v>
      </c>
      <c r="J1359" s="7">
        <v>4808</v>
      </c>
      <c r="K1359" s="8">
        <v>13.03</v>
      </c>
    </row>
    <row r="1360" spans="7:11" x14ac:dyDescent="0.45">
      <c r="G1360" s="9">
        <v>44055</v>
      </c>
      <c r="H1360" s="8">
        <v>22.28</v>
      </c>
      <c r="J1360" s="7">
        <v>4780</v>
      </c>
      <c r="K1360" s="8">
        <v>13.4</v>
      </c>
    </row>
    <row r="1361" spans="7:11" x14ac:dyDescent="0.45">
      <c r="G1361" s="9">
        <v>44054</v>
      </c>
      <c r="H1361" s="8">
        <v>24.03</v>
      </c>
      <c r="J1361" s="7">
        <v>4749</v>
      </c>
      <c r="K1361" s="8">
        <v>13.4</v>
      </c>
    </row>
    <row r="1362" spans="7:11" x14ac:dyDescent="0.45">
      <c r="G1362" s="9">
        <v>44053</v>
      </c>
      <c r="H1362" s="8">
        <v>22.13</v>
      </c>
      <c r="J1362" s="7">
        <v>4718</v>
      </c>
      <c r="K1362" s="8">
        <v>14.09</v>
      </c>
    </row>
    <row r="1363" spans="7:11" x14ac:dyDescent="0.45">
      <c r="G1363" s="9">
        <v>44050</v>
      </c>
      <c r="H1363" s="8">
        <v>22.21</v>
      </c>
      <c r="J1363" s="7">
        <v>4688</v>
      </c>
      <c r="K1363" s="8">
        <v>14.43</v>
      </c>
    </row>
    <row r="1364" spans="7:11" x14ac:dyDescent="0.45">
      <c r="G1364" s="9">
        <v>44049</v>
      </c>
      <c r="H1364" s="8">
        <v>22.65</v>
      </c>
      <c r="J1364" s="7">
        <v>4657</v>
      </c>
      <c r="K1364" s="8">
        <v>14.66</v>
      </c>
    </row>
    <row r="1365" spans="7:11" x14ac:dyDescent="0.45">
      <c r="G1365" s="9">
        <v>44048</v>
      </c>
      <c r="H1365" s="8">
        <v>22.99</v>
      </c>
      <c r="J1365" s="7">
        <v>4627</v>
      </c>
      <c r="K1365" s="8">
        <v>14.79</v>
      </c>
    </row>
    <row r="1366" spans="7:11" x14ac:dyDescent="0.45">
      <c r="G1366" s="9">
        <v>44047</v>
      </c>
      <c r="H1366" s="8">
        <v>23.76</v>
      </c>
      <c r="J1366" s="7">
        <v>4596</v>
      </c>
      <c r="K1366" s="8">
        <v>14.66</v>
      </c>
    </row>
    <row r="1367" spans="7:11" x14ac:dyDescent="0.45">
      <c r="G1367" s="9">
        <v>44046</v>
      </c>
      <c r="H1367" s="8">
        <v>24.28</v>
      </c>
      <c r="J1367" s="7">
        <v>4565</v>
      </c>
      <c r="K1367" s="8">
        <v>14.85</v>
      </c>
    </row>
    <row r="1368" spans="7:11" x14ac:dyDescent="0.45">
      <c r="G1368" s="9">
        <v>44043</v>
      </c>
      <c r="H1368" s="8">
        <v>24.46</v>
      </c>
      <c r="J1368" s="7">
        <v>4535</v>
      </c>
      <c r="K1368" s="8">
        <v>15.07</v>
      </c>
    </row>
    <row r="1369" spans="7:11" x14ac:dyDescent="0.45">
      <c r="G1369" s="9">
        <v>44042</v>
      </c>
      <c r="H1369" s="8">
        <v>24.76</v>
      </c>
      <c r="J1369" s="7">
        <v>4504</v>
      </c>
      <c r="K1369" s="8">
        <v>15.3</v>
      </c>
    </row>
    <row r="1370" spans="7:11" x14ac:dyDescent="0.45">
      <c r="G1370" s="9">
        <v>44041</v>
      </c>
      <c r="H1370" s="8">
        <v>24.1</v>
      </c>
      <c r="J1370" s="7">
        <v>4474</v>
      </c>
      <c r="K1370" s="8">
        <v>15.06</v>
      </c>
    </row>
    <row r="1371" spans="7:11" x14ac:dyDescent="0.45">
      <c r="G1371" s="9">
        <v>44040</v>
      </c>
      <c r="H1371" s="8">
        <v>25.44</v>
      </c>
      <c r="J1371" s="7">
        <v>4443</v>
      </c>
      <c r="K1371" s="8">
        <v>14.86</v>
      </c>
    </row>
    <row r="1372" spans="7:11" x14ac:dyDescent="0.45">
      <c r="G1372" s="9">
        <v>44039</v>
      </c>
      <c r="H1372" s="8">
        <v>24.74</v>
      </c>
      <c r="J1372" s="7">
        <v>4414</v>
      </c>
      <c r="K1372" s="8">
        <v>15.22</v>
      </c>
    </row>
    <row r="1373" spans="7:11" x14ac:dyDescent="0.45">
      <c r="G1373" s="9">
        <v>44036</v>
      </c>
      <c r="H1373" s="8">
        <v>25.84</v>
      </c>
      <c r="J1373" s="7">
        <v>4383</v>
      </c>
      <c r="K1373" s="8">
        <v>15.44</v>
      </c>
    </row>
    <row r="1374" spans="7:11" x14ac:dyDescent="0.45">
      <c r="G1374" s="9">
        <v>44035</v>
      </c>
      <c r="H1374" s="8">
        <v>26.08</v>
      </c>
      <c r="J1374" s="7">
        <v>4352</v>
      </c>
      <c r="K1374" s="8">
        <v>15.07</v>
      </c>
    </row>
    <row r="1375" spans="7:11" x14ac:dyDescent="0.45">
      <c r="G1375" s="9">
        <v>44034</v>
      </c>
      <c r="H1375" s="8">
        <v>24.32</v>
      </c>
      <c r="J1375" s="7">
        <v>4322</v>
      </c>
      <c r="K1375" s="8">
        <v>14.22</v>
      </c>
    </row>
    <row r="1376" spans="7:11" x14ac:dyDescent="0.45">
      <c r="G1376" s="9">
        <v>44033</v>
      </c>
      <c r="H1376" s="8">
        <v>24.84</v>
      </c>
      <c r="J1376" s="7">
        <v>4291</v>
      </c>
      <c r="K1376" s="8">
        <v>13.87</v>
      </c>
    </row>
    <row r="1377" spans="7:11" x14ac:dyDescent="0.45">
      <c r="G1377" s="9">
        <v>44032</v>
      </c>
      <c r="H1377" s="8">
        <v>24.46</v>
      </c>
      <c r="J1377" s="7">
        <v>4261</v>
      </c>
      <c r="K1377" s="8">
        <v>14.4</v>
      </c>
    </row>
    <row r="1378" spans="7:11" x14ac:dyDescent="0.45">
      <c r="G1378" s="9">
        <v>44029</v>
      </c>
      <c r="H1378" s="8">
        <v>25.68</v>
      </c>
      <c r="J1378" s="7">
        <v>4230</v>
      </c>
      <c r="K1378" s="8">
        <v>14.85</v>
      </c>
    </row>
    <row r="1379" spans="7:11" x14ac:dyDescent="0.45">
      <c r="G1379" s="9">
        <v>44028</v>
      </c>
      <c r="H1379" s="8">
        <v>28</v>
      </c>
      <c r="J1379" s="7">
        <v>4199</v>
      </c>
      <c r="K1379" s="8">
        <v>14.65</v>
      </c>
    </row>
    <row r="1380" spans="7:11" x14ac:dyDescent="0.45">
      <c r="G1380" s="9">
        <v>44027</v>
      </c>
      <c r="H1380" s="8">
        <v>27.76</v>
      </c>
      <c r="J1380" s="7">
        <v>4169</v>
      </c>
      <c r="K1380" s="8">
        <v>14.11</v>
      </c>
    </row>
    <row r="1381" spans="7:11" x14ac:dyDescent="0.45">
      <c r="G1381" s="9">
        <v>44026</v>
      </c>
      <c r="H1381" s="8">
        <v>29.52</v>
      </c>
      <c r="J1381" s="7">
        <v>4138</v>
      </c>
      <c r="K1381" s="8">
        <v>13.58</v>
      </c>
    </row>
    <row r="1382" spans="7:11" x14ac:dyDescent="0.45">
      <c r="G1382" s="9">
        <v>44025</v>
      </c>
      <c r="H1382" s="8">
        <v>32.19</v>
      </c>
      <c r="J1382" s="7">
        <v>4108</v>
      </c>
      <c r="K1382" s="8">
        <v>13.41</v>
      </c>
    </row>
    <row r="1383" spans="7:11" x14ac:dyDescent="0.45">
      <c r="G1383" s="9">
        <v>44022</v>
      </c>
      <c r="H1383" s="8">
        <v>27.29</v>
      </c>
      <c r="J1383" s="7">
        <v>4077</v>
      </c>
      <c r="K1383" s="8">
        <v>13.34</v>
      </c>
    </row>
    <row r="1384" spans="7:11" x14ac:dyDescent="0.45">
      <c r="G1384" s="9">
        <v>44021</v>
      </c>
      <c r="H1384" s="8">
        <v>29.26</v>
      </c>
      <c r="J1384" s="7">
        <v>4049</v>
      </c>
      <c r="K1384" s="8">
        <v>12.91</v>
      </c>
    </row>
    <row r="1385" spans="7:11" x14ac:dyDescent="0.45">
      <c r="G1385" s="9">
        <v>44020</v>
      </c>
      <c r="H1385" s="8">
        <v>28.08</v>
      </c>
      <c r="J1385" s="7">
        <v>4018</v>
      </c>
      <c r="K1385" s="8">
        <v>12.4</v>
      </c>
    </row>
    <row r="1386" spans="7:11" x14ac:dyDescent="0.45">
      <c r="G1386" s="9">
        <v>44019</v>
      </c>
      <c r="H1386" s="8">
        <v>29.43</v>
      </c>
      <c r="J1386" s="7">
        <v>3987</v>
      </c>
      <c r="K1386" s="8">
        <v>12.71</v>
      </c>
    </row>
    <row r="1387" spans="7:11" x14ac:dyDescent="0.45">
      <c r="G1387" s="9">
        <v>44018</v>
      </c>
      <c r="H1387" s="8">
        <v>27.94</v>
      </c>
      <c r="J1387" s="7">
        <v>3957</v>
      </c>
      <c r="K1387" s="8">
        <v>12.68</v>
      </c>
    </row>
    <row r="1388" spans="7:11" x14ac:dyDescent="0.45">
      <c r="G1388" s="9">
        <v>44014</v>
      </c>
      <c r="H1388" s="8">
        <v>27.68</v>
      </c>
      <c r="J1388" s="7">
        <v>3926</v>
      </c>
      <c r="K1388" s="8">
        <v>12.08</v>
      </c>
    </row>
    <row r="1389" spans="7:11" x14ac:dyDescent="0.45">
      <c r="G1389" s="9">
        <v>44013</v>
      </c>
      <c r="H1389" s="8">
        <v>28.62</v>
      </c>
      <c r="J1389" s="7">
        <v>3896</v>
      </c>
      <c r="K1389" s="8">
        <v>11.96</v>
      </c>
    </row>
    <row r="1390" spans="7:11" x14ac:dyDescent="0.45">
      <c r="G1390" s="9">
        <v>44012</v>
      </c>
      <c r="H1390" s="8">
        <v>30.43</v>
      </c>
      <c r="J1390" s="7">
        <v>3865</v>
      </c>
      <c r="K1390" s="8">
        <v>11.64</v>
      </c>
    </row>
    <row r="1391" spans="7:11" x14ac:dyDescent="0.45">
      <c r="G1391" s="9">
        <v>44011</v>
      </c>
      <c r="H1391" s="8">
        <v>31.78</v>
      </c>
      <c r="J1391" s="7">
        <v>3834</v>
      </c>
      <c r="K1391" s="8">
        <v>12.21</v>
      </c>
    </row>
    <row r="1392" spans="7:11" x14ac:dyDescent="0.45">
      <c r="G1392" s="9">
        <v>44008</v>
      </c>
      <c r="H1392" s="8">
        <v>34.729999999999997</v>
      </c>
      <c r="J1392" s="7">
        <v>3804</v>
      </c>
      <c r="K1392" s="8">
        <v>12.79</v>
      </c>
    </row>
    <row r="1393" spans="7:11" x14ac:dyDescent="0.45">
      <c r="G1393" s="9">
        <v>44007</v>
      </c>
      <c r="H1393" s="8">
        <v>32.22</v>
      </c>
      <c r="J1393" s="7">
        <v>3773</v>
      </c>
      <c r="K1393" s="8">
        <v>12.96</v>
      </c>
    </row>
    <row r="1394" spans="7:11" x14ac:dyDescent="0.45">
      <c r="G1394" s="9">
        <v>44006</v>
      </c>
      <c r="H1394" s="8">
        <v>33.840000000000003</v>
      </c>
      <c r="J1394" s="7">
        <v>3743</v>
      </c>
      <c r="K1394" s="8">
        <v>13.24</v>
      </c>
    </row>
    <row r="1395" spans="7:11" x14ac:dyDescent="0.45">
      <c r="G1395" s="9">
        <v>44005</v>
      </c>
      <c r="H1395" s="8">
        <v>31.37</v>
      </c>
      <c r="J1395" s="7">
        <v>3712</v>
      </c>
      <c r="K1395" s="8">
        <v>12.87</v>
      </c>
    </row>
    <row r="1396" spans="7:11" x14ac:dyDescent="0.45">
      <c r="G1396" s="9">
        <v>44004</v>
      </c>
      <c r="H1396" s="8">
        <v>31.77</v>
      </c>
      <c r="J1396" s="7">
        <v>3684</v>
      </c>
      <c r="K1396" s="8">
        <v>13.31</v>
      </c>
    </row>
    <row r="1397" spans="7:11" x14ac:dyDescent="0.45">
      <c r="G1397" s="9">
        <v>44001</v>
      </c>
      <c r="H1397" s="8">
        <v>35.119999999999997</v>
      </c>
      <c r="J1397" s="7">
        <v>3653</v>
      </c>
      <c r="K1397" s="8">
        <v>13.55</v>
      </c>
    </row>
    <row r="1398" spans="7:11" x14ac:dyDescent="0.45">
      <c r="G1398" s="9">
        <v>44000</v>
      </c>
      <c r="H1398" s="8">
        <v>32.94</v>
      </c>
      <c r="J1398" s="7">
        <v>3622</v>
      </c>
      <c r="K1398" s="8">
        <v>13.66</v>
      </c>
    </row>
    <row r="1399" spans="7:11" x14ac:dyDescent="0.45">
      <c r="G1399" s="9">
        <v>43999</v>
      </c>
      <c r="H1399" s="8">
        <v>33.47</v>
      </c>
      <c r="J1399" s="7">
        <v>3592</v>
      </c>
      <c r="K1399" s="8">
        <v>14.01</v>
      </c>
    </row>
    <row r="1400" spans="7:11" x14ac:dyDescent="0.45">
      <c r="G1400" s="9">
        <v>43998</v>
      </c>
      <c r="H1400" s="8">
        <v>33.67</v>
      </c>
      <c r="J1400" s="7">
        <v>3561</v>
      </c>
      <c r="K1400" s="8">
        <v>14.25</v>
      </c>
    </row>
    <row r="1401" spans="7:11" x14ac:dyDescent="0.45">
      <c r="G1401" s="9">
        <v>43997</v>
      </c>
      <c r="H1401" s="8">
        <v>34.4</v>
      </c>
      <c r="J1401" s="7">
        <v>3531</v>
      </c>
      <c r="K1401" s="8">
        <v>14.54</v>
      </c>
    </row>
    <row r="1402" spans="7:11" x14ac:dyDescent="0.45">
      <c r="G1402" s="9">
        <v>43994</v>
      </c>
      <c r="H1402" s="8">
        <v>36.090000000000003</v>
      </c>
      <c r="J1402" s="7">
        <v>3500</v>
      </c>
      <c r="K1402" s="8">
        <v>14.51</v>
      </c>
    </row>
    <row r="1403" spans="7:11" x14ac:dyDescent="0.45">
      <c r="G1403" s="9">
        <v>43993</v>
      </c>
      <c r="H1403" s="8">
        <v>40.79</v>
      </c>
      <c r="J1403" s="7">
        <v>3469</v>
      </c>
      <c r="K1403" s="8">
        <v>14.63</v>
      </c>
    </row>
    <row r="1404" spans="7:11" x14ac:dyDescent="0.45">
      <c r="G1404" s="9">
        <v>43992</v>
      </c>
      <c r="H1404" s="8">
        <v>27.57</v>
      </c>
      <c r="J1404" s="7">
        <v>3439</v>
      </c>
      <c r="K1404" s="8">
        <v>14.7</v>
      </c>
    </row>
    <row r="1405" spans="7:11" x14ac:dyDescent="0.45">
      <c r="G1405" s="9">
        <v>43991</v>
      </c>
      <c r="H1405" s="8">
        <v>27.57</v>
      </c>
      <c r="J1405" s="7">
        <v>3408</v>
      </c>
      <c r="K1405" s="8">
        <v>14.56</v>
      </c>
    </row>
    <row r="1406" spans="7:11" x14ac:dyDescent="0.45">
      <c r="G1406" s="9">
        <v>43990</v>
      </c>
      <c r="H1406" s="8">
        <v>25.81</v>
      </c>
      <c r="J1406" s="7">
        <v>3378</v>
      </c>
      <c r="K1406" s="8">
        <v>14.27</v>
      </c>
    </row>
    <row r="1407" spans="7:11" x14ac:dyDescent="0.45">
      <c r="G1407" s="9">
        <v>43987</v>
      </c>
      <c r="H1407" s="8">
        <v>24.52</v>
      </c>
      <c r="J1407" s="7">
        <v>3347</v>
      </c>
      <c r="K1407" s="8">
        <v>14.43</v>
      </c>
    </row>
    <row r="1408" spans="7:11" x14ac:dyDescent="0.45">
      <c r="G1408" s="9">
        <v>43986</v>
      </c>
      <c r="H1408" s="8">
        <v>25.81</v>
      </c>
      <c r="J1408" s="7">
        <v>3319</v>
      </c>
      <c r="K1408" s="8">
        <v>15.23</v>
      </c>
    </row>
    <row r="1409" spans="7:11" x14ac:dyDescent="0.45">
      <c r="G1409" s="9">
        <v>43985</v>
      </c>
      <c r="H1409" s="8">
        <v>25.66</v>
      </c>
      <c r="J1409" s="7">
        <v>3288</v>
      </c>
      <c r="K1409" s="8">
        <v>15.57</v>
      </c>
    </row>
    <row r="1410" spans="7:11" x14ac:dyDescent="0.45">
      <c r="G1410" s="9">
        <v>43984</v>
      </c>
      <c r="H1410" s="8">
        <v>26.84</v>
      </c>
      <c r="J1410" s="7">
        <v>3257</v>
      </c>
      <c r="K1410" s="8">
        <v>15.05</v>
      </c>
    </row>
    <row r="1411" spans="7:11" x14ac:dyDescent="0.45">
      <c r="G1411" s="9">
        <v>43983</v>
      </c>
      <c r="H1411" s="8">
        <v>28.23</v>
      </c>
      <c r="J1411" s="7">
        <v>3227</v>
      </c>
      <c r="K1411" s="8">
        <v>13.94</v>
      </c>
    </row>
    <row r="1412" spans="7:11" x14ac:dyDescent="0.45">
      <c r="G1412" s="9">
        <v>43980</v>
      </c>
      <c r="H1412" s="8">
        <v>27.51</v>
      </c>
      <c r="J1412" s="7">
        <v>3196</v>
      </c>
      <c r="K1412" s="8">
        <v>13.62</v>
      </c>
    </row>
    <row r="1413" spans="7:11" x14ac:dyDescent="0.45">
      <c r="G1413" s="9">
        <v>43979</v>
      </c>
      <c r="H1413" s="8">
        <v>28.59</v>
      </c>
      <c r="J1413" s="7">
        <v>3166</v>
      </c>
      <c r="K1413" s="8">
        <v>13.61</v>
      </c>
    </row>
    <row r="1414" spans="7:11" x14ac:dyDescent="0.45">
      <c r="G1414" s="9">
        <v>43978</v>
      </c>
      <c r="H1414" s="8">
        <v>27.62</v>
      </c>
      <c r="J1414" s="7">
        <v>3135</v>
      </c>
      <c r="K1414" s="8">
        <v>12.91</v>
      </c>
    </row>
    <row r="1415" spans="7:11" x14ac:dyDescent="0.45">
      <c r="G1415" s="9">
        <v>43977</v>
      </c>
      <c r="H1415" s="8">
        <v>28.01</v>
      </c>
      <c r="J1415" s="7">
        <v>3104</v>
      </c>
      <c r="K1415" s="8">
        <v>12.32</v>
      </c>
    </row>
    <row r="1416" spans="7:11" x14ac:dyDescent="0.45">
      <c r="G1416" s="9">
        <v>43973</v>
      </c>
      <c r="H1416" s="8">
        <v>28.16</v>
      </c>
      <c r="J1416" s="7">
        <v>3074</v>
      </c>
      <c r="K1416" s="8">
        <v>12.17</v>
      </c>
    </row>
    <row r="1417" spans="7:11" x14ac:dyDescent="0.45">
      <c r="G1417" s="9">
        <v>43972</v>
      </c>
      <c r="H1417" s="8">
        <v>29.53</v>
      </c>
      <c r="J1417" s="7">
        <v>3043</v>
      </c>
      <c r="K1417" s="8">
        <v>11.43</v>
      </c>
    </row>
    <row r="1418" spans="7:11" x14ac:dyDescent="0.45">
      <c r="G1418" s="9">
        <v>43971</v>
      </c>
      <c r="H1418" s="8">
        <v>27.99</v>
      </c>
      <c r="J1418" s="7">
        <v>3013</v>
      </c>
      <c r="K1418" s="8">
        <v>10.73</v>
      </c>
    </row>
    <row r="1419" spans="7:11" x14ac:dyDescent="0.45">
      <c r="G1419" s="9">
        <v>43970</v>
      </c>
      <c r="H1419" s="8">
        <v>30.53</v>
      </c>
      <c r="J1419" s="7">
        <v>2982</v>
      </c>
      <c r="K1419" s="8">
        <v>10.210000000000001</v>
      </c>
    </row>
    <row r="1420" spans="7:11" x14ac:dyDescent="0.45">
      <c r="G1420" s="9">
        <v>43969</v>
      </c>
      <c r="H1420" s="8">
        <v>29.3</v>
      </c>
      <c r="J1420" s="7">
        <v>2953</v>
      </c>
      <c r="K1420" s="8">
        <v>10.49</v>
      </c>
    </row>
    <row r="1421" spans="7:11" x14ac:dyDescent="0.45">
      <c r="G1421" s="9">
        <v>43966</v>
      </c>
      <c r="H1421" s="8">
        <v>31.89</v>
      </c>
      <c r="J1421" s="7">
        <v>2922</v>
      </c>
      <c r="K1421" s="8">
        <v>9.9499999999999993</v>
      </c>
    </row>
    <row r="1422" spans="7:11" x14ac:dyDescent="0.45">
      <c r="G1422" s="9">
        <v>43965</v>
      </c>
      <c r="H1422" s="8">
        <v>32.61</v>
      </c>
      <c r="J1422" s="7">
        <v>2891</v>
      </c>
      <c r="K1422" s="8">
        <v>9.35</v>
      </c>
    </row>
    <row r="1423" spans="7:11" x14ac:dyDescent="0.45">
      <c r="G1423" s="9">
        <v>43964</v>
      </c>
      <c r="H1423" s="8">
        <v>35.28</v>
      </c>
      <c r="J1423" s="7">
        <v>2861</v>
      </c>
      <c r="K1423" s="8">
        <v>9.81</v>
      </c>
    </row>
    <row r="1424" spans="7:11" x14ac:dyDescent="0.45">
      <c r="G1424" s="9">
        <v>43963</v>
      </c>
      <c r="H1424" s="8">
        <v>33.04</v>
      </c>
      <c r="J1424" s="7">
        <v>2830</v>
      </c>
      <c r="K1424" s="8">
        <v>10.88</v>
      </c>
    </row>
    <row r="1425" spans="7:11" x14ac:dyDescent="0.45">
      <c r="G1425" s="9">
        <v>43962</v>
      </c>
      <c r="H1425" s="8">
        <v>27.57</v>
      </c>
      <c r="J1425" s="7">
        <v>2800</v>
      </c>
      <c r="K1425" s="8">
        <v>10.86</v>
      </c>
    </row>
    <row r="1426" spans="7:11" x14ac:dyDescent="0.45">
      <c r="G1426" s="9">
        <v>43959</v>
      </c>
      <c r="H1426" s="8">
        <v>27.98</v>
      </c>
      <c r="J1426" s="7">
        <v>2769</v>
      </c>
      <c r="K1426" s="8">
        <v>11.6</v>
      </c>
    </row>
    <row r="1427" spans="7:11" x14ac:dyDescent="0.45">
      <c r="G1427" s="9">
        <v>43958</v>
      </c>
      <c r="H1427" s="8">
        <v>31.44</v>
      </c>
      <c r="J1427" s="7">
        <v>2738</v>
      </c>
      <c r="K1427" s="8">
        <v>11.04</v>
      </c>
    </row>
    <row r="1428" spans="7:11" x14ac:dyDescent="0.45">
      <c r="G1428" s="9">
        <v>43957</v>
      </c>
      <c r="H1428" s="8">
        <v>34.119999999999997</v>
      </c>
      <c r="J1428" s="7">
        <v>2708</v>
      </c>
      <c r="K1428" s="8">
        <v>11.28</v>
      </c>
    </row>
    <row r="1429" spans="7:11" x14ac:dyDescent="0.45">
      <c r="G1429" s="9">
        <v>43956</v>
      </c>
      <c r="H1429" s="8">
        <v>33.61</v>
      </c>
      <c r="J1429" s="7">
        <v>2677</v>
      </c>
      <c r="K1429" s="8">
        <v>11.55</v>
      </c>
    </row>
    <row r="1430" spans="7:11" x14ac:dyDescent="0.45">
      <c r="G1430" s="9">
        <v>43955</v>
      </c>
      <c r="H1430" s="8">
        <v>35.97</v>
      </c>
      <c r="J1430" s="7">
        <v>2647</v>
      </c>
      <c r="K1430" s="8">
        <v>11.36</v>
      </c>
    </row>
    <row r="1431" spans="7:11" x14ac:dyDescent="0.45">
      <c r="G1431" s="9">
        <v>43952</v>
      </c>
      <c r="H1431" s="8">
        <v>37.19</v>
      </c>
      <c r="J1431" s="7">
        <v>2616</v>
      </c>
      <c r="K1431" s="8">
        <v>12.46</v>
      </c>
    </row>
    <row r="1432" spans="7:11" x14ac:dyDescent="0.45">
      <c r="G1432" s="9">
        <v>43951</v>
      </c>
      <c r="H1432" s="8">
        <v>34.15</v>
      </c>
      <c r="J1432" s="7">
        <v>2588</v>
      </c>
      <c r="K1432" s="8">
        <v>12.72</v>
      </c>
    </row>
    <row r="1433" spans="7:11" x14ac:dyDescent="0.45">
      <c r="G1433" s="9">
        <v>43950</v>
      </c>
      <c r="H1433" s="8">
        <v>31.23</v>
      </c>
      <c r="J1433" s="7">
        <v>2557</v>
      </c>
      <c r="K1433" s="8">
        <v>12.95</v>
      </c>
    </row>
    <row r="1434" spans="7:11" x14ac:dyDescent="0.45">
      <c r="G1434" s="9">
        <v>43949</v>
      </c>
      <c r="H1434" s="8">
        <v>33.57</v>
      </c>
      <c r="J1434" s="7">
        <v>2526</v>
      </c>
      <c r="K1434" s="8">
        <v>13.2</v>
      </c>
    </row>
    <row r="1435" spans="7:11" x14ac:dyDescent="0.45">
      <c r="G1435" s="9">
        <v>43948</v>
      </c>
      <c r="H1435" s="8">
        <v>33.29</v>
      </c>
      <c r="J1435" s="7">
        <v>2496</v>
      </c>
      <c r="K1435" s="8">
        <v>13.06</v>
      </c>
    </row>
    <row r="1436" spans="7:11" x14ac:dyDescent="0.45">
      <c r="G1436" s="9">
        <v>43945</v>
      </c>
      <c r="H1436" s="8">
        <v>35.93</v>
      </c>
      <c r="J1436" s="7">
        <v>2465</v>
      </c>
      <c r="K1436" s="8">
        <v>13.6</v>
      </c>
    </row>
    <row r="1437" spans="7:11" x14ac:dyDescent="0.45">
      <c r="G1437" s="9">
        <v>43944</v>
      </c>
      <c r="H1437" s="8">
        <v>41.38</v>
      </c>
      <c r="J1437" s="7">
        <v>2435</v>
      </c>
      <c r="K1437" s="8">
        <v>13.33</v>
      </c>
    </row>
    <row r="1438" spans="7:11" x14ac:dyDescent="0.45">
      <c r="G1438" s="9">
        <v>43943</v>
      </c>
      <c r="H1438" s="8">
        <v>41.98</v>
      </c>
      <c r="J1438" s="7">
        <v>2404</v>
      </c>
      <c r="K1438" s="8">
        <v>12.54</v>
      </c>
    </row>
    <row r="1439" spans="7:11" x14ac:dyDescent="0.45">
      <c r="G1439" s="9">
        <v>43942</v>
      </c>
      <c r="H1439" s="8">
        <v>45.41</v>
      </c>
      <c r="J1439" s="7">
        <v>2373</v>
      </c>
      <c r="K1439" s="8">
        <v>13.01</v>
      </c>
    </row>
    <row r="1440" spans="7:11" x14ac:dyDescent="0.45">
      <c r="G1440" s="9">
        <v>43941</v>
      </c>
      <c r="H1440" s="8">
        <v>43.83</v>
      </c>
      <c r="J1440" s="7">
        <v>2343</v>
      </c>
      <c r="K1440" s="8">
        <v>12.98</v>
      </c>
    </row>
    <row r="1441" spans="7:11" x14ac:dyDescent="0.45">
      <c r="G1441" s="9">
        <v>43938</v>
      </c>
      <c r="H1441" s="8">
        <v>38.15</v>
      </c>
      <c r="J1441" s="7">
        <v>2312</v>
      </c>
      <c r="K1441" s="8">
        <v>13.47</v>
      </c>
    </row>
    <row r="1442" spans="7:11" x14ac:dyDescent="0.45">
      <c r="G1442" s="9">
        <v>43937</v>
      </c>
      <c r="H1442" s="8">
        <v>40.11</v>
      </c>
      <c r="J1442" s="7">
        <v>2282</v>
      </c>
      <c r="K1442" s="8">
        <v>13.81</v>
      </c>
    </row>
    <row r="1443" spans="7:11" x14ac:dyDescent="0.45">
      <c r="G1443" s="9">
        <v>43936</v>
      </c>
      <c r="H1443" s="8">
        <v>40.840000000000003</v>
      </c>
      <c r="J1443" s="7">
        <v>2251</v>
      </c>
      <c r="K1443" s="8">
        <v>14.31</v>
      </c>
    </row>
    <row r="1444" spans="7:11" x14ac:dyDescent="0.45">
      <c r="G1444" s="9">
        <v>43935</v>
      </c>
      <c r="H1444" s="8">
        <v>37.76</v>
      </c>
      <c r="J1444" s="7">
        <v>2223</v>
      </c>
      <c r="K1444" s="8">
        <v>14.57</v>
      </c>
    </row>
    <row r="1445" spans="7:11" x14ac:dyDescent="0.45">
      <c r="G1445" s="9">
        <v>43934</v>
      </c>
      <c r="H1445" s="8">
        <v>41.17</v>
      </c>
      <c r="J1445" s="7">
        <v>2192</v>
      </c>
      <c r="K1445" s="8">
        <v>14.24</v>
      </c>
    </row>
    <row r="1446" spans="7:11" x14ac:dyDescent="0.45">
      <c r="G1446" s="9">
        <v>43930</v>
      </c>
      <c r="H1446" s="8">
        <v>41.67</v>
      </c>
      <c r="J1446" s="7">
        <v>2161</v>
      </c>
      <c r="K1446" s="8">
        <v>14.21</v>
      </c>
    </row>
    <row r="1447" spans="7:11" x14ac:dyDescent="0.45">
      <c r="G1447" s="9">
        <v>43929</v>
      </c>
      <c r="H1447" s="8">
        <v>43.35</v>
      </c>
      <c r="J1447" s="7">
        <v>2131</v>
      </c>
      <c r="K1447" s="8">
        <v>14.62</v>
      </c>
    </row>
    <row r="1448" spans="7:11" x14ac:dyDescent="0.45">
      <c r="G1448" s="9">
        <v>43928</v>
      </c>
      <c r="H1448" s="8">
        <v>46.7</v>
      </c>
      <c r="J1448" s="7">
        <v>2100</v>
      </c>
      <c r="K1448" s="8">
        <v>14.77</v>
      </c>
    </row>
    <row r="1449" spans="7:11" x14ac:dyDescent="0.45">
      <c r="G1449" s="9">
        <v>43927</v>
      </c>
      <c r="H1449" s="8">
        <v>45.24</v>
      </c>
      <c r="J1449" s="7">
        <v>2070</v>
      </c>
      <c r="K1449" s="8">
        <v>15.08</v>
      </c>
    </row>
    <row r="1450" spans="7:11" x14ac:dyDescent="0.45">
      <c r="G1450" s="9">
        <v>43924</v>
      </c>
      <c r="H1450" s="8">
        <v>46.8</v>
      </c>
      <c r="J1450" s="7">
        <v>2039</v>
      </c>
      <c r="K1450" s="8">
        <v>14.91</v>
      </c>
    </row>
    <row r="1451" spans="7:11" x14ac:dyDescent="0.45">
      <c r="G1451" s="9">
        <v>43923</v>
      </c>
      <c r="H1451" s="8">
        <v>50.91</v>
      </c>
      <c r="J1451" s="7">
        <v>2008</v>
      </c>
      <c r="K1451" s="8">
        <v>14.83</v>
      </c>
    </row>
    <row r="1452" spans="7:11" x14ac:dyDescent="0.45">
      <c r="G1452" s="9">
        <v>43922</v>
      </c>
      <c r="H1452" s="8">
        <v>57.06</v>
      </c>
      <c r="J1452" s="7">
        <v>1978</v>
      </c>
      <c r="K1452" s="8">
        <v>15.04</v>
      </c>
    </row>
    <row r="1453" spans="7:11" x14ac:dyDescent="0.45">
      <c r="G1453" s="9">
        <v>43921</v>
      </c>
      <c r="H1453" s="8">
        <v>53.54</v>
      </c>
      <c r="J1453" s="7">
        <v>1947</v>
      </c>
      <c r="K1453" s="8">
        <v>16.25</v>
      </c>
    </row>
    <row r="1454" spans="7:11" x14ac:dyDescent="0.45">
      <c r="G1454" s="9">
        <v>43920</v>
      </c>
      <c r="H1454" s="8">
        <v>57.08</v>
      </c>
      <c r="J1454" s="7">
        <v>1917</v>
      </c>
      <c r="K1454" s="8">
        <v>16.920000000000002</v>
      </c>
    </row>
    <row r="1455" spans="7:11" x14ac:dyDescent="0.45">
      <c r="G1455" s="9">
        <v>43917</v>
      </c>
      <c r="H1455" s="8">
        <v>65.540000000000006</v>
      </c>
      <c r="J1455" s="7">
        <v>1886</v>
      </c>
      <c r="K1455" s="8">
        <v>16.920000000000002</v>
      </c>
    </row>
    <row r="1456" spans="7:11" x14ac:dyDescent="0.45">
      <c r="G1456" s="9">
        <v>43916</v>
      </c>
      <c r="H1456" s="8">
        <v>61</v>
      </c>
      <c r="J1456" s="7">
        <v>1858</v>
      </c>
      <c r="K1456" s="8">
        <v>16.690000000000001</v>
      </c>
    </row>
    <row r="1457" spans="7:11" x14ac:dyDescent="0.45">
      <c r="G1457" s="9">
        <v>43915</v>
      </c>
      <c r="H1457" s="8">
        <v>63.95</v>
      </c>
      <c r="J1457" s="7">
        <v>1827</v>
      </c>
      <c r="K1457" s="8">
        <v>16.84</v>
      </c>
    </row>
    <row r="1458" spans="7:11" x14ac:dyDescent="0.45">
      <c r="G1458" s="9">
        <v>43914</v>
      </c>
      <c r="H1458" s="8">
        <v>61.67</v>
      </c>
      <c r="J1458" s="7">
        <v>1796</v>
      </c>
      <c r="K1458" s="8">
        <v>16.559999999999999</v>
      </c>
    </row>
    <row r="1459" spans="7:11" x14ac:dyDescent="0.45">
      <c r="G1459" s="9">
        <v>43913</v>
      </c>
      <c r="H1459" s="8">
        <v>61.59</v>
      </c>
      <c r="J1459" s="7">
        <v>1766</v>
      </c>
      <c r="K1459" s="8">
        <v>15.6</v>
      </c>
    </row>
    <row r="1460" spans="7:11" x14ac:dyDescent="0.45">
      <c r="G1460" s="9">
        <v>43910</v>
      </c>
      <c r="H1460" s="8">
        <v>66.040000000000006</v>
      </c>
      <c r="J1460" s="7">
        <v>1735</v>
      </c>
      <c r="K1460" s="8">
        <v>14.64</v>
      </c>
    </row>
    <row r="1461" spans="7:11" x14ac:dyDescent="0.45">
      <c r="G1461" s="9">
        <v>43909</v>
      </c>
      <c r="H1461" s="8">
        <v>72</v>
      </c>
      <c r="J1461" s="7">
        <v>1705</v>
      </c>
      <c r="K1461" s="8">
        <v>13.93</v>
      </c>
    </row>
    <row r="1462" spans="7:11" x14ac:dyDescent="0.45">
      <c r="G1462" s="9">
        <v>43908</v>
      </c>
      <c r="H1462" s="8">
        <v>76.45</v>
      </c>
      <c r="J1462" s="7">
        <v>1674</v>
      </c>
      <c r="K1462" s="8">
        <v>13.38</v>
      </c>
    </row>
    <row r="1463" spans="7:11" x14ac:dyDescent="0.45">
      <c r="G1463" s="9">
        <v>43907</v>
      </c>
      <c r="H1463" s="8">
        <v>75.91</v>
      </c>
      <c r="J1463" s="7">
        <v>1643</v>
      </c>
      <c r="K1463" s="8">
        <v>12.76</v>
      </c>
    </row>
    <row r="1464" spans="7:11" x14ac:dyDescent="0.45">
      <c r="G1464" s="9">
        <v>43906</v>
      </c>
      <c r="H1464" s="8">
        <v>82.69</v>
      </c>
      <c r="J1464" s="7">
        <v>1613</v>
      </c>
      <c r="K1464" s="8">
        <v>12.66</v>
      </c>
    </row>
    <row r="1465" spans="7:11" x14ac:dyDescent="0.45">
      <c r="G1465" s="9">
        <v>43903</v>
      </c>
      <c r="H1465" s="8">
        <v>57.83</v>
      </c>
      <c r="J1465" s="7">
        <v>1582</v>
      </c>
      <c r="K1465" s="8">
        <v>12.85</v>
      </c>
    </row>
    <row r="1466" spans="7:11" x14ac:dyDescent="0.45">
      <c r="G1466" s="9">
        <v>43902</v>
      </c>
      <c r="H1466" s="8">
        <v>75.47</v>
      </c>
      <c r="J1466" s="7">
        <v>1552</v>
      </c>
      <c r="K1466" s="8">
        <v>12.46</v>
      </c>
    </row>
    <row r="1467" spans="7:11" x14ac:dyDescent="0.45">
      <c r="G1467" s="9">
        <v>43901</v>
      </c>
      <c r="H1467" s="8">
        <v>53.9</v>
      </c>
      <c r="J1467" s="7">
        <v>1521</v>
      </c>
      <c r="K1467" s="8">
        <v>12.42</v>
      </c>
    </row>
    <row r="1468" spans="7:11" x14ac:dyDescent="0.45">
      <c r="G1468" s="9">
        <v>43900</v>
      </c>
      <c r="H1468" s="8">
        <v>47.3</v>
      </c>
      <c r="J1468" s="7">
        <v>1492</v>
      </c>
      <c r="K1468" s="8">
        <v>12.68</v>
      </c>
    </row>
    <row r="1469" spans="7:11" x14ac:dyDescent="0.45">
      <c r="G1469" s="9">
        <v>43899</v>
      </c>
      <c r="H1469" s="8">
        <v>54.46</v>
      </c>
      <c r="J1469" s="7">
        <v>1461</v>
      </c>
      <c r="K1469" s="8">
        <v>12.4</v>
      </c>
    </row>
    <row r="1470" spans="7:11" x14ac:dyDescent="0.45">
      <c r="G1470" s="9">
        <v>43896</v>
      </c>
      <c r="H1470" s="8">
        <v>41.94</v>
      </c>
      <c r="J1470" s="7">
        <v>1430</v>
      </c>
      <c r="K1470" s="8">
        <v>11.67</v>
      </c>
    </row>
    <row r="1471" spans="7:11" x14ac:dyDescent="0.45">
      <c r="G1471" s="9">
        <v>43895</v>
      </c>
      <c r="H1471" s="8">
        <v>39.619999999999997</v>
      </c>
      <c r="J1471" s="7">
        <v>1400</v>
      </c>
      <c r="K1471" s="8">
        <v>11.45</v>
      </c>
    </row>
    <row r="1472" spans="7:11" x14ac:dyDescent="0.45">
      <c r="G1472" s="9">
        <v>43894</v>
      </c>
      <c r="H1472" s="8">
        <v>31.99</v>
      </c>
      <c r="J1472" s="7">
        <v>1369</v>
      </c>
      <c r="K1472" s="8">
        <v>11.66</v>
      </c>
    </row>
    <row r="1473" spans="7:11" x14ac:dyDescent="0.45">
      <c r="G1473" s="9">
        <v>43893</v>
      </c>
      <c r="H1473" s="8">
        <v>36.82</v>
      </c>
      <c r="J1473" s="7">
        <v>1339</v>
      </c>
      <c r="K1473" s="8">
        <v>11.77</v>
      </c>
    </row>
    <row r="1474" spans="7:11" x14ac:dyDescent="0.45">
      <c r="G1474" s="9">
        <v>43892</v>
      </c>
      <c r="H1474" s="8">
        <v>33.42</v>
      </c>
      <c r="J1474" s="7">
        <v>1308</v>
      </c>
      <c r="K1474" s="8">
        <v>11.98</v>
      </c>
    </row>
    <row r="1475" spans="7:11" x14ac:dyDescent="0.45">
      <c r="G1475" s="9">
        <v>43889</v>
      </c>
      <c r="H1475" s="8">
        <v>40.11</v>
      </c>
      <c r="J1475" s="7">
        <v>1277</v>
      </c>
      <c r="K1475" s="8">
        <v>12.38</v>
      </c>
    </row>
    <row r="1476" spans="7:11" x14ac:dyDescent="0.45">
      <c r="G1476" s="9">
        <v>43888</v>
      </c>
      <c r="H1476" s="8">
        <v>39.159999999999997</v>
      </c>
      <c r="J1476" s="7">
        <v>1247</v>
      </c>
      <c r="K1476" s="8">
        <v>12.92</v>
      </c>
    </row>
    <row r="1477" spans="7:11" x14ac:dyDescent="0.45">
      <c r="G1477" s="9">
        <v>43887</v>
      </c>
      <c r="H1477" s="8">
        <v>27.56</v>
      </c>
      <c r="J1477" s="7">
        <v>1216</v>
      </c>
      <c r="K1477" s="8">
        <v>12.99</v>
      </c>
    </row>
    <row r="1478" spans="7:11" x14ac:dyDescent="0.45">
      <c r="G1478" s="9">
        <v>43886</v>
      </c>
      <c r="H1478" s="8">
        <v>27.85</v>
      </c>
      <c r="J1478" s="7">
        <v>1186</v>
      </c>
      <c r="K1478" s="8">
        <v>13.36</v>
      </c>
    </row>
    <row r="1479" spans="7:11" x14ac:dyDescent="0.45">
      <c r="G1479" s="9">
        <v>43885</v>
      </c>
      <c r="H1479" s="8">
        <v>25.03</v>
      </c>
      <c r="J1479" s="7">
        <v>1155</v>
      </c>
      <c r="K1479" s="8">
        <v>13.71</v>
      </c>
    </row>
    <row r="1480" spans="7:11" x14ac:dyDescent="0.45">
      <c r="G1480" s="9">
        <v>43882</v>
      </c>
      <c r="H1480" s="8">
        <v>17.079999999999998</v>
      </c>
      <c r="J1480" s="7">
        <v>1127</v>
      </c>
      <c r="K1480" s="8">
        <v>13.61</v>
      </c>
    </row>
    <row r="1481" spans="7:11" x14ac:dyDescent="0.45">
      <c r="G1481" s="9">
        <v>43881</v>
      </c>
      <c r="H1481" s="8">
        <v>15.56</v>
      </c>
      <c r="J1481" s="7">
        <v>1096</v>
      </c>
      <c r="K1481" s="8">
        <v>12.78</v>
      </c>
    </row>
    <row r="1482" spans="7:11" x14ac:dyDescent="0.45">
      <c r="G1482" s="9">
        <v>43880</v>
      </c>
      <c r="H1482" s="8">
        <v>14.38</v>
      </c>
      <c r="J1482" s="7">
        <v>1065</v>
      </c>
      <c r="K1482" s="8">
        <v>13.31</v>
      </c>
    </row>
    <row r="1483" spans="7:11" x14ac:dyDescent="0.45">
      <c r="G1483" s="9">
        <v>43879</v>
      </c>
      <c r="H1483" s="8">
        <v>14.83</v>
      </c>
      <c r="J1483" s="7">
        <v>1035</v>
      </c>
      <c r="K1483" s="8">
        <v>14.09</v>
      </c>
    </row>
    <row r="1484" spans="7:11" x14ac:dyDescent="0.45">
      <c r="G1484" s="9">
        <v>43875</v>
      </c>
      <c r="H1484" s="8">
        <v>13.68</v>
      </c>
      <c r="J1484" s="7">
        <v>1004</v>
      </c>
      <c r="K1484" s="8">
        <v>14.81</v>
      </c>
    </row>
    <row r="1485" spans="7:11" x14ac:dyDescent="0.45">
      <c r="G1485" s="9">
        <v>43874</v>
      </c>
      <c r="H1485" s="8">
        <v>14.15</v>
      </c>
      <c r="J1485" s="7">
        <v>974</v>
      </c>
      <c r="K1485" s="8">
        <v>15.05</v>
      </c>
    </row>
    <row r="1486" spans="7:11" x14ac:dyDescent="0.45">
      <c r="G1486" s="9">
        <v>43873</v>
      </c>
      <c r="H1486" s="8">
        <v>13.74</v>
      </c>
      <c r="J1486" s="7">
        <v>943</v>
      </c>
      <c r="K1486" s="8">
        <v>14.94</v>
      </c>
    </row>
    <row r="1487" spans="7:11" x14ac:dyDescent="0.45">
      <c r="G1487" s="9">
        <v>43872</v>
      </c>
      <c r="H1487" s="8">
        <v>15.18</v>
      </c>
      <c r="J1487" s="7">
        <v>912</v>
      </c>
      <c r="K1487" s="8">
        <v>14.88</v>
      </c>
    </row>
    <row r="1488" spans="7:11" x14ac:dyDescent="0.45">
      <c r="G1488" s="9">
        <v>43871</v>
      </c>
      <c r="H1488" s="8">
        <v>15.04</v>
      </c>
      <c r="J1488" s="7">
        <v>882</v>
      </c>
      <c r="K1488" s="8">
        <v>15.27</v>
      </c>
    </row>
    <row r="1489" spans="7:11" x14ac:dyDescent="0.45">
      <c r="G1489" s="9">
        <v>43868</v>
      </c>
      <c r="H1489" s="8">
        <v>15.47</v>
      </c>
      <c r="J1489" s="7">
        <v>851</v>
      </c>
      <c r="K1489" s="8">
        <v>15.61</v>
      </c>
    </row>
    <row r="1490" spans="7:11" x14ac:dyDescent="0.45">
      <c r="G1490" s="9">
        <v>43867</v>
      </c>
      <c r="H1490" s="8">
        <v>14.96</v>
      </c>
      <c r="J1490" s="7">
        <v>821</v>
      </c>
      <c r="K1490" s="8">
        <v>15.4</v>
      </c>
    </row>
    <row r="1491" spans="7:11" x14ac:dyDescent="0.45">
      <c r="G1491" s="9">
        <v>43866</v>
      </c>
      <c r="H1491" s="8">
        <v>15.15</v>
      </c>
      <c r="J1491" s="7">
        <v>790</v>
      </c>
      <c r="K1491" s="8">
        <v>15.7</v>
      </c>
    </row>
    <row r="1492" spans="7:11" x14ac:dyDescent="0.45">
      <c r="G1492" s="9">
        <v>43865</v>
      </c>
      <c r="H1492" s="8">
        <v>16.05</v>
      </c>
      <c r="J1492" s="7">
        <v>762</v>
      </c>
      <c r="K1492" s="8">
        <v>15.9</v>
      </c>
    </row>
    <row r="1493" spans="7:11" x14ac:dyDescent="0.45">
      <c r="G1493" s="9">
        <v>43864</v>
      </c>
      <c r="H1493" s="8">
        <v>17.97</v>
      </c>
      <c r="J1493" s="7">
        <v>731</v>
      </c>
      <c r="K1493" s="8">
        <v>15.9</v>
      </c>
    </row>
    <row r="1494" spans="7:11" x14ac:dyDescent="0.45">
      <c r="G1494" s="9">
        <v>43861</v>
      </c>
      <c r="H1494" s="8">
        <v>18.84</v>
      </c>
      <c r="J1494" s="7">
        <v>700</v>
      </c>
      <c r="K1494" s="8">
        <v>16.22</v>
      </c>
    </row>
    <row r="1495" spans="7:11" x14ac:dyDescent="0.45">
      <c r="G1495" s="9">
        <v>43860</v>
      </c>
      <c r="H1495" s="8">
        <v>15.49</v>
      </c>
      <c r="J1495" s="7">
        <v>670</v>
      </c>
      <c r="K1495" s="8">
        <v>15.93</v>
      </c>
    </row>
    <row r="1496" spans="7:11" x14ac:dyDescent="0.45">
      <c r="G1496" s="9">
        <v>43859</v>
      </c>
      <c r="H1496" s="8">
        <v>16.39</v>
      </c>
      <c r="J1496" s="7">
        <v>639</v>
      </c>
      <c r="K1496" s="8">
        <v>16.16</v>
      </c>
    </row>
    <row r="1497" spans="7:11" x14ac:dyDescent="0.45">
      <c r="G1497" s="9">
        <v>43858</v>
      </c>
      <c r="H1497" s="8">
        <v>16.28</v>
      </c>
      <c r="J1497" s="7">
        <v>609</v>
      </c>
      <c r="K1497" s="8">
        <v>16.3</v>
      </c>
    </row>
    <row r="1498" spans="7:11" x14ac:dyDescent="0.45">
      <c r="G1498" s="9">
        <v>43857</v>
      </c>
      <c r="H1498" s="8">
        <v>18.23</v>
      </c>
      <c r="J1498" s="7">
        <v>578</v>
      </c>
      <c r="K1498" s="8">
        <v>16.13</v>
      </c>
    </row>
    <row r="1499" spans="7:11" x14ac:dyDescent="0.45">
      <c r="G1499" s="9">
        <v>43854</v>
      </c>
      <c r="H1499" s="8">
        <v>14.56</v>
      </c>
      <c r="J1499" s="7">
        <v>547</v>
      </c>
      <c r="K1499" s="8">
        <v>17.350000000000001</v>
      </c>
    </row>
    <row r="1500" spans="7:11" x14ac:dyDescent="0.45">
      <c r="G1500" s="9">
        <v>43853</v>
      </c>
      <c r="H1500" s="8">
        <v>12.98</v>
      </c>
      <c r="J1500" s="7">
        <v>517</v>
      </c>
      <c r="K1500" s="8">
        <v>15.83</v>
      </c>
    </row>
    <row r="1501" spans="7:11" x14ac:dyDescent="0.45">
      <c r="G1501" s="9">
        <v>43852</v>
      </c>
      <c r="H1501" s="8">
        <v>12.91</v>
      </c>
      <c r="J1501" s="7">
        <v>486</v>
      </c>
      <c r="K1501" s="8">
        <v>16.72</v>
      </c>
    </row>
    <row r="1502" spans="7:11" x14ac:dyDescent="0.45">
      <c r="G1502" s="9">
        <v>43851</v>
      </c>
      <c r="H1502" s="8">
        <v>12.85</v>
      </c>
      <c r="J1502" s="7">
        <v>456</v>
      </c>
      <c r="K1502" s="8">
        <v>15.48</v>
      </c>
    </row>
    <row r="1503" spans="7:11" x14ac:dyDescent="0.45">
      <c r="G1503" s="9">
        <v>43847</v>
      </c>
      <c r="H1503" s="8">
        <v>12.1</v>
      </c>
      <c r="J1503" s="7">
        <v>425</v>
      </c>
      <c r="K1503" s="8">
        <v>15</v>
      </c>
    </row>
    <row r="1504" spans="7:11" x14ac:dyDescent="0.45">
      <c r="G1504" s="9">
        <v>43846</v>
      </c>
      <c r="H1504" s="8">
        <v>12.32</v>
      </c>
      <c r="J1504" s="7">
        <v>397</v>
      </c>
      <c r="K1504" s="8">
        <v>14.68</v>
      </c>
    </row>
    <row r="1505" spans="7:11" x14ac:dyDescent="0.45">
      <c r="G1505" s="9">
        <v>43845</v>
      </c>
      <c r="H1505" s="8">
        <v>12.42</v>
      </c>
      <c r="J1505" s="7">
        <v>366</v>
      </c>
      <c r="K1505" s="8">
        <v>14.31</v>
      </c>
    </row>
    <row r="1506" spans="7:11" x14ac:dyDescent="0.45">
      <c r="G1506" s="9">
        <v>43844</v>
      </c>
      <c r="H1506" s="8">
        <v>12.39</v>
      </c>
      <c r="J1506" s="7">
        <v>335</v>
      </c>
      <c r="K1506" s="8">
        <v>13.5</v>
      </c>
    </row>
    <row r="1507" spans="7:11" x14ac:dyDescent="0.45">
      <c r="G1507" s="9">
        <v>43843</v>
      </c>
      <c r="H1507" s="8">
        <v>12.32</v>
      </c>
      <c r="J1507" s="7">
        <v>305</v>
      </c>
      <c r="K1507" s="8">
        <v>12.52</v>
      </c>
    </row>
    <row r="1508" spans="7:11" x14ac:dyDescent="0.45">
      <c r="G1508" s="9">
        <v>43840</v>
      </c>
      <c r="H1508" s="8">
        <v>12.56</v>
      </c>
      <c r="J1508" s="7">
        <v>274</v>
      </c>
      <c r="K1508" s="8">
        <v>12.08</v>
      </c>
    </row>
    <row r="1509" spans="7:11" x14ac:dyDescent="0.45">
      <c r="G1509" s="9">
        <v>43839</v>
      </c>
      <c r="H1509" s="8">
        <v>12.54</v>
      </c>
      <c r="J1509" s="7">
        <v>244</v>
      </c>
      <c r="K1509" s="8">
        <v>12.38</v>
      </c>
    </row>
    <row r="1510" spans="7:11" x14ac:dyDescent="0.45">
      <c r="G1510" s="9">
        <v>43838</v>
      </c>
      <c r="H1510" s="8">
        <v>13.45</v>
      </c>
      <c r="J1510" s="7">
        <v>213</v>
      </c>
      <c r="K1510" s="8">
        <v>12.21</v>
      </c>
    </row>
    <row r="1511" spans="7:11" x14ac:dyDescent="0.45">
      <c r="G1511" s="9">
        <v>43837</v>
      </c>
      <c r="H1511" s="8">
        <v>13.79</v>
      </c>
      <c r="J1511" s="7">
        <v>182</v>
      </c>
      <c r="K1511" s="8">
        <v>12.21</v>
      </c>
    </row>
    <row r="1512" spans="7:11" x14ac:dyDescent="0.45">
      <c r="G1512" s="9">
        <v>43836</v>
      </c>
      <c r="H1512" s="8">
        <v>13.85</v>
      </c>
      <c r="J1512" s="7">
        <v>152</v>
      </c>
      <c r="K1512" s="8">
        <v>12.58</v>
      </c>
    </row>
    <row r="1513" spans="7:11" x14ac:dyDescent="0.45">
      <c r="G1513" s="9">
        <v>43833</v>
      </c>
      <c r="H1513" s="8">
        <v>14.02</v>
      </c>
      <c r="J1513" s="7">
        <v>121</v>
      </c>
      <c r="K1513" s="8">
        <v>13.21</v>
      </c>
    </row>
    <row r="1514" spans="7:11" x14ac:dyDescent="0.45">
      <c r="G1514" s="9">
        <v>43832</v>
      </c>
      <c r="H1514" s="8">
        <v>12.47</v>
      </c>
      <c r="J1514" s="7">
        <v>91</v>
      </c>
      <c r="K1514" s="8">
        <v>13.04</v>
      </c>
    </row>
    <row r="1515" spans="7:11" x14ac:dyDescent="0.45">
      <c r="G1515" s="9">
        <v>43830</v>
      </c>
      <c r="H1515" s="8">
        <v>13.78</v>
      </c>
      <c r="J1515" s="7">
        <v>59</v>
      </c>
      <c r="K1515" s="8">
        <v>12.94</v>
      </c>
    </row>
    <row r="1516" spans="7:11" x14ac:dyDescent="0.45">
      <c r="G1516" s="9">
        <v>43829</v>
      </c>
      <c r="H1516" s="8">
        <v>14.82</v>
      </c>
      <c r="J1516" s="7">
        <v>31</v>
      </c>
      <c r="K1516" s="8">
        <v>12.71</v>
      </c>
    </row>
    <row r="1517" spans="7:11" x14ac:dyDescent="0.45">
      <c r="G1517" s="9">
        <v>43826</v>
      </c>
      <c r="H1517" s="8">
        <v>13.43</v>
      </c>
      <c r="J1517" s="7" t="s">
        <v>35</v>
      </c>
      <c r="K1517" s="8">
        <v>12.54</v>
      </c>
    </row>
    <row r="1518" spans="7:11" x14ac:dyDescent="0.45">
      <c r="G1518" s="9">
        <v>43825</v>
      </c>
      <c r="H1518" s="8">
        <v>12.65</v>
      </c>
      <c r="J1518" s="7" t="s">
        <v>36</v>
      </c>
      <c r="K1518" s="8">
        <v>13.77</v>
      </c>
    </row>
    <row r="1519" spans="7:11" x14ac:dyDescent="0.45">
      <c r="G1519" s="9">
        <v>43823</v>
      </c>
      <c r="H1519" s="8">
        <v>12.67</v>
      </c>
      <c r="J1519" s="7" t="s">
        <v>37</v>
      </c>
      <c r="K1519" s="8">
        <v>13.83</v>
      </c>
    </row>
    <row r="1520" spans="7:11" x14ac:dyDescent="0.45">
      <c r="G1520" s="9">
        <v>43822</v>
      </c>
      <c r="H1520" s="8">
        <v>12.61</v>
      </c>
      <c r="J1520" s="7" t="s">
        <v>38</v>
      </c>
      <c r="K1520" s="8">
        <v>14.23</v>
      </c>
    </row>
    <row r="1521" spans="7:11" x14ac:dyDescent="0.45">
      <c r="G1521" s="9">
        <v>43819</v>
      </c>
      <c r="H1521" s="8">
        <v>12.51</v>
      </c>
      <c r="J1521" s="7" t="s">
        <v>39</v>
      </c>
      <c r="K1521" s="8">
        <v>14.75</v>
      </c>
    </row>
    <row r="1522" spans="7:11" x14ac:dyDescent="0.45">
      <c r="G1522" s="9">
        <v>43818</v>
      </c>
      <c r="H1522" s="8">
        <v>12.5</v>
      </c>
      <c r="J1522" s="7" t="s">
        <v>40</v>
      </c>
      <c r="K1522" s="8">
        <v>14.75</v>
      </c>
    </row>
    <row r="1523" spans="7:11" x14ac:dyDescent="0.45">
      <c r="G1523" s="9">
        <v>43817</v>
      </c>
      <c r="H1523" s="8">
        <v>12.58</v>
      </c>
      <c r="J1523" s="7" t="s">
        <v>41</v>
      </c>
      <c r="K1523" s="8">
        <v>14.63</v>
      </c>
    </row>
    <row r="1524" spans="7:11" x14ac:dyDescent="0.45">
      <c r="G1524" s="9">
        <v>43816</v>
      </c>
      <c r="H1524" s="8">
        <v>12.29</v>
      </c>
      <c r="J1524" s="7" t="s">
        <v>42</v>
      </c>
      <c r="K1524" s="8">
        <v>15.36</v>
      </c>
    </row>
    <row r="1525" spans="7:11" x14ac:dyDescent="0.45">
      <c r="G1525" s="9">
        <v>43815</v>
      </c>
      <c r="H1525" s="8">
        <v>12.14</v>
      </c>
      <c r="J1525" s="7" t="s">
        <v>43</v>
      </c>
      <c r="K1525" s="8">
        <v>16.48</v>
      </c>
    </row>
    <row r="1526" spans="7:11" x14ac:dyDescent="0.45">
      <c r="G1526" s="9">
        <v>43812</v>
      </c>
      <c r="H1526" s="8">
        <v>12.63</v>
      </c>
      <c r="J1526" s="7" t="s">
        <v>44</v>
      </c>
      <c r="K1526" s="8">
        <v>16.73</v>
      </c>
    </row>
    <row r="1527" spans="7:11" x14ac:dyDescent="0.45">
      <c r="G1527" s="9">
        <v>43811</v>
      </c>
      <c r="H1527" s="8">
        <v>13.94</v>
      </c>
      <c r="J1527" s="7" t="s">
        <v>45</v>
      </c>
      <c r="K1527" s="8">
        <v>16.98</v>
      </c>
    </row>
    <row r="1528" spans="7:11" x14ac:dyDescent="0.45">
      <c r="G1528" s="9">
        <v>43810</v>
      </c>
      <c r="H1528" s="8">
        <v>14.99</v>
      </c>
      <c r="J1528" s="7" t="s">
        <v>46</v>
      </c>
      <c r="K1528" s="8">
        <v>16.850000000000001</v>
      </c>
    </row>
    <row r="1529" spans="7:11" x14ac:dyDescent="0.45">
      <c r="G1529" s="9">
        <v>43809</v>
      </c>
      <c r="H1529" s="8">
        <v>15.68</v>
      </c>
      <c r="J1529" s="7" t="s">
        <v>47</v>
      </c>
      <c r="K1529" s="8">
        <v>16.14</v>
      </c>
    </row>
    <row r="1530" spans="7:11" x14ac:dyDescent="0.45">
      <c r="G1530" s="9">
        <v>43808</v>
      </c>
      <c r="H1530" s="8">
        <v>15.86</v>
      </c>
      <c r="J1530" s="7" t="s">
        <v>48</v>
      </c>
      <c r="K1530" s="8">
        <v>15.34</v>
      </c>
    </row>
    <row r="1531" spans="7:11" x14ac:dyDescent="0.45">
      <c r="G1531" s="9">
        <v>43805</v>
      </c>
      <c r="H1531" s="8">
        <v>13.62</v>
      </c>
      <c r="J1531" s="7" t="s">
        <v>49</v>
      </c>
      <c r="K1531" s="8">
        <v>15</v>
      </c>
    </row>
    <row r="1532" spans="7:11" x14ac:dyDescent="0.45">
      <c r="G1532" s="9">
        <v>43804</v>
      </c>
      <c r="H1532" s="8">
        <v>14.52</v>
      </c>
      <c r="J1532" s="7" t="s">
        <v>50</v>
      </c>
      <c r="K1532" s="8">
        <v>15.47</v>
      </c>
    </row>
    <row r="1533" spans="7:11" x14ac:dyDescent="0.45">
      <c r="G1533" s="9">
        <v>43803</v>
      </c>
      <c r="H1533" s="8">
        <v>14.8</v>
      </c>
      <c r="J1533" s="7" t="s">
        <v>51</v>
      </c>
      <c r="K1533" s="8">
        <v>15.65</v>
      </c>
    </row>
    <row r="1534" spans="7:11" x14ac:dyDescent="0.45">
      <c r="G1534" s="9">
        <v>43802</v>
      </c>
      <c r="H1534" s="8">
        <v>15.96</v>
      </c>
      <c r="J1534" s="7" t="s">
        <v>52</v>
      </c>
      <c r="K1534" s="8">
        <v>15.24</v>
      </c>
    </row>
    <row r="1535" spans="7:11" x14ac:dyDescent="0.45">
      <c r="G1535" s="9">
        <v>43801</v>
      </c>
      <c r="H1535" s="8">
        <v>14.91</v>
      </c>
      <c r="J1535" s="7" t="s">
        <v>53</v>
      </c>
      <c r="K1535" s="8">
        <v>15.33</v>
      </c>
    </row>
    <row r="1536" spans="7:11" x14ac:dyDescent="0.45">
      <c r="G1536" s="9">
        <v>43798</v>
      </c>
      <c r="H1536" s="8">
        <v>12.62</v>
      </c>
      <c r="J1536" s="7" t="s">
        <v>54</v>
      </c>
      <c r="K1536" s="8">
        <v>14.91</v>
      </c>
    </row>
    <row r="1537" spans="7:11" x14ac:dyDescent="0.45">
      <c r="G1537" s="9">
        <v>43797</v>
      </c>
      <c r="H1537" s="8">
        <v>11.75</v>
      </c>
      <c r="J1537" s="7" t="s">
        <v>55</v>
      </c>
      <c r="K1537" s="8">
        <v>14.14</v>
      </c>
    </row>
    <row r="1538" spans="7:11" x14ac:dyDescent="0.45">
      <c r="G1538" s="9">
        <v>43796</v>
      </c>
      <c r="H1538" s="8">
        <v>11.75</v>
      </c>
      <c r="J1538" s="7" t="s">
        <v>56</v>
      </c>
      <c r="K1538" s="8">
        <v>14.53</v>
      </c>
    </row>
    <row r="1539" spans="7:11" x14ac:dyDescent="0.45">
      <c r="G1539" s="9">
        <v>43795</v>
      </c>
      <c r="H1539" s="8">
        <v>11.54</v>
      </c>
      <c r="J1539" s="7" t="s">
        <v>57</v>
      </c>
      <c r="K1539" s="8">
        <v>15.38</v>
      </c>
    </row>
    <row r="1540" spans="7:11" x14ac:dyDescent="0.45">
      <c r="G1540" s="9">
        <v>43794</v>
      </c>
      <c r="H1540" s="8">
        <v>11.87</v>
      </c>
      <c r="J1540" s="7" t="s">
        <v>58</v>
      </c>
      <c r="K1540" s="8">
        <v>15.58</v>
      </c>
    </row>
    <row r="1541" spans="7:11" x14ac:dyDescent="0.45">
      <c r="G1541" s="9">
        <v>43791</v>
      </c>
      <c r="H1541" s="8">
        <v>12.34</v>
      </c>
      <c r="J1541" s="7" t="s">
        <v>59</v>
      </c>
      <c r="K1541" s="8">
        <v>15.32</v>
      </c>
    </row>
    <row r="1542" spans="7:11" x14ac:dyDescent="0.45">
      <c r="G1542" s="9">
        <v>43790</v>
      </c>
      <c r="H1542" s="8">
        <v>13.13</v>
      </c>
      <c r="J1542" s="7" t="s">
        <v>60</v>
      </c>
      <c r="K1542" s="8">
        <v>15.41</v>
      </c>
    </row>
    <row r="1543" spans="7:11" x14ac:dyDescent="0.45">
      <c r="G1543" s="9">
        <v>43789</v>
      </c>
      <c r="H1543" s="8">
        <v>12.78</v>
      </c>
      <c r="J1543" s="7" t="s">
        <v>61</v>
      </c>
      <c r="K1543" s="8">
        <v>16.43</v>
      </c>
    </row>
    <row r="1544" spans="7:11" x14ac:dyDescent="0.45">
      <c r="G1544" s="9">
        <v>43788</v>
      </c>
      <c r="H1544" s="8">
        <v>12.86</v>
      </c>
      <c r="J1544" s="7" t="s">
        <v>62</v>
      </c>
      <c r="K1544" s="8">
        <v>17.47</v>
      </c>
    </row>
    <row r="1545" spans="7:11" x14ac:dyDescent="0.45">
      <c r="G1545" s="9">
        <v>43787</v>
      </c>
      <c r="H1545" s="8">
        <v>12.46</v>
      </c>
      <c r="J1545" s="7" t="s">
        <v>63</v>
      </c>
      <c r="K1545" s="8">
        <v>17.170000000000002</v>
      </c>
    </row>
    <row r="1546" spans="7:11" x14ac:dyDescent="0.45">
      <c r="G1546" s="9">
        <v>43784</v>
      </c>
      <c r="H1546" s="8">
        <v>12.05</v>
      </c>
      <c r="J1546" s="7" t="s">
        <v>64</v>
      </c>
      <c r="K1546" s="8">
        <v>16.62</v>
      </c>
    </row>
    <row r="1547" spans="7:11" x14ac:dyDescent="0.45">
      <c r="G1547" s="9">
        <v>43783</v>
      </c>
      <c r="H1547" s="8">
        <v>13.05</v>
      </c>
      <c r="J1547" s="7" t="s">
        <v>65</v>
      </c>
      <c r="K1547" s="8">
        <v>16.420000000000002</v>
      </c>
    </row>
    <row r="1548" spans="7:11" x14ac:dyDescent="0.45">
      <c r="G1548" s="9">
        <v>43782</v>
      </c>
      <c r="H1548" s="8">
        <v>13</v>
      </c>
      <c r="J1548" s="7" t="s">
        <v>66</v>
      </c>
      <c r="K1548" s="8">
        <v>16.21</v>
      </c>
    </row>
    <row r="1549" spans="7:11" x14ac:dyDescent="0.45">
      <c r="G1549" s="9">
        <v>43781</v>
      </c>
      <c r="H1549" s="8">
        <v>12.68</v>
      </c>
      <c r="J1549" s="7" t="s">
        <v>67</v>
      </c>
      <c r="K1549" s="8">
        <v>16.690000000000001</v>
      </c>
    </row>
    <row r="1550" spans="7:11" x14ac:dyDescent="0.45">
      <c r="G1550" s="9">
        <v>43780</v>
      </c>
      <c r="H1550" s="8">
        <v>12.69</v>
      </c>
      <c r="J1550" s="7" t="s">
        <v>68</v>
      </c>
      <c r="K1550" s="8">
        <v>17.829999999999998</v>
      </c>
    </row>
    <row r="1551" spans="7:11" x14ac:dyDescent="0.45">
      <c r="G1551" s="9">
        <v>43777</v>
      </c>
      <c r="H1551" s="8">
        <v>12.07</v>
      </c>
      <c r="J1551" s="7" t="s">
        <v>69</v>
      </c>
      <c r="K1551" s="8">
        <v>18.440000000000001</v>
      </c>
    </row>
    <row r="1552" spans="7:11" x14ac:dyDescent="0.45">
      <c r="G1552" s="9">
        <v>43776</v>
      </c>
      <c r="H1552" s="8">
        <v>12.73</v>
      </c>
      <c r="J1552" s="7" t="s">
        <v>70</v>
      </c>
      <c r="K1552" s="8">
        <v>19.329999999999998</v>
      </c>
    </row>
    <row r="1553" spans="7:11" x14ac:dyDescent="0.45">
      <c r="G1553" s="9">
        <v>43775</v>
      </c>
      <c r="H1553" s="8">
        <v>12.62</v>
      </c>
      <c r="J1553" s="7" t="s">
        <v>71</v>
      </c>
      <c r="K1553" s="8">
        <v>20.100000000000001</v>
      </c>
    </row>
    <row r="1554" spans="7:11" x14ac:dyDescent="0.45">
      <c r="G1554" s="9">
        <v>43774</v>
      </c>
      <c r="H1554" s="8">
        <v>13.1</v>
      </c>
      <c r="J1554" s="7" t="s">
        <v>72</v>
      </c>
      <c r="K1554" s="8">
        <v>20.53</v>
      </c>
    </row>
    <row r="1555" spans="7:11" x14ac:dyDescent="0.45">
      <c r="G1555" s="9">
        <v>43773</v>
      </c>
      <c r="H1555" s="8">
        <v>12.83</v>
      </c>
      <c r="J1555" s="7" t="s">
        <v>73</v>
      </c>
      <c r="K1555" s="8">
        <v>18.920000000000002</v>
      </c>
    </row>
    <row r="1556" spans="7:11" x14ac:dyDescent="0.45">
      <c r="G1556" s="9">
        <v>43770</v>
      </c>
      <c r="H1556" s="8">
        <v>12.3</v>
      </c>
      <c r="J1556" s="7" t="s">
        <v>74</v>
      </c>
      <c r="K1556" s="8">
        <v>18.23</v>
      </c>
    </row>
    <row r="1557" spans="7:11" x14ac:dyDescent="0.45">
      <c r="G1557" s="9">
        <v>43769</v>
      </c>
      <c r="H1557" s="8">
        <v>13.22</v>
      </c>
      <c r="J1557" s="7" t="s">
        <v>75</v>
      </c>
      <c r="K1557" s="8">
        <v>17.059999999999999</v>
      </c>
    </row>
    <row r="1558" spans="7:11" x14ac:dyDescent="0.45">
      <c r="G1558" s="9">
        <v>43768</v>
      </c>
      <c r="H1558" s="8">
        <v>12.33</v>
      </c>
      <c r="J1558" s="7" t="s">
        <v>76</v>
      </c>
      <c r="K1558" s="8">
        <v>17.82</v>
      </c>
    </row>
    <row r="1559" spans="7:11" x14ac:dyDescent="0.45">
      <c r="G1559" s="9">
        <v>43767</v>
      </c>
      <c r="H1559" s="8">
        <v>13.2</v>
      </c>
      <c r="J1559" s="7" t="s">
        <v>77</v>
      </c>
      <c r="K1559" s="8">
        <v>18.78</v>
      </c>
    </row>
    <row r="1560" spans="7:11" x14ac:dyDescent="0.45">
      <c r="G1560" s="9">
        <v>43766</v>
      </c>
      <c r="H1560" s="8">
        <v>13.11</v>
      </c>
      <c r="J1560" s="7" t="s">
        <v>78</v>
      </c>
      <c r="K1560" s="8">
        <v>18.86</v>
      </c>
    </row>
    <row r="1561" spans="7:11" x14ac:dyDescent="0.45">
      <c r="G1561" s="9">
        <v>43763</v>
      </c>
      <c r="H1561" s="8">
        <v>12.65</v>
      </c>
      <c r="J1561" s="7" t="s">
        <v>79</v>
      </c>
      <c r="K1561" s="8">
        <v>18.670000000000002</v>
      </c>
    </row>
    <row r="1562" spans="7:11" x14ac:dyDescent="0.45">
      <c r="G1562" s="9">
        <v>43762</v>
      </c>
      <c r="H1562" s="8">
        <v>13.71</v>
      </c>
      <c r="J1562" s="7" t="s">
        <v>80</v>
      </c>
      <c r="K1562" s="8">
        <v>18.25</v>
      </c>
    </row>
    <row r="1563" spans="7:11" x14ac:dyDescent="0.45">
      <c r="G1563" s="9">
        <v>43761</v>
      </c>
      <c r="H1563" s="8">
        <v>14.01</v>
      </c>
      <c r="J1563" s="7" t="s">
        <v>81</v>
      </c>
      <c r="K1563" s="8">
        <v>18.29</v>
      </c>
    </row>
    <row r="1564" spans="7:11" x14ac:dyDescent="0.45">
      <c r="G1564" s="9">
        <v>43760</v>
      </c>
      <c r="H1564" s="8">
        <v>14.46</v>
      </c>
      <c r="J1564" s="7" t="s">
        <v>82</v>
      </c>
      <c r="K1564" s="8">
        <v>17.309999999999999</v>
      </c>
    </row>
    <row r="1565" spans="7:11" x14ac:dyDescent="0.45">
      <c r="G1565" s="9">
        <v>43759</v>
      </c>
      <c r="H1565" s="8">
        <v>14</v>
      </c>
      <c r="J1565" s="7" t="s">
        <v>83</v>
      </c>
      <c r="K1565" s="8">
        <v>17.28</v>
      </c>
    </row>
    <row r="1566" spans="7:11" x14ac:dyDescent="0.45">
      <c r="G1566" s="9">
        <v>43756</v>
      </c>
      <c r="H1566" s="8">
        <v>14.25</v>
      </c>
      <c r="J1566" s="7" t="s">
        <v>84</v>
      </c>
      <c r="K1566" s="8">
        <v>18.93</v>
      </c>
    </row>
    <row r="1567" spans="7:11" x14ac:dyDescent="0.45">
      <c r="G1567" s="9">
        <v>43755</v>
      </c>
      <c r="H1567" s="8">
        <v>13.79</v>
      </c>
      <c r="J1567" s="7" t="s">
        <v>85</v>
      </c>
      <c r="K1567" s="8">
        <v>20.21</v>
      </c>
    </row>
    <row r="1568" spans="7:11" x14ac:dyDescent="0.45">
      <c r="G1568" s="9">
        <v>43754</v>
      </c>
      <c r="H1568" s="8">
        <v>13.68</v>
      </c>
      <c r="J1568" s="7" t="s">
        <v>86</v>
      </c>
      <c r="K1568" s="8">
        <v>21.19</v>
      </c>
    </row>
    <row r="1569" spans="7:11" x14ac:dyDescent="0.45">
      <c r="G1569" s="9">
        <v>43753</v>
      </c>
      <c r="H1569" s="8">
        <v>13.54</v>
      </c>
      <c r="J1569" s="7" t="s">
        <v>87</v>
      </c>
      <c r="K1569" s="8">
        <v>21.77</v>
      </c>
    </row>
    <row r="1570" spans="7:11" x14ac:dyDescent="0.45">
      <c r="G1570" s="9">
        <v>43752</v>
      </c>
      <c r="H1570" s="8">
        <v>14.57</v>
      </c>
      <c r="J1570" s="7" t="s">
        <v>88</v>
      </c>
      <c r="K1570" s="8">
        <v>22.21</v>
      </c>
    </row>
    <row r="1571" spans="7:11" x14ac:dyDescent="0.45">
      <c r="G1571" s="9">
        <v>43749</v>
      </c>
      <c r="H1571" s="8">
        <v>15.58</v>
      </c>
      <c r="J1571" s="7" t="s">
        <v>89</v>
      </c>
      <c r="K1571" s="8">
        <v>22.93</v>
      </c>
    </row>
    <row r="1572" spans="7:11" x14ac:dyDescent="0.45">
      <c r="G1572" s="9">
        <v>43748</v>
      </c>
      <c r="H1572" s="8">
        <v>17.57</v>
      </c>
      <c r="J1572" s="7" t="s">
        <v>90</v>
      </c>
      <c r="K1572" s="8">
        <v>23.34</v>
      </c>
    </row>
    <row r="1573" spans="7:11" x14ac:dyDescent="0.45">
      <c r="G1573" s="9">
        <v>43747</v>
      </c>
      <c r="H1573" s="8">
        <v>18.64</v>
      </c>
      <c r="J1573" s="7" t="s">
        <v>91</v>
      </c>
      <c r="K1573" s="8">
        <v>23</v>
      </c>
    </row>
    <row r="1574" spans="7:11" x14ac:dyDescent="0.45">
      <c r="G1574" s="9">
        <v>43746</v>
      </c>
      <c r="H1574" s="8">
        <v>20.28</v>
      </c>
      <c r="J1574" s="7" t="s">
        <v>92</v>
      </c>
      <c r="K1574" s="8">
        <v>22.96</v>
      </c>
    </row>
    <row r="1575" spans="7:11" x14ac:dyDescent="0.45">
      <c r="G1575" s="9">
        <v>43745</v>
      </c>
      <c r="H1575" s="8">
        <v>17.86</v>
      </c>
      <c r="J1575" s="7" t="s">
        <v>93</v>
      </c>
      <c r="K1575" s="8">
        <v>23.94</v>
      </c>
    </row>
    <row r="1576" spans="7:11" x14ac:dyDescent="0.45">
      <c r="G1576" s="9">
        <v>43742</v>
      </c>
      <c r="H1576" s="8">
        <v>17.04</v>
      </c>
      <c r="J1576" s="7" t="s">
        <v>94</v>
      </c>
      <c r="K1576" s="8">
        <v>25.37</v>
      </c>
    </row>
    <row r="1577" spans="7:11" x14ac:dyDescent="0.45">
      <c r="G1577" s="9">
        <v>43741</v>
      </c>
      <c r="H1577" s="8">
        <v>19.12</v>
      </c>
      <c r="J1577" s="7" t="s">
        <v>95</v>
      </c>
      <c r="K1577" s="8">
        <v>26.88</v>
      </c>
    </row>
    <row r="1578" spans="7:11" x14ac:dyDescent="0.45">
      <c r="G1578" s="9">
        <v>43740</v>
      </c>
      <c r="H1578" s="8">
        <v>20.56</v>
      </c>
      <c r="J1578" s="7" t="s">
        <v>96</v>
      </c>
      <c r="K1578" s="8">
        <v>25.79</v>
      </c>
    </row>
    <row r="1579" spans="7:11" x14ac:dyDescent="0.45">
      <c r="G1579" s="9">
        <v>43739</v>
      </c>
      <c r="H1579" s="8">
        <v>18.559999999999999</v>
      </c>
      <c r="J1579" s="7" t="s">
        <v>97</v>
      </c>
      <c r="K1579" s="8">
        <v>24.56</v>
      </c>
    </row>
    <row r="1580" spans="7:11" x14ac:dyDescent="0.45">
      <c r="G1580" s="9">
        <v>43738</v>
      </c>
      <c r="H1580" s="8">
        <v>16.239999999999998</v>
      </c>
      <c r="J1580" s="7" t="s">
        <v>98</v>
      </c>
      <c r="K1580" s="8">
        <v>24.22</v>
      </c>
    </row>
    <row r="1581" spans="7:11" x14ac:dyDescent="0.45">
      <c r="G1581" s="9">
        <v>43735</v>
      </c>
      <c r="H1581" s="8">
        <v>17.22</v>
      </c>
      <c r="J1581" s="7" t="s">
        <v>99</v>
      </c>
      <c r="K1581" s="8">
        <v>22.81</v>
      </c>
    </row>
    <row r="1582" spans="7:11" x14ac:dyDescent="0.45">
      <c r="G1582" s="9">
        <v>43734</v>
      </c>
      <c r="H1582" s="8">
        <v>16.07</v>
      </c>
      <c r="J1582" s="7" t="s">
        <v>100</v>
      </c>
      <c r="K1582" s="8">
        <v>21.07</v>
      </c>
    </row>
    <row r="1583" spans="7:11" x14ac:dyDescent="0.45">
      <c r="G1583" s="9">
        <v>43733</v>
      </c>
      <c r="H1583" s="8">
        <v>15.96</v>
      </c>
      <c r="J1583" s="7" t="s">
        <v>101</v>
      </c>
      <c r="K1583" s="8">
        <v>20.67</v>
      </c>
    </row>
    <row r="1584" spans="7:11" x14ac:dyDescent="0.45">
      <c r="G1584" s="9">
        <v>43732</v>
      </c>
      <c r="H1584" s="8">
        <v>17.05</v>
      </c>
      <c r="J1584" s="7" t="s">
        <v>102</v>
      </c>
      <c r="K1584" s="8">
        <v>20.16</v>
      </c>
    </row>
    <row r="1585" spans="7:11" x14ac:dyDescent="0.45">
      <c r="G1585" s="9">
        <v>43731</v>
      </c>
      <c r="H1585" s="8">
        <v>14.91</v>
      </c>
      <c r="J1585" s="7" t="s">
        <v>103</v>
      </c>
      <c r="K1585" s="8">
        <v>20.16</v>
      </c>
    </row>
    <row r="1586" spans="7:11" x14ac:dyDescent="0.45">
      <c r="G1586" s="9">
        <v>43728</v>
      </c>
      <c r="H1586" s="8">
        <v>15.32</v>
      </c>
      <c r="J1586" s="7" t="s">
        <v>104</v>
      </c>
      <c r="K1586" s="8">
        <v>19.190000000000001</v>
      </c>
    </row>
    <row r="1587" spans="7:11" x14ac:dyDescent="0.45">
      <c r="G1587" s="9">
        <v>43727</v>
      </c>
      <c r="H1587" s="8">
        <v>14.05</v>
      </c>
      <c r="J1587" s="7" t="s">
        <v>105</v>
      </c>
      <c r="K1587" s="8">
        <v>18</v>
      </c>
    </row>
    <row r="1588" spans="7:11" x14ac:dyDescent="0.45">
      <c r="G1588" s="9">
        <v>43726</v>
      </c>
      <c r="H1588" s="8">
        <v>13.95</v>
      </c>
      <c r="J1588" s="7" t="s">
        <v>106</v>
      </c>
      <c r="K1588" s="8">
        <v>17.16</v>
      </c>
    </row>
    <row r="1589" spans="7:11" x14ac:dyDescent="0.45">
      <c r="G1589" s="9">
        <v>43725</v>
      </c>
      <c r="H1589" s="8">
        <v>14.44</v>
      </c>
      <c r="J1589" s="7" t="s">
        <v>107</v>
      </c>
      <c r="K1589" s="8">
        <v>16.96</v>
      </c>
    </row>
    <row r="1590" spans="7:11" x14ac:dyDescent="0.45">
      <c r="G1590" s="9">
        <v>43724</v>
      </c>
      <c r="H1590" s="8">
        <v>14.67</v>
      </c>
      <c r="J1590" s="7" t="s">
        <v>108</v>
      </c>
      <c r="K1590" s="8">
        <v>16.98</v>
      </c>
    </row>
    <row r="1591" spans="7:11" x14ac:dyDescent="0.45">
      <c r="G1591" s="9">
        <v>43721</v>
      </c>
      <c r="H1591" s="8">
        <v>13.74</v>
      </c>
      <c r="J1591" s="7" t="s">
        <v>109</v>
      </c>
      <c r="K1591" s="8">
        <v>16.170000000000002</v>
      </c>
    </row>
    <row r="1592" spans="7:11" x14ac:dyDescent="0.45">
      <c r="G1592" s="9">
        <v>43720</v>
      </c>
      <c r="H1592" s="8">
        <v>14.22</v>
      </c>
      <c r="J1592" s="7" t="s">
        <v>110</v>
      </c>
      <c r="K1592" s="8">
        <v>15.2</v>
      </c>
    </row>
    <row r="1593" spans="7:11" x14ac:dyDescent="0.45">
      <c r="G1593" s="9">
        <v>43719</v>
      </c>
      <c r="H1593" s="8">
        <v>14.61</v>
      </c>
      <c r="J1593" s="7" t="s">
        <v>111</v>
      </c>
      <c r="K1593" s="8">
        <v>13.75</v>
      </c>
    </row>
    <row r="1594" spans="7:11" x14ac:dyDescent="0.45">
      <c r="G1594" s="9">
        <v>43718</v>
      </c>
      <c r="H1594" s="8">
        <v>15.2</v>
      </c>
      <c r="J1594" s="7" t="s">
        <v>112</v>
      </c>
      <c r="K1594" s="8">
        <v>13.67</v>
      </c>
    </row>
    <row r="1595" spans="7:11" x14ac:dyDescent="0.45">
      <c r="G1595" s="9">
        <v>43717</v>
      </c>
      <c r="H1595" s="8">
        <v>15.27</v>
      </c>
      <c r="J1595" s="7" t="s">
        <v>113</v>
      </c>
      <c r="K1595" s="8">
        <v>14.63</v>
      </c>
    </row>
    <row r="1596" spans="7:11" x14ac:dyDescent="0.45">
      <c r="G1596" s="9">
        <v>43714</v>
      </c>
      <c r="H1596" s="8">
        <v>15</v>
      </c>
      <c r="J1596" s="7" t="s">
        <v>114</v>
      </c>
      <c r="K1596" s="8">
        <v>14.93</v>
      </c>
    </row>
    <row r="1597" spans="7:11" x14ac:dyDescent="0.45">
      <c r="G1597" s="9">
        <v>43713</v>
      </c>
      <c r="H1597" s="8">
        <v>16.27</v>
      </c>
      <c r="J1597" s="7" t="s">
        <v>115</v>
      </c>
      <c r="K1597" s="8">
        <v>15.93</v>
      </c>
    </row>
    <row r="1598" spans="7:11" x14ac:dyDescent="0.45">
      <c r="G1598" s="9">
        <v>43712</v>
      </c>
      <c r="H1598" s="8">
        <v>17.329999999999998</v>
      </c>
      <c r="J1598" s="7" t="s">
        <v>116</v>
      </c>
      <c r="K1598" s="8">
        <v>15.5</v>
      </c>
    </row>
    <row r="1599" spans="7:11" x14ac:dyDescent="0.45">
      <c r="G1599" s="9">
        <v>43711</v>
      </c>
      <c r="H1599" s="8">
        <v>19.66</v>
      </c>
      <c r="J1599" s="7" t="s">
        <v>117</v>
      </c>
      <c r="K1599" s="8">
        <v>15.67</v>
      </c>
    </row>
    <row r="1600" spans="7:11" x14ac:dyDescent="0.45">
      <c r="G1600" s="9">
        <v>43707</v>
      </c>
      <c r="H1600" s="8">
        <v>18.98</v>
      </c>
      <c r="J1600" s="7" t="s">
        <v>118</v>
      </c>
      <c r="K1600" s="8">
        <v>15.55</v>
      </c>
    </row>
    <row r="1601" spans="7:11" x14ac:dyDescent="0.45">
      <c r="G1601" s="9">
        <v>43706</v>
      </c>
      <c r="H1601" s="8">
        <v>17.88</v>
      </c>
      <c r="J1601" s="7" t="s">
        <v>119</v>
      </c>
      <c r="K1601" s="8">
        <v>14.89</v>
      </c>
    </row>
    <row r="1602" spans="7:11" x14ac:dyDescent="0.45">
      <c r="G1602" s="9">
        <v>43705</v>
      </c>
      <c r="H1602" s="8">
        <v>19.350000000000001</v>
      </c>
      <c r="J1602" s="7" t="s">
        <v>120</v>
      </c>
      <c r="K1602" s="8">
        <v>15.16</v>
      </c>
    </row>
    <row r="1603" spans="7:11" x14ac:dyDescent="0.45">
      <c r="G1603" s="9">
        <v>43704</v>
      </c>
      <c r="H1603" s="8">
        <v>20.309999999999999</v>
      </c>
      <c r="J1603" s="7" t="s">
        <v>121</v>
      </c>
      <c r="K1603" s="8">
        <v>15.32</v>
      </c>
    </row>
    <row r="1604" spans="7:11" x14ac:dyDescent="0.45">
      <c r="G1604" s="9">
        <v>43703</v>
      </c>
      <c r="H1604" s="8">
        <v>19.32</v>
      </c>
      <c r="J1604" s="7" t="s">
        <v>122</v>
      </c>
      <c r="K1604" s="8">
        <v>15.12</v>
      </c>
    </row>
    <row r="1605" spans="7:11" x14ac:dyDescent="0.45">
      <c r="G1605" s="9">
        <v>43700</v>
      </c>
      <c r="H1605" s="8">
        <v>19.87</v>
      </c>
      <c r="J1605" s="7" t="s">
        <v>123</v>
      </c>
      <c r="K1605" s="8">
        <v>15.61</v>
      </c>
    </row>
    <row r="1606" spans="7:11" x14ac:dyDescent="0.45">
      <c r="G1606" s="9">
        <v>43699</v>
      </c>
      <c r="H1606" s="8">
        <v>16.68</v>
      </c>
      <c r="J1606" s="7" t="s">
        <v>124</v>
      </c>
      <c r="K1606" s="8">
        <v>15.5</v>
      </c>
    </row>
    <row r="1607" spans="7:11" x14ac:dyDescent="0.45">
      <c r="G1607" s="9">
        <v>43698</v>
      </c>
      <c r="H1607" s="8">
        <v>15.8</v>
      </c>
      <c r="J1607" s="7" t="s">
        <v>125</v>
      </c>
      <c r="K1607" s="8">
        <v>15.61</v>
      </c>
    </row>
    <row r="1608" spans="7:11" x14ac:dyDescent="0.45">
      <c r="G1608" s="9">
        <v>43697</v>
      </c>
      <c r="H1608" s="8">
        <v>17.5</v>
      </c>
      <c r="J1608" s="7" t="s">
        <v>126</v>
      </c>
      <c r="K1608" s="8">
        <v>15.8</v>
      </c>
    </row>
    <row r="1609" spans="7:11" x14ac:dyDescent="0.45">
      <c r="G1609" s="9">
        <v>43696</v>
      </c>
      <c r="H1609" s="8">
        <v>16.88</v>
      </c>
      <c r="J1609" s="7" t="s">
        <v>127</v>
      </c>
      <c r="K1609" s="8">
        <v>15.91</v>
      </c>
    </row>
    <row r="1610" spans="7:11" x14ac:dyDescent="0.45">
      <c r="G1610" s="9">
        <v>43693</v>
      </c>
      <c r="H1610" s="8">
        <v>18.47</v>
      </c>
      <c r="J1610" s="7" t="s">
        <v>128</v>
      </c>
      <c r="K1610" s="8">
        <v>16.059999999999999</v>
      </c>
    </row>
    <row r="1611" spans="7:11" x14ac:dyDescent="0.45">
      <c r="G1611" s="9">
        <v>43692</v>
      </c>
      <c r="H1611" s="8">
        <v>21.18</v>
      </c>
      <c r="J1611" s="7" t="s">
        <v>129</v>
      </c>
      <c r="K1611" s="8">
        <v>16</v>
      </c>
    </row>
    <row r="1612" spans="7:11" x14ac:dyDescent="0.45">
      <c r="G1612" s="9">
        <v>43691</v>
      </c>
      <c r="H1612" s="8">
        <v>22.1</v>
      </c>
      <c r="J1612" s="7" t="s">
        <v>130</v>
      </c>
      <c r="K1612" s="8">
        <v>16.09</v>
      </c>
    </row>
    <row r="1613" spans="7:11" x14ac:dyDescent="0.45">
      <c r="G1613" s="9">
        <v>43690</v>
      </c>
      <c r="H1613" s="8">
        <v>17.52</v>
      </c>
      <c r="J1613" s="7" t="s">
        <v>131</v>
      </c>
      <c r="K1613" s="8">
        <v>15.91</v>
      </c>
    </row>
    <row r="1614" spans="7:11" x14ac:dyDescent="0.45">
      <c r="G1614" s="9">
        <v>43689</v>
      </c>
      <c r="H1614" s="8">
        <v>21.09</v>
      </c>
      <c r="J1614" s="7" t="s">
        <v>132</v>
      </c>
      <c r="K1614" s="8">
        <v>15.63</v>
      </c>
    </row>
    <row r="1615" spans="7:11" x14ac:dyDescent="0.45">
      <c r="G1615" s="9">
        <v>43686</v>
      </c>
      <c r="H1615" s="8">
        <v>17.97</v>
      </c>
      <c r="J1615" s="7" t="s">
        <v>133</v>
      </c>
      <c r="K1615" s="8">
        <v>16.07</v>
      </c>
    </row>
    <row r="1616" spans="7:11" x14ac:dyDescent="0.45">
      <c r="G1616" s="9">
        <v>43685</v>
      </c>
      <c r="H1616" s="8">
        <v>16.91</v>
      </c>
      <c r="J1616" s="7" t="s">
        <v>134</v>
      </c>
      <c r="K1616" s="8">
        <v>16.27</v>
      </c>
    </row>
    <row r="1617" spans="7:11" x14ac:dyDescent="0.45">
      <c r="G1617" s="9">
        <v>43684</v>
      </c>
      <c r="H1617" s="8">
        <v>19.489999999999998</v>
      </c>
      <c r="J1617" s="7" t="s">
        <v>135</v>
      </c>
      <c r="K1617" s="8">
        <v>15.25</v>
      </c>
    </row>
    <row r="1618" spans="7:11" x14ac:dyDescent="0.45">
      <c r="G1618" s="9">
        <v>43683</v>
      </c>
      <c r="H1618" s="8">
        <v>20.170000000000002</v>
      </c>
      <c r="J1618" s="7" t="s">
        <v>136</v>
      </c>
      <c r="K1618" s="8">
        <v>14.94</v>
      </c>
    </row>
    <row r="1619" spans="7:11" x14ac:dyDescent="0.45">
      <c r="G1619" s="9">
        <v>43682</v>
      </c>
      <c r="H1619" s="8">
        <v>24.59</v>
      </c>
      <c r="J1619" s="7" t="s">
        <v>137</v>
      </c>
      <c r="K1619" s="8">
        <v>15.4</v>
      </c>
    </row>
    <row r="1620" spans="7:11" x14ac:dyDescent="0.45">
      <c r="G1620" s="9">
        <v>43679</v>
      </c>
      <c r="H1620" s="8">
        <v>17.61</v>
      </c>
      <c r="J1620" s="7" t="s">
        <v>138</v>
      </c>
      <c r="K1620" s="8">
        <v>15.93</v>
      </c>
    </row>
    <row r="1621" spans="7:11" x14ac:dyDescent="0.45">
      <c r="G1621" s="9">
        <v>43678</v>
      </c>
      <c r="H1621" s="8">
        <v>17.87</v>
      </c>
      <c r="J1621" s="7" t="s">
        <v>139</v>
      </c>
      <c r="K1621" s="8">
        <v>16.2</v>
      </c>
    </row>
    <row r="1622" spans="7:11" x14ac:dyDescent="0.45">
      <c r="G1622" s="9">
        <v>43677</v>
      </c>
      <c r="H1622" s="8">
        <v>16.12</v>
      </c>
      <c r="J1622" s="7" t="s">
        <v>140</v>
      </c>
      <c r="K1622" s="8">
        <v>15.9</v>
      </c>
    </row>
    <row r="1623" spans="7:11" x14ac:dyDescent="0.45">
      <c r="G1623" s="9">
        <v>43676</v>
      </c>
      <c r="H1623" s="8">
        <v>13.94</v>
      </c>
      <c r="J1623" s="7" t="s">
        <v>141</v>
      </c>
      <c r="K1623" s="8">
        <v>16.43</v>
      </c>
    </row>
    <row r="1624" spans="7:11" x14ac:dyDescent="0.45">
      <c r="G1624" s="9">
        <v>43675</v>
      </c>
      <c r="H1624" s="8">
        <v>12.83</v>
      </c>
      <c r="J1624" s="7" t="s">
        <v>142</v>
      </c>
      <c r="K1624" s="8">
        <v>16.45</v>
      </c>
    </row>
    <row r="1625" spans="7:11" x14ac:dyDescent="0.45">
      <c r="G1625" s="9">
        <v>43672</v>
      </c>
      <c r="H1625" s="8">
        <v>12.16</v>
      </c>
      <c r="J1625" s="7" t="s">
        <v>143</v>
      </c>
      <c r="K1625" s="8">
        <v>15.86</v>
      </c>
    </row>
    <row r="1626" spans="7:11" x14ac:dyDescent="0.45">
      <c r="G1626" s="9">
        <v>43671</v>
      </c>
      <c r="H1626" s="8">
        <v>12.74</v>
      </c>
      <c r="J1626" s="7" t="s">
        <v>144</v>
      </c>
      <c r="K1626" s="8">
        <v>16.2</v>
      </c>
    </row>
    <row r="1627" spans="7:11" x14ac:dyDescent="0.45">
      <c r="G1627" s="9">
        <v>43670</v>
      </c>
      <c r="H1627" s="8">
        <v>12.07</v>
      </c>
      <c r="J1627" s="7" t="s">
        <v>145</v>
      </c>
      <c r="K1627" s="8">
        <v>17.420000000000002</v>
      </c>
    </row>
    <row r="1628" spans="7:11" x14ac:dyDescent="0.45">
      <c r="G1628" s="9">
        <v>43669</v>
      </c>
      <c r="H1628" s="8">
        <v>12.61</v>
      </c>
      <c r="J1628" s="7" t="s">
        <v>146</v>
      </c>
      <c r="K1628" s="8">
        <v>18.190000000000001</v>
      </c>
    </row>
    <row r="1629" spans="7:11" x14ac:dyDescent="0.45">
      <c r="G1629" s="9">
        <v>43668</v>
      </c>
      <c r="H1629" s="8">
        <v>13.53</v>
      </c>
      <c r="J1629" s="7" t="s">
        <v>147</v>
      </c>
      <c r="K1629" s="8">
        <v>18.45</v>
      </c>
    </row>
    <row r="1630" spans="7:11" x14ac:dyDescent="0.45">
      <c r="G1630" s="9">
        <v>43665</v>
      </c>
      <c r="H1630" s="8">
        <v>14.45</v>
      </c>
      <c r="J1630" s="7" t="s">
        <v>148</v>
      </c>
      <c r="K1630" s="8">
        <v>18.829999999999998</v>
      </c>
    </row>
    <row r="1631" spans="7:11" x14ac:dyDescent="0.45">
      <c r="G1631" s="9">
        <v>43664</v>
      </c>
      <c r="H1631" s="8">
        <v>13.53</v>
      </c>
      <c r="J1631" s="7" t="s">
        <v>149</v>
      </c>
      <c r="K1631" s="8">
        <v>18.920000000000002</v>
      </c>
    </row>
    <row r="1632" spans="7:11" x14ac:dyDescent="0.45">
      <c r="G1632" s="9">
        <v>43663</v>
      </c>
      <c r="H1632" s="8">
        <v>13.97</v>
      </c>
      <c r="J1632" s="7" t="s">
        <v>150</v>
      </c>
      <c r="K1632" s="8">
        <v>19</v>
      </c>
    </row>
    <row r="1633" spans="7:11" x14ac:dyDescent="0.45">
      <c r="G1633" s="9">
        <v>43662</v>
      </c>
      <c r="H1633" s="8">
        <v>12.86</v>
      </c>
      <c r="J1633" s="7" t="s">
        <v>151</v>
      </c>
      <c r="K1633" s="8">
        <v>18.170000000000002</v>
      </c>
    </row>
    <row r="1634" spans="7:11" x14ac:dyDescent="0.45">
      <c r="G1634" s="9">
        <v>43661</v>
      </c>
      <c r="H1634" s="8">
        <v>12.68</v>
      </c>
      <c r="J1634" s="7" t="s">
        <v>152</v>
      </c>
      <c r="K1634" s="8">
        <v>17.75</v>
      </c>
    </row>
    <row r="1635" spans="7:11" x14ac:dyDescent="0.45">
      <c r="G1635" s="9">
        <v>43658</v>
      </c>
      <c r="H1635" s="8">
        <v>12.39</v>
      </c>
      <c r="J1635" s="7" t="s">
        <v>153</v>
      </c>
      <c r="K1635" s="8">
        <v>17.829999999999998</v>
      </c>
    </row>
    <row r="1636" spans="7:11" x14ac:dyDescent="0.45">
      <c r="G1636" s="9">
        <v>43657</v>
      </c>
      <c r="H1636" s="8">
        <v>12.93</v>
      </c>
      <c r="J1636" s="7" t="s">
        <v>154</v>
      </c>
      <c r="K1636" s="8">
        <v>17.98</v>
      </c>
    </row>
    <row r="1637" spans="7:11" x14ac:dyDescent="0.45">
      <c r="G1637" s="9">
        <v>43656</v>
      </c>
      <c r="H1637" s="8">
        <v>13.03</v>
      </c>
      <c r="J1637" s="7" t="s">
        <v>155</v>
      </c>
      <c r="K1637" s="8">
        <v>17.73</v>
      </c>
    </row>
    <row r="1638" spans="7:11" x14ac:dyDescent="0.45">
      <c r="G1638" s="9">
        <v>43655</v>
      </c>
      <c r="H1638" s="8">
        <v>14.09</v>
      </c>
      <c r="J1638" s="7" t="s">
        <v>156</v>
      </c>
      <c r="K1638" s="8">
        <v>18.03</v>
      </c>
    </row>
    <row r="1639" spans="7:11" x14ac:dyDescent="0.45">
      <c r="G1639" s="9">
        <v>43654</v>
      </c>
      <c r="H1639" s="8">
        <v>13.96</v>
      </c>
      <c r="J1639" s="7" t="s">
        <v>157</v>
      </c>
      <c r="K1639" s="8">
        <v>18.41</v>
      </c>
    </row>
    <row r="1640" spans="7:11" x14ac:dyDescent="0.45">
      <c r="G1640" s="9">
        <v>43651</v>
      </c>
      <c r="H1640" s="8">
        <v>13.28</v>
      </c>
      <c r="J1640" s="7" t="s">
        <v>158</v>
      </c>
      <c r="K1640" s="8">
        <v>18.97</v>
      </c>
    </row>
    <row r="1641" spans="7:11" x14ac:dyDescent="0.45">
      <c r="G1641" s="9">
        <v>43649</v>
      </c>
      <c r="H1641" s="8">
        <v>12.57</v>
      </c>
      <c r="J1641" s="7" t="s">
        <v>159</v>
      </c>
      <c r="K1641" s="8">
        <v>18.73</v>
      </c>
    </row>
    <row r="1642" spans="7:11" x14ac:dyDescent="0.45">
      <c r="G1642" s="9">
        <v>43648</v>
      </c>
      <c r="H1642" s="8">
        <v>12.93</v>
      </c>
      <c r="J1642" s="7" t="s">
        <v>160</v>
      </c>
      <c r="K1642" s="8">
        <v>18.71</v>
      </c>
    </row>
    <row r="1643" spans="7:11" x14ac:dyDescent="0.45">
      <c r="G1643" s="9">
        <v>43647</v>
      </c>
      <c r="H1643" s="8">
        <v>14.06</v>
      </c>
      <c r="J1643" s="7" t="s">
        <v>161</v>
      </c>
      <c r="K1643" s="8">
        <v>19.32</v>
      </c>
    </row>
    <row r="1644" spans="7:11" x14ac:dyDescent="0.45">
      <c r="G1644" s="9">
        <v>43644</v>
      </c>
      <c r="H1644" s="8">
        <v>15.08</v>
      </c>
      <c r="J1644" s="7" t="s">
        <v>162</v>
      </c>
      <c r="K1644" s="8">
        <v>19.23</v>
      </c>
    </row>
    <row r="1645" spans="7:11" x14ac:dyDescent="0.45">
      <c r="G1645" s="9">
        <v>43643</v>
      </c>
      <c r="H1645" s="8">
        <v>15.82</v>
      </c>
      <c r="J1645" s="7" t="s">
        <v>163</v>
      </c>
      <c r="K1645" s="8">
        <v>18.95</v>
      </c>
    </row>
    <row r="1646" spans="7:11" x14ac:dyDescent="0.45">
      <c r="G1646" s="9">
        <v>43642</v>
      </c>
      <c r="H1646" s="8">
        <v>16.21</v>
      </c>
      <c r="J1646" s="7" t="s">
        <v>164</v>
      </c>
      <c r="K1646" s="8">
        <v>19.22</v>
      </c>
    </row>
    <row r="1647" spans="7:11" x14ac:dyDescent="0.45">
      <c r="G1647" s="9">
        <v>43641</v>
      </c>
      <c r="H1647" s="8">
        <v>16.28</v>
      </c>
      <c r="J1647" s="7" t="s">
        <v>165</v>
      </c>
      <c r="K1647" s="8">
        <v>19.87</v>
      </c>
    </row>
    <row r="1648" spans="7:11" x14ac:dyDescent="0.45">
      <c r="G1648" s="9">
        <v>43640</v>
      </c>
      <c r="H1648" s="8">
        <v>15.26</v>
      </c>
      <c r="J1648" s="7" t="s">
        <v>166</v>
      </c>
      <c r="K1648" s="8">
        <v>19.899999999999999</v>
      </c>
    </row>
    <row r="1649" spans="7:11" x14ac:dyDescent="0.45">
      <c r="G1649" s="9">
        <v>43637</v>
      </c>
      <c r="H1649" s="8">
        <v>15.4</v>
      </c>
      <c r="J1649" s="7" t="s">
        <v>167</v>
      </c>
      <c r="K1649" s="8">
        <v>19.77</v>
      </c>
    </row>
    <row r="1650" spans="7:11" x14ac:dyDescent="0.45">
      <c r="G1650" s="9">
        <v>43636</v>
      </c>
      <c r="H1650" s="8">
        <v>14.75</v>
      </c>
      <c r="J1650" s="7" t="s">
        <v>168</v>
      </c>
      <c r="K1650" s="8">
        <v>19.53</v>
      </c>
    </row>
    <row r="1651" spans="7:11" x14ac:dyDescent="0.45">
      <c r="G1651" s="9">
        <v>43635</v>
      </c>
      <c r="H1651" s="8">
        <v>14.33</v>
      </c>
      <c r="J1651" s="7" t="s">
        <v>169</v>
      </c>
      <c r="K1651" s="8">
        <v>19.34</v>
      </c>
    </row>
    <row r="1652" spans="7:11" x14ac:dyDescent="0.45">
      <c r="G1652" s="9">
        <v>43634</v>
      </c>
      <c r="H1652" s="8">
        <v>15.15</v>
      </c>
      <c r="J1652" s="7" t="s">
        <v>170</v>
      </c>
      <c r="K1652" s="8">
        <v>18.88</v>
      </c>
    </row>
    <row r="1653" spans="7:11" x14ac:dyDescent="0.45">
      <c r="G1653" s="9">
        <v>43633</v>
      </c>
      <c r="H1653" s="8">
        <v>15.35</v>
      </c>
      <c r="J1653" s="7" t="s">
        <v>171</v>
      </c>
      <c r="K1653" s="8">
        <v>17.899999999999999</v>
      </c>
    </row>
    <row r="1654" spans="7:11" x14ac:dyDescent="0.45">
      <c r="G1654" s="9">
        <v>43630</v>
      </c>
      <c r="H1654" s="8">
        <v>15.28</v>
      </c>
      <c r="J1654" s="7" t="s">
        <v>172</v>
      </c>
      <c r="K1654" s="8">
        <v>17.04</v>
      </c>
    </row>
    <row r="1655" spans="7:11" x14ac:dyDescent="0.45">
      <c r="G1655" s="9">
        <v>43629</v>
      </c>
      <c r="H1655" s="8">
        <v>15.82</v>
      </c>
      <c r="J1655" s="7" t="s">
        <v>173</v>
      </c>
      <c r="K1655" s="8">
        <v>16.16</v>
      </c>
    </row>
    <row r="1656" spans="7:11" x14ac:dyDescent="0.45">
      <c r="G1656" s="9">
        <v>43628</v>
      </c>
      <c r="H1656" s="8">
        <v>15.91</v>
      </c>
      <c r="J1656" s="7" t="s">
        <v>174</v>
      </c>
      <c r="K1656" s="8">
        <v>16.239999999999998</v>
      </c>
    </row>
    <row r="1657" spans="7:11" x14ac:dyDescent="0.45">
      <c r="G1657" s="9">
        <v>43627</v>
      </c>
      <c r="H1657" s="8">
        <v>15.99</v>
      </c>
      <c r="J1657" s="7" t="s">
        <v>175</v>
      </c>
      <c r="K1657" s="8">
        <v>15.61</v>
      </c>
    </row>
    <row r="1658" spans="7:11" x14ac:dyDescent="0.45">
      <c r="G1658" s="9">
        <v>43626</v>
      </c>
      <c r="H1658" s="8">
        <v>15.94</v>
      </c>
      <c r="J1658" s="7" t="s">
        <v>176</v>
      </c>
      <c r="K1658" s="8">
        <v>15.16</v>
      </c>
    </row>
    <row r="1659" spans="7:11" x14ac:dyDescent="0.45">
      <c r="G1659" s="9">
        <v>43623</v>
      </c>
      <c r="H1659" s="8">
        <v>16.3</v>
      </c>
      <c r="J1659" s="7" t="s">
        <v>177</v>
      </c>
      <c r="K1659" s="8">
        <v>15.38</v>
      </c>
    </row>
    <row r="1660" spans="7:11" x14ac:dyDescent="0.45">
      <c r="G1660" s="9">
        <v>43622</v>
      </c>
      <c r="H1660" s="8">
        <v>15.93</v>
      </c>
      <c r="J1660" s="7" t="s">
        <v>178</v>
      </c>
      <c r="K1660" s="8">
        <v>15.1</v>
      </c>
    </row>
    <row r="1661" spans="7:11" x14ac:dyDescent="0.45">
      <c r="G1661" s="9">
        <v>43621</v>
      </c>
      <c r="H1661" s="8">
        <v>16.09</v>
      </c>
      <c r="J1661" s="7" t="s">
        <v>179</v>
      </c>
      <c r="K1661" s="8">
        <v>14.64</v>
      </c>
    </row>
    <row r="1662" spans="7:11" x14ac:dyDescent="0.45">
      <c r="G1662" s="9">
        <v>43620</v>
      </c>
      <c r="H1662" s="8">
        <v>16.97</v>
      </c>
      <c r="J1662" s="7" t="s">
        <v>180</v>
      </c>
      <c r="K1662" s="8">
        <v>14.83</v>
      </c>
    </row>
    <row r="1663" spans="7:11" x14ac:dyDescent="0.45">
      <c r="G1663" s="9">
        <v>43619</v>
      </c>
      <c r="H1663" s="8">
        <v>18.86</v>
      </c>
      <c r="J1663" s="7" t="s">
        <v>181</v>
      </c>
      <c r="K1663" s="8">
        <v>14.65</v>
      </c>
    </row>
    <row r="1664" spans="7:11" x14ac:dyDescent="0.45">
      <c r="G1664" s="9">
        <v>43616</v>
      </c>
      <c r="H1664" s="8">
        <v>18.71</v>
      </c>
      <c r="J1664" s="7" t="s">
        <v>182</v>
      </c>
      <c r="K1664" s="8">
        <v>15.26</v>
      </c>
    </row>
    <row r="1665" spans="7:11" x14ac:dyDescent="0.45">
      <c r="G1665" s="9">
        <v>43615</v>
      </c>
      <c r="H1665" s="8">
        <v>17.3</v>
      </c>
      <c r="J1665" s="7" t="s">
        <v>183</v>
      </c>
      <c r="K1665" s="8">
        <v>15.57</v>
      </c>
    </row>
    <row r="1666" spans="7:11" x14ac:dyDescent="0.45">
      <c r="G1666" s="9">
        <v>43614</v>
      </c>
      <c r="H1666" s="8">
        <v>17.899999999999999</v>
      </c>
      <c r="J1666" s="7" t="s">
        <v>184</v>
      </c>
      <c r="K1666" s="8">
        <v>16.09</v>
      </c>
    </row>
    <row r="1667" spans="7:11" x14ac:dyDescent="0.45">
      <c r="G1667" s="9">
        <v>43613</v>
      </c>
      <c r="H1667" s="8">
        <v>17.5</v>
      </c>
      <c r="J1667" s="7" t="s">
        <v>185</v>
      </c>
      <c r="K1667" s="8">
        <v>16.61</v>
      </c>
    </row>
    <row r="1668" spans="7:11" x14ac:dyDescent="0.45">
      <c r="G1668" s="9">
        <v>43609</v>
      </c>
      <c r="H1668" s="8">
        <v>15.85</v>
      </c>
      <c r="J1668" s="7" t="s">
        <v>186</v>
      </c>
      <c r="K1668" s="8">
        <v>17.23</v>
      </c>
    </row>
    <row r="1669" spans="7:11" x14ac:dyDescent="0.45">
      <c r="G1669" s="9">
        <v>43608</v>
      </c>
      <c r="H1669" s="8">
        <v>16.920000000000002</v>
      </c>
      <c r="J1669" s="7" t="s">
        <v>187</v>
      </c>
      <c r="K1669" s="8">
        <v>17.059999999999999</v>
      </c>
    </row>
    <row r="1670" spans="7:11" x14ac:dyDescent="0.45">
      <c r="G1670" s="9">
        <v>43607</v>
      </c>
      <c r="H1670" s="8">
        <v>14.75</v>
      </c>
      <c r="J1670" s="7" t="s">
        <v>188</v>
      </c>
      <c r="K1670" s="8">
        <v>16.8</v>
      </c>
    </row>
    <row r="1671" spans="7:11" x14ac:dyDescent="0.45">
      <c r="G1671" s="9">
        <v>43606</v>
      </c>
      <c r="H1671" s="8">
        <v>14.95</v>
      </c>
      <c r="J1671" s="7" t="s">
        <v>189</v>
      </c>
      <c r="K1671" s="8">
        <v>16.54</v>
      </c>
    </row>
    <row r="1672" spans="7:11" x14ac:dyDescent="0.45">
      <c r="G1672" s="9">
        <v>43605</v>
      </c>
      <c r="H1672" s="8">
        <v>16.309999999999999</v>
      </c>
      <c r="J1672" s="7" t="s">
        <v>190</v>
      </c>
      <c r="K1672" s="8">
        <v>16.78</v>
      </c>
    </row>
    <row r="1673" spans="7:11" x14ac:dyDescent="0.45">
      <c r="G1673" s="9">
        <v>43602</v>
      </c>
      <c r="H1673" s="8">
        <v>15.96</v>
      </c>
      <c r="J1673" s="7" t="s">
        <v>191</v>
      </c>
      <c r="K1673" s="8">
        <v>17.09</v>
      </c>
    </row>
    <row r="1674" spans="7:11" x14ac:dyDescent="0.45">
      <c r="G1674" s="9">
        <v>43601</v>
      </c>
      <c r="H1674" s="8">
        <v>15.29</v>
      </c>
      <c r="J1674" s="7" t="s">
        <v>192</v>
      </c>
      <c r="K1674" s="8">
        <v>17.82</v>
      </c>
    </row>
    <row r="1675" spans="7:11" x14ac:dyDescent="0.45">
      <c r="G1675" s="9">
        <v>43600</v>
      </c>
      <c r="H1675" s="8">
        <v>16.440000000000001</v>
      </c>
      <c r="J1675" s="7" t="s">
        <v>193</v>
      </c>
      <c r="K1675" s="8">
        <v>17.66</v>
      </c>
    </row>
    <row r="1676" spans="7:11" x14ac:dyDescent="0.45">
      <c r="G1676" s="9">
        <v>43599</v>
      </c>
      <c r="H1676" s="8">
        <v>18.059999999999999</v>
      </c>
      <c r="J1676" s="7" t="s">
        <v>194</v>
      </c>
      <c r="K1676" s="8">
        <v>17.489999999999998</v>
      </c>
    </row>
    <row r="1677" spans="7:11" x14ac:dyDescent="0.45">
      <c r="G1677" s="9">
        <v>43598</v>
      </c>
      <c r="H1677" s="8">
        <v>20.55</v>
      </c>
      <c r="J1677" s="7" t="s">
        <v>195</v>
      </c>
      <c r="K1677" s="8">
        <v>17.32</v>
      </c>
    </row>
    <row r="1678" spans="7:11" x14ac:dyDescent="0.45">
      <c r="G1678" s="9">
        <v>43595</v>
      </c>
      <c r="H1678" s="8">
        <v>16.04</v>
      </c>
      <c r="J1678" s="7" t="s">
        <v>196</v>
      </c>
      <c r="K1678" s="8">
        <v>17.48</v>
      </c>
    </row>
    <row r="1679" spans="7:11" x14ac:dyDescent="0.45">
      <c r="G1679" s="9">
        <v>43594</v>
      </c>
      <c r="H1679" s="8">
        <v>19.100000000000001</v>
      </c>
      <c r="J1679" s="7" t="s">
        <v>197</v>
      </c>
      <c r="K1679" s="8">
        <v>17.5</v>
      </c>
    </row>
    <row r="1680" spans="7:11" x14ac:dyDescent="0.45">
      <c r="G1680" s="9">
        <v>43593</v>
      </c>
      <c r="H1680" s="8">
        <v>19.399999999999999</v>
      </c>
      <c r="J1680" s="7" t="s">
        <v>198</v>
      </c>
      <c r="K1680" s="8">
        <v>17.02</v>
      </c>
    </row>
    <row r="1681" spans="7:11" x14ac:dyDescent="0.45">
      <c r="G1681" s="9">
        <v>43592</v>
      </c>
      <c r="H1681" s="8">
        <v>19.32</v>
      </c>
      <c r="J1681" s="7" t="s">
        <v>199</v>
      </c>
      <c r="K1681" s="8">
        <v>17.66</v>
      </c>
    </row>
    <row r="1682" spans="7:11" x14ac:dyDescent="0.45">
      <c r="G1682" s="9">
        <v>43591</v>
      </c>
      <c r="H1682" s="8">
        <v>15.44</v>
      </c>
      <c r="J1682" s="7" t="s">
        <v>200</v>
      </c>
      <c r="K1682" s="8">
        <v>18.21</v>
      </c>
    </row>
    <row r="1683" spans="7:11" x14ac:dyDescent="0.45">
      <c r="G1683" s="9">
        <v>43588</v>
      </c>
      <c r="H1683" s="8">
        <v>12.87</v>
      </c>
      <c r="J1683" s="7" t="s">
        <v>201</v>
      </c>
      <c r="K1683" s="8">
        <v>18.93</v>
      </c>
    </row>
    <row r="1684" spans="7:11" x14ac:dyDescent="0.45">
      <c r="G1684" s="9">
        <v>43587</v>
      </c>
      <c r="H1684" s="8">
        <v>14.42</v>
      </c>
      <c r="J1684" s="7" t="s">
        <v>202</v>
      </c>
      <c r="K1684" s="8">
        <v>18.91</v>
      </c>
    </row>
    <row r="1685" spans="7:11" x14ac:dyDescent="0.45">
      <c r="G1685" s="9">
        <v>43586</v>
      </c>
      <c r="H1685" s="8">
        <v>14.8</v>
      </c>
      <c r="J1685" s="7" t="s">
        <v>203</v>
      </c>
      <c r="K1685" s="8">
        <v>19.260000000000002</v>
      </c>
    </row>
    <row r="1686" spans="7:11" x14ac:dyDescent="0.45">
      <c r="G1686" s="9">
        <v>43585</v>
      </c>
      <c r="H1686" s="8">
        <v>13.12</v>
      </c>
      <c r="J1686" s="7" t="s">
        <v>204</v>
      </c>
      <c r="K1686" s="8">
        <v>19.170000000000002</v>
      </c>
    </row>
    <row r="1687" spans="7:11" x14ac:dyDescent="0.45">
      <c r="G1687" s="9">
        <v>43584</v>
      </c>
      <c r="H1687" s="8">
        <v>13.11</v>
      </c>
      <c r="J1687" s="7" t="s">
        <v>205</v>
      </c>
      <c r="K1687" s="8">
        <v>17.78</v>
      </c>
    </row>
    <row r="1688" spans="7:11" x14ac:dyDescent="0.45">
      <c r="G1688" s="9">
        <v>43581</v>
      </c>
      <c r="H1688" s="8">
        <v>12.73</v>
      </c>
      <c r="J1688" s="7" t="s">
        <v>206</v>
      </c>
      <c r="K1688" s="8">
        <v>16.61</v>
      </c>
    </row>
    <row r="1689" spans="7:11" x14ac:dyDescent="0.45">
      <c r="G1689" s="9">
        <v>43580</v>
      </c>
      <c r="H1689" s="8">
        <v>13.25</v>
      </c>
      <c r="J1689" s="7" t="s">
        <v>207</v>
      </c>
      <c r="K1689" s="8">
        <v>16.63</v>
      </c>
    </row>
    <row r="1690" spans="7:11" x14ac:dyDescent="0.45">
      <c r="G1690" s="9">
        <v>43579</v>
      </c>
      <c r="H1690" s="8">
        <v>13.14</v>
      </c>
      <c r="J1690" s="7" t="s">
        <v>208</v>
      </c>
      <c r="K1690" s="8">
        <v>15.56</v>
      </c>
    </row>
    <row r="1691" spans="7:11" x14ac:dyDescent="0.45">
      <c r="G1691" s="9">
        <v>43578</v>
      </c>
      <c r="H1691" s="8">
        <v>12.28</v>
      </c>
      <c r="J1691" s="7" t="s">
        <v>209</v>
      </c>
      <c r="K1691" s="8">
        <v>14.83</v>
      </c>
    </row>
    <row r="1692" spans="7:11" x14ac:dyDescent="0.45">
      <c r="G1692" s="9">
        <v>43577</v>
      </c>
      <c r="H1692" s="8">
        <v>12.42</v>
      </c>
      <c r="J1692" s="7" t="s">
        <v>210</v>
      </c>
      <c r="K1692" s="8">
        <v>14.73</v>
      </c>
    </row>
    <row r="1693" spans="7:11" x14ac:dyDescent="0.45">
      <c r="G1693" s="9">
        <v>43573</v>
      </c>
      <c r="H1693" s="8">
        <v>12.09</v>
      </c>
      <c r="J1693" s="7" t="s">
        <v>211</v>
      </c>
      <c r="K1693" s="8">
        <v>14.73</v>
      </c>
    </row>
    <row r="1694" spans="7:11" x14ac:dyDescent="0.45">
      <c r="G1694" s="9">
        <v>43572</v>
      </c>
      <c r="H1694" s="8">
        <v>12.6</v>
      </c>
      <c r="J1694" s="7" t="s">
        <v>212</v>
      </c>
      <c r="K1694" s="8">
        <v>14.6</v>
      </c>
    </row>
    <row r="1695" spans="7:11" x14ac:dyDescent="0.45">
      <c r="G1695" s="9">
        <v>43571</v>
      </c>
      <c r="H1695" s="8">
        <v>12.18</v>
      </c>
      <c r="J1695" s="7" t="s">
        <v>213</v>
      </c>
      <c r="K1695" s="8">
        <v>14.41</v>
      </c>
    </row>
    <row r="1696" spans="7:11" x14ac:dyDescent="0.45">
      <c r="G1696" s="9">
        <v>43570</v>
      </c>
      <c r="H1696" s="8">
        <v>12.32</v>
      </c>
      <c r="J1696" s="7" t="s">
        <v>214</v>
      </c>
      <c r="K1696" s="8">
        <v>13.82</v>
      </c>
    </row>
    <row r="1697" spans="7:11" x14ac:dyDescent="0.45">
      <c r="G1697" s="9">
        <v>43567</v>
      </c>
      <c r="H1697" s="8">
        <v>12.01</v>
      </c>
      <c r="J1697" s="7" t="s">
        <v>215</v>
      </c>
      <c r="K1697" s="8">
        <v>14</v>
      </c>
    </row>
    <row r="1698" spans="7:11" x14ac:dyDescent="0.45">
      <c r="G1698" s="9">
        <v>43566</v>
      </c>
      <c r="H1698" s="8">
        <v>13.02</v>
      </c>
      <c r="J1698" s="7" t="s">
        <v>216</v>
      </c>
      <c r="K1698" s="8">
        <v>13.7</v>
      </c>
    </row>
    <row r="1699" spans="7:11" x14ac:dyDescent="0.45">
      <c r="G1699" s="9">
        <v>43565</v>
      </c>
      <c r="H1699" s="8">
        <v>13.3</v>
      </c>
      <c r="J1699" s="7" t="s">
        <v>217</v>
      </c>
      <c r="K1699" s="8">
        <v>13.66</v>
      </c>
    </row>
    <row r="1700" spans="7:11" x14ac:dyDescent="0.45">
      <c r="G1700" s="9">
        <v>43564</v>
      </c>
      <c r="H1700" s="8">
        <v>14.28</v>
      </c>
      <c r="J1700" s="7" t="s">
        <v>218</v>
      </c>
      <c r="K1700" s="8">
        <v>13.8</v>
      </c>
    </row>
    <row r="1701" spans="7:11" x14ac:dyDescent="0.45">
      <c r="G1701" s="9">
        <v>43563</v>
      </c>
      <c r="H1701" s="8">
        <v>13.18</v>
      </c>
      <c r="J1701" s="7" t="s">
        <v>219</v>
      </c>
      <c r="K1701" s="8">
        <v>13.94</v>
      </c>
    </row>
    <row r="1702" spans="7:11" x14ac:dyDescent="0.45">
      <c r="G1702" s="9">
        <v>43560</v>
      </c>
      <c r="H1702" s="8">
        <v>12.82</v>
      </c>
      <c r="J1702" s="7" t="s">
        <v>220</v>
      </c>
      <c r="K1702" s="8">
        <v>12.83</v>
      </c>
    </row>
    <row r="1703" spans="7:11" x14ac:dyDescent="0.45">
      <c r="G1703" s="9">
        <v>43559</v>
      </c>
      <c r="H1703" s="8">
        <v>13.58</v>
      </c>
      <c r="J1703" s="7" t="s">
        <v>221</v>
      </c>
      <c r="K1703" s="8">
        <v>12.56</v>
      </c>
    </row>
    <row r="1704" spans="7:11" x14ac:dyDescent="0.45">
      <c r="G1704" s="9">
        <v>43558</v>
      </c>
      <c r="H1704" s="8">
        <v>13.74</v>
      </c>
      <c r="J1704" s="7" t="s">
        <v>222</v>
      </c>
      <c r="K1704" s="8">
        <v>12.83</v>
      </c>
    </row>
    <row r="1705" spans="7:11" x14ac:dyDescent="0.45">
      <c r="G1705" s="9">
        <v>43557</v>
      </c>
      <c r="H1705" s="8">
        <v>13.36</v>
      </c>
      <c r="J1705" s="7" t="s">
        <v>223</v>
      </c>
      <c r="K1705" s="8">
        <v>13.68</v>
      </c>
    </row>
    <row r="1706" spans="7:11" x14ac:dyDescent="0.45">
      <c r="G1706" s="9">
        <v>43556</v>
      </c>
      <c r="H1706" s="8">
        <v>13.4</v>
      </c>
      <c r="J1706" s="7" t="s">
        <v>224</v>
      </c>
      <c r="K1706" s="8">
        <v>14.04</v>
      </c>
    </row>
    <row r="1707" spans="7:11" x14ac:dyDescent="0.45">
      <c r="G1707" s="9">
        <v>43553</v>
      </c>
      <c r="H1707" s="8">
        <v>13.71</v>
      </c>
      <c r="J1707" s="7" t="s">
        <v>225</v>
      </c>
      <c r="K1707" s="8">
        <v>13.82</v>
      </c>
    </row>
    <row r="1708" spans="7:11" x14ac:dyDescent="0.45">
      <c r="G1708" s="9">
        <v>43552</v>
      </c>
      <c r="H1708" s="8">
        <v>14.43</v>
      </c>
      <c r="J1708" s="7" t="s">
        <v>226</v>
      </c>
      <c r="K1708" s="8">
        <v>13.2</v>
      </c>
    </row>
    <row r="1709" spans="7:11" x14ac:dyDescent="0.45">
      <c r="G1709" s="9">
        <v>43551</v>
      </c>
      <c r="H1709" s="8">
        <v>15.15</v>
      </c>
      <c r="J1709" s="7" t="s">
        <v>227</v>
      </c>
      <c r="K1709" s="8">
        <v>13.35</v>
      </c>
    </row>
    <row r="1710" spans="7:11" x14ac:dyDescent="0.45">
      <c r="G1710" s="9">
        <v>43550</v>
      </c>
      <c r="H1710" s="8">
        <v>14.68</v>
      </c>
      <c r="J1710" s="7" t="s">
        <v>228</v>
      </c>
      <c r="K1710" s="8">
        <v>13.57</v>
      </c>
    </row>
    <row r="1711" spans="7:11" x14ac:dyDescent="0.45">
      <c r="G1711" s="9">
        <v>43549</v>
      </c>
      <c r="H1711" s="8">
        <v>16.329999999999998</v>
      </c>
      <c r="J1711" s="7" t="s">
        <v>229</v>
      </c>
      <c r="K1711" s="8">
        <v>13.28</v>
      </c>
    </row>
    <row r="1712" spans="7:11" x14ac:dyDescent="0.45">
      <c r="G1712" s="9">
        <v>43546</v>
      </c>
      <c r="H1712" s="8">
        <v>16.48</v>
      </c>
      <c r="J1712" s="7" t="s">
        <v>230</v>
      </c>
      <c r="K1712" s="8">
        <v>13.57</v>
      </c>
    </row>
    <row r="1713" spans="7:11" x14ac:dyDescent="0.45">
      <c r="G1713" s="9">
        <v>43545</v>
      </c>
      <c r="H1713" s="8">
        <v>13.63</v>
      </c>
      <c r="J1713" s="7" t="s">
        <v>231</v>
      </c>
      <c r="K1713" s="8">
        <v>13.34</v>
      </c>
    </row>
    <row r="1714" spans="7:11" x14ac:dyDescent="0.45">
      <c r="G1714" s="9">
        <v>43544</v>
      </c>
      <c r="H1714" s="8">
        <v>13.91</v>
      </c>
      <c r="J1714" s="7" t="s">
        <v>232</v>
      </c>
      <c r="K1714" s="8">
        <v>13.89</v>
      </c>
    </row>
    <row r="1715" spans="7:11" x14ac:dyDescent="0.45">
      <c r="G1715" s="9">
        <v>43543</v>
      </c>
      <c r="H1715" s="8">
        <v>13.56</v>
      </c>
      <c r="J1715" s="7" t="s">
        <v>233</v>
      </c>
      <c r="K1715" s="8">
        <v>14.02</v>
      </c>
    </row>
    <row r="1716" spans="7:11" x14ac:dyDescent="0.45">
      <c r="G1716" s="9">
        <v>43542</v>
      </c>
      <c r="H1716" s="8">
        <v>13.1</v>
      </c>
      <c r="J1716" s="7" t="s">
        <v>234</v>
      </c>
      <c r="K1716" s="8">
        <v>13.82</v>
      </c>
    </row>
    <row r="1717" spans="7:11" x14ac:dyDescent="0.45">
      <c r="G1717" s="9">
        <v>43539</v>
      </c>
      <c r="H1717" s="8">
        <v>12.88</v>
      </c>
      <c r="J1717" s="7" t="s">
        <v>235</v>
      </c>
      <c r="K1717" s="8">
        <v>13.98</v>
      </c>
    </row>
    <row r="1718" spans="7:11" x14ac:dyDescent="0.45">
      <c r="G1718" s="9">
        <v>43538</v>
      </c>
      <c r="H1718" s="8">
        <v>13.5</v>
      </c>
      <c r="J1718" s="7" t="s">
        <v>236</v>
      </c>
      <c r="K1718" s="8">
        <v>13.61</v>
      </c>
    </row>
    <row r="1719" spans="7:11" x14ac:dyDescent="0.45">
      <c r="G1719" s="9">
        <v>43537</v>
      </c>
      <c r="H1719" s="8">
        <v>13.41</v>
      </c>
      <c r="J1719" s="7" t="s">
        <v>237</v>
      </c>
      <c r="K1719" s="8">
        <v>13.36</v>
      </c>
    </row>
    <row r="1720" spans="7:11" x14ac:dyDescent="0.45">
      <c r="G1720" s="9">
        <v>43536</v>
      </c>
      <c r="H1720" s="8">
        <v>13.77</v>
      </c>
      <c r="J1720" s="7" t="s">
        <v>238</v>
      </c>
      <c r="K1720" s="8">
        <v>13.59</v>
      </c>
    </row>
    <row r="1721" spans="7:11" x14ac:dyDescent="0.45">
      <c r="G1721" s="9">
        <v>43535</v>
      </c>
      <c r="H1721" s="8">
        <v>14.33</v>
      </c>
      <c r="J1721" s="7" t="s">
        <v>239</v>
      </c>
      <c r="K1721" s="8">
        <v>13.58</v>
      </c>
    </row>
    <row r="1722" spans="7:11" x14ac:dyDescent="0.45">
      <c r="G1722" s="9">
        <v>43532</v>
      </c>
      <c r="H1722" s="8">
        <v>16.05</v>
      </c>
      <c r="J1722" s="7" t="s">
        <v>240</v>
      </c>
      <c r="K1722" s="8">
        <v>13.49</v>
      </c>
    </row>
    <row r="1723" spans="7:11" x14ac:dyDescent="0.45">
      <c r="G1723" s="9">
        <v>43531</v>
      </c>
      <c r="H1723" s="8">
        <v>16.59</v>
      </c>
      <c r="J1723" s="7" t="s">
        <v>241</v>
      </c>
      <c r="K1723" s="8">
        <v>14.06</v>
      </c>
    </row>
    <row r="1724" spans="7:11" x14ac:dyDescent="0.45">
      <c r="G1724" s="9">
        <v>43530</v>
      </c>
      <c r="H1724" s="8">
        <v>15.74</v>
      </c>
      <c r="J1724" s="7" t="s">
        <v>242</v>
      </c>
      <c r="K1724" s="8">
        <v>14.43</v>
      </c>
    </row>
    <row r="1725" spans="7:11" x14ac:dyDescent="0.45">
      <c r="G1725" s="9">
        <v>43529</v>
      </c>
      <c r="H1725" s="8">
        <v>14.74</v>
      </c>
      <c r="J1725" s="7" t="s">
        <v>243</v>
      </c>
      <c r="K1725" s="8">
        <v>14.26</v>
      </c>
    </row>
    <row r="1726" spans="7:11" x14ac:dyDescent="0.45">
      <c r="G1726" s="9">
        <v>43528</v>
      </c>
      <c r="H1726" s="8">
        <v>14.63</v>
      </c>
      <c r="J1726" s="7" t="s">
        <v>244</v>
      </c>
      <c r="K1726" s="8">
        <v>13.82</v>
      </c>
    </row>
    <row r="1727" spans="7:11" x14ac:dyDescent="0.45">
      <c r="G1727" s="9">
        <v>43525</v>
      </c>
      <c r="H1727" s="8">
        <v>13.57</v>
      </c>
      <c r="J1727" s="7" t="s">
        <v>245</v>
      </c>
      <c r="K1727" s="8">
        <v>13.06</v>
      </c>
    </row>
    <row r="1728" spans="7:11" x14ac:dyDescent="0.45">
      <c r="G1728" s="9">
        <v>43524</v>
      </c>
      <c r="H1728" s="8">
        <v>14.78</v>
      </c>
      <c r="J1728" s="7" t="s">
        <v>246</v>
      </c>
      <c r="K1728" s="8">
        <v>13.1</v>
      </c>
    </row>
    <row r="1729" spans="7:11" x14ac:dyDescent="0.45">
      <c r="G1729" s="9">
        <v>43523</v>
      </c>
      <c r="H1729" s="8">
        <v>14.7</v>
      </c>
      <c r="J1729" s="7" t="s">
        <v>247</v>
      </c>
      <c r="K1729" s="8">
        <v>13.24</v>
      </c>
    </row>
    <row r="1730" spans="7:11" x14ac:dyDescent="0.45">
      <c r="G1730" s="9">
        <v>43522</v>
      </c>
      <c r="H1730" s="8">
        <v>15.17</v>
      </c>
      <c r="J1730" s="7" t="s">
        <v>248</v>
      </c>
      <c r="K1730" s="8">
        <v>13.21</v>
      </c>
    </row>
    <row r="1731" spans="7:11" x14ac:dyDescent="0.45">
      <c r="G1731" s="9">
        <v>43521</v>
      </c>
      <c r="H1731" s="8">
        <v>14.85</v>
      </c>
      <c r="J1731" s="7" t="s">
        <v>249</v>
      </c>
      <c r="K1731" s="8">
        <v>13.21</v>
      </c>
    </row>
    <row r="1732" spans="7:11" x14ac:dyDescent="0.45">
      <c r="G1732" s="9">
        <v>43518</v>
      </c>
      <c r="H1732" s="8">
        <v>13.51</v>
      </c>
      <c r="J1732" s="7" t="s">
        <v>250</v>
      </c>
      <c r="K1732" s="8">
        <v>13.48</v>
      </c>
    </row>
    <row r="1733" spans="7:11" x14ac:dyDescent="0.45">
      <c r="G1733" s="9">
        <v>43517</v>
      </c>
      <c r="H1733" s="8">
        <v>14.46</v>
      </c>
      <c r="J1733" s="7" t="s">
        <v>251</v>
      </c>
      <c r="K1733" s="8">
        <v>13.66</v>
      </c>
    </row>
    <row r="1734" spans="7:11" x14ac:dyDescent="0.45">
      <c r="G1734" s="9">
        <v>43516</v>
      </c>
      <c r="H1734" s="8">
        <v>14.02</v>
      </c>
      <c r="J1734" s="7" t="s">
        <v>252</v>
      </c>
      <c r="K1734" s="8">
        <v>13.94</v>
      </c>
    </row>
    <row r="1735" spans="7:11" x14ac:dyDescent="0.45">
      <c r="G1735" s="9">
        <v>43515</v>
      </c>
      <c r="H1735" s="8">
        <v>14.88</v>
      </c>
      <c r="J1735" s="7" t="s">
        <v>253</v>
      </c>
      <c r="K1735" s="8">
        <v>13.72</v>
      </c>
    </row>
    <row r="1736" spans="7:11" x14ac:dyDescent="0.45">
      <c r="G1736" s="9">
        <v>43511</v>
      </c>
      <c r="H1736" s="8">
        <v>14.91</v>
      </c>
      <c r="J1736" s="7" t="s">
        <v>254</v>
      </c>
      <c r="K1736" s="8">
        <v>13.81</v>
      </c>
    </row>
    <row r="1737" spans="7:11" x14ac:dyDescent="0.45">
      <c r="G1737" s="9">
        <v>43510</v>
      </c>
      <c r="H1737" s="8">
        <v>16.22</v>
      </c>
      <c r="J1737" s="7" t="s">
        <v>255</v>
      </c>
      <c r="K1737" s="8">
        <v>13.58</v>
      </c>
    </row>
    <row r="1738" spans="7:11" x14ac:dyDescent="0.45">
      <c r="G1738" s="9">
        <v>43509</v>
      </c>
      <c r="H1738" s="8">
        <v>15.65</v>
      </c>
      <c r="J1738" s="7" t="s">
        <v>256</v>
      </c>
      <c r="K1738" s="8">
        <v>13.78</v>
      </c>
    </row>
    <row r="1739" spans="7:11" x14ac:dyDescent="0.45">
      <c r="G1739" s="9">
        <v>43508</v>
      </c>
      <c r="H1739" s="8">
        <v>15.43</v>
      </c>
      <c r="J1739" s="7" t="s">
        <v>257</v>
      </c>
      <c r="K1739" s="8">
        <v>14.15</v>
      </c>
    </row>
    <row r="1740" spans="7:11" x14ac:dyDescent="0.45">
      <c r="G1740" s="9">
        <v>43507</v>
      </c>
      <c r="H1740" s="8">
        <v>15.97</v>
      </c>
      <c r="J1740" s="7" t="s">
        <v>258</v>
      </c>
      <c r="K1740" s="8">
        <v>13.85</v>
      </c>
    </row>
    <row r="1741" spans="7:11" x14ac:dyDescent="0.45">
      <c r="G1741" s="9">
        <v>43504</v>
      </c>
      <c r="H1741" s="8">
        <v>15.72</v>
      </c>
      <c r="J1741" s="7" t="s">
        <v>259</v>
      </c>
      <c r="K1741" s="8">
        <v>13.14</v>
      </c>
    </row>
    <row r="1742" spans="7:11" x14ac:dyDescent="0.45">
      <c r="G1742" s="9">
        <v>43503</v>
      </c>
      <c r="H1742" s="8">
        <v>16.37</v>
      </c>
      <c r="J1742" s="7" t="s">
        <v>260</v>
      </c>
      <c r="K1742" s="8">
        <v>13.07</v>
      </c>
    </row>
    <row r="1743" spans="7:11" x14ac:dyDescent="0.45">
      <c r="G1743" s="9">
        <v>43502</v>
      </c>
      <c r="H1743" s="8">
        <v>15.38</v>
      </c>
      <c r="J1743" s="7" t="s">
        <v>261</v>
      </c>
      <c r="K1743" s="8">
        <v>12.81</v>
      </c>
    </row>
    <row r="1744" spans="7:11" x14ac:dyDescent="0.45">
      <c r="G1744" s="9">
        <v>43501</v>
      </c>
      <c r="H1744" s="8">
        <v>15.57</v>
      </c>
      <c r="J1744" s="7" t="s">
        <v>262</v>
      </c>
      <c r="K1744" s="8">
        <v>12.74</v>
      </c>
    </row>
    <row r="1745" spans="7:11" x14ac:dyDescent="0.45">
      <c r="G1745" s="9">
        <v>43500</v>
      </c>
      <c r="H1745" s="8">
        <v>15.73</v>
      </c>
      <c r="J1745" s="7" t="s">
        <v>263</v>
      </c>
      <c r="K1745" s="8">
        <v>11.92</v>
      </c>
    </row>
    <row r="1746" spans="7:11" x14ac:dyDescent="0.45">
      <c r="G1746" s="9">
        <v>43497</v>
      </c>
      <c r="H1746" s="8">
        <v>16.14</v>
      </c>
      <c r="J1746" s="7" t="s">
        <v>264</v>
      </c>
      <c r="K1746" s="8">
        <v>11.67</v>
      </c>
    </row>
    <row r="1747" spans="7:11" x14ac:dyDescent="0.45">
      <c r="G1747" s="9">
        <v>43496</v>
      </c>
      <c r="H1747" s="8">
        <v>16.57</v>
      </c>
      <c r="J1747" s="7" t="s">
        <v>265</v>
      </c>
      <c r="K1747" s="8">
        <v>11.3</v>
      </c>
    </row>
    <row r="1748" spans="7:11" x14ac:dyDescent="0.45">
      <c r="G1748" s="9">
        <v>43495</v>
      </c>
      <c r="H1748" s="8">
        <v>17.66</v>
      </c>
      <c r="J1748" s="7" t="s">
        <v>266</v>
      </c>
      <c r="K1748" s="8">
        <v>11.2</v>
      </c>
    </row>
    <row r="1749" spans="7:11" x14ac:dyDescent="0.45">
      <c r="G1749" s="9">
        <v>43494</v>
      </c>
      <c r="H1749" s="8">
        <v>19.13</v>
      </c>
      <c r="J1749" s="7" t="s">
        <v>267</v>
      </c>
      <c r="K1749" s="8">
        <v>11.45</v>
      </c>
    </row>
    <row r="1750" spans="7:11" x14ac:dyDescent="0.45">
      <c r="G1750" s="9">
        <v>43493</v>
      </c>
      <c r="H1750" s="8">
        <v>18.87</v>
      </c>
      <c r="J1750" s="7" t="s">
        <v>268</v>
      </c>
      <c r="K1750" s="8">
        <v>11.28</v>
      </c>
    </row>
    <row r="1751" spans="7:11" x14ac:dyDescent="0.45">
      <c r="G1751" s="9">
        <v>43490</v>
      </c>
      <c r="H1751" s="8">
        <v>17.420000000000002</v>
      </c>
      <c r="J1751" s="7" t="s">
        <v>269</v>
      </c>
      <c r="K1751" s="8">
        <v>11.01</v>
      </c>
    </row>
    <row r="1752" spans="7:11" x14ac:dyDescent="0.45">
      <c r="G1752" s="9">
        <v>43489</v>
      </c>
      <c r="H1752" s="8">
        <v>18.89</v>
      </c>
      <c r="J1752" s="7" t="s">
        <v>270</v>
      </c>
      <c r="K1752" s="8">
        <v>11.2</v>
      </c>
    </row>
    <row r="1753" spans="7:11" x14ac:dyDescent="0.45">
      <c r="G1753" s="9">
        <v>43488</v>
      </c>
      <c r="H1753" s="8">
        <v>19.52</v>
      </c>
      <c r="J1753" s="7" t="s">
        <v>271</v>
      </c>
      <c r="K1753" s="8">
        <v>12.43</v>
      </c>
    </row>
    <row r="1754" spans="7:11" x14ac:dyDescent="0.45">
      <c r="G1754" s="9">
        <v>43487</v>
      </c>
      <c r="H1754" s="8">
        <v>20.8</v>
      </c>
      <c r="J1754" s="7" t="s">
        <v>272</v>
      </c>
      <c r="K1754" s="8">
        <v>13.01</v>
      </c>
    </row>
    <row r="1755" spans="7:11" x14ac:dyDescent="0.45">
      <c r="G1755" s="9">
        <v>43483</v>
      </c>
      <c r="H1755" s="8">
        <v>17.8</v>
      </c>
      <c r="J1755" s="7" t="s">
        <v>273</v>
      </c>
      <c r="K1755" s="8">
        <v>13.06</v>
      </c>
    </row>
    <row r="1756" spans="7:11" x14ac:dyDescent="0.45">
      <c r="G1756" s="9">
        <v>43482</v>
      </c>
      <c r="H1756" s="8">
        <v>18.059999999999999</v>
      </c>
      <c r="J1756" s="7" t="s">
        <v>274</v>
      </c>
      <c r="K1756" s="8">
        <v>13.13</v>
      </c>
    </row>
    <row r="1757" spans="7:11" x14ac:dyDescent="0.45">
      <c r="G1757" s="9">
        <v>43481</v>
      </c>
      <c r="H1757" s="8">
        <v>19.04</v>
      </c>
      <c r="J1757" s="7" t="s">
        <v>275</v>
      </c>
      <c r="K1757" s="8">
        <v>12.95</v>
      </c>
    </row>
    <row r="1758" spans="7:11" x14ac:dyDescent="0.45">
      <c r="G1758" s="9">
        <v>43480</v>
      </c>
      <c r="H1758" s="8">
        <v>18.600000000000001</v>
      </c>
      <c r="J1758" s="7" t="s">
        <v>276</v>
      </c>
      <c r="K1758" s="8">
        <v>13.17</v>
      </c>
    </row>
    <row r="1759" spans="7:11" x14ac:dyDescent="0.45">
      <c r="G1759" s="9">
        <v>43479</v>
      </c>
      <c r="H1759" s="8">
        <v>19.07</v>
      </c>
      <c r="J1759" s="7" t="s">
        <v>277</v>
      </c>
      <c r="K1759" s="8">
        <v>12.71</v>
      </c>
    </row>
    <row r="1760" spans="7:11" x14ac:dyDescent="0.45">
      <c r="G1760" s="9">
        <v>43476</v>
      </c>
      <c r="H1760" s="8">
        <v>18.190000000000001</v>
      </c>
      <c r="J1760" s="7" t="s">
        <v>278</v>
      </c>
      <c r="K1760" s="8">
        <v>11.64</v>
      </c>
    </row>
    <row r="1761" spans="7:11" x14ac:dyDescent="0.45">
      <c r="G1761" s="9">
        <v>43475</v>
      </c>
      <c r="H1761" s="8">
        <v>19.5</v>
      </c>
      <c r="J1761" s="7" t="s">
        <v>279</v>
      </c>
      <c r="K1761" s="8">
        <v>11.41</v>
      </c>
    </row>
    <row r="1762" spans="7:11" x14ac:dyDescent="0.45">
      <c r="G1762" s="9">
        <v>43474</v>
      </c>
      <c r="H1762" s="8">
        <v>19.98</v>
      </c>
      <c r="J1762" s="7" t="s">
        <v>280</v>
      </c>
      <c r="K1762" s="8">
        <v>11.52</v>
      </c>
    </row>
    <row r="1763" spans="7:11" x14ac:dyDescent="0.45">
      <c r="G1763" s="9">
        <v>43473</v>
      </c>
      <c r="H1763" s="8">
        <v>20.47</v>
      </c>
      <c r="J1763" s="7" t="s">
        <v>281</v>
      </c>
      <c r="K1763" s="8">
        <v>11.48</v>
      </c>
    </row>
    <row r="1764" spans="7:11" x14ac:dyDescent="0.45">
      <c r="G1764" s="9">
        <v>43472</v>
      </c>
      <c r="H1764" s="8">
        <v>21.4</v>
      </c>
      <c r="J1764" s="7" t="s">
        <v>282</v>
      </c>
      <c r="K1764" s="8">
        <v>11.62</v>
      </c>
    </row>
    <row r="1765" spans="7:11" x14ac:dyDescent="0.45">
      <c r="G1765" s="9">
        <v>43469</v>
      </c>
      <c r="H1765" s="8">
        <v>21.38</v>
      </c>
      <c r="J1765" s="7" t="s">
        <v>283</v>
      </c>
      <c r="K1765" s="8">
        <v>11.31</v>
      </c>
    </row>
    <row r="1766" spans="7:11" x14ac:dyDescent="0.45">
      <c r="G1766" s="9">
        <v>43468</v>
      </c>
      <c r="H1766" s="8">
        <v>25.45</v>
      </c>
      <c r="J1766" s="7" t="s">
        <v>284</v>
      </c>
      <c r="K1766" s="8">
        <v>11.15</v>
      </c>
    </row>
    <row r="1767" spans="7:11" x14ac:dyDescent="0.45">
      <c r="G1767" s="9">
        <v>43467</v>
      </c>
      <c r="H1767" s="8">
        <v>23.22</v>
      </c>
      <c r="J1767" s="7" t="s">
        <v>285</v>
      </c>
      <c r="K1767" s="8">
        <v>11.53</v>
      </c>
    </row>
    <row r="1768" spans="7:11" x14ac:dyDescent="0.45">
      <c r="G1768" s="9">
        <v>43465</v>
      </c>
      <c r="H1768" s="8">
        <v>25.42</v>
      </c>
      <c r="J1768" s="7" t="s">
        <v>286</v>
      </c>
      <c r="K1768" s="8">
        <v>11.34</v>
      </c>
    </row>
    <row r="1769" spans="7:11" x14ac:dyDescent="0.45">
      <c r="G1769" s="9">
        <v>43462</v>
      </c>
      <c r="H1769" s="8">
        <v>28.34</v>
      </c>
      <c r="J1769" s="7" t="s">
        <v>287</v>
      </c>
      <c r="K1769" s="8">
        <v>11.13</v>
      </c>
    </row>
    <row r="1770" spans="7:11" x14ac:dyDescent="0.45">
      <c r="G1770" s="9">
        <v>43461</v>
      </c>
      <c r="H1770" s="8">
        <v>29.96</v>
      </c>
      <c r="J1770" s="7" t="s">
        <v>288</v>
      </c>
      <c r="K1770" s="8">
        <v>11.22</v>
      </c>
    </row>
    <row r="1771" spans="7:11" x14ac:dyDescent="0.45">
      <c r="G1771" s="9">
        <v>43460</v>
      </c>
      <c r="H1771" s="8">
        <v>30.41</v>
      </c>
      <c r="J1771" s="7" t="s">
        <v>289</v>
      </c>
      <c r="K1771" s="8">
        <v>11.29</v>
      </c>
    </row>
    <row r="1772" spans="7:11" x14ac:dyDescent="0.45">
      <c r="G1772" s="9">
        <v>43458</v>
      </c>
      <c r="H1772" s="8">
        <v>36.07</v>
      </c>
      <c r="J1772" s="7" t="s">
        <v>290</v>
      </c>
      <c r="K1772" s="8">
        <v>11.45</v>
      </c>
    </row>
    <row r="1773" spans="7:11" x14ac:dyDescent="0.45">
      <c r="G1773" s="9">
        <v>43455</v>
      </c>
      <c r="H1773" s="8">
        <v>30.11</v>
      </c>
      <c r="J1773" s="7" t="s">
        <v>291</v>
      </c>
      <c r="K1773" s="8">
        <v>11.25</v>
      </c>
    </row>
    <row r="1774" spans="7:11" x14ac:dyDescent="0.45">
      <c r="G1774" s="9">
        <v>43454</v>
      </c>
      <c r="H1774" s="8">
        <v>28.38</v>
      </c>
      <c r="J1774" s="7" t="s">
        <v>292</v>
      </c>
      <c r="K1774" s="8">
        <v>11.38</v>
      </c>
    </row>
    <row r="1775" spans="7:11" x14ac:dyDescent="0.45">
      <c r="G1775" s="9">
        <v>43453</v>
      </c>
      <c r="H1775" s="8">
        <v>25.58</v>
      </c>
      <c r="J1775" s="7" t="s">
        <v>293</v>
      </c>
      <c r="K1775" s="8">
        <v>11.18</v>
      </c>
    </row>
    <row r="1776" spans="7:11" x14ac:dyDescent="0.45">
      <c r="G1776" s="9">
        <v>43452</v>
      </c>
      <c r="H1776" s="8">
        <v>25.58</v>
      </c>
      <c r="J1776" s="7" t="s">
        <v>294</v>
      </c>
      <c r="K1776" s="8">
        <v>10.98</v>
      </c>
    </row>
    <row r="1777" spans="7:11" x14ac:dyDescent="0.45">
      <c r="G1777" s="9">
        <v>43451</v>
      </c>
      <c r="H1777" s="8">
        <v>24.52</v>
      </c>
      <c r="J1777" s="7" t="s">
        <v>295</v>
      </c>
      <c r="K1777" s="8">
        <v>10.98</v>
      </c>
    </row>
    <row r="1778" spans="7:11" x14ac:dyDescent="0.45">
      <c r="G1778" s="9">
        <v>43448</v>
      </c>
      <c r="H1778" s="8">
        <v>21.63</v>
      </c>
      <c r="J1778" s="7" t="s">
        <v>296</v>
      </c>
      <c r="K1778" s="8">
        <v>10.71</v>
      </c>
    </row>
    <row r="1779" spans="7:11" x14ac:dyDescent="0.45">
      <c r="G1779" s="9">
        <v>43447</v>
      </c>
      <c r="H1779" s="8">
        <v>20.65</v>
      </c>
      <c r="J1779" s="7" t="s">
        <v>297</v>
      </c>
      <c r="K1779" s="8">
        <v>10.54</v>
      </c>
    </row>
    <row r="1780" spans="7:11" x14ac:dyDescent="0.45">
      <c r="G1780" s="9">
        <v>43446</v>
      </c>
      <c r="H1780" s="8">
        <v>21.46</v>
      </c>
      <c r="J1780" s="7" t="s">
        <v>298</v>
      </c>
      <c r="K1780" s="8">
        <v>10.8</v>
      </c>
    </row>
    <row r="1781" spans="7:11" x14ac:dyDescent="0.45">
      <c r="G1781" s="9">
        <v>43445</v>
      </c>
      <c r="H1781" s="8">
        <v>21.76</v>
      </c>
      <c r="J1781" s="7" t="s">
        <v>299</v>
      </c>
      <c r="K1781" s="8">
        <v>10.83</v>
      </c>
    </row>
    <row r="1782" spans="7:11" x14ac:dyDescent="0.45">
      <c r="G1782" s="9">
        <v>43444</v>
      </c>
      <c r="H1782" s="8">
        <v>22.64</v>
      </c>
      <c r="J1782" s="7" t="s">
        <v>300</v>
      </c>
      <c r="K1782" s="8">
        <v>10.93</v>
      </c>
    </row>
    <row r="1783" spans="7:11" x14ac:dyDescent="0.45">
      <c r="G1783" s="9">
        <v>43441</v>
      </c>
      <c r="H1783" s="8">
        <v>23.23</v>
      </c>
      <c r="J1783" s="7" t="s">
        <v>301</v>
      </c>
      <c r="K1783" s="8">
        <v>11.16</v>
      </c>
    </row>
    <row r="1784" spans="7:11" x14ac:dyDescent="0.45">
      <c r="G1784" s="9">
        <v>43440</v>
      </c>
      <c r="H1784" s="8">
        <v>21.19</v>
      </c>
      <c r="J1784" s="7" t="s">
        <v>302</v>
      </c>
      <c r="K1784" s="8">
        <v>10.98</v>
      </c>
    </row>
    <row r="1785" spans="7:11" x14ac:dyDescent="0.45">
      <c r="G1785" s="9">
        <v>43438</v>
      </c>
      <c r="H1785" s="8">
        <v>20.74</v>
      </c>
      <c r="J1785" s="7" t="s">
        <v>303</v>
      </c>
      <c r="K1785" s="8">
        <v>10.4</v>
      </c>
    </row>
    <row r="1786" spans="7:11" x14ac:dyDescent="0.45">
      <c r="G1786" s="9">
        <v>43437</v>
      </c>
      <c r="H1786" s="8">
        <v>16.440000000000001</v>
      </c>
      <c r="J1786" s="7" t="s">
        <v>304</v>
      </c>
      <c r="K1786" s="8">
        <v>9.77</v>
      </c>
    </row>
    <row r="1787" spans="7:11" x14ac:dyDescent="0.45">
      <c r="G1787" s="9">
        <v>43434</v>
      </c>
      <c r="H1787" s="8">
        <v>18.07</v>
      </c>
      <c r="J1787" s="7" t="s">
        <v>305</v>
      </c>
      <c r="K1787" s="8">
        <v>9.41</v>
      </c>
    </row>
    <row r="1788" spans="7:11" x14ac:dyDescent="0.45">
      <c r="G1788" s="9">
        <v>43433</v>
      </c>
      <c r="H1788" s="8">
        <v>18.79</v>
      </c>
      <c r="J1788" s="7" t="s">
        <v>306</v>
      </c>
      <c r="K1788" s="8">
        <v>10.199999999999999</v>
      </c>
    </row>
    <row r="1789" spans="7:11" x14ac:dyDescent="0.45">
      <c r="G1789" s="9">
        <v>43432</v>
      </c>
      <c r="H1789" s="8">
        <v>18.489999999999998</v>
      </c>
      <c r="J1789" s="7" t="s">
        <v>307</v>
      </c>
      <c r="K1789" s="8">
        <v>10.25</v>
      </c>
    </row>
    <row r="1790" spans="7:11" x14ac:dyDescent="0.45">
      <c r="G1790" s="9">
        <v>43431</v>
      </c>
      <c r="H1790" s="8">
        <v>19.02</v>
      </c>
      <c r="J1790" s="7" t="s">
        <v>308</v>
      </c>
      <c r="K1790" s="8">
        <v>11.12</v>
      </c>
    </row>
    <row r="1791" spans="7:11" x14ac:dyDescent="0.45">
      <c r="G1791" s="9">
        <v>43430</v>
      </c>
      <c r="H1791" s="8">
        <v>18.899999999999999</v>
      </c>
      <c r="J1791" s="7" t="s">
        <v>309</v>
      </c>
      <c r="K1791" s="8">
        <v>11.79</v>
      </c>
    </row>
    <row r="1792" spans="7:11" x14ac:dyDescent="0.45">
      <c r="G1792" s="9">
        <v>43427</v>
      </c>
      <c r="H1792" s="8">
        <v>21.52</v>
      </c>
      <c r="J1792" s="7" t="s">
        <v>310</v>
      </c>
      <c r="K1792" s="8">
        <v>12.6</v>
      </c>
    </row>
    <row r="1793" spans="7:11" x14ac:dyDescent="0.45">
      <c r="G1793" s="9">
        <v>43425</v>
      </c>
      <c r="H1793" s="8">
        <v>20.8</v>
      </c>
      <c r="J1793" s="7" t="s">
        <v>311</v>
      </c>
      <c r="K1793" s="8">
        <v>12.79</v>
      </c>
    </row>
    <row r="1794" spans="7:11" x14ac:dyDescent="0.45">
      <c r="G1794" s="9">
        <v>43424</v>
      </c>
      <c r="H1794" s="8">
        <v>22.48</v>
      </c>
      <c r="J1794" s="7" t="s">
        <v>312</v>
      </c>
      <c r="K1794" s="8">
        <v>12.56</v>
      </c>
    </row>
    <row r="1795" spans="7:11" x14ac:dyDescent="0.45">
      <c r="G1795" s="9">
        <v>43423</v>
      </c>
      <c r="H1795" s="8">
        <v>20.100000000000001</v>
      </c>
      <c r="J1795" s="7" t="s">
        <v>313</v>
      </c>
      <c r="K1795" s="8">
        <v>12.51</v>
      </c>
    </row>
    <row r="1796" spans="7:11" x14ac:dyDescent="0.45">
      <c r="G1796" s="9">
        <v>43420</v>
      </c>
      <c r="H1796" s="8">
        <v>18.14</v>
      </c>
      <c r="J1796" s="7" t="s">
        <v>314</v>
      </c>
      <c r="K1796" s="8">
        <v>12.3</v>
      </c>
    </row>
    <row r="1797" spans="7:11" x14ac:dyDescent="0.45">
      <c r="G1797" s="9">
        <v>43419</v>
      </c>
      <c r="H1797" s="8">
        <v>19.98</v>
      </c>
      <c r="J1797" s="7" t="s">
        <v>315</v>
      </c>
      <c r="K1797" s="8">
        <v>12.81</v>
      </c>
    </row>
    <row r="1798" spans="7:11" x14ac:dyDescent="0.45">
      <c r="G1798" s="9">
        <v>43418</v>
      </c>
      <c r="H1798" s="8">
        <v>21.25</v>
      </c>
      <c r="J1798" s="7" t="s">
        <v>316</v>
      </c>
      <c r="K1798" s="8">
        <v>13.09</v>
      </c>
    </row>
    <row r="1799" spans="7:11" x14ac:dyDescent="0.45">
      <c r="G1799" s="9">
        <v>43417</v>
      </c>
      <c r="H1799" s="8">
        <v>20.02</v>
      </c>
      <c r="J1799" s="7" t="s">
        <v>317</v>
      </c>
      <c r="K1799" s="8">
        <v>12.97</v>
      </c>
    </row>
    <row r="1800" spans="7:11" x14ac:dyDescent="0.45">
      <c r="G1800" s="9">
        <v>43416</v>
      </c>
      <c r="H1800" s="8">
        <v>20.45</v>
      </c>
      <c r="J1800" s="7" t="s">
        <v>318</v>
      </c>
      <c r="K1800" s="8">
        <v>12.79</v>
      </c>
    </row>
    <row r="1801" spans="7:11" x14ac:dyDescent="0.45">
      <c r="G1801" s="9">
        <v>43413</v>
      </c>
      <c r="H1801" s="8">
        <v>17.36</v>
      </c>
      <c r="J1801" s="7" t="s">
        <v>319</v>
      </c>
      <c r="K1801" s="8">
        <v>13.02</v>
      </c>
    </row>
    <row r="1802" spans="7:11" x14ac:dyDescent="0.45">
      <c r="G1802" s="9">
        <v>43412</v>
      </c>
      <c r="H1802" s="8">
        <v>16.72</v>
      </c>
      <c r="J1802" s="7" t="s">
        <v>320</v>
      </c>
      <c r="K1802" s="8">
        <v>13.26</v>
      </c>
    </row>
    <row r="1803" spans="7:11" x14ac:dyDescent="0.45">
      <c r="G1803" s="9">
        <v>43411</v>
      </c>
      <c r="H1803" s="8">
        <v>16.36</v>
      </c>
      <c r="J1803" s="7" t="s">
        <v>321</v>
      </c>
      <c r="K1803" s="8">
        <v>13.04</v>
      </c>
    </row>
    <row r="1804" spans="7:11" x14ac:dyDescent="0.45">
      <c r="G1804" s="9">
        <v>43410</v>
      </c>
      <c r="H1804" s="8">
        <v>19.91</v>
      </c>
      <c r="J1804" s="7" t="s">
        <v>322</v>
      </c>
      <c r="K1804" s="8">
        <v>12.62</v>
      </c>
    </row>
    <row r="1805" spans="7:11" x14ac:dyDescent="0.45">
      <c r="G1805" s="9">
        <v>43409</v>
      </c>
      <c r="H1805" s="8">
        <v>19.96</v>
      </c>
      <c r="J1805" s="7" t="s">
        <v>323</v>
      </c>
      <c r="K1805" s="8">
        <v>12.14</v>
      </c>
    </row>
    <row r="1806" spans="7:11" x14ac:dyDescent="0.45">
      <c r="G1806" s="9">
        <v>43406</v>
      </c>
      <c r="H1806" s="8">
        <v>19.510000000000002</v>
      </c>
      <c r="J1806" s="7" t="s">
        <v>324</v>
      </c>
      <c r="K1806" s="8">
        <v>11.87</v>
      </c>
    </row>
    <row r="1807" spans="7:11" x14ac:dyDescent="0.45">
      <c r="G1807" s="9">
        <v>43405</v>
      </c>
      <c r="H1807" s="8">
        <v>19.34</v>
      </c>
      <c r="J1807" s="7" t="s">
        <v>325</v>
      </c>
      <c r="K1807" s="8">
        <v>11.41</v>
      </c>
    </row>
    <row r="1808" spans="7:11" x14ac:dyDescent="0.45">
      <c r="G1808" s="9">
        <v>43404</v>
      </c>
      <c r="H1808" s="8">
        <v>21.23</v>
      </c>
      <c r="J1808" s="7" t="s">
        <v>326</v>
      </c>
      <c r="K1808" s="8">
        <v>11.35</v>
      </c>
    </row>
    <row r="1809" spans="7:11" x14ac:dyDescent="0.45">
      <c r="G1809" s="9">
        <v>43403</v>
      </c>
      <c r="H1809" s="8">
        <v>23.35</v>
      </c>
      <c r="J1809" s="7" t="s">
        <v>327</v>
      </c>
      <c r="K1809" s="8">
        <v>11.21</v>
      </c>
    </row>
    <row r="1810" spans="7:11" x14ac:dyDescent="0.45">
      <c r="G1810" s="9">
        <v>43402</v>
      </c>
      <c r="H1810" s="8">
        <v>24.7</v>
      </c>
      <c r="J1810" s="7" t="s">
        <v>328</v>
      </c>
      <c r="K1810" s="8">
        <v>10.93</v>
      </c>
    </row>
    <row r="1811" spans="7:11" x14ac:dyDescent="0.45">
      <c r="G1811" s="9">
        <v>43399</v>
      </c>
      <c r="H1811" s="8">
        <v>24.16</v>
      </c>
      <c r="J1811" s="7" t="s">
        <v>329</v>
      </c>
      <c r="K1811" s="8">
        <v>10.68</v>
      </c>
    </row>
    <row r="1812" spans="7:11" x14ac:dyDescent="0.45">
      <c r="G1812" s="9">
        <v>43398</v>
      </c>
      <c r="H1812" s="8">
        <v>24.22</v>
      </c>
      <c r="J1812" s="7" t="s">
        <v>330</v>
      </c>
      <c r="K1812" s="8">
        <v>10.69</v>
      </c>
    </row>
    <row r="1813" spans="7:11" x14ac:dyDescent="0.45">
      <c r="G1813" s="9">
        <v>43397</v>
      </c>
      <c r="H1813" s="8">
        <v>25.23</v>
      </c>
      <c r="J1813" s="7" t="s">
        <v>331</v>
      </c>
      <c r="K1813" s="8">
        <v>10.9</v>
      </c>
    </row>
    <row r="1814" spans="7:11" x14ac:dyDescent="0.45">
      <c r="G1814" s="9">
        <v>43396</v>
      </c>
      <c r="H1814" s="8">
        <v>20.71</v>
      </c>
      <c r="J1814" s="7" t="s">
        <v>332</v>
      </c>
      <c r="K1814" s="8">
        <v>10.55</v>
      </c>
    </row>
    <row r="1815" spans="7:11" x14ac:dyDescent="0.45">
      <c r="G1815" s="9">
        <v>43395</v>
      </c>
      <c r="H1815" s="8">
        <v>19.64</v>
      </c>
      <c r="J1815" s="7" t="s">
        <v>333</v>
      </c>
      <c r="K1815" s="8">
        <v>10.220000000000001</v>
      </c>
    </row>
    <row r="1816" spans="7:11" x14ac:dyDescent="0.45">
      <c r="G1816" s="9">
        <v>43392</v>
      </c>
      <c r="H1816" s="8">
        <v>19.89</v>
      </c>
      <c r="J1816" s="7" t="s">
        <v>334</v>
      </c>
      <c r="K1816" s="8">
        <v>10.050000000000001</v>
      </c>
    </row>
    <row r="1817" spans="7:11" x14ac:dyDescent="0.45">
      <c r="G1817" s="9">
        <v>43391</v>
      </c>
      <c r="H1817" s="8">
        <v>20.059999999999999</v>
      </c>
      <c r="J1817" s="7" t="s">
        <v>335</v>
      </c>
      <c r="K1817" s="8">
        <v>9.8699999999999992</v>
      </c>
    </row>
    <row r="1818" spans="7:11" x14ac:dyDescent="0.45">
      <c r="G1818" s="9">
        <v>43390</v>
      </c>
      <c r="H1818" s="8">
        <v>17.399999999999999</v>
      </c>
      <c r="J1818" s="7" t="s">
        <v>336</v>
      </c>
      <c r="K1818" s="8">
        <v>9.93</v>
      </c>
    </row>
    <row r="1819" spans="7:11" x14ac:dyDescent="0.45">
      <c r="G1819" s="9">
        <v>43389</v>
      </c>
      <c r="H1819" s="8">
        <v>17.62</v>
      </c>
      <c r="J1819" s="7" t="s">
        <v>337</v>
      </c>
      <c r="K1819" s="8">
        <v>9.85</v>
      </c>
    </row>
    <row r="1820" spans="7:11" x14ac:dyDescent="0.45">
      <c r="G1820" s="9">
        <v>43388</v>
      </c>
      <c r="H1820" s="8">
        <v>21.3</v>
      </c>
      <c r="J1820" s="7" t="s">
        <v>338</v>
      </c>
      <c r="K1820" s="8">
        <v>9.8699999999999992</v>
      </c>
    </row>
    <row r="1821" spans="7:11" x14ac:dyDescent="0.45">
      <c r="G1821" s="9">
        <v>43385</v>
      </c>
      <c r="H1821" s="8">
        <v>21.31</v>
      </c>
      <c r="J1821" s="7" t="s">
        <v>339</v>
      </c>
      <c r="K1821" s="8">
        <v>9.7200000000000006</v>
      </c>
    </row>
    <row r="1822" spans="7:11" x14ac:dyDescent="0.45">
      <c r="G1822" s="9">
        <v>43384</v>
      </c>
      <c r="H1822" s="8">
        <v>24.98</v>
      </c>
      <c r="J1822" s="7" t="s">
        <v>340</v>
      </c>
      <c r="K1822" s="8">
        <v>9.6999999999999993</v>
      </c>
    </row>
    <row r="1823" spans="7:11" x14ac:dyDescent="0.45">
      <c r="G1823" s="9">
        <v>43383</v>
      </c>
      <c r="H1823" s="8">
        <v>22.96</v>
      </c>
      <c r="J1823" s="7" t="s">
        <v>341</v>
      </c>
      <c r="K1823" s="8">
        <v>9.6999999999999993</v>
      </c>
    </row>
    <row r="1824" spans="7:11" x14ac:dyDescent="0.45">
      <c r="G1824" s="9">
        <v>43382</v>
      </c>
      <c r="H1824" s="8">
        <v>15.95</v>
      </c>
      <c r="J1824" s="7" t="s">
        <v>342</v>
      </c>
      <c r="K1824" s="8">
        <v>9.74</v>
      </c>
    </row>
    <row r="1825" spans="7:11" x14ac:dyDescent="0.45">
      <c r="G1825" s="9">
        <v>43381</v>
      </c>
      <c r="H1825" s="8">
        <v>15.69</v>
      </c>
      <c r="J1825" s="7" t="s">
        <v>343</v>
      </c>
      <c r="K1825" s="8">
        <v>10</v>
      </c>
    </row>
    <row r="1826" spans="7:11" x14ac:dyDescent="0.45">
      <c r="G1826" s="9">
        <v>43378</v>
      </c>
      <c r="H1826" s="8">
        <v>14.82</v>
      </c>
      <c r="J1826" s="7" t="s">
        <v>344</v>
      </c>
      <c r="K1826" s="8">
        <v>10.28</v>
      </c>
    </row>
    <row r="1827" spans="7:11" x14ac:dyDescent="0.45">
      <c r="G1827" s="9">
        <v>43377</v>
      </c>
      <c r="H1827" s="8">
        <v>14.22</v>
      </c>
      <c r="J1827" s="7" t="s">
        <v>345</v>
      </c>
      <c r="K1827" s="8">
        <v>10.43</v>
      </c>
    </row>
    <row r="1828" spans="7:11" x14ac:dyDescent="0.45">
      <c r="G1828" s="9">
        <v>43376</v>
      </c>
      <c r="H1828" s="8">
        <v>11.61</v>
      </c>
      <c r="J1828" s="7" t="s">
        <v>346</v>
      </c>
      <c r="K1828" s="8">
        <v>10.130000000000001</v>
      </c>
    </row>
    <row r="1829" spans="7:11" x14ac:dyDescent="0.45">
      <c r="G1829" s="9">
        <v>43375</v>
      </c>
      <c r="H1829" s="8">
        <v>12.05</v>
      </c>
      <c r="J1829" s="7" t="s">
        <v>347</v>
      </c>
      <c r="K1829" s="8">
        <v>9.61</v>
      </c>
    </row>
    <row r="1830" spans="7:11" x14ac:dyDescent="0.45">
      <c r="G1830" s="9">
        <v>43374</v>
      </c>
      <c r="H1830" s="8">
        <v>12</v>
      </c>
      <c r="J1830" s="7" t="s">
        <v>348</v>
      </c>
      <c r="K1830" s="8">
        <v>8.83</v>
      </c>
    </row>
    <row r="1831" spans="7:11" x14ac:dyDescent="0.45">
      <c r="G1831" s="9">
        <v>43371</v>
      </c>
      <c r="H1831" s="8">
        <v>12.12</v>
      </c>
      <c r="J1831" s="7" t="s">
        <v>349</v>
      </c>
      <c r="K1831" s="8">
        <v>9.2100000000000009</v>
      </c>
    </row>
    <row r="1832" spans="7:11" x14ac:dyDescent="0.45">
      <c r="G1832" s="9">
        <v>43370</v>
      </c>
      <c r="H1832" s="8">
        <v>12.41</v>
      </c>
      <c r="J1832" s="7" t="s">
        <v>350</v>
      </c>
      <c r="K1832" s="8">
        <v>10.14</v>
      </c>
    </row>
    <row r="1833" spans="7:11" x14ac:dyDescent="0.45">
      <c r="G1833" s="9">
        <v>43369</v>
      </c>
      <c r="H1833" s="8">
        <v>12.89</v>
      </c>
      <c r="J1833" s="7" t="s">
        <v>351</v>
      </c>
      <c r="K1833" s="8">
        <v>11.04</v>
      </c>
    </row>
    <row r="1834" spans="7:11" x14ac:dyDescent="0.45">
      <c r="G1834" s="9">
        <v>43368</v>
      </c>
      <c r="H1834" s="8">
        <v>12.42</v>
      </c>
      <c r="J1834" s="7" t="s">
        <v>352</v>
      </c>
      <c r="K1834" s="8">
        <v>11.11</v>
      </c>
    </row>
    <row r="1835" spans="7:11" x14ac:dyDescent="0.45">
      <c r="G1835" s="9">
        <v>43367</v>
      </c>
      <c r="H1835" s="8">
        <v>12.2</v>
      </c>
      <c r="J1835" s="7" t="s">
        <v>353</v>
      </c>
      <c r="K1835" s="8">
        <v>11.19</v>
      </c>
    </row>
    <row r="1836" spans="7:11" x14ac:dyDescent="0.45">
      <c r="G1836" s="9">
        <v>43364</v>
      </c>
      <c r="H1836" s="8">
        <v>11.68</v>
      </c>
      <c r="J1836" s="7" t="s">
        <v>354</v>
      </c>
      <c r="K1836" s="8">
        <v>11.41</v>
      </c>
    </row>
    <row r="1837" spans="7:11" x14ac:dyDescent="0.45">
      <c r="G1837" s="9">
        <v>43363</v>
      </c>
      <c r="H1837" s="8">
        <v>11.8</v>
      </c>
      <c r="J1837" s="7" t="s">
        <v>355</v>
      </c>
      <c r="K1837" s="8">
        <v>11.45</v>
      </c>
    </row>
    <row r="1838" spans="7:11" x14ac:dyDescent="0.45">
      <c r="G1838" s="9">
        <v>43362</v>
      </c>
      <c r="H1838" s="8">
        <v>11.75</v>
      </c>
      <c r="J1838" s="7" t="s">
        <v>356</v>
      </c>
      <c r="K1838" s="8">
        <v>11.68</v>
      </c>
    </row>
    <row r="1839" spans="7:11" x14ac:dyDescent="0.45">
      <c r="G1839" s="9">
        <v>43361</v>
      </c>
      <c r="H1839" s="8">
        <v>12.79</v>
      </c>
      <c r="J1839" s="7" t="s">
        <v>357</v>
      </c>
      <c r="K1839" s="8">
        <v>11.84</v>
      </c>
    </row>
    <row r="1840" spans="7:11" x14ac:dyDescent="0.45">
      <c r="G1840" s="9">
        <v>43360</v>
      </c>
      <c r="H1840" s="8">
        <v>13.68</v>
      </c>
      <c r="J1840" s="7" t="s">
        <v>358</v>
      </c>
      <c r="K1840" s="8">
        <v>11.82</v>
      </c>
    </row>
    <row r="1841" spans="7:11" x14ac:dyDescent="0.45">
      <c r="G1841" s="9">
        <v>43357</v>
      </c>
      <c r="H1841" s="8">
        <v>12.07</v>
      </c>
      <c r="J1841" s="7" t="s">
        <v>359</v>
      </c>
      <c r="K1841" s="8">
        <v>11.79</v>
      </c>
    </row>
    <row r="1842" spans="7:11" x14ac:dyDescent="0.45">
      <c r="G1842" s="9">
        <v>43356</v>
      </c>
      <c r="H1842" s="8">
        <v>12.37</v>
      </c>
      <c r="J1842" s="7" t="s">
        <v>360</v>
      </c>
      <c r="K1842" s="8">
        <v>11.58</v>
      </c>
    </row>
    <row r="1843" spans="7:11" x14ac:dyDescent="0.45">
      <c r="G1843" s="9">
        <v>43355</v>
      </c>
      <c r="H1843" s="8">
        <v>13.14</v>
      </c>
      <c r="J1843" s="7" t="s">
        <v>361</v>
      </c>
      <c r="K1843" s="8">
        <v>11.69</v>
      </c>
    </row>
    <row r="1844" spans="7:11" x14ac:dyDescent="0.45">
      <c r="G1844" s="9">
        <v>43354</v>
      </c>
      <c r="H1844" s="8">
        <v>13.22</v>
      </c>
      <c r="J1844" s="7" t="s">
        <v>362</v>
      </c>
      <c r="K1844" s="8">
        <v>11.72</v>
      </c>
    </row>
    <row r="1845" spans="7:11" x14ac:dyDescent="0.45">
      <c r="G1845" s="9">
        <v>43353</v>
      </c>
      <c r="H1845" s="8">
        <v>14.16</v>
      </c>
      <c r="J1845" s="7" t="s">
        <v>363</v>
      </c>
      <c r="K1845" s="8">
        <v>12</v>
      </c>
    </row>
    <row r="1846" spans="7:11" x14ac:dyDescent="0.45">
      <c r="G1846" s="9">
        <v>43350</v>
      </c>
      <c r="H1846" s="8">
        <v>14.88</v>
      </c>
      <c r="J1846" s="7" t="s">
        <v>364</v>
      </c>
      <c r="K1846" s="8">
        <v>12.22</v>
      </c>
    </row>
    <row r="1847" spans="7:11" x14ac:dyDescent="0.45">
      <c r="G1847" s="9">
        <v>43349</v>
      </c>
      <c r="H1847" s="8">
        <v>14.65</v>
      </c>
      <c r="J1847" s="7" t="s">
        <v>365</v>
      </c>
      <c r="K1847" s="8">
        <v>12.36</v>
      </c>
    </row>
    <row r="1848" spans="7:11" x14ac:dyDescent="0.45">
      <c r="G1848" s="9">
        <v>43348</v>
      </c>
      <c r="H1848" s="8">
        <v>13.91</v>
      </c>
      <c r="J1848" s="7" t="s">
        <v>366</v>
      </c>
      <c r="K1848" s="8">
        <v>12.56</v>
      </c>
    </row>
    <row r="1849" spans="7:11" x14ac:dyDescent="0.45">
      <c r="G1849" s="9">
        <v>43347</v>
      </c>
      <c r="H1849" s="8">
        <v>13.16</v>
      </c>
      <c r="J1849" s="7" t="s">
        <v>367</v>
      </c>
      <c r="K1849" s="8">
        <v>12.63</v>
      </c>
    </row>
    <row r="1850" spans="7:11" x14ac:dyDescent="0.45">
      <c r="G1850" s="9">
        <v>43343</v>
      </c>
      <c r="H1850" s="8">
        <v>12.86</v>
      </c>
      <c r="J1850" s="7" t="s">
        <v>368</v>
      </c>
      <c r="K1850" s="8">
        <v>12.37</v>
      </c>
    </row>
    <row r="1851" spans="7:11" x14ac:dyDescent="0.45">
      <c r="G1851" s="9">
        <v>43342</v>
      </c>
      <c r="H1851" s="8">
        <v>13.53</v>
      </c>
      <c r="J1851" s="7" t="s">
        <v>369</v>
      </c>
      <c r="K1851" s="8">
        <v>12.05</v>
      </c>
    </row>
    <row r="1852" spans="7:11" x14ac:dyDescent="0.45">
      <c r="G1852" s="9">
        <v>43341</v>
      </c>
      <c r="H1852" s="8">
        <v>12.25</v>
      </c>
      <c r="J1852" s="7" t="s">
        <v>370</v>
      </c>
      <c r="K1852" s="8">
        <v>12.07</v>
      </c>
    </row>
    <row r="1853" spans="7:11" x14ac:dyDescent="0.45">
      <c r="G1853" s="9">
        <v>43340</v>
      </c>
      <c r="H1853" s="8">
        <v>12.5</v>
      </c>
      <c r="J1853" s="7" t="s">
        <v>371</v>
      </c>
      <c r="K1853" s="8">
        <v>11.85</v>
      </c>
    </row>
    <row r="1854" spans="7:11" x14ac:dyDescent="0.45">
      <c r="G1854" s="9">
        <v>43339</v>
      </c>
      <c r="H1854" s="8">
        <v>12.16</v>
      </c>
      <c r="J1854" s="7" t="s">
        <v>372</v>
      </c>
      <c r="K1854" s="8">
        <v>11.6</v>
      </c>
    </row>
    <row r="1855" spans="7:11" x14ac:dyDescent="0.45">
      <c r="G1855" s="9">
        <v>43336</v>
      </c>
      <c r="H1855" s="8">
        <v>11.99</v>
      </c>
      <c r="J1855" s="7" t="s">
        <v>373</v>
      </c>
      <c r="K1855" s="8">
        <v>11.48</v>
      </c>
    </row>
    <row r="1856" spans="7:11" x14ac:dyDescent="0.45">
      <c r="G1856" s="9">
        <v>43335</v>
      </c>
      <c r="H1856" s="8">
        <v>12.41</v>
      </c>
      <c r="J1856" s="7" t="s">
        <v>374</v>
      </c>
      <c r="K1856" s="8">
        <v>12.1</v>
      </c>
    </row>
    <row r="1857" spans="7:11" x14ac:dyDescent="0.45">
      <c r="G1857" s="9">
        <v>43334</v>
      </c>
      <c r="H1857" s="8">
        <v>12.25</v>
      </c>
      <c r="J1857" s="7" t="s">
        <v>375</v>
      </c>
      <c r="K1857" s="8">
        <v>11.98</v>
      </c>
    </row>
    <row r="1858" spans="7:11" x14ac:dyDescent="0.45">
      <c r="G1858" s="9">
        <v>43333</v>
      </c>
      <c r="H1858" s="8">
        <v>12.86</v>
      </c>
      <c r="J1858" s="7" t="s">
        <v>376</v>
      </c>
      <c r="K1858" s="8">
        <v>11.82</v>
      </c>
    </row>
    <row r="1859" spans="7:11" x14ac:dyDescent="0.45">
      <c r="G1859" s="9">
        <v>43332</v>
      </c>
      <c r="H1859" s="8">
        <v>12.49</v>
      </c>
      <c r="J1859" s="7" t="s">
        <v>377</v>
      </c>
      <c r="K1859" s="8">
        <v>12.05</v>
      </c>
    </row>
    <row r="1860" spans="7:11" x14ac:dyDescent="0.45">
      <c r="G1860" s="9">
        <v>43329</v>
      </c>
      <c r="H1860" s="8">
        <v>12.64</v>
      </c>
      <c r="J1860" s="7" t="s">
        <v>378</v>
      </c>
      <c r="K1860" s="8">
        <v>12.15</v>
      </c>
    </row>
    <row r="1861" spans="7:11" x14ac:dyDescent="0.45">
      <c r="G1861" s="9">
        <v>43328</v>
      </c>
      <c r="H1861" s="8">
        <v>13.45</v>
      </c>
      <c r="J1861" s="7" t="s">
        <v>379</v>
      </c>
      <c r="K1861" s="8">
        <v>11.85</v>
      </c>
    </row>
    <row r="1862" spans="7:11" x14ac:dyDescent="0.45">
      <c r="G1862" s="9">
        <v>43327</v>
      </c>
      <c r="H1862" s="8">
        <v>14.64</v>
      </c>
      <c r="J1862" s="7" t="s">
        <v>380</v>
      </c>
      <c r="K1862" s="8">
        <v>11.52</v>
      </c>
    </row>
    <row r="1863" spans="7:11" x14ac:dyDescent="0.45">
      <c r="G1863" s="9">
        <v>43326</v>
      </c>
      <c r="H1863" s="8">
        <v>13.31</v>
      </c>
      <c r="J1863" s="7" t="s">
        <v>381</v>
      </c>
      <c r="K1863" s="8">
        <v>11.25</v>
      </c>
    </row>
    <row r="1864" spans="7:11" x14ac:dyDescent="0.45">
      <c r="G1864" s="9">
        <v>43325</v>
      </c>
      <c r="H1864" s="8">
        <v>14.78</v>
      </c>
      <c r="J1864" s="7" t="s">
        <v>382</v>
      </c>
      <c r="K1864" s="8">
        <v>11.1</v>
      </c>
    </row>
    <row r="1865" spans="7:11" x14ac:dyDescent="0.45">
      <c r="G1865" s="9">
        <v>43322</v>
      </c>
      <c r="H1865" s="8">
        <v>13.16</v>
      </c>
    </row>
    <row r="1866" spans="7:11" x14ac:dyDescent="0.45">
      <c r="G1866" s="9">
        <v>43321</v>
      </c>
      <c r="H1866" s="8">
        <v>11.27</v>
      </c>
    </row>
    <row r="1867" spans="7:11" x14ac:dyDescent="0.45">
      <c r="G1867" s="9">
        <v>43320</v>
      </c>
      <c r="H1867" s="8">
        <v>10.85</v>
      </c>
    </row>
    <row r="1868" spans="7:11" x14ac:dyDescent="0.45">
      <c r="G1868" s="9">
        <v>43319</v>
      </c>
      <c r="H1868" s="8">
        <v>10.93</v>
      </c>
    </row>
    <row r="1869" spans="7:11" x14ac:dyDescent="0.45">
      <c r="G1869" s="9">
        <v>43318</v>
      </c>
      <c r="H1869" s="8">
        <v>11.27</v>
      </c>
    </row>
    <row r="1870" spans="7:11" x14ac:dyDescent="0.45">
      <c r="G1870" s="9">
        <v>43315</v>
      </c>
      <c r="H1870" s="8">
        <v>11.64</v>
      </c>
    </row>
    <row r="1871" spans="7:11" x14ac:dyDescent="0.45">
      <c r="G1871" s="9">
        <v>43314</v>
      </c>
      <c r="H1871" s="8">
        <v>12.19</v>
      </c>
    </row>
    <row r="1872" spans="7:11" x14ac:dyDescent="0.45">
      <c r="G1872" s="9">
        <v>43313</v>
      </c>
      <c r="H1872" s="8">
        <v>13.15</v>
      </c>
    </row>
    <row r="1873" spans="7:8" x14ac:dyDescent="0.45">
      <c r="G1873" s="9">
        <v>43312</v>
      </c>
      <c r="H1873" s="8">
        <v>12.83</v>
      </c>
    </row>
    <row r="1874" spans="7:8" x14ac:dyDescent="0.45">
      <c r="G1874" s="9">
        <v>43311</v>
      </c>
      <c r="H1874" s="8">
        <v>14.26</v>
      </c>
    </row>
    <row r="1875" spans="7:8" x14ac:dyDescent="0.45">
      <c r="G1875" s="9">
        <v>43308</v>
      </c>
      <c r="H1875" s="8">
        <v>13.03</v>
      </c>
    </row>
    <row r="1876" spans="7:8" x14ac:dyDescent="0.45">
      <c r="G1876" s="9">
        <v>43307</v>
      </c>
      <c r="H1876" s="8">
        <v>12.14</v>
      </c>
    </row>
    <row r="1877" spans="7:8" x14ac:dyDescent="0.45">
      <c r="G1877" s="9">
        <v>43306</v>
      </c>
      <c r="H1877" s="8">
        <v>12.29</v>
      </c>
    </row>
    <row r="1878" spans="7:8" x14ac:dyDescent="0.45">
      <c r="G1878" s="9">
        <v>43305</v>
      </c>
      <c r="H1878" s="8">
        <v>12.41</v>
      </c>
    </row>
    <row r="1879" spans="7:8" x14ac:dyDescent="0.45">
      <c r="G1879" s="9">
        <v>43304</v>
      </c>
      <c r="H1879" s="8">
        <v>12.62</v>
      </c>
    </row>
    <row r="1880" spans="7:8" x14ac:dyDescent="0.45">
      <c r="G1880" s="9">
        <v>43301</v>
      </c>
      <c r="H1880" s="8">
        <v>12.86</v>
      </c>
    </row>
    <row r="1881" spans="7:8" x14ac:dyDescent="0.45">
      <c r="G1881" s="9">
        <v>43300</v>
      </c>
      <c r="H1881" s="8">
        <v>12.87</v>
      </c>
    </row>
    <row r="1882" spans="7:8" x14ac:dyDescent="0.45">
      <c r="G1882" s="9">
        <v>43299</v>
      </c>
      <c r="H1882" s="8">
        <v>12.1</v>
      </c>
    </row>
    <row r="1883" spans="7:8" x14ac:dyDescent="0.45">
      <c r="G1883" s="9">
        <v>43298</v>
      </c>
      <c r="H1883" s="8">
        <v>12.06</v>
      </c>
    </row>
    <row r="1884" spans="7:8" x14ac:dyDescent="0.45">
      <c r="G1884" s="9">
        <v>43297</v>
      </c>
      <c r="H1884" s="8">
        <v>12.83</v>
      </c>
    </row>
    <row r="1885" spans="7:8" x14ac:dyDescent="0.45">
      <c r="G1885" s="9">
        <v>43294</v>
      </c>
      <c r="H1885" s="8">
        <v>12.18</v>
      </c>
    </row>
    <row r="1886" spans="7:8" x14ac:dyDescent="0.45">
      <c r="G1886" s="9">
        <v>43293</v>
      </c>
      <c r="H1886" s="8">
        <v>12.58</v>
      </c>
    </row>
    <row r="1887" spans="7:8" x14ac:dyDescent="0.45">
      <c r="G1887" s="9">
        <v>43292</v>
      </c>
      <c r="H1887" s="8">
        <v>13.63</v>
      </c>
    </row>
    <row r="1888" spans="7:8" x14ac:dyDescent="0.45">
      <c r="G1888" s="9">
        <v>43291</v>
      </c>
      <c r="H1888" s="8">
        <v>12.64</v>
      </c>
    </row>
    <row r="1889" spans="7:8" x14ac:dyDescent="0.45">
      <c r="G1889" s="9">
        <v>43290</v>
      </c>
      <c r="H1889" s="8">
        <v>12.69</v>
      </c>
    </row>
    <row r="1890" spans="7:8" x14ac:dyDescent="0.45">
      <c r="G1890" s="9">
        <v>43287</v>
      </c>
      <c r="H1890" s="8">
        <v>13.37</v>
      </c>
    </row>
    <row r="1891" spans="7:8" x14ac:dyDescent="0.45">
      <c r="G1891" s="9">
        <v>43286</v>
      </c>
      <c r="H1891" s="8">
        <v>14.97</v>
      </c>
    </row>
    <row r="1892" spans="7:8" x14ac:dyDescent="0.45">
      <c r="G1892" s="9">
        <v>43284</v>
      </c>
      <c r="H1892" s="8">
        <v>16.14</v>
      </c>
    </row>
    <row r="1893" spans="7:8" x14ac:dyDescent="0.45">
      <c r="G1893" s="9">
        <v>43283</v>
      </c>
      <c r="H1893" s="8">
        <v>15.6</v>
      </c>
    </row>
    <row r="1894" spans="7:8" x14ac:dyDescent="0.45">
      <c r="G1894" s="9">
        <v>43280</v>
      </c>
      <c r="H1894" s="8">
        <v>16.09</v>
      </c>
    </row>
    <row r="1895" spans="7:8" x14ac:dyDescent="0.45">
      <c r="G1895" s="9">
        <v>43279</v>
      </c>
      <c r="H1895" s="8">
        <v>16.850000000000001</v>
      </c>
    </row>
    <row r="1896" spans="7:8" x14ac:dyDescent="0.45">
      <c r="G1896" s="9">
        <v>43278</v>
      </c>
      <c r="H1896" s="8">
        <v>17.91</v>
      </c>
    </row>
    <row r="1897" spans="7:8" x14ac:dyDescent="0.45">
      <c r="G1897" s="9">
        <v>43277</v>
      </c>
      <c r="H1897" s="8">
        <v>15.92</v>
      </c>
    </row>
    <row r="1898" spans="7:8" x14ac:dyDescent="0.45">
      <c r="G1898" s="9">
        <v>43276</v>
      </c>
      <c r="H1898" s="8">
        <v>17.329999999999998</v>
      </c>
    </row>
    <row r="1899" spans="7:8" x14ac:dyDescent="0.45">
      <c r="G1899" s="9">
        <v>43273</v>
      </c>
      <c r="H1899" s="8">
        <v>13.77</v>
      </c>
    </row>
    <row r="1900" spans="7:8" x14ac:dyDescent="0.45">
      <c r="G1900" s="9">
        <v>43272</v>
      </c>
      <c r="H1900" s="8">
        <v>14.64</v>
      </c>
    </row>
    <row r="1901" spans="7:8" x14ac:dyDescent="0.45">
      <c r="G1901" s="9">
        <v>43271</v>
      </c>
      <c r="H1901" s="8">
        <v>12.79</v>
      </c>
    </row>
    <row r="1902" spans="7:8" x14ac:dyDescent="0.45">
      <c r="G1902" s="9">
        <v>43270</v>
      </c>
      <c r="H1902" s="8">
        <v>13.35</v>
      </c>
    </row>
    <row r="1903" spans="7:8" x14ac:dyDescent="0.45">
      <c r="G1903" s="9">
        <v>43269</v>
      </c>
      <c r="H1903" s="8">
        <v>12.31</v>
      </c>
    </row>
    <row r="1904" spans="7:8" x14ac:dyDescent="0.45">
      <c r="G1904" s="9">
        <v>43266</v>
      </c>
      <c r="H1904" s="8">
        <v>11.98</v>
      </c>
    </row>
    <row r="1905" spans="7:8" x14ac:dyDescent="0.45">
      <c r="G1905" s="9">
        <v>43265</v>
      </c>
      <c r="H1905" s="8">
        <v>12.12</v>
      </c>
    </row>
    <row r="1906" spans="7:8" x14ac:dyDescent="0.45">
      <c r="G1906" s="9">
        <v>43264</v>
      </c>
      <c r="H1906" s="8">
        <v>12.94</v>
      </c>
    </row>
    <row r="1907" spans="7:8" x14ac:dyDescent="0.45">
      <c r="G1907" s="9">
        <v>43263</v>
      </c>
      <c r="H1907" s="8">
        <v>12.34</v>
      </c>
    </row>
    <row r="1908" spans="7:8" x14ac:dyDescent="0.45">
      <c r="G1908" s="9">
        <v>43262</v>
      </c>
      <c r="H1908" s="8">
        <v>12.35</v>
      </c>
    </row>
    <row r="1909" spans="7:8" x14ac:dyDescent="0.45">
      <c r="G1909" s="9">
        <v>43259</v>
      </c>
      <c r="H1909" s="8">
        <v>12.18</v>
      </c>
    </row>
    <row r="1910" spans="7:8" x14ac:dyDescent="0.45">
      <c r="G1910" s="9">
        <v>43258</v>
      </c>
      <c r="H1910" s="8">
        <v>12.13</v>
      </c>
    </row>
    <row r="1911" spans="7:8" x14ac:dyDescent="0.45">
      <c r="G1911" s="9">
        <v>43257</v>
      </c>
      <c r="H1911" s="8">
        <v>11.64</v>
      </c>
    </row>
    <row r="1912" spans="7:8" x14ac:dyDescent="0.45">
      <c r="G1912" s="9">
        <v>43256</v>
      </c>
      <c r="H1912" s="8">
        <v>12.4</v>
      </c>
    </row>
    <row r="1913" spans="7:8" x14ac:dyDescent="0.45">
      <c r="G1913" s="9">
        <v>43255</v>
      </c>
      <c r="H1913" s="8">
        <v>12.74</v>
      </c>
    </row>
    <row r="1914" spans="7:8" x14ac:dyDescent="0.45">
      <c r="G1914" s="9">
        <v>43252</v>
      </c>
      <c r="H1914" s="8">
        <v>13.46</v>
      </c>
    </row>
    <row r="1915" spans="7:8" x14ac:dyDescent="0.45">
      <c r="G1915" s="9">
        <v>43251</v>
      </c>
      <c r="H1915" s="8">
        <v>15.43</v>
      </c>
    </row>
    <row r="1916" spans="7:8" x14ac:dyDescent="0.45">
      <c r="G1916" s="9">
        <v>43250</v>
      </c>
      <c r="H1916" s="8">
        <v>14.94</v>
      </c>
    </row>
    <row r="1917" spans="7:8" x14ac:dyDescent="0.45">
      <c r="G1917" s="9">
        <v>43249</v>
      </c>
      <c r="H1917" s="8">
        <v>17.02</v>
      </c>
    </row>
    <row r="1918" spans="7:8" x14ac:dyDescent="0.45">
      <c r="G1918" s="9">
        <v>43245</v>
      </c>
      <c r="H1918" s="8">
        <v>13.22</v>
      </c>
    </row>
    <row r="1919" spans="7:8" x14ac:dyDescent="0.45">
      <c r="G1919" s="9">
        <v>43244</v>
      </c>
      <c r="H1919" s="8">
        <v>12.53</v>
      </c>
    </row>
    <row r="1920" spans="7:8" x14ac:dyDescent="0.45">
      <c r="G1920" s="9">
        <v>43243</v>
      </c>
      <c r="H1920" s="8">
        <v>12.58</v>
      </c>
    </row>
    <row r="1921" spans="7:8" x14ac:dyDescent="0.45">
      <c r="G1921" s="9">
        <v>43242</v>
      </c>
      <c r="H1921" s="8">
        <v>13.22</v>
      </c>
    </row>
    <row r="1922" spans="7:8" x14ac:dyDescent="0.45">
      <c r="G1922" s="9">
        <v>43241</v>
      </c>
      <c r="H1922" s="8">
        <v>13.08</v>
      </c>
    </row>
    <row r="1923" spans="7:8" x14ac:dyDescent="0.45">
      <c r="G1923" s="9">
        <v>43238</v>
      </c>
      <c r="H1923" s="8">
        <v>13.42</v>
      </c>
    </row>
    <row r="1924" spans="7:8" x14ac:dyDescent="0.45">
      <c r="G1924" s="9">
        <v>43237</v>
      </c>
      <c r="H1924" s="8">
        <v>13.43</v>
      </c>
    </row>
    <row r="1925" spans="7:8" x14ac:dyDescent="0.45">
      <c r="G1925" s="9">
        <v>43236</v>
      </c>
      <c r="H1925" s="8">
        <v>13.42</v>
      </c>
    </row>
    <row r="1926" spans="7:8" x14ac:dyDescent="0.45">
      <c r="G1926" s="9">
        <v>43235</v>
      </c>
      <c r="H1926" s="8">
        <v>14.63</v>
      </c>
    </row>
    <row r="1927" spans="7:8" x14ac:dyDescent="0.45">
      <c r="G1927" s="9">
        <v>43234</v>
      </c>
      <c r="H1927" s="8">
        <v>12.93</v>
      </c>
    </row>
    <row r="1928" spans="7:8" x14ac:dyDescent="0.45">
      <c r="G1928" s="9">
        <v>43231</v>
      </c>
      <c r="H1928" s="8">
        <v>12.65</v>
      </c>
    </row>
    <row r="1929" spans="7:8" x14ac:dyDescent="0.45">
      <c r="G1929" s="9">
        <v>43230</v>
      </c>
      <c r="H1929" s="8">
        <v>13.23</v>
      </c>
    </row>
    <row r="1930" spans="7:8" x14ac:dyDescent="0.45">
      <c r="G1930" s="9">
        <v>43229</v>
      </c>
      <c r="H1930" s="8">
        <v>13.42</v>
      </c>
    </row>
    <row r="1931" spans="7:8" x14ac:dyDescent="0.45">
      <c r="G1931" s="9">
        <v>43228</v>
      </c>
      <c r="H1931" s="8">
        <v>14.71</v>
      </c>
    </row>
    <row r="1932" spans="7:8" x14ac:dyDescent="0.45">
      <c r="G1932" s="9">
        <v>43227</v>
      </c>
      <c r="H1932" s="8">
        <v>14.75</v>
      </c>
    </row>
    <row r="1933" spans="7:8" x14ac:dyDescent="0.45">
      <c r="G1933" s="9">
        <v>43224</v>
      </c>
      <c r="H1933" s="8">
        <v>14.77</v>
      </c>
    </row>
    <row r="1934" spans="7:8" x14ac:dyDescent="0.45">
      <c r="G1934" s="9">
        <v>43223</v>
      </c>
      <c r="H1934" s="8">
        <v>15.9</v>
      </c>
    </row>
    <row r="1935" spans="7:8" x14ac:dyDescent="0.45">
      <c r="G1935" s="9">
        <v>43222</v>
      </c>
      <c r="H1935" s="8">
        <v>15.97</v>
      </c>
    </row>
    <row r="1936" spans="7:8" x14ac:dyDescent="0.45">
      <c r="G1936" s="9">
        <v>43221</v>
      </c>
      <c r="H1936" s="8">
        <v>15.49</v>
      </c>
    </row>
    <row r="1937" spans="7:8" x14ac:dyDescent="0.45">
      <c r="G1937" s="9">
        <v>43220</v>
      </c>
      <c r="H1937" s="8">
        <v>15.93</v>
      </c>
    </row>
    <row r="1938" spans="7:8" x14ac:dyDescent="0.45">
      <c r="G1938" s="9">
        <v>43217</v>
      </c>
      <c r="H1938" s="8">
        <v>15.41</v>
      </c>
    </row>
    <row r="1939" spans="7:8" x14ac:dyDescent="0.45">
      <c r="G1939" s="9">
        <v>43216</v>
      </c>
      <c r="H1939" s="8">
        <v>16.239999999999998</v>
      </c>
    </row>
    <row r="1940" spans="7:8" x14ac:dyDescent="0.45">
      <c r="G1940" s="9">
        <v>43215</v>
      </c>
      <c r="H1940" s="8">
        <v>17.84</v>
      </c>
    </row>
    <row r="1941" spans="7:8" x14ac:dyDescent="0.45">
      <c r="G1941" s="9">
        <v>43214</v>
      </c>
      <c r="H1941" s="8">
        <v>18.02</v>
      </c>
    </row>
    <row r="1942" spans="7:8" x14ac:dyDescent="0.45">
      <c r="G1942" s="9">
        <v>43213</v>
      </c>
      <c r="H1942" s="8">
        <v>16.34</v>
      </c>
    </row>
    <row r="1943" spans="7:8" x14ac:dyDescent="0.45">
      <c r="G1943" s="9">
        <v>43210</v>
      </c>
      <c r="H1943" s="8">
        <v>16.88</v>
      </c>
    </row>
    <row r="1944" spans="7:8" x14ac:dyDescent="0.45">
      <c r="G1944" s="9">
        <v>43209</v>
      </c>
      <c r="H1944" s="8">
        <v>15.96</v>
      </c>
    </row>
    <row r="1945" spans="7:8" x14ac:dyDescent="0.45">
      <c r="G1945" s="9">
        <v>43208</v>
      </c>
      <c r="H1945" s="8">
        <v>15.6</v>
      </c>
    </row>
    <row r="1946" spans="7:8" x14ac:dyDescent="0.45">
      <c r="G1946" s="9">
        <v>43207</v>
      </c>
      <c r="H1946" s="8">
        <v>15.25</v>
      </c>
    </row>
    <row r="1947" spans="7:8" x14ac:dyDescent="0.45">
      <c r="G1947" s="9">
        <v>43206</v>
      </c>
      <c r="H1947" s="8">
        <v>16.559999999999999</v>
      </c>
    </row>
    <row r="1948" spans="7:8" x14ac:dyDescent="0.45">
      <c r="G1948" s="9">
        <v>43203</v>
      </c>
      <c r="H1948" s="8">
        <v>17.41</v>
      </c>
    </row>
    <row r="1949" spans="7:8" x14ac:dyDescent="0.45">
      <c r="G1949" s="9">
        <v>43202</v>
      </c>
      <c r="H1949" s="8">
        <v>18.489999999999998</v>
      </c>
    </row>
    <row r="1950" spans="7:8" x14ac:dyDescent="0.45">
      <c r="G1950" s="9">
        <v>43201</v>
      </c>
      <c r="H1950" s="8">
        <v>20.239999999999998</v>
      </c>
    </row>
    <row r="1951" spans="7:8" x14ac:dyDescent="0.45">
      <c r="G1951" s="9">
        <v>43200</v>
      </c>
      <c r="H1951" s="8">
        <v>20.47</v>
      </c>
    </row>
    <row r="1952" spans="7:8" x14ac:dyDescent="0.45">
      <c r="G1952" s="9">
        <v>43199</v>
      </c>
      <c r="H1952" s="8">
        <v>21.77</v>
      </c>
    </row>
    <row r="1953" spans="7:8" x14ac:dyDescent="0.45">
      <c r="G1953" s="9">
        <v>43196</v>
      </c>
      <c r="H1953" s="8">
        <v>21.49</v>
      </c>
    </row>
    <row r="1954" spans="7:8" x14ac:dyDescent="0.45">
      <c r="G1954" s="9">
        <v>43195</v>
      </c>
      <c r="H1954" s="8">
        <v>18.940000000000001</v>
      </c>
    </row>
    <row r="1955" spans="7:8" x14ac:dyDescent="0.45">
      <c r="G1955" s="9">
        <v>43194</v>
      </c>
      <c r="H1955" s="8">
        <v>20.059999999999999</v>
      </c>
    </row>
    <row r="1956" spans="7:8" x14ac:dyDescent="0.45">
      <c r="G1956" s="9">
        <v>43193</v>
      </c>
      <c r="H1956" s="8">
        <v>21.1</v>
      </c>
    </row>
    <row r="1957" spans="7:8" x14ac:dyDescent="0.45">
      <c r="G1957" s="9">
        <v>43192</v>
      </c>
      <c r="H1957" s="8">
        <v>23.62</v>
      </c>
    </row>
    <row r="1958" spans="7:8" x14ac:dyDescent="0.45">
      <c r="G1958" s="9">
        <v>43188</v>
      </c>
      <c r="H1958" s="8">
        <v>19.97</v>
      </c>
    </row>
    <row r="1959" spans="7:8" x14ac:dyDescent="0.45">
      <c r="G1959" s="9">
        <v>43187</v>
      </c>
      <c r="H1959" s="8">
        <v>22.87</v>
      </c>
    </row>
    <row r="1960" spans="7:8" x14ac:dyDescent="0.45">
      <c r="G1960" s="9">
        <v>43186</v>
      </c>
      <c r="H1960" s="8">
        <v>22.5</v>
      </c>
    </row>
    <row r="1961" spans="7:8" x14ac:dyDescent="0.45">
      <c r="G1961" s="9">
        <v>43185</v>
      </c>
      <c r="H1961" s="8">
        <v>21.03</v>
      </c>
    </row>
    <row r="1962" spans="7:8" x14ac:dyDescent="0.45">
      <c r="G1962" s="9">
        <v>43182</v>
      </c>
      <c r="H1962" s="8">
        <v>24.87</v>
      </c>
    </row>
    <row r="1963" spans="7:8" x14ac:dyDescent="0.45">
      <c r="G1963" s="9">
        <v>43181</v>
      </c>
      <c r="H1963" s="8">
        <v>23.34</v>
      </c>
    </row>
    <row r="1964" spans="7:8" x14ac:dyDescent="0.45">
      <c r="G1964" s="9">
        <v>43180</v>
      </c>
      <c r="H1964" s="8">
        <v>17.86</v>
      </c>
    </row>
    <row r="1965" spans="7:8" x14ac:dyDescent="0.45">
      <c r="G1965" s="9">
        <v>43179</v>
      </c>
      <c r="H1965" s="8">
        <v>18.2</v>
      </c>
    </row>
    <row r="1966" spans="7:8" x14ac:dyDescent="0.45">
      <c r="G1966" s="9">
        <v>43178</v>
      </c>
      <c r="H1966" s="8">
        <v>19.02</v>
      </c>
    </row>
    <row r="1967" spans="7:8" x14ac:dyDescent="0.45">
      <c r="G1967" s="9">
        <v>43175</v>
      </c>
      <c r="H1967" s="8">
        <v>15.8</v>
      </c>
    </row>
    <row r="1968" spans="7:8" x14ac:dyDescent="0.45">
      <c r="G1968" s="9">
        <v>43174</v>
      </c>
      <c r="H1968" s="8">
        <v>16.59</v>
      </c>
    </row>
    <row r="1969" spans="7:8" x14ac:dyDescent="0.45">
      <c r="G1969" s="9">
        <v>43173</v>
      </c>
      <c r="H1969" s="8">
        <v>17.23</v>
      </c>
    </row>
    <row r="1970" spans="7:8" x14ac:dyDescent="0.45">
      <c r="G1970" s="9">
        <v>43172</v>
      </c>
      <c r="H1970" s="8">
        <v>16.350000000000001</v>
      </c>
    </row>
    <row r="1971" spans="7:8" x14ac:dyDescent="0.45">
      <c r="G1971" s="9">
        <v>43171</v>
      </c>
      <c r="H1971" s="8">
        <v>15.78</v>
      </c>
    </row>
    <row r="1972" spans="7:8" x14ac:dyDescent="0.45">
      <c r="G1972" s="9">
        <v>43168</v>
      </c>
      <c r="H1972" s="8">
        <v>14.64</v>
      </c>
    </row>
    <row r="1973" spans="7:8" x14ac:dyDescent="0.45">
      <c r="G1973" s="9">
        <v>43167</v>
      </c>
      <c r="H1973" s="8">
        <v>16.54</v>
      </c>
    </row>
    <row r="1974" spans="7:8" x14ac:dyDescent="0.45">
      <c r="G1974" s="9">
        <v>43166</v>
      </c>
      <c r="H1974" s="8">
        <v>17.760000000000002</v>
      </c>
    </row>
    <row r="1975" spans="7:8" x14ac:dyDescent="0.45">
      <c r="G1975" s="9">
        <v>43165</v>
      </c>
      <c r="H1975" s="8">
        <v>18.36</v>
      </c>
    </row>
    <row r="1976" spans="7:8" x14ac:dyDescent="0.45">
      <c r="G1976" s="9">
        <v>43164</v>
      </c>
      <c r="H1976" s="8">
        <v>18.73</v>
      </c>
    </row>
    <row r="1977" spans="7:8" x14ac:dyDescent="0.45">
      <c r="G1977" s="9">
        <v>43161</v>
      </c>
      <c r="H1977" s="8">
        <v>19.59</v>
      </c>
    </row>
    <row r="1978" spans="7:8" x14ac:dyDescent="0.45">
      <c r="G1978" s="9">
        <v>43160</v>
      </c>
      <c r="H1978" s="8">
        <v>22.47</v>
      </c>
    </row>
    <row r="1979" spans="7:8" x14ac:dyDescent="0.45">
      <c r="G1979" s="9">
        <v>43159</v>
      </c>
      <c r="H1979" s="8">
        <v>19.850000000000001</v>
      </c>
    </row>
    <row r="1980" spans="7:8" x14ac:dyDescent="0.45">
      <c r="G1980" s="9">
        <v>43158</v>
      </c>
      <c r="H1980" s="8">
        <v>18.59</v>
      </c>
    </row>
    <row r="1981" spans="7:8" x14ac:dyDescent="0.45">
      <c r="G1981" s="9">
        <v>43157</v>
      </c>
      <c r="H1981" s="8">
        <v>15.8</v>
      </c>
    </row>
    <row r="1982" spans="7:8" x14ac:dyDescent="0.45">
      <c r="G1982" s="9">
        <v>43154</v>
      </c>
      <c r="H1982" s="8">
        <v>16.489999999999998</v>
      </c>
    </row>
    <row r="1983" spans="7:8" x14ac:dyDescent="0.45">
      <c r="G1983" s="9">
        <v>43153</v>
      </c>
      <c r="H1983" s="8">
        <v>18.72</v>
      </c>
    </row>
    <row r="1984" spans="7:8" x14ac:dyDescent="0.45">
      <c r="G1984" s="9">
        <v>43152</v>
      </c>
      <c r="H1984" s="8">
        <v>20.02</v>
      </c>
    </row>
    <row r="1985" spans="7:8" x14ac:dyDescent="0.45">
      <c r="G1985" s="9">
        <v>43151</v>
      </c>
      <c r="H1985" s="8">
        <v>20.6</v>
      </c>
    </row>
    <row r="1986" spans="7:8" x14ac:dyDescent="0.45">
      <c r="G1986" s="9">
        <v>43147</v>
      </c>
      <c r="H1986" s="8">
        <v>19.46</v>
      </c>
    </row>
    <row r="1987" spans="7:8" x14ac:dyDescent="0.45">
      <c r="G1987" s="9">
        <v>43146</v>
      </c>
      <c r="H1987" s="8">
        <v>19.13</v>
      </c>
    </row>
    <row r="1988" spans="7:8" x14ac:dyDescent="0.45">
      <c r="G1988" s="9">
        <v>43145</v>
      </c>
      <c r="H1988" s="8">
        <v>19.260000000000002</v>
      </c>
    </row>
    <row r="1989" spans="7:8" x14ac:dyDescent="0.45">
      <c r="G1989" s="9">
        <v>43144</v>
      </c>
      <c r="H1989" s="8">
        <v>24.97</v>
      </c>
    </row>
    <row r="1990" spans="7:8" x14ac:dyDescent="0.45">
      <c r="G1990" s="9">
        <v>43143</v>
      </c>
      <c r="H1990" s="8">
        <v>25.61</v>
      </c>
    </row>
    <row r="1991" spans="7:8" x14ac:dyDescent="0.45">
      <c r="G1991" s="9">
        <v>43140</v>
      </c>
      <c r="H1991" s="8">
        <v>29.06</v>
      </c>
    </row>
    <row r="1992" spans="7:8" x14ac:dyDescent="0.45">
      <c r="G1992" s="9">
        <v>43139</v>
      </c>
      <c r="H1992" s="8">
        <v>33.46</v>
      </c>
    </row>
    <row r="1993" spans="7:8" x14ac:dyDescent="0.45">
      <c r="G1993" s="9">
        <v>43138</v>
      </c>
      <c r="H1993" s="8">
        <v>27.73</v>
      </c>
    </row>
    <row r="1994" spans="7:8" x14ac:dyDescent="0.45">
      <c r="G1994" s="9">
        <v>43137</v>
      </c>
      <c r="H1994" s="8">
        <v>29.98</v>
      </c>
    </row>
    <row r="1995" spans="7:8" x14ac:dyDescent="0.45">
      <c r="G1995" s="9">
        <v>43136</v>
      </c>
      <c r="H1995" s="8">
        <v>37.32</v>
      </c>
    </row>
    <row r="1996" spans="7:8" x14ac:dyDescent="0.45">
      <c r="G1996" s="9">
        <v>43133</v>
      </c>
      <c r="H1996" s="8">
        <v>17.309999999999999</v>
      </c>
    </row>
    <row r="1997" spans="7:8" x14ac:dyDescent="0.45">
      <c r="G1997" s="9">
        <v>43132</v>
      </c>
      <c r="H1997" s="8">
        <v>13.47</v>
      </c>
    </row>
    <row r="1998" spans="7:8" x14ac:dyDescent="0.45">
      <c r="G1998" s="9">
        <v>43131</v>
      </c>
      <c r="H1998" s="8">
        <v>13.54</v>
      </c>
    </row>
    <row r="1999" spans="7:8" x14ac:dyDescent="0.45">
      <c r="G1999" s="9">
        <v>43130</v>
      </c>
      <c r="H1999" s="8">
        <v>14.79</v>
      </c>
    </row>
    <row r="2000" spans="7:8" x14ac:dyDescent="0.45">
      <c r="G2000" s="9">
        <v>43129</v>
      </c>
      <c r="H2000" s="8">
        <v>13.84</v>
      </c>
    </row>
    <row r="2001" spans="7:8" x14ac:dyDescent="0.45">
      <c r="G2001" s="9">
        <v>43126</v>
      </c>
      <c r="H2001" s="8">
        <v>11.08</v>
      </c>
    </row>
    <row r="2002" spans="7:8" x14ac:dyDescent="0.45">
      <c r="G2002" s="9">
        <v>43125</v>
      </c>
      <c r="H2002" s="8">
        <v>11.58</v>
      </c>
    </row>
    <row r="2003" spans="7:8" x14ac:dyDescent="0.45">
      <c r="G2003" s="9">
        <v>43124</v>
      </c>
      <c r="H2003" s="8">
        <v>11.47</v>
      </c>
    </row>
    <row r="2004" spans="7:8" x14ac:dyDescent="0.45">
      <c r="G2004" s="9">
        <v>43123</v>
      </c>
      <c r="H2004" s="8">
        <v>11.1</v>
      </c>
    </row>
    <row r="2005" spans="7:8" x14ac:dyDescent="0.45">
      <c r="G2005" s="9">
        <v>43122</v>
      </c>
      <c r="H2005" s="8">
        <v>11.03</v>
      </c>
    </row>
    <row r="2006" spans="7:8" x14ac:dyDescent="0.45">
      <c r="G2006" s="9">
        <v>43119</v>
      </c>
      <c r="H2006" s="8">
        <v>11.27</v>
      </c>
    </row>
    <row r="2007" spans="7:8" x14ac:dyDescent="0.45">
      <c r="G2007" s="9">
        <v>43118</v>
      </c>
      <c r="H2007" s="8">
        <v>12.22</v>
      </c>
    </row>
    <row r="2008" spans="7:8" x14ac:dyDescent="0.45">
      <c r="G2008" s="9">
        <v>43117</v>
      </c>
      <c r="H2008" s="8">
        <v>11.91</v>
      </c>
    </row>
    <row r="2009" spans="7:8" x14ac:dyDescent="0.45">
      <c r="G2009" s="9">
        <v>43116</v>
      </c>
      <c r="H2009" s="8">
        <v>11.66</v>
      </c>
    </row>
    <row r="2010" spans="7:8" x14ac:dyDescent="0.45">
      <c r="G2010" s="9">
        <v>43112</v>
      </c>
      <c r="H2010" s="8">
        <v>10.16</v>
      </c>
    </row>
    <row r="2011" spans="7:8" x14ac:dyDescent="0.45">
      <c r="G2011" s="9">
        <v>43111</v>
      </c>
      <c r="H2011" s="8">
        <v>9.8800000000000008</v>
      </c>
    </row>
    <row r="2012" spans="7:8" x14ac:dyDescent="0.45">
      <c r="G2012" s="9">
        <v>43110</v>
      </c>
      <c r="H2012" s="8">
        <v>9.82</v>
      </c>
    </row>
    <row r="2013" spans="7:8" x14ac:dyDescent="0.45">
      <c r="G2013" s="9">
        <v>43109</v>
      </c>
      <c r="H2013" s="8">
        <v>10.08</v>
      </c>
    </row>
    <row r="2014" spans="7:8" x14ac:dyDescent="0.45">
      <c r="G2014" s="9">
        <v>43108</v>
      </c>
      <c r="H2014" s="8">
        <v>9.52</v>
      </c>
    </row>
    <row r="2015" spans="7:8" x14ac:dyDescent="0.45">
      <c r="G2015" s="9">
        <v>43105</v>
      </c>
      <c r="H2015" s="8">
        <v>9.2200000000000006</v>
      </c>
    </row>
    <row r="2016" spans="7:8" x14ac:dyDescent="0.45">
      <c r="G2016" s="9">
        <v>43104</v>
      </c>
      <c r="H2016" s="8">
        <v>9.2200000000000006</v>
      </c>
    </row>
    <row r="2017" spans="7:8" x14ac:dyDescent="0.45">
      <c r="G2017" s="9">
        <v>43103</v>
      </c>
      <c r="H2017" s="8">
        <v>9.15</v>
      </c>
    </row>
    <row r="2018" spans="7:8" x14ac:dyDescent="0.45">
      <c r="G2018" s="9">
        <v>43102</v>
      </c>
      <c r="H2018" s="8">
        <v>9.77</v>
      </c>
    </row>
    <row r="2019" spans="7:8" x14ac:dyDescent="0.45">
      <c r="G2019" s="9">
        <v>43098</v>
      </c>
      <c r="H2019" s="8">
        <v>11.04</v>
      </c>
    </row>
    <row r="2020" spans="7:8" x14ac:dyDescent="0.45">
      <c r="G2020" s="9">
        <v>43097</v>
      </c>
      <c r="H2020" s="8">
        <v>10.18</v>
      </c>
    </row>
    <row r="2021" spans="7:8" x14ac:dyDescent="0.45">
      <c r="G2021" s="9">
        <v>43096</v>
      </c>
      <c r="H2021" s="8">
        <v>10.47</v>
      </c>
    </row>
    <row r="2022" spans="7:8" x14ac:dyDescent="0.45">
      <c r="G2022" s="9">
        <v>43095</v>
      </c>
      <c r="H2022" s="8">
        <v>10.25</v>
      </c>
    </row>
    <row r="2023" spans="7:8" x14ac:dyDescent="0.45">
      <c r="G2023" s="9">
        <v>43091</v>
      </c>
      <c r="H2023" s="8">
        <v>9.9</v>
      </c>
    </row>
    <row r="2024" spans="7:8" x14ac:dyDescent="0.45">
      <c r="G2024" s="9">
        <v>43090</v>
      </c>
      <c r="H2024" s="8">
        <v>9.6199999999999992</v>
      </c>
    </row>
    <row r="2025" spans="7:8" x14ac:dyDescent="0.45">
      <c r="G2025" s="9">
        <v>43089</v>
      </c>
      <c r="H2025" s="8">
        <v>9.7200000000000006</v>
      </c>
    </row>
    <row r="2026" spans="7:8" x14ac:dyDescent="0.45">
      <c r="G2026" s="9">
        <v>43088</v>
      </c>
      <c r="H2026" s="8">
        <v>10.029999999999999</v>
      </c>
    </row>
    <row r="2027" spans="7:8" x14ac:dyDescent="0.45">
      <c r="G2027" s="9">
        <v>43087</v>
      </c>
      <c r="H2027" s="8">
        <v>9.5299999999999994</v>
      </c>
    </row>
    <row r="2028" spans="7:8" x14ac:dyDescent="0.45">
      <c r="G2028" s="9">
        <v>43084</v>
      </c>
      <c r="H2028" s="8">
        <v>9.42</v>
      </c>
    </row>
    <row r="2029" spans="7:8" x14ac:dyDescent="0.45">
      <c r="G2029" s="9">
        <v>43083</v>
      </c>
      <c r="H2029" s="8">
        <v>10.49</v>
      </c>
    </row>
    <row r="2030" spans="7:8" x14ac:dyDescent="0.45">
      <c r="G2030" s="9">
        <v>43082</v>
      </c>
      <c r="H2030" s="8">
        <v>10.18</v>
      </c>
    </row>
    <row r="2031" spans="7:8" x14ac:dyDescent="0.45">
      <c r="G2031" s="9">
        <v>43081</v>
      </c>
      <c r="H2031" s="8">
        <v>9.92</v>
      </c>
    </row>
    <row r="2032" spans="7:8" x14ac:dyDescent="0.45">
      <c r="G2032" s="9">
        <v>43080</v>
      </c>
      <c r="H2032" s="8">
        <v>9.34</v>
      </c>
    </row>
    <row r="2033" spans="7:8" x14ac:dyDescent="0.45">
      <c r="G2033" s="9">
        <v>43077</v>
      </c>
      <c r="H2033" s="8">
        <v>9.58</v>
      </c>
    </row>
    <row r="2034" spans="7:8" x14ac:dyDescent="0.45">
      <c r="G2034" s="9">
        <v>43076</v>
      </c>
      <c r="H2034" s="8">
        <v>10.16</v>
      </c>
    </row>
    <row r="2035" spans="7:8" x14ac:dyDescent="0.45">
      <c r="G2035" s="9">
        <v>43075</v>
      </c>
      <c r="H2035" s="8">
        <v>11.02</v>
      </c>
    </row>
    <row r="2036" spans="7:8" x14ac:dyDescent="0.45">
      <c r="G2036" s="9">
        <v>43074</v>
      </c>
      <c r="H2036" s="8">
        <v>11.33</v>
      </c>
    </row>
    <row r="2037" spans="7:8" x14ac:dyDescent="0.45">
      <c r="G2037" s="9">
        <v>43073</v>
      </c>
      <c r="H2037" s="8">
        <v>11.68</v>
      </c>
    </row>
    <row r="2038" spans="7:8" x14ac:dyDescent="0.45">
      <c r="G2038" s="9">
        <v>43070</v>
      </c>
      <c r="H2038" s="8">
        <v>11.43</v>
      </c>
    </row>
    <row r="2039" spans="7:8" x14ac:dyDescent="0.45">
      <c r="G2039" s="9">
        <v>43069</v>
      </c>
      <c r="H2039" s="8">
        <v>11.28</v>
      </c>
    </row>
    <row r="2040" spans="7:8" x14ac:dyDescent="0.45">
      <c r="G2040" s="9">
        <v>43068</v>
      </c>
      <c r="H2040" s="8">
        <v>10.7</v>
      </c>
    </row>
    <row r="2041" spans="7:8" x14ac:dyDescent="0.45">
      <c r="G2041" s="9">
        <v>43067</v>
      </c>
      <c r="H2041" s="8">
        <v>10.029999999999999</v>
      </c>
    </row>
    <row r="2042" spans="7:8" x14ac:dyDescent="0.45">
      <c r="G2042" s="9">
        <v>43066</v>
      </c>
      <c r="H2042" s="8">
        <v>9.8699999999999992</v>
      </c>
    </row>
    <row r="2043" spans="7:8" x14ac:dyDescent="0.45">
      <c r="G2043" s="9">
        <v>43063</v>
      </c>
      <c r="H2043" s="8">
        <v>9.67</v>
      </c>
    </row>
    <row r="2044" spans="7:8" x14ac:dyDescent="0.45">
      <c r="G2044" s="9">
        <v>43061</v>
      </c>
      <c r="H2044" s="8">
        <v>9.8800000000000008</v>
      </c>
    </row>
    <row r="2045" spans="7:8" x14ac:dyDescent="0.45">
      <c r="G2045" s="9">
        <v>43060</v>
      </c>
      <c r="H2045" s="8">
        <v>9.73</v>
      </c>
    </row>
    <row r="2046" spans="7:8" x14ac:dyDescent="0.45">
      <c r="G2046" s="9">
        <v>43059</v>
      </c>
      <c r="H2046" s="8">
        <v>10.65</v>
      </c>
    </row>
    <row r="2047" spans="7:8" x14ac:dyDescent="0.45">
      <c r="G2047" s="9">
        <v>43056</v>
      </c>
      <c r="H2047" s="8">
        <v>11.43</v>
      </c>
    </row>
    <row r="2048" spans="7:8" x14ac:dyDescent="0.45">
      <c r="G2048" s="9">
        <v>43055</v>
      </c>
      <c r="H2048" s="8">
        <v>11.76</v>
      </c>
    </row>
    <row r="2049" spans="7:8" x14ac:dyDescent="0.45">
      <c r="G2049" s="9">
        <v>43054</v>
      </c>
      <c r="H2049" s="8">
        <v>13.13</v>
      </c>
    </row>
    <row r="2050" spans="7:8" x14ac:dyDescent="0.45">
      <c r="G2050" s="9">
        <v>43053</v>
      </c>
      <c r="H2050" s="8">
        <v>11.59</v>
      </c>
    </row>
    <row r="2051" spans="7:8" x14ac:dyDescent="0.45">
      <c r="G2051" s="9">
        <v>43052</v>
      </c>
      <c r="H2051" s="8">
        <v>11.5</v>
      </c>
    </row>
    <row r="2052" spans="7:8" x14ac:dyDescent="0.45">
      <c r="G2052" s="9">
        <v>43049</v>
      </c>
      <c r="H2052" s="8">
        <v>11.29</v>
      </c>
    </row>
    <row r="2053" spans="7:8" x14ac:dyDescent="0.45">
      <c r="G2053" s="9">
        <v>43048</v>
      </c>
      <c r="H2053" s="8">
        <v>10.5</v>
      </c>
    </row>
    <row r="2054" spans="7:8" x14ac:dyDescent="0.45">
      <c r="G2054" s="9">
        <v>43047</v>
      </c>
      <c r="H2054" s="8">
        <v>9.7799999999999994</v>
      </c>
    </row>
    <row r="2055" spans="7:8" x14ac:dyDescent="0.45">
      <c r="G2055" s="9">
        <v>43046</v>
      </c>
      <c r="H2055" s="8">
        <v>9.89</v>
      </c>
    </row>
    <row r="2056" spans="7:8" x14ac:dyDescent="0.45">
      <c r="G2056" s="9">
        <v>43045</v>
      </c>
      <c r="H2056" s="8">
        <v>9.4</v>
      </c>
    </row>
    <row r="2057" spans="7:8" x14ac:dyDescent="0.45">
      <c r="G2057" s="9">
        <v>43042</v>
      </c>
      <c r="H2057" s="8">
        <v>9.14</v>
      </c>
    </row>
    <row r="2058" spans="7:8" x14ac:dyDescent="0.45">
      <c r="G2058" s="9">
        <v>43041</v>
      </c>
      <c r="H2058" s="8">
        <v>9.93</v>
      </c>
    </row>
    <row r="2059" spans="7:8" x14ac:dyDescent="0.45">
      <c r="G2059" s="9">
        <v>43040</v>
      </c>
      <c r="H2059" s="8">
        <v>10.199999999999999</v>
      </c>
    </row>
    <row r="2060" spans="7:8" x14ac:dyDescent="0.45">
      <c r="G2060" s="9">
        <v>43039</v>
      </c>
      <c r="H2060" s="8">
        <v>10.18</v>
      </c>
    </row>
    <row r="2061" spans="7:8" x14ac:dyDescent="0.45">
      <c r="G2061" s="9">
        <v>43038</v>
      </c>
      <c r="H2061" s="8">
        <v>10.5</v>
      </c>
    </row>
    <row r="2062" spans="7:8" x14ac:dyDescent="0.45">
      <c r="G2062" s="9">
        <v>43035</v>
      </c>
      <c r="H2062" s="8">
        <v>9.8000000000000007</v>
      </c>
    </row>
    <row r="2063" spans="7:8" x14ac:dyDescent="0.45">
      <c r="G2063" s="9">
        <v>43034</v>
      </c>
      <c r="H2063" s="8">
        <v>11.3</v>
      </c>
    </row>
    <row r="2064" spans="7:8" x14ac:dyDescent="0.45">
      <c r="G2064" s="9">
        <v>43033</v>
      </c>
      <c r="H2064" s="8">
        <v>11.23</v>
      </c>
    </row>
    <row r="2065" spans="7:8" x14ac:dyDescent="0.45">
      <c r="G2065" s="9">
        <v>43032</v>
      </c>
      <c r="H2065" s="8">
        <v>11.16</v>
      </c>
    </row>
    <row r="2066" spans="7:8" x14ac:dyDescent="0.45">
      <c r="G2066" s="9">
        <v>43031</v>
      </c>
      <c r="H2066" s="8">
        <v>11.07</v>
      </c>
    </row>
    <row r="2067" spans="7:8" x14ac:dyDescent="0.45">
      <c r="G2067" s="9">
        <v>43028</v>
      </c>
      <c r="H2067" s="8">
        <v>9.9700000000000006</v>
      </c>
    </row>
    <row r="2068" spans="7:8" x14ac:dyDescent="0.45">
      <c r="G2068" s="9">
        <v>43027</v>
      </c>
      <c r="H2068" s="8">
        <v>10.050000000000001</v>
      </c>
    </row>
    <row r="2069" spans="7:8" x14ac:dyDescent="0.45">
      <c r="G2069" s="9">
        <v>43026</v>
      </c>
      <c r="H2069" s="8">
        <v>10.07</v>
      </c>
    </row>
    <row r="2070" spans="7:8" x14ac:dyDescent="0.45">
      <c r="G2070" s="9">
        <v>43025</v>
      </c>
      <c r="H2070" s="8">
        <v>10.31</v>
      </c>
    </row>
    <row r="2071" spans="7:8" x14ac:dyDescent="0.45">
      <c r="G2071" s="9">
        <v>43024</v>
      </c>
      <c r="H2071" s="8">
        <v>9.91</v>
      </c>
    </row>
    <row r="2072" spans="7:8" x14ac:dyDescent="0.45">
      <c r="G2072" s="9">
        <v>43021</v>
      </c>
      <c r="H2072" s="8">
        <v>9.61</v>
      </c>
    </row>
    <row r="2073" spans="7:8" x14ac:dyDescent="0.45">
      <c r="G2073" s="9">
        <v>43020</v>
      </c>
      <c r="H2073" s="8">
        <v>9.91</v>
      </c>
    </row>
    <row r="2074" spans="7:8" x14ac:dyDescent="0.45">
      <c r="G2074" s="9">
        <v>43019</v>
      </c>
      <c r="H2074" s="8">
        <v>9.85</v>
      </c>
    </row>
    <row r="2075" spans="7:8" x14ac:dyDescent="0.45">
      <c r="G2075" s="9">
        <v>43018</v>
      </c>
      <c r="H2075" s="8">
        <v>10.08</v>
      </c>
    </row>
    <row r="2076" spans="7:8" x14ac:dyDescent="0.45">
      <c r="G2076" s="9">
        <v>43017</v>
      </c>
      <c r="H2076" s="8">
        <v>10.33</v>
      </c>
    </row>
    <row r="2077" spans="7:8" x14ac:dyDescent="0.45">
      <c r="G2077" s="9">
        <v>43014</v>
      </c>
      <c r="H2077" s="8">
        <v>9.65</v>
      </c>
    </row>
    <row r="2078" spans="7:8" x14ac:dyDescent="0.45">
      <c r="G2078" s="9">
        <v>43013</v>
      </c>
      <c r="H2078" s="8">
        <v>9.19</v>
      </c>
    </row>
    <row r="2079" spans="7:8" x14ac:dyDescent="0.45">
      <c r="G2079" s="9">
        <v>43012</v>
      </c>
      <c r="H2079" s="8">
        <v>9.6300000000000008</v>
      </c>
    </row>
    <row r="2080" spans="7:8" x14ac:dyDescent="0.45">
      <c r="G2080" s="9">
        <v>43011</v>
      </c>
      <c r="H2080" s="8">
        <v>9.51</v>
      </c>
    </row>
    <row r="2081" spans="7:8" x14ac:dyDescent="0.45">
      <c r="G2081" s="9">
        <v>43010</v>
      </c>
      <c r="H2081" s="8">
        <v>9.4499999999999993</v>
      </c>
    </row>
    <row r="2082" spans="7:8" x14ac:dyDescent="0.45">
      <c r="G2082" s="9">
        <v>43007</v>
      </c>
      <c r="H2082" s="8">
        <v>9.51</v>
      </c>
    </row>
    <row r="2083" spans="7:8" x14ac:dyDescent="0.45">
      <c r="G2083" s="9">
        <v>43006</v>
      </c>
      <c r="H2083" s="8">
        <v>9.5500000000000007</v>
      </c>
    </row>
    <row r="2084" spans="7:8" x14ac:dyDescent="0.45">
      <c r="G2084" s="9">
        <v>43005</v>
      </c>
      <c r="H2084" s="8">
        <v>9.8699999999999992</v>
      </c>
    </row>
    <row r="2085" spans="7:8" x14ac:dyDescent="0.45">
      <c r="G2085" s="9">
        <v>43004</v>
      </c>
      <c r="H2085" s="8">
        <v>10.17</v>
      </c>
    </row>
    <row r="2086" spans="7:8" x14ac:dyDescent="0.45">
      <c r="G2086" s="9">
        <v>43003</v>
      </c>
      <c r="H2086" s="8">
        <v>10.210000000000001</v>
      </c>
    </row>
    <row r="2087" spans="7:8" x14ac:dyDescent="0.45">
      <c r="G2087" s="9">
        <v>43000</v>
      </c>
      <c r="H2087" s="8">
        <v>9.59</v>
      </c>
    </row>
    <row r="2088" spans="7:8" x14ac:dyDescent="0.45">
      <c r="G2088" s="9">
        <v>42999</v>
      </c>
      <c r="H2088" s="8">
        <v>9.67</v>
      </c>
    </row>
    <row r="2089" spans="7:8" x14ac:dyDescent="0.45">
      <c r="G2089" s="9">
        <v>42998</v>
      </c>
      <c r="H2089" s="8">
        <v>9.7799999999999994</v>
      </c>
    </row>
    <row r="2090" spans="7:8" x14ac:dyDescent="0.45">
      <c r="G2090" s="9">
        <v>42997</v>
      </c>
      <c r="H2090" s="8">
        <v>10.18</v>
      </c>
    </row>
    <row r="2091" spans="7:8" x14ac:dyDescent="0.45">
      <c r="G2091" s="9">
        <v>42996</v>
      </c>
      <c r="H2091" s="8">
        <v>10.15</v>
      </c>
    </row>
    <row r="2092" spans="7:8" x14ac:dyDescent="0.45">
      <c r="G2092" s="9">
        <v>42993</v>
      </c>
      <c r="H2092" s="8">
        <v>10.17</v>
      </c>
    </row>
    <row r="2093" spans="7:8" x14ac:dyDescent="0.45">
      <c r="G2093" s="9">
        <v>42992</v>
      </c>
      <c r="H2093" s="8">
        <v>10.44</v>
      </c>
    </row>
    <row r="2094" spans="7:8" x14ac:dyDescent="0.45">
      <c r="G2094" s="9">
        <v>42991</v>
      </c>
      <c r="H2094" s="8">
        <v>10.5</v>
      </c>
    </row>
    <row r="2095" spans="7:8" x14ac:dyDescent="0.45">
      <c r="G2095" s="9">
        <v>42990</v>
      </c>
      <c r="H2095" s="8">
        <v>10.58</v>
      </c>
    </row>
    <row r="2096" spans="7:8" x14ac:dyDescent="0.45">
      <c r="G2096" s="9">
        <v>42989</v>
      </c>
      <c r="H2096" s="8">
        <v>10.73</v>
      </c>
    </row>
    <row r="2097" spans="7:8" x14ac:dyDescent="0.45">
      <c r="G2097" s="9">
        <v>42986</v>
      </c>
      <c r="H2097" s="8">
        <v>12.12</v>
      </c>
    </row>
    <row r="2098" spans="7:8" x14ac:dyDescent="0.45">
      <c r="G2098" s="9">
        <v>42985</v>
      </c>
      <c r="H2098" s="8">
        <v>11.55</v>
      </c>
    </row>
    <row r="2099" spans="7:8" x14ac:dyDescent="0.45">
      <c r="G2099" s="9">
        <v>42984</v>
      </c>
      <c r="H2099" s="8">
        <v>11.63</v>
      </c>
    </row>
    <row r="2100" spans="7:8" x14ac:dyDescent="0.45">
      <c r="G2100" s="9">
        <v>42983</v>
      </c>
      <c r="H2100" s="8">
        <v>12.23</v>
      </c>
    </row>
    <row r="2101" spans="7:8" x14ac:dyDescent="0.45">
      <c r="G2101" s="9">
        <v>42979</v>
      </c>
      <c r="H2101" s="8">
        <v>10.130000000000001</v>
      </c>
    </row>
    <row r="2102" spans="7:8" x14ac:dyDescent="0.45">
      <c r="G2102" s="9">
        <v>42978</v>
      </c>
      <c r="H2102" s="8">
        <v>10.59</v>
      </c>
    </row>
    <row r="2103" spans="7:8" x14ac:dyDescent="0.45">
      <c r="G2103" s="9">
        <v>42977</v>
      </c>
      <c r="H2103" s="8">
        <v>11.22</v>
      </c>
    </row>
    <row r="2104" spans="7:8" x14ac:dyDescent="0.45">
      <c r="G2104" s="9">
        <v>42976</v>
      </c>
      <c r="H2104" s="8">
        <v>11.7</v>
      </c>
    </row>
    <row r="2105" spans="7:8" x14ac:dyDescent="0.45">
      <c r="G2105" s="9">
        <v>42975</v>
      </c>
      <c r="H2105" s="8">
        <v>11.32</v>
      </c>
    </row>
    <row r="2106" spans="7:8" x14ac:dyDescent="0.45">
      <c r="G2106" s="9">
        <v>42972</v>
      </c>
      <c r="H2106" s="8">
        <v>11.28</v>
      </c>
    </row>
    <row r="2107" spans="7:8" x14ac:dyDescent="0.45">
      <c r="G2107" s="9">
        <v>42971</v>
      </c>
      <c r="H2107" s="8">
        <v>12.23</v>
      </c>
    </row>
    <row r="2108" spans="7:8" x14ac:dyDescent="0.45">
      <c r="G2108" s="9">
        <v>42970</v>
      </c>
      <c r="H2108" s="8">
        <v>12.25</v>
      </c>
    </row>
    <row r="2109" spans="7:8" x14ac:dyDescent="0.45">
      <c r="G2109" s="9">
        <v>42969</v>
      </c>
      <c r="H2109" s="8">
        <v>11.35</v>
      </c>
    </row>
    <row r="2110" spans="7:8" x14ac:dyDescent="0.45">
      <c r="G2110" s="9">
        <v>42968</v>
      </c>
      <c r="H2110" s="8">
        <v>13.19</v>
      </c>
    </row>
    <row r="2111" spans="7:8" x14ac:dyDescent="0.45">
      <c r="G2111" s="9">
        <v>42965</v>
      </c>
      <c r="H2111" s="8">
        <v>14.26</v>
      </c>
    </row>
    <row r="2112" spans="7:8" x14ac:dyDescent="0.45">
      <c r="G2112" s="9">
        <v>42964</v>
      </c>
      <c r="H2112" s="8">
        <v>15.55</v>
      </c>
    </row>
    <row r="2113" spans="7:8" x14ac:dyDescent="0.45">
      <c r="G2113" s="9">
        <v>42963</v>
      </c>
      <c r="H2113" s="8">
        <v>11.74</v>
      </c>
    </row>
    <row r="2114" spans="7:8" x14ac:dyDescent="0.45">
      <c r="G2114" s="9">
        <v>42962</v>
      </c>
      <c r="H2114" s="8">
        <v>12.04</v>
      </c>
    </row>
    <row r="2115" spans="7:8" x14ac:dyDescent="0.45">
      <c r="G2115" s="9">
        <v>42961</v>
      </c>
      <c r="H2115" s="8">
        <v>12.33</v>
      </c>
    </row>
    <row r="2116" spans="7:8" x14ac:dyDescent="0.45">
      <c r="G2116" s="9">
        <v>42958</v>
      </c>
      <c r="H2116" s="8">
        <v>15.51</v>
      </c>
    </row>
    <row r="2117" spans="7:8" x14ac:dyDescent="0.45">
      <c r="G2117" s="9">
        <v>42957</v>
      </c>
      <c r="H2117" s="8">
        <v>16.04</v>
      </c>
    </row>
    <row r="2118" spans="7:8" x14ac:dyDescent="0.45">
      <c r="G2118" s="9">
        <v>42956</v>
      </c>
      <c r="H2118" s="8">
        <v>11.11</v>
      </c>
    </row>
    <row r="2119" spans="7:8" x14ac:dyDescent="0.45">
      <c r="G2119" s="9">
        <v>42955</v>
      </c>
      <c r="H2119" s="8">
        <v>10.96</v>
      </c>
    </row>
    <row r="2120" spans="7:8" x14ac:dyDescent="0.45">
      <c r="G2120" s="9">
        <v>42954</v>
      </c>
      <c r="H2120" s="8">
        <v>9.93</v>
      </c>
    </row>
    <row r="2121" spans="7:8" x14ac:dyDescent="0.45">
      <c r="G2121" s="9">
        <v>42951</v>
      </c>
      <c r="H2121" s="8">
        <v>10.029999999999999</v>
      </c>
    </row>
    <row r="2122" spans="7:8" x14ac:dyDescent="0.45">
      <c r="G2122" s="9">
        <v>42950</v>
      </c>
      <c r="H2122" s="8">
        <v>10.44</v>
      </c>
    </row>
    <row r="2123" spans="7:8" x14ac:dyDescent="0.45">
      <c r="G2123" s="9">
        <v>42949</v>
      </c>
      <c r="H2123" s="8">
        <v>10.28</v>
      </c>
    </row>
    <row r="2124" spans="7:8" x14ac:dyDescent="0.45">
      <c r="G2124" s="9">
        <v>42948</v>
      </c>
      <c r="H2124" s="8">
        <v>10.09</v>
      </c>
    </row>
    <row r="2125" spans="7:8" x14ac:dyDescent="0.45">
      <c r="G2125" s="9">
        <v>42947</v>
      </c>
      <c r="H2125" s="8">
        <v>10.26</v>
      </c>
    </row>
    <row r="2126" spans="7:8" x14ac:dyDescent="0.45">
      <c r="G2126" s="9">
        <v>42944</v>
      </c>
      <c r="H2126" s="8">
        <v>10.29</v>
      </c>
    </row>
    <row r="2127" spans="7:8" x14ac:dyDescent="0.45">
      <c r="G2127" s="9">
        <v>42943</v>
      </c>
      <c r="H2127" s="8">
        <v>10.11</v>
      </c>
    </row>
    <row r="2128" spans="7:8" x14ac:dyDescent="0.45">
      <c r="G2128" s="9">
        <v>42942</v>
      </c>
      <c r="H2128" s="8">
        <v>9.6</v>
      </c>
    </row>
    <row r="2129" spans="7:8" x14ac:dyDescent="0.45">
      <c r="G2129" s="9">
        <v>42941</v>
      </c>
      <c r="H2129" s="8">
        <v>9.43</v>
      </c>
    </row>
    <row r="2130" spans="7:8" x14ac:dyDescent="0.45">
      <c r="G2130" s="9">
        <v>42940</v>
      </c>
      <c r="H2130" s="8">
        <v>9.43</v>
      </c>
    </row>
    <row r="2131" spans="7:8" x14ac:dyDescent="0.45">
      <c r="G2131" s="9">
        <v>42937</v>
      </c>
      <c r="H2131" s="8">
        <v>9.36</v>
      </c>
    </row>
    <row r="2132" spans="7:8" x14ac:dyDescent="0.45">
      <c r="G2132" s="9">
        <v>42936</v>
      </c>
      <c r="H2132" s="8">
        <v>9.58</v>
      </c>
    </row>
    <row r="2133" spans="7:8" x14ac:dyDescent="0.45">
      <c r="G2133" s="9">
        <v>42935</v>
      </c>
      <c r="H2133" s="8">
        <v>9.7899999999999991</v>
      </c>
    </row>
    <row r="2134" spans="7:8" x14ac:dyDescent="0.45">
      <c r="G2134" s="9">
        <v>42934</v>
      </c>
      <c r="H2134" s="8">
        <v>9.89</v>
      </c>
    </row>
    <row r="2135" spans="7:8" x14ac:dyDescent="0.45">
      <c r="G2135" s="9">
        <v>42933</v>
      </c>
      <c r="H2135" s="8">
        <v>9.82</v>
      </c>
    </row>
    <row r="2136" spans="7:8" x14ac:dyDescent="0.45">
      <c r="G2136" s="9">
        <v>42930</v>
      </c>
      <c r="H2136" s="8">
        <v>9.51</v>
      </c>
    </row>
    <row r="2137" spans="7:8" x14ac:dyDescent="0.45">
      <c r="G2137" s="9">
        <v>42929</v>
      </c>
      <c r="H2137" s="8">
        <v>9.9</v>
      </c>
    </row>
    <row r="2138" spans="7:8" x14ac:dyDescent="0.45">
      <c r="G2138" s="9">
        <v>42928</v>
      </c>
      <c r="H2138" s="8">
        <v>10.3</v>
      </c>
    </row>
    <row r="2139" spans="7:8" x14ac:dyDescent="0.45">
      <c r="G2139" s="9">
        <v>42927</v>
      </c>
      <c r="H2139" s="8">
        <v>10.89</v>
      </c>
    </row>
    <row r="2140" spans="7:8" x14ac:dyDescent="0.45">
      <c r="G2140" s="9">
        <v>42926</v>
      </c>
      <c r="H2140" s="8">
        <v>11.11</v>
      </c>
    </row>
    <row r="2141" spans="7:8" x14ac:dyDescent="0.45">
      <c r="G2141" s="9">
        <v>42923</v>
      </c>
      <c r="H2141" s="8">
        <v>11.19</v>
      </c>
    </row>
    <row r="2142" spans="7:8" x14ac:dyDescent="0.45">
      <c r="G2142" s="9">
        <v>42922</v>
      </c>
      <c r="H2142" s="8">
        <v>12.54</v>
      </c>
    </row>
    <row r="2143" spans="7:8" x14ac:dyDescent="0.45">
      <c r="G2143" s="9">
        <v>42921</v>
      </c>
      <c r="H2143" s="8">
        <v>11.07</v>
      </c>
    </row>
    <row r="2144" spans="7:8" x14ac:dyDescent="0.45">
      <c r="G2144" s="9">
        <v>42919</v>
      </c>
      <c r="H2144" s="8">
        <v>11.22</v>
      </c>
    </row>
    <row r="2145" spans="7:8" x14ac:dyDescent="0.45">
      <c r="G2145" s="9">
        <v>42916</v>
      </c>
      <c r="H2145" s="8">
        <v>11.18</v>
      </c>
    </row>
    <row r="2146" spans="7:8" x14ac:dyDescent="0.45">
      <c r="G2146" s="9">
        <v>42915</v>
      </c>
      <c r="H2146" s="8">
        <v>11.44</v>
      </c>
    </row>
    <row r="2147" spans="7:8" x14ac:dyDescent="0.45">
      <c r="G2147" s="9">
        <v>42914</v>
      </c>
      <c r="H2147" s="8">
        <v>10.029999999999999</v>
      </c>
    </row>
    <row r="2148" spans="7:8" x14ac:dyDescent="0.45">
      <c r="G2148" s="9">
        <v>42913</v>
      </c>
      <c r="H2148" s="8">
        <v>11.06</v>
      </c>
    </row>
    <row r="2149" spans="7:8" x14ac:dyDescent="0.45">
      <c r="G2149" s="9">
        <v>42912</v>
      </c>
      <c r="H2149" s="8">
        <v>9.9</v>
      </c>
    </row>
    <row r="2150" spans="7:8" x14ac:dyDescent="0.45">
      <c r="G2150" s="9">
        <v>42909</v>
      </c>
      <c r="H2150" s="8">
        <v>10.02</v>
      </c>
    </row>
    <row r="2151" spans="7:8" x14ac:dyDescent="0.45">
      <c r="G2151" s="9">
        <v>42908</v>
      </c>
      <c r="H2151" s="8">
        <v>10.48</v>
      </c>
    </row>
    <row r="2152" spans="7:8" x14ac:dyDescent="0.45">
      <c r="G2152" s="9">
        <v>42907</v>
      </c>
      <c r="H2152" s="8">
        <v>10.75</v>
      </c>
    </row>
    <row r="2153" spans="7:8" x14ac:dyDescent="0.45">
      <c r="G2153" s="9">
        <v>42906</v>
      </c>
      <c r="H2153" s="8">
        <v>10.86</v>
      </c>
    </row>
    <row r="2154" spans="7:8" x14ac:dyDescent="0.45">
      <c r="G2154" s="9">
        <v>42905</v>
      </c>
      <c r="H2154" s="8">
        <v>10.37</v>
      </c>
    </row>
    <row r="2155" spans="7:8" x14ac:dyDescent="0.45">
      <c r="G2155" s="9">
        <v>42902</v>
      </c>
      <c r="H2155" s="8">
        <v>10.38</v>
      </c>
    </row>
    <row r="2156" spans="7:8" x14ac:dyDescent="0.45">
      <c r="G2156" s="9">
        <v>42901</v>
      </c>
      <c r="H2156" s="8">
        <v>10.9</v>
      </c>
    </row>
    <row r="2157" spans="7:8" x14ac:dyDescent="0.45">
      <c r="G2157" s="9">
        <v>42900</v>
      </c>
      <c r="H2157" s="8">
        <v>10.64</v>
      </c>
    </row>
    <row r="2158" spans="7:8" x14ac:dyDescent="0.45">
      <c r="G2158" s="9">
        <v>42899</v>
      </c>
      <c r="H2158" s="8">
        <v>10.42</v>
      </c>
    </row>
    <row r="2159" spans="7:8" x14ac:dyDescent="0.45">
      <c r="G2159" s="9">
        <v>42898</v>
      </c>
      <c r="H2159" s="8">
        <v>11.46</v>
      </c>
    </row>
    <row r="2160" spans="7:8" x14ac:dyDescent="0.45">
      <c r="G2160" s="9">
        <v>42895</v>
      </c>
      <c r="H2160" s="8">
        <v>10.7</v>
      </c>
    </row>
    <row r="2161" spans="7:8" x14ac:dyDescent="0.45">
      <c r="G2161" s="9">
        <v>42894</v>
      </c>
      <c r="H2161" s="8">
        <v>10.16</v>
      </c>
    </row>
    <row r="2162" spans="7:8" x14ac:dyDescent="0.45">
      <c r="G2162" s="9">
        <v>42893</v>
      </c>
      <c r="H2162" s="8">
        <v>10.39</v>
      </c>
    </row>
    <row r="2163" spans="7:8" x14ac:dyDescent="0.45">
      <c r="G2163" s="9">
        <v>42892</v>
      </c>
      <c r="H2163" s="8">
        <v>10.45</v>
      </c>
    </row>
    <row r="2164" spans="7:8" x14ac:dyDescent="0.45">
      <c r="G2164" s="9">
        <v>42891</v>
      </c>
      <c r="H2164" s="8">
        <v>10.07</v>
      </c>
    </row>
    <row r="2165" spans="7:8" x14ac:dyDescent="0.45">
      <c r="G2165" s="9">
        <v>42888</v>
      </c>
      <c r="H2165" s="8">
        <v>9.75</v>
      </c>
    </row>
    <row r="2166" spans="7:8" x14ac:dyDescent="0.45">
      <c r="G2166" s="9">
        <v>42887</v>
      </c>
      <c r="H2166" s="8">
        <v>9.89</v>
      </c>
    </row>
    <row r="2167" spans="7:8" x14ac:dyDescent="0.45">
      <c r="G2167" s="9">
        <v>42886</v>
      </c>
      <c r="H2167" s="8">
        <v>10.41</v>
      </c>
    </row>
    <row r="2168" spans="7:8" x14ac:dyDescent="0.45">
      <c r="G2168" s="9">
        <v>42885</v>
      </c>
      <c r="H2168" s="8">
        <v>10.38</v>
      </c>
    </row>
    <row r="2169" spans="7:8" x14ac:dyDescent="0.45">
      <c r="G2169" s="9">
        <v>42881</v>
      </c>
      <c r="H2169" s="8">
        <v>9.81</v>
      </c>
    </row>
    <row r="2170" spans="7:8" x14ac:dyDescent="0.45">
      <c r="G2170" s="9">
        <v>42880</v>
      </c>
      <c r="H2170" s="8">
        <v>9.99</v>
      </c>
    </row>
    <row r="2171" spans="7:8" x14ac:dyDescent="0.45">
      <c r="G2171" s="9">
        <v>42879</v>
      </c>
      <c r="H2171" s="8">
        <v>10.02</v>
      </c>
    </row>
    <row r="2172" spans="7:8" x14ac:dyDescent="0.45">
      <c r="G2172" s="9">
        <v>42878</v>
      </c>
      <c r="H2172" s="8">
        <v>10.72</v>
      </c>
    </row>
    <row r="2173" spans="7:8" x14ac:dyDescent="0.45">
      <c r="G2173" s="9">
        <v>42877</v>
      </c>
      <c r="H2173" s="8">
        <v>10.93</v>
      </c>
    </row>
    <row r="2174" spans="7:8" x14ac:dyDescent="0.45">
      <c r="G2174" s="9">
        <v>42874</v>
      </c>
      <c r="H2174" s="8">
        <v>12.04</v>
      </c>
    </row>
    <row r="2175" spans="7:8" x14ac:dyDescent="0.45">
      <c r="G2175" s="9">
        <v>42873</v>
      </c>
      <c r="H2175" s="8">
        <v>14.66</v>
      </c>
    </row>
    <row r="2176" spans="7:8" x14ac:dyDescent="0.45">
      <c r="G2176" s="9">
        <v>42872</v>
      </c>
      <c r="H2176" s="8">
        <v>15.59</v>
      </c>
    </row>
    <row r="2177" spans="7:8" x14ac:dyDescent="0.45">
      <c r="G2177" s="9">
        <v>42871</v>
      </c>
      <c r="H2177" s="8">
        <v>10.65</v>
      </c>
    </row>
    <row r="2178" spans="7:8" x14ac:dyDescent="0.45">
      <c r="G2178" s="9">
        <v>42870</v>
      </c>
      <c r="H2178" s="8">
        <v>10.42</v>
      </c>
    </row>
    <row r="2179" spans="7:8" x14ac:dyDescent="0.45">
      <c r="G2179" s="9">
        <v>42867</v>
      </c>
      <c r="H2179" s="8">
        <v>10.4</v>
      </c>
    </row>
    <row r="2180" spans="7:8" x14ac:dyDescent="0.45">
      <c r="G2180" s="9">
        <v>42866</v>
      </c>
      <c r="H2180" s="8">
        <v>10.6</v>
      </c>
    </row>
    <row r="2181" spans="7:8" x14ac:dyDescent="0.45">
      <c r="G2181" s="9">
        <v>42865</v>
      </c>
      <c r="H2181" s="8">
        <v>10.210000000000001</v>
      </c>
    </row>
    <row r="2182" spans="7:8" x14ac:dyDescent="0.45">
      <c r="G2182" s="9">
        <v>42864</v>
      </c>
      <c r="H2182" s="8">
        <v>9.9600000000000009</v>
      </c>
    </row>
    <row r="2183" spans="7:8" x14ac:dyDescent="0.45">
      <c r="G2183" s="9">
        <v>42863</v>
      </c>
      <c r="H2183" s="8">
        <v>9.77</v>
      </c>
    </row>
    <row r="2184" spans="7:8" x14ac:dyDescent="0.45">
      <c r="G2184" s="9">
        <v>42860</v>
      </c>
      <c r="H2184" s="8">
        <v>10.57</v>
      </c>
    </row>
    <row r="2185" spans="7:8" x14ac:dyDescent="0.45">
      <c r="G2185" s="9">
        <v>42859</v>
      </c>
      <c r="H2185" s="8">
        <v>10.46</v>
      </c>
    </row>
    <row r="2186" spans="7:8" x14ac:dyDescent="0.45">
      <c r="G2186" s="9">
        <v>42858</v>
      </c>
      <c r="H2186" s="8">
        <v>10.68</v>
      </c>
    </row>
    <row r="2187" spans="7:8" x14ac:dyDescent="0.45">
      <c r="G2187" s="9">
        <v>42857</v>
      </c>
      <c r="H2187" s="8">
        <v>10.59</v>
      </c>
    </row>
    <row r="2188" spans="7:8" x14ac:dyDescent="0.45">
      <c r="G2188" s="9">
        <v>42856</v>
      </c>
      <c r="H2188" s="8">
        <v>10.11</v>
      </c>
    </row>
    <row r="2189" spans="7:8" x14ac:dyDescent="0.45">
      <c r="G2189" s="9">
        <v>42853</v>
      </c>
      <c r="H2189" s="8">
        <v>10.82</v>
      </c>
    </row>
    <row r="2190" spans="7:8" x14ac:dyDescent="0.45">
      <c r="G2190" s="9">
        <v>42852</v>
      </c>
      <c r="H2190" s="8">
        <v>10.36</v>
      </c>
    </row>
    <row r="2191" spans="7:8" x14ac:dyDescent="0.45">
      <c r="G2191" s="9">
        <v>42851</v>
      </c>
      <c r="H2191" s="8">
        <v>10.85</v>
      </c>
    </row>
    <row r="2192" spans="7:8" x14ac:dyDescent="0.45">
      <c r="G2192" s="9">
        <v>42850</v>
      </c>
      <c r="H2192" s="8">
        <v>10.76</v>
      </c>
    </row>
    <row r="2193" spans="7:8" x14ac:dyDescent="0.45">
      <c r="G2193" s="9">
        <v>42849</v>
      </c>
      <c r="H2193" s="8">
        <v>10.84</v>
      </c>
    </row>
    <row r="2194" spans="7:8" x14ac:dyDescent="0.45">
      <c r="G2194" s="9">
        <v>42846</v>
      </c>
      <c r="H2194" s="8">
        <v>14.63</v>
      </c>
    </row>
    <row r="2195" spans="7:8" x14ac:dyDescent="0.45">
      <c r="G2195" s="9">
        <v>42845</v>
      </c>
      <c r="H2195" s="8">
        <v>14.15</v>
      </c>
    </row>
    <row r="2196" spans="7:8" x14ac:dyDescent="0.45">
      <c r="G2196" s="9">
        <v>42844</v>
      </c>
      <c r="H2196" s="8">
        <v>14.93</v>
      </c>
    </row>
    <row r="2197" spans="7:8" x14ac:dyDescent="0.45">
      <c r="G2197" s="9">
        <v>42843</v>
      </c>
      <c r="H2197" s="8">
        <v>14.42</v>
      </c>
    </row>
    <row r="2198" spans="7:8" x14ac:dyDescent="0.45">
      <c r="G2198" s="9">
        <v>42842</v>
      </c>
      <c r="H2198" s="8">
        <v>14.66</v>
      </c>
    </row>
    <row r="2199" spans="7:8" x14ac:dyDescent="0.45">
      <c r="G2199" s="9">
        <v>42838</v>
      </c>
      <c r="H2199" s="8">
        <v>15.96</v>
      </c>
    </row>
    <row r="2200" spans="7:8" x14ac:dyDescent="0.45">
      <c r="G2200" s="9">
        <v>42837</v>
      </c>
      <c r="H2200" s="8">
        <v>15.77</v>
      </c>
    </row>
    <row r="2201" spans="7:8" x14ac:dyDescent="0.45">
      <c r="G2201" s="9">
        <v>42836</v>
      </c>
      <c r="H2201" s="8">
        <v>15.07</v>
      </c>
    </row>
    <row r="2202" spans="7:8" x14ac:dyDescent="0.45">
      <c r="G2202" s="9">
        <v>42835</v>
      </c>
      <c r="H2202" s="8">
        <v>14.05</v>
      </c>
    </row>
    <row r="2203" spans="7:8" x14ac:dyDescent="0.45">
      <c r="G2203" s="9">
        <v>42832</v>
      </c>
      <c r="H2203" s="8">
        <v>12.87</v>
      </c>
    </row>
    <row r="2204" spans="7:8" x14ac:dyDescent="0.45">
      <c r="G2204" s="9">
        <v>42831</v>
      </c>
      <c r="H2204" s="8">
        <v>12.39</v>
      </c>
    </row>
    <row r="2205" spans="7:8" x14ac:dyDescent="0.45">
      <c r="G2205" s="9">
        <v>42830</v>
      </c>
      <c r="H2205" s="8">
        <v>12.89</v>
      </c>
    </row>
    <row r="2206" spans="7:8" x14ac:dyDescent="0.45">
      <c r="G2206" s="9">
        <v>42829</v>
      </c>
      <c r="H2206" s="8">
        <v>11.79</v>
      </c>
    </row>
    <row r="2207" spans="7:8" x14ac:dyDescent="0.45">
      <c r="G2207" s="9">
        <v>42828</v>
      </c>
      <c r="H2207" s="8">
        <v>12.38</v>
      </c>
    </row>
    <row r="2208" spans="7:8" x14ac:dyDescent="0.45">
      <c r="G2208" s="9">
        <v>42825</v>
      </c>
      <c r="H2208" s="8">
        <v>12.37</v>
      </c>
    </row>
    <row r="2209" spans="7:8" x14ac:dyDescent="0.45">
      <c r="G2209" s="9">
        <v>42824</v>
      </c>
      <c r="H2209" s="8">
        <v>11.54</v>
      </c>
    </row>
    <row r="2210" spans="7:8" x14ac:dyDescent="0.45">
      <c r="G2210" s="9">
        <v>42823</v>
      </c>
      <c r="H2210" s="8">
        <v>11.42</v>
      </c>
    </row>
    <row r="2211" spans="7:8" x14ac:dyDescent="0.45">
      <c r="G2211" s="9">
        <v>42822</v>
      </c>
      <c r="H2211" s="8">
        <v>11.53</v>
      </c>
    </row>
    <row r="2212" spans="7:8" x14ac:dyDescent="0.45">
      <c r="G2212" s="9">
        <v>42821</v>
      </c>
      <c r="H2212" s="8">
        <v>12.5</v>
      </c>
    </row>
    <row r="2213" spans="7:8" x14ac:dyDescent="0.45">
      <c r="G2213" s="9">
        <v>42818</v>
      </c>
      <c r="H2213" s="8">
        <v>12.96</v>
      </c>
    </row>
    <row r="2214" spans="7:8" x14ac:dyDescent="0.45">
      <c r="G2214" s="9">
        <v>42817</v>
      </c>
      <c r="H2214" s="8">
        <v>13.12</v>
      </c>
    </row>
    <row r="2215" spans="7:8" x14ac:dyDescent="0.45">
      <c r="G2215" s="9">
        <v>42816</v>
      </c>
      <c r="H2215" s="8">
        <v>12.81</v>
      </c>
    </row>
    <row r="2216" spans="7:8" x14ac:dyDescent="0.45">
      <c r="G2216" s="9">
        <v>42815</v>
      </c>
      <c r="H2216" s="8">
        <v>12.47</v>
      </c>
    </row>
    <row r="2217" spans="7:8" x14ac:dyDescent="0.45">
      <c r="G2217" s="9">
        <v>42814</v>
      </c>
      <c r="H2217" s="8">
        <v>11.34</v>
      </c>
    </row>
    <row r="2218" spans="7:8" x14ac:dyDescent="0.45">
      <c r="G2218" s="9">
        <v>42811</v>
      </c>
      <c r="H2218" s="8">
        <v>11.28</v>
      </c>
    </row>
    <row r="2219" spans="7:8" x14ac:dyDescent="0.45">
      <c r="G2219" s="9">
        <v>42810</v>
      </c>
      <c r="H2219" s="8">
        <v>11.21</v>
      </c>
    </row>
    <row r="2220" spans="7:8" x14ac:dyDescent="0.45">
      <c r="G2220" s="9">
        <v>42809</v>
      </c>
      <c r="H2220" s="8">
        <v>11.63</v>
      </c>
    </row>
    <row r="2221" spans="7:8" x14ac:dyDescent="0.45">
      <c r="G2221" s="9">
        <v>42808</v>
      </c>
      <c r="H2221" s="8">
        <v>12.3</v>
      </c>
    </row>
    <row r="2222" spans="7:8" x14ac:dyDescent="0.45">
      <c r="G2222" s="9">
        <v>42807</v>
      </c>
      <c r="H2222" s="8">
        <v>11.35</v>
      </c>
    </row>
    <row r="2223" spans="7:8" x14ac:dyDescent="0.45">
      <c r="G2223" s="9">
        <v>42804</v>
      </c>
      <c r="H2223" s="8">
        <v>11.66</v>
      </c>
    </row>
    <row r="2224" spans="7:8" x14ac:dyDescent="0.45">
      <c r="G2224" s="9">
        <v>42803</v>
      </c>
      <c r="H2224" s="8">
        <v>12.3</v>
      </c>
    </row>
    <row r="2225" spans="7:8" x14ac:dyDescent="0.45">
      <c r="G2225" s="9">
        <v>42802</v>
      </c>
      <c r="H2225" s="8">
        <v>11.86</v>
      </c>
    </row>
    <row r="2226" spans="7:8" x14ac:dyDescent="0.45">
      <c r="G2226" s="9">
        <v>42801</v>
      </c>
      <c r="H2226" s="8">
        <v>11.45</v>
      </c>
    </row>
    <row r="2227" spans="7:8" x14ac:dyDescent="0.45">
      <c r="G2227" s="9">
        <v>42800</v>
      </c>
      <c r="H2227" s="8">
        <v>11.24</v>
      </c>
    </row>
    <row r="2228" spans="7:8" x14ac:dyDescent="0.45">
      <c r="G2228" s="9">
        <v>42797</v>
      </c>
      <c r="H2228" s="8">
        <v>10.96</v>
      </c>
    </row>
    <row r="2229" spans="7:8" x14ac:dyDescent="0.45">
      <c r="G2229" s="9">
        <v>42796</v>
      </c>
      <c r="H2229" s="8">
        <v>11.81</v>
      </c>
    </row>
    <row r="2230" spans="7:8" x14ac:dyDescent="0.45">
      <c r="G2230" s="9">
        <v>42795</v>
      </c>
      <c r="H2230" s="8">
        <v>12.54</v>
      </c>
    </row>
    <row r="2231" spans="7:8" x14ac:dyDescent="0.45">
      <c r="G2231" s="9">
        <v>42794</v>
      </c>
      <c r="H2231" s="8">
        <v>12.92</v>
      </c>
    </row>
    <row r="2232" spans="7:8" x14ac:dyDescent="0.45">
      <c r="G2232" s="9">
        <v>42793</v>
      </c>
      <c r="H2232" s="8">
        <v>12.09</v>
      </c>
    </row>
    <row r="2233" spans="7:8" x14ac:dyDescent="0.45">
      <c r="G2233" s="9">
        <v>42790</v>
      </c>
      <c r="H2233" s="8">
        <v>11.47</v>
      </c>
    </row>
    <row r="2234" spans="7:8" x14ac:dyDescent="0.45">
      <c r="G2234" s="9">
        <v>42789</v>
      </c>
      <c r="H2234" s="8">
        <v>11.71</v>
      </c>
    </row>
    <row r="2235" spans="7:8" x14ac:dyDescent="0.45">
      <c r="G2235" s="9">
        <v>42788</v>
      </c>
      <c r="H2235" s="8">
        <v>11.74</v>
      </c>
    </row>
    <row r="2236" spans="7:8" x14ac:dyDescent="0.45">
      <c r="G2236" s="9">
        <v>42787</v>
      </c>
      <c r="H2236" s="8">
        <v>11.57</v>
      </c>
    </row>
    <row r="2237" spans="7:8" x14ac:dyDescent="0.45">
      <c r="G2237" s="9">
        <v>42783</v>
      </c>
      <c r="H2237" s="8">
        <v>11.49</v>
      </c>
    </row>
    <row r="2238" spans="7:8" x14ac:dyDescent="0.45">
      <c r="G2238" s="9">
        <v>42782</v>
      </c>
      <c r="H2238" s="8">
        <v>11.76</v>
      </c>
    </row>
    <row r="2239" spans="7:8" x14ac:dyDescent="0.45">
      <c r="G2239" s="9">
        <v>42781</v>
      </c>
      <c r="H2239" s="8">
        <v>11.97</v>
      </c>
    </row>
    <row r="2240" spans="7:8" x14ac:dyDescent="0.45">
      <c r="G2240" s="9">
        <v>42780</v>
      </c>
      <c r="H2240" s="8">
        <v>10.74</v>
      </c>
    </row>
    <row r="2241" spans="7:8" x14ac:dyDescent="0.45">
      <c r="G2241" s="9">
        <v>42779</v>
      </c>
      <c r="H2241" s="8">
        <v>11.07</v>
      </c>
    </row>
    <row r="2242" spans="7:8" x14ac:dyDescent="0.45">
      <c r="G2242" s="9">
        <v>42776</v>
      </c>
      <c r="H2242" s="8">
        <v>10.85</v>
      </c>
    </row>
    <row r="2243" spans="7:8" x14ac:dyDescent="0.45">
      <c r="G2243" s="9">
        <v>42775</v>
      </c>
      <c r="H2243" s="8">
        <v>10.88</v>
      </c>
    </row>
    <row r="2244" spans="7:8" x14ac:dyDescent="0.45">
      <c r="G2244" s="9">
        <v>42774</v>
      </c>
      <c r="H2244" s="8">
        <v>11.45</v>
      </c>
    </row>
    <row r="2245" spans="7:8" x14ac:dyDescent="0.45">
      <c r="G2245" s="9">
        <v>42773</v>
      </c>
      <c r="H2245" s="8">
        <v>11.29</v>
      </c>
    </row>
    <row r="2246" spans="7:8" x14ac:dyDescent="0.45">
      <c r="G2246" s="9">
        <v>42772</v>
      </c>
      <c r="H2246" s="8">
        <v>11.37</v>
      </c>
    </row>
    <row r="2247" spans="7:8" x14ac:dyDescent="0.45">
      <c r="G2247" s="9">
        <v>42769</v>
      </c>
      <c r="H2247" s="8">
        <v>10.97</v>
      </c>
    </row>
    <row r="2248" spans="7:8" x14ac:dyDescent="0.45">
      <c r="G2248" s="9">
        <v>42768</v>
      </c>
      <c r="H2248" s="8">
        <v>11.93</v>
      </c>
    </row>
    <row r="2249" spans="7:8" x14ac:dyDescent="0.45">
      <c r="G2249" s="9">
        <v>42767</v>
      </c>
      <c r="H2249" s="8">
        <v>11.81</v>
      </c>
    </row>
    <row r="2250" spans="7:8" x14ac:dyDescent="0.45">
      <c r="G2250" s="9">
        <v>42766</v>
      </c>
      <c r="H2250" s="8">
        <v>11.99</v>
      </c>
    </row>
    <row r="2251" spans="7:8" x14ac:dyDescent="0.45">
      <c r="G2251" s="9">
        <v>42765</v>
      </c>
      <c r="H2251" s="8">
        <v>11.88</v>
      </c>
    </row>
    <row r="2252" spans="7:8" x14ac:dyDescent="0.45">
      <c r="G2252" s="9">
        <v>42762</v>
      </c>
      <c r="H2252" s="8">
        <v>10.58</v>
      </c>
    </row>
    <row r="2253" spans="7:8" x14ac:dyDescent="0.45">
      <c r="G2253" s="9">
        <v>42761</v>
      </c>
      <c r="H2253" s="8">
        <v>10.63</v>
      </c>
    </row>
    <row r="2254" spans="7:8" x14ac:dyDescent="0.45">
      <c r="G2254" s="9">
        <v>42760</v>
      </c>
      <c r="H2254" s="8">
        <v>10.81</v>
      </c>
    </row>
    <row r="2255" spans="7:8" x14ac:dyDescent="0.45">
      <c r="G2255" s="9">
        <v>42759</v>
      </c>
      <c r="H2255" s="8">
        <v>11.07</v>
      </c>
    </row>
    <row r="2256" spans="7:8" x14ac:dyDescent="0.45">
      <c r="G2256" s="9">
        <v>42758</v>
      </c>
      <c r="H2256" s="8">
        <v>11.77</v>
      </c>
    </row>
    <row r="2257" spans="7:8" x14ac:dyDescent="0.45">
      <c r="G2257" s="9">
        <v>42755</v>
      </c>
      <c r="H2257" s="8">
        <v>11.54</v>
      </c>
    </row>
    <row r="2258" spans="7:8" x14ac:dyDescent="0.45">
      <c r="G2258" s="9">
        <v>42754</v>
      </c>
      <c r="H2258" s="8">
        <v>12.78</v>
      </c>
    </row>
    <row r="2259" spans="7:8" x14ac:dyDescent="0.45">
      <c r="G2259" s="9">
        <v>42753</v>
      </c>
      <c r="H2259" s="8">
        <v>12.48</v>
      </c>
    </row>
    <row r="2260" spans="7:8" x14ac:dyDescent="0.45">
      <c r="G2260" s="9">
        <v>42752</v>
      </c>
      <c r="H2260" s="8">
        <v>11.87</v>
      </c>
    </row>
    <row r="2261" spans="7:8" x14ac:dyDescent="0.45">
      <c r="G2261" s="9">
        <v>42748</v>
      </c>
      <c r="H2261" s="8">
        <v>11.23</v>
      </c>
    </row>
    <row r="2262" spans="7:8" x14ac:dyDescent="0.45">
      <c r="G2262" s="9">
        <v>42747</v>
      </c>
      <c r="H2262" s="8">
        <v>11.54</v>
      </c>
    </row>
    <row r="2263" spans="7:8" x14ac:dyDescent="0.45">
      <c r="G2263" s="9">
        <v>42746</v>
      </c>
      <c r="H2263" s="8">
        <v>11.26</v>
      </c>
    </row>
    <row r="2264" spans="7:8" x14ac:dyDescent="0.45">
      <c r="G2264" s="9">
        <v>42745</v>
      </c>
      <c r="H2264" s="8">
        <v>11.49</v>
      </c>
    </row>
    <row r="2265" spans="7:8" x14ac:dyDescent="0.45">
      <c r="G2265" s="9">
        <v>42744</v>
      </c>
      <c r="H2265" s="8">
        <v>11.56</v>
      </c>
    </row>
    <row r="2266" spans="7:8" x14ac:dyDescent="0.45">
      <c r="G2266" s="9">
        <v>42741</v>
      </c>
      <c r="H2266" s="8">
        <v>11.32</v>
      </c>
    </row>
    <row r="2267" spans="7:8" x14ac:dyDescent="0.45">
      <c r="G2267" s="9">
        <v>42740</v>
      </c>
      <c r="H2267" s="8">
        <v>11.67</v>
      </c>
    </row>
    <row r="2268" spans="7:8" x14ac:dyDescent="0.45">
      <c r="G2268" s="9">
        <v>42739</v>
      </c>
      <c r="H2268" s="8">
        <v>11.85</v>
      </c>
    </row>
    <row r="2269" spans="7:8" x14ac:dyDescent="0.45">
      <c r="G2269" s="9">
        <v>42738</v>
      </c>
      <c r="H2269" s="8">
        <v>12.85</v>
      </c>
    </row>
    <row r="2270" spans="7:8" x14ac:dyDescent="0.45">
      <c r="G2270" s="9">
        <v>42734</v>
      </c>
      <c r="H2270" s="8">
        <v>14.04</v>
      </c>
    </row>
    <row r="2271" spans="7:8" x14ac:dyDescent="0.45">
      <c r="G2271" s="9">
        <v>42733</v>
      </c>
      <c r="H2271" s="8">
        <v>13.37</v>
      </c>
    </row>
    <row r="2272" spans="7:8" x14ac:dyDescent="0.45">
      <c r="G2272" s="9">
        <v>42732</v>
      </c>
      <c r="H2272" s="8">
        <v>12.95</v>
      </c>
    </row>
    <row r="2273" spans="7:8" x14ac:dyDescent="0.45">
      <c r="G2273" s="9">
        <v>42731</v>
      </c>
      <c r="H2273" s="8">
        <v>11.99</v>
      </c>
    </row>
    <row r="2274" spans="7:8" x14ac:dyDescent="0.45">
      <c r="G2274" s="9">
        <v>42727</v>
      </c>
      <c r="H2274" s="8">
        <v>11.44</v>
      </c>
    </row>
    <row r="2275" spans="7:8" x14ac:dyDescent="0.45">
      <c r="G2275" s="9">
        <v>42726</v>
      </c>
      <c r="H2275" s="8">
        <v>11.43</v>
      </c>
    </row>
    <row r="2276" spans="7:8" x14ac:dyDescent="0.45">
      <c r="G2276" s="9">
        <v>42725</v>
      </c>
      <c r="H2276" s="8">
        <v>11.27</v>
      </c>
    </row>
    <row r="2277" spans="7:8" x14ac:dyDescent="0.45">
      <c r="G2277" s="9">
        <v>42724</v>
      </c>
      <c r="H2277" s="8">
        <v>11.45</v>
      </c>
    </row>
    <row r="2278" spans="7:8" x14ac:dyDescent="0.45">
      <c r="G2278" s="9">
        <v>42723</v>
      </c>
      <c r="H2278" s="8">
        <v>11.71</v>
      </c>
    </row>
    <row r="2279" spans="7:8" x14ac:dyDescent="0.45">
      <c r="G2279" s="9">
        <v>42720</v>
      </c>
      <c r="H2279" s="8">
        <v>12.2</v>
      </c>
    </row>
    <row r="2280" spans="7:8" x14ac:dyDescent="0.45">
      <c r="G2280" s="9">
        <v>42719</v>
      </c>
      <c r="H2280" s="8">
        <v>12.79</v>
      </c>
    </row>
    <row r="2281" spans="7:8" x14ac:dyDescent="0.45">
      <c r="G2281" s="9">
        <v>42718</v>
      </c>
      <c r="H2281" s="8">
        <v>13.19</v>
      </c>
    </row>
    <row r="2282" spans="7:8" x14ac:dyDescent="0.45">
      <c r="G2282" s="9">
        <v>42717</v>
      </c>
      <c r="H2282" s="8">
        <v>12.72</v>
      </c>
    </row>
    <row r="2283" spans="7:8" x14ac:dyDescent="0.45">
      <c r="G2283" s="9">
        <v>42716</v>
      </c>
      <c r="H2283" s="8">
        <v>12.64</v>
      </c>
    </row>
    <row r="2284" spans="7:8" x14ac:dyDescent="0.45">
      <c r="G2284" s="9">
        <v>42713</v>
      </c>
      <c r="H2284" s="8">
        <v>11.75</v>
      </c>
    </row>
    <row r="2285" spans="7:8" x14ac:dyDescent="0.45">
      <c r="G2285" s="9">
        <v>42712</v>
      </c>
      <c r="H2285" s="8">
        <v>12.64</v>
      </c>
    </row>
    <row r="2286" spans="7:8" x14ac:dyDescent="0.45">
      <c r="G2286" s="9">
        <v>42711</v>
      </c>
      <c r="H2286" s="8">
        <v>12.22</v>
      </c>
    </row>
    <row r="2287" spans="7:8" x14ac:dyDescent="0.45">
      <c r="G2287" s="9">
        <v>42710</v>
      </c>
      <c r="H2287" s="8">
        <v>11.79</v>
      </c>
    </row>
    <row r="2288" spans="7:8" x14ac:dyDescent="0.45">
      <c r="G2288" s="9">
        <v>42709</v>
      </c>
      <c r="H2288" s="8">
        <v>12.14</v>
      </c>
    </row>
    <row r="2289" spans="7:8" x14ac:dyDescent="0.45">
      <c r="G2289" s="9">
        <v>42706</v>
      </c>
      <c r="H2289" s="8">
        <v>14.12</v>
      </c>
    </row>
    <row r="2290" spans="7:8" x14ac:dyDescent="0.45">
      <c r="G2290" s="9">
        <v>42705</v>
      </c>
      <c r="H2290" s="8">
        <v>14.07</v>
      </c>
    </row>
    <row r="2291" spans="7:8" x14ac:dyDescent="0.45">
      <c r="G2291" s="9">
        <v>42704</v>
      </c>
      <c r="H2291" s="8">
        <v>13.33</v>
      </c>
    </row>
    <row r="2292" spans="7:8" x14ac:dyDescent="0.45">
      <c r="G2292" s="9">
        <v>42703</v>
      </c>
      <c r="H2292" s="8">
        <v>12.9</v>
      </c>
    </row>
    <row r="2293" spans="7:8" x14ac:dyDescent="0.45">
      <c r="G2293" s="9">
        <v>42702</v>
      </c>
      <c r="H2293" s="8">
        <v>13.15</v>
      </c>
    </row>
    <row r="2294" spans="7:8" x14ac:dyDescent="0.45">
      <c r="G2294" s="9">
        <v>42699</v>
      </c>
      <c r="H2294" s="8">
        <v>12.34</v>
      </c>
    </row>
    <row r="2295" spans="7:8" x14ac:dyDescent="0.45">
      <c r="G2295" s="9">
        <v>42697</v>
      </c>
      <c r="H2295" s="8">
        <v>12.43</v>
      </c>
    </row>
    <row r="2296" spans="7:8" x14ac:dyDescent="0.45">
      <c r="G2296" s="9">
        <v>42696</v>
      </c>
      <c r="H2296" s="8">
        <v>12.41</v>
      </c>
    </row>
    <row r="2297" spans="7:8" x14ac:dyDescent="0.45">
      <c r="G2297" s="9">
        <v>42695</v>
      </c>
      <c r="H2297" s="8">
        <v>12.42</v>
      </c>
    </row>
    <row r="2298" spans="7:8" x14ac:dyDescent="0.45">
      <c r="G2298" s="9">
        <v>42692</v>
      </c>
      <c r="H2298" s="8">
        <v>12.85</v>
      </c>
    </row>
    <row r="2299" spans="7:8" x14ac:dyDescent="0.45">
      <c r="G2299" s="9">
        <v>42691</v>
      </c>
      <c r="H2299" s="8">
        <v>13.35</v>
      </c>
    </row>
    <row r="2300" spans="7:8" x14ac:dyDescent="0.45">
      <c r="G2300" s="9">
        <v>42690</v>
      </c>
      <c r="H2300" s="8">
        <v>13.72</v>
      </c>
    </row>
    <row r="2301" spans="7:8" x14ac:dyDescent="0.45">
      <c r="G2301" s="9">
        <v>42689</v>
      </c>
      <c r="H2301" s="8">
        <v>13.37</v>
      </c>
    </row>
    <row r="2302" spans="7:8" x14ac:dyDescent="0.45">
      <c r="G2302" s="9">
        <v>42688</v>
      </c>
      <c r="H2302" s="8">
        <v>14.48</v>
      </c>
    </row>
    <row r="2303" spans="7:8" x14ac:dyDescent="0.45">
      <c r="G2303" s="9">
        <v>42685</v>
      </c>
      <c r="H2303" s="8">
        <v>14.17</v>
      </c>
    </row>
    <row r="2304" spans="7:8" x14ac:dyDescent="0.45">
      <c r="G2304" s="9">
        <v>42684</v>
      </c>
      <c r="H2304" s="8">
        <v>14.74</v>
      </c>
    </row>
    <row r="2305" spans="7:8" x14ac:dyDescent="0.45">
      <c r="G2305" s="9">
        <v>42683</v>
      </c>
      <c r="H2305" s="8">
        <v>14.38</v>
      </c>
    </row>
    <row r="2306" spans="7:8" x14ac:dyDescent="0.45">
      <c r="G2306" s="9">
        <v>42682</v>
      </c>
      <c r="H2306" s="8">
        <v>18.739999999999998</v>
      </c>
    </row>
    <row r="2307" spans="7:8" x14ac:dyDescent="0.45">
      <c r="G2307" s="9">
        <v>42681</v>
      </c>
      <c r="H2307" s="8">
        <v>18.71</v>
      </c>
    </row>
    <row r="2308" spans="7:8" x14ac:dyDescent="0.45">
      <c r="G2308" s="9">
        <v>42678</v>
      </c>
      <c r="H2308" s="8">
        <v>22.51</v>
      </c>
    </row>
    <row r="2309" spans="7:8" x14ac:dyDescent="0.45">
      <c r="G2309" s="9">
        <v>42677</v>
      </c>
      <c r="H2309" s="8">
        <v>22.08</v>
      </c>
    </row>
    <row r="2310" spans="7:8" x14ac:dyDescent="0.45">
      <c r="G2310" s="9">
        <v>42676</v>
      </c>
      <c r="H2310" s="8">
        <v>19.32</v>
      </c>
    </row>
    <row r="2311" spans="7:8" x14ac:dyDescent="0.45">
      <c r="G2311" s="9">
        <v>42675</v>
      </c>
      <c r="H2311" s="8">
        <v>18.559999999999999</v>
      </c>
    </row>
    <row r="2312" spans="7:8" x14ac:dyDescent="0.45">
      <c r="G2312" s="9">
        <v>42674</v>
      </c>
      <c r="H2312" s="8">
        <v>17.059999999999999</v>
      </c>
    </row>
    <row r="2313" spans="7:8" x14ac:dyDescent="0.45">
      <c r="G2313" s="9">
        <v>42671</v>
      </c>
      <c r="H2313" s="8">
        <v>16.190000000000001</v>
      </c>
    </row>
    <row r="2314" spans="7:8" x14ac:dyDescent="0.45">
      <c r="G2314" s="9">
        <v>42670</v>
      </c>
      <c r="H2314" s="8">
        <v>15.36</v>
      </c>
    </row>
    <row r="2315" spans="7:8" x14ac:dyDescent="0.45">
      <c r="G2315" s="9">
        <v>42669</v>
      </c>
      <c r="H2315" s="8">
        <v>14.24</v>
      </c>
    </row>
    <row r="2316" spans="7:8" x14ac:dyDescent="0.45">
      <c r="G2316" s="9">
        <v>42668</v>
      </c>
      <c r="H2316" s="8">
        <v>13.46</v>
      </c>
    </row>
    <row r="2317" spans="7:8" x14ac:dyDescent="0.45">
      <c r="G2317" s="9">
        <v>42667</v>
      </c>
      <c r="H2317" s="8">
        <v>13.02</v>
      </c>
    </row>
    <row r="2318" spans="7:8" x14ac:dyDescent="0.45">
      <c r="G2318" s="9">
        <v>42664</v>
      </c>
      <c r="H2318" s="8">
        <v>13.34</v>
      </c>
    </row>
    <row r="2319" spans="7:8" x14ac:dyDescent="0.45">
      <c r="G2319" s="9">
        <v>42663</v>
      </c>
      <c r="H2319" s="8">
        <v>13.75</v>
      </c>
    </row>
    <row r="2320" spans="7:8" x14ac:dyDescent="0.45">
      <c r="G2320" s="9">
        <v>42662</v>
      </c>
      <c r="H2320" s="8">
        <v>14.41</v>
      </c>
    </row>
    <row r="2321" spans="7:8" x14ac:dyDescent="0.45">
      <c r="G2321" s="9">
        <v>42661</v>
      </c>
      <c r="H2321" s="8">
        <v>15.28</v>
      </c>
    </row>
    <row r="2322" spans="7:8" x14ac:dyDescent="0.45">
      <c r="G2322" s="9">
        <v>42660</v>
      </c>
      <c r="H2322" s="8">
        <v>16.21</v>
      </c>
    </row>
    <row r="2323" spans="7:8" x14ac:dyDescent="0.45">
      <c r="G2323" s="9">
        <v>42657</v>
      </c>
      <c r="H2323" s="8">
        <v>16.12</v>
      </c>
    </row>
    <row r="2324" spans="7:8" x14ac:dyDescent="0.45">
      <c r="G2324" s="9">
        <v>42656</v>
      </c>
      <c r="H2324" s="8">
        <v>16.690000000000001</v>
      </c>
    </row>
    <row r="2325" spans="7:8" x14ac:dyDescent="0.45">
      <c r="G2325" s="9">
        <v>42655</v>
      </c>
      <c r="H2325" s="8">
        <v>15.91</v>
      </c>
    </row>
    <row r="2326" spans="7:8" x14ac:dyDescent="0.45">
      <c r="G2326" s="9">
        <v>42654</v>
      </c>
      <c r="H2326" s="8">
        <v>15.36</v>
      </c>
    </row>
    <row r="2327" spans="7:8" x14ac:dyDescent="0.45">
      <c r="G2327" s="9">
        <v>42653</v>
      </c>
      <c r="H2327" s="8">
        <v>13.38</v>
      </c>
    </row>
    <row r="2328" spans="7:8" x14ac:dyDescent="0.45">
      <c r="G2328" s="9">
        <v>42650</v>
      </c>
      <c r="H2328" s="8">
        <v>13.48</v>
      </c>
    </row>
    <row r="2329" spans="7:8" x14ac:dyDescent="0.45">
      <c r="G2329" s="9">
        <v>42649</v>
      </c>
      <c r="H2329" s="8">
        <v>12.84</v>
      </c>
    </row>
    <row r="2330" spans="7:8" x14ac:dyDescent="0.45">
      <c r="G2330" s="9">
        <v>42648</v>
      </c>
      <c r="H2330" s="8">
        <v>12.99</v>
      </c>
    </row>
    <row r="2331" spans="7:8" x14ac:dyDescent="0.45">
      <c r="G2331" s="9">
        <v>42647</v>
      </c>
      <c r="H2331" s="8">
        <v>13.63</v>
      </c>
    </row>
    <row r="2332" spans="7:8" x14ac:dyDescent="0.45">
      <c r="G2332" s="9">
        <v>42646</v>
      </c>
      <c r="H2332" s="8">
        <v>13.57</v>
      </c>
    </row>
    <row r="2333" spans="7:8" x14ac:dyDescent="0.45">
      <c r="G2333" s="9">
        <v>42643</v>
      </c>
      <c r="H2333" s="8">
        <v>13.29</v>
      </c>
    </row>
    <row r="2334" spans="7:8" x14ac:dyDescent="0.45">
      <c r="G2334" s="9">
        <v>42642</v>
      </c>
      <c r="H2334" s="8">
        <v>14.02</v>
      </c>
    </row>
    <row r="2335" spans="7:8" x14ac:dyDescent="0.45">
      <c r="G2335" s="9">
        <v>42641</v>
      </c>
      <c r="H2335" s="8">
        <v>12.39</v>
      </c>
    </row>
    <row r="2336" spans="7:8" x14ac:dyDescent="0.45">
      <c r="G2336" s="9">
        <v>42640</v>
      </c>
      <c r="H2336" s="8">
        <v>13.1</v>
      </c>
    </row>
    <row r="2337" spans="7:8" x14ac:dyDescent="0.45">
      <c r="G2337" s="9">
        <v>42639</v>
      </c>
      <c r="H2337" s="8">
        <v>14.5</v>
      </c>
    </row>
    <row r="2338" spans="7:8" x14ac:dyDescent="0.45">
      <c r="G2338" s="9">
        <v>42636</v>
      </c>
      <c r="H2338" s="8">
        <v>12.29</v>
      </c>
    </row>
    <row r="2339" spans="7:8" x14ac:dyDescent="0.45">
      <c r="G2339" s="9">
        <v>42635</v>
      </c>
      <c r="H2339" s="8">
        <v>12.02</v>
      </c>
    </row>
    <row r="2340" spans="7:8" x14ac:dyDescent="0.45">
      <c r="G2340" s="9">
        <v>42634</v>
      </c>
      <c r="H2340" s="8">
        <v>13.3</v>
      </c>
    </row>
    <row r="2341" spans="7:8" x14ac:dyDescent="0.45">
      <c r="G2341" s="9">
        <v>42633</v>
      </c>
      <c r="H2341" s="8">
        <v>15.92</v>
      </c>
    </row>
    <row r="2342" spans="7:8" x14ac:dyDescent="0.45">
      <c r="G2342" s="9">
        <v>42632</v>
      </c>
      <c r="H2342" s="8">
        <v>15.53</v>
      </c>
    </row>
    <row r="2343" spans="7:8" x14ac:dyDescent="0.45">
      <c r="G2343" s="9">
        <v>42629</v>
      </c>
      <c r="H2343" s="8">
        <v>15.37</v>
      </c>
    </row>
    <row r="2344" spans="7:8" x14ac:dyDescent="0.45">
      <c r="G2344" s="9">
        <v>42628</v>
      </c>
      <c r="H2344" s="8">
        <v>16.3</v>
      </c>
    </row>
    <row r="2345" spans="7:8" x14ac:dyDescent="0.45">
      <c r="G2345" s="9">
        <v>42627</v>
      </c>
      <c r="H2345" s="8">
        <v>18.14</v>
      </c>
    </row>
    <row r="2346" spans="7:8" x14ac:dyDescent="0.45">
      <c r="G2346" s="9">
        <v>42626</v>
      </c>
      <c r="H2346" s="8">
        <v>17.850000000000001</v>
      </c>
    </row>
    <row r="2347" spans="7:8" x14ac:dyDescent="0.45">
      <c r="G2347" s="9">
        <v>42625</v>
      </c>
      <c r="H2347" s="8">
        <v>15.16</v>
      </c>
    </row>
    <row r="2348" spans="7:8" x14ac:dyDescent="0.45">
      <c r="G2348" s="9">
        <v>42622</v>
      </c>
      <c r="H2348" s="8">
        <v>17.5</v>
      </c>
    </row>
    <row r="2349" spans="7:8" x14ac:dyDescent="0.45">
      <c r="G2349" s="9">
        <v>42621</v>
      </c>
      <c r="H2349" s="8">
        <v>12.51</v>
      </c>
    </row>
    <row r="2350" spans="7:8" x14ac:dyDescent="0.45">
      <c r="G2350" s="9">
        <v>42620</v>
      </c>
      <c r="H2350" s="8">
        <v>11.94</v>
      </c>
    </row>
    <row r="2351" spans="7:8" x14ac:dyDescent="0.45">
      <c r="G2351" s="9">
        <v>42619</v>
      </c>
      <c r="H2351" s="8">
        <v>12.02</v>
      </c>
    </row>
    <row r="2352" spans="7:8" x14ac:dyDescent="0.45">
      <c r="G2352" s="9">
        <v>42615</v>
      </c>
      <c r="H2352" s="8">
        <v>11.98</v>
      </c>
    </row>
    <row r="2353" spans="7:8" x14ac:dyDescent="0.45">
      <c r="G2353" s="9">
        <v>42614</v>
      </c>
      <c r="H2353" s="8">
        <v>13.48</v>
      </c>
    </row>
    <row r="2354" spans="7:8" x14ac:dyDescent="0.45">
      <c r="G2354" s="9">
        <v>42613</v>
      </c>
      <c r="H2354" s="8">
        <v>13.42</v>
      </c>
    </row>
    <row r="2355" spans="7:8" x14ac:dyDescent="0.45">
      <c r="G2355" s="9">
        <v>42612</v>
      </c>
      <c r="H2355" s="8">
        <v>13.12</v>
      </c>
    </row>
    <row r="2356" spans="7:8" x14ac:dyDescent="0.45">
      <c r="G2356" s="9">
        <v>42611</v>
      </c>
      <c r="H2356" s="8">
        <v>12.94</v>
      </c>
    </row>
    <row r="2357" spans="7:8" x14ac:dyDescent="0.45">
      <c r="G2357" s="9">
        <v>42608</v>
      </c>
      <c r="H2357" s="8">
        <v>13.65</v>
      </c>
    </row>
    <row r="2358" spans="7:8" x14ac:dyDescent="0.45">
      <c r="G2358" s="9">
        <v>42607</v>
      </c>
      <c r="H2358" s="8">
        <v>13.63</v>
      </c>
    </row>
    <row r="2359" spans="7:8" x14ac:dyDescent="0.45">
      <c r="G2359" s="9">
        <v>42606</v>
      </c>
      <c r="H2359" s="8">
        <v>13.45</v>
      </c>
    </row>
    <row r="2360" spans="7:8" x14ac:dyDescent="0.45">
      <c r="G2360" s="9">
        <v>42605</v>
      </c>
      <c r="H2360" s="8">
        <v>12.38</v>
      </c>
    </row>
    <row r="2361" spans="7:8" x14ac:dyDescent="0.45">
      <c r="G2361" s="9">
        <v>42604</v>
      </c>
      <c r="H2361" s="8">
        <v>12.27</v>
      </c>
    </row>
    <row r="2362" spans="7:8" x14ac:dyDescent="0.45">
      <c r="G2362" s="9">
        <v>42601</v>
      </c>
      <c r="H2362" s="8">
        <v>11.34</v>
      </c>
    </row>
    <row r="2363" spans="7:8" x14ac:dyDescent="0.45">
      <c r="G2363" s="9">
        <v>42600</v>
      </c>
      <c r="H2363" s="8">
        <v>11.43</v>
      </c>
    </row>
    <row r="2364" spans="7:8" x14ac:dyDescent="0.45">
      <c r="G2364" s="9">
        <v>42599</v>
      </c>
      <c r="H2364" s="8">
        <v>12.19</v>
      </c>
    </row>
    <row r="2365" spans="7:8" x14ac:dyDescent="0.45">
      <c r="G2365" s="9">
        <v>42598</v>
      </c>
      <c r="H2365" s="8">
        <v>12.64</v>
      </c>
    </row>
    <row r="2366" spans="7:8" x14ac:dyDescent="0.45">
      <c r="G2366" s="9">
        <v>42597</v>
      </c>
      <c r="H2366" s="8">
        <v>11.81</v>
      </c>
    </row>
    <row r="2367" spans="7:8" x14ac:dyDescent="0.45">
      <c r="G2367" s="9">
        <v>42594</v>
      </c>
      <c r="H2367" s="8">
        <v>11.55</v>
      </c>
    </row>
    <row r="2368" spans="7:8" x14ac:dyDescent="0.45">
      <c r="G2368" s="9">
        <v>42593</v>
      </c>
      <c r="H2368" s="8">
        <v>11.68</v>
      </c>
    </row>
    <row r="2369" spans="7:8" x14ac:dyDescent="0.45">
      <c r="G2369" s="9">
        <v>42592</v>
      </c>
      <c r="H2369" s="8">
        <v>12.05</v>
      </c>
    </row>
    <row r="2370" spans="7:8" x14ac:dyDescent="0.45">
      <c r="G2370" s="9">
        <v>42591</v>
      </c>
      <c r="H2370" s="8">
        <v>11.66</v>
      </c>
    </row>
    <row r="2371" spans="7:8" x14ac:dyDescent="0.45">
      <c r="G2371" s="9">
        <v>42590</v>
      </c>
      <c r="H2371" s="8">
        <v>11.5</v>
      </c>
    </row>
    <row r="2372" spans="7:8" x14ac:dyDescent="0.45">
      <c r="G2372" s="9">
        <v>42587</v>
      </c>
      <c r="H2372" s="8">
        <v>11.39</v>
      </c>
    </row>
    <row r="2373" spans="7:8" x14ac:dyDescent="0.45">
      <c r="G2373" s="9">
        <v>42586</v>
      </c>
      <c r="H2373" s="8">
        <v>12.42</v>
      </c>
    </row>
    <row r="2374" spans="7:8" x14ac:dyDescent="0.45">
      <c r="G2374" s="9">
        <v>42585</v>
      </c>
      <c r="H2374" s="8">
        <v>12.86</v>
      </c>
    </row>
    <row r="2375" spans="7:8" x14ac:dyDescent="0.45">
      <c r="G2375" s="9">
        <v>42584</v>
      </c>
      <c r="H2375" s="8">
        <v>13.37</v>
      </c>
    </row>
    <row r="2376" spans="7:8" x14ac:dyDescent="0.45">
      <c r="G2376" s="9">
        <v>42583</v>
      </c>
      <c r="H2376" s="8">
        <v>12.44</v>
      </c>
    </row>
    <row r="2377" spans="7:8" x14ac:dyDescent="0.45">
      <c r="G2377" s="9">
        <v>42580</v>
      </c>
      <c r="H2377" s="8">
        <v>11.87</v>
      </c>
    </row>
    <row r="2378" spans="7:8" x14ac:dyDescent="0.45">
      <c r="G2378" s="9">
        <v>42579</v>
      </c>
      <c r="H2378" s="8">
        <v>12.72</v>
      </c>
    </row>
    <row r="2379" spans="7:8" x14ac:dyDescent="0.45">
      <c r="G2379" s="9">
        <v>42578</v>
      </c>
      <c r="H2379" s="8">
        <v>12.83</v>
      </c>
    </row>
    <row r="2380" spans="7:8" x14ac:dyDescent="0.45">
      <c r="G2380" s="9">
        <v>42577</v>
      </c>
      <c r="H2380" s="8">
        <v>13.05</v>
      </c>
    </row>
    <row r="2381" spans="7:8" x14ac:dyDescent="0.45">
      <c r="G2381" s="9">
        <v>42576</v>
      </c>
      <c r="H2381" s="8">
        <v>12.87</v>
      </c>
    </row>
    <row r="2382" spans="7:8" x14ac:dyDescent="0.45">
      <c r="G2382" s="9">
        <v>42573</v>
      </c>
      <c r="H2382" s="8">
        <v>12.02</v>
      </c>
    </row>
    <row r="2383" spans="7:8" x14ac:dyDescent="0.45">
      <c r="G2383" s="9">
        <v>42572</v>
      </c>
      <c r="H2383" s="8">
        <v>12.74</v>
      </c>
    </row>
    <row r="2384" spans="7:8" x14ac:dyDescent="0.45">
      <c r="G2384" s="9">
        <v>42571</v>
      </c>
      <c r="H2384" s="8">
        <v>11.77</v>
      </c>
    </row>
    <row r="2385" spans="7:8" x14ac:dyDescent="0.45">
      <c r="G2385" s="9">
        <v>42570</v>
      </c>
      <c r="H2385" s="8">
        <v>11.97</v>
      </c>
    </row>
    <row r="2386" spans="7:8" x14ac:dyDescent="0.45">
      <c r="G2386" s="9">
        <v>42569</v>
      </c>
      <c r="H2386" s="8">
        <v>12.44</v>
      </c>
    </row>
    <row r="2387" spans="7:8" x14ac:dyDescent="0.45">
      <c r="G2387" s="9">
        <v>42566</v>
      </c>
      <c r="H2387" s="8">
        <v>12.67</v>
      </c>
    </row>
    <row r="2388" spans="7:8" x14ac:dyDescent="0.45">
      <c r="G2388" s="9">
        <v>42565</v>
      </c>
      <c r="H2388" s="8">
        <v>12.82</v>
      </c>
    </row>
    <row r="2389" spans="7:8" x14ac:dyDescent="0.45">
      <c r="G2389" s="9">
        <v>42564</v>
      </c>
      <c r="H2389" s="8">
        <v>13.04</v>
      </c>
    </row>
    <row r="2390" spans="7:8" x14ac:dyDescent="0.45">
      <c r="G2390" s="9">
        <v>42563</v>
      </c>
      <c r="H2390" s="8">
        <v>13.55</v>
      </c>
    </row>
    <row r="2391" spans="7:8" x14ac:dyDescent="0.45">
      <c r="G2391" s="9">
        <v>42562</v>
      </c>
      <c r="H2391" s="8">
        <v>13.54</v>
      </c>
    </row>
    <row r="2392" spans="7:8" x14ac:dyDescent="0.45">
      <c r="G2392" s="9">
        <v>42559</v>
      </c>
      <c r="H2392" s="8">
        <v>13.2</v>
      </c>
    </row>
    <row r="2393" spans="7:8" x14ac:dyDescent="0.45">
      <c r="G2393" s="9">
        <v>42558</v>
      </c>
      <c r="H2393" s="8">
        <v>14.76</v>
      </c>
    </row>
    <row r="2394" spans="7:8" x14ac:dyDescent="0.45">
      <c r="G2394" s="9">
        <v>42557</v>
      </c>
      <c r="H2394" s="8">
        <v>14.96</v>
      </c>
    </row>
    <row r="2395" spans="7:8" x14ac:dyDescent="0.45">
      <c r="G2395" s="9">
        <v>42556</v>
      </c>
      <c r="H2395" s="8">
        <v>15.58</v>
      </c>
    </row>
    <row r="2396" spans="7:8" x14ac:dyDescent="0.45">
      <c r="G2396" s="9">
        <v>42552</v>
      </c>
      <c r="H2396" s="8">
        <v>14.77</v>
      </c>
    </row>
    <row r="2397" spans="7:8" x14ac:dyDescent="0.45">
      <c r="G2397" s="9">
        <v>42551</v>
      </c>
      <c r="H2397" s="8">
        <v>15.63</v>
      </c>
    </row>
    <row r="2398" spans="7:8" x14ac:dyDescent="0.45">
      <c r="G2398" s="9">
        <v>42550</v>
      </c>
      <c r="H2398" s="8">
        <v>16.64</v>
      </c>
    </row>
    <row r="2399" spans="7:8" x14ac:dyDescent="0.45">
      <c r="G2399" s="9">
        <v>42549</v>
      </c>
      <c r="H2399" s="8">
        <v>18.75</v>
      </c>
    </row>
    <row r="2400" spans="7:8" x14ac:dyDescent="0.45">
      <c r="G2400" s="9">
        <v>42548</v>
      </c>
      <c r="H2400" s="8">
        <v>23.85</v>
      </c>
    </row>
    <row r="2401" spans="7:8" x14ac:dyDescent="0.45">
      <c r="G2401" s="9">
        <v>42545</v>
      </c>
      <c r="H2401" s="8">
        <v>25.76</v>
      </c>
    </row>
    <row r="2402" spans="7:8" x14ac:dyDescent="0.45">
      <c r="G2402" s="9">
        <v>42544</v>
      </c>
      <c r="H2402" s="8">
        <v>17.25</v>
      </c>
    </row>
    <row r="2403" spans="7:8" x14ac:dyDescent="0.45">
      <c r="G2403" s="9">
        <v>42543</v>
      </c>
      <c r="H2403" s="8">
        <v>21.17</v>
      </c>
    </row>
    <row r="2404" spans="7:8" x14ac:dyDescent="0.45">
      <c r="G2404" s="9">
        <v>42542</v>
      </c>
      <c r="H2404" s="8">
        <v>18.48</v>
      </c>
    </row>
    <row r="2405" spans="7:8" x14ac:dyDescent="0.45">
      <c r="G2405" s="9">
        <v>42541</v>
      </c>
      <c r="H2405" s="8">
        <v>18.37</v>
      </c>
    </row>
    <row r="2406" spans="7:8" x14ac:dyDescent="0.45">
      <c r="G2406" s="9">
        <v>42538</v>
      </c>
      <c r="H2406" s="8">
        <v>19.41</v>
      </c>
    </row>
    <row r="2407" spans="7:8" x14ac:dyDescent="0.45">
      <c r="G2407" s="9">
        <v>42537</v>
      </c>
      <c r="H2407" s="8">
        <v>19.37</v>
      </c>
    </row>
    <row r="2408" spans="7:8" x14ac:dyDescent="0.45">
      <c r="G2408" s="9">
        <v>42536</v>
      </c>
      <c r="H2408" s="8">
        <v>20.14</v>
      </c>
    </row>
    <row r="2409" spans="7:8" x14ac:dyDescent="0.45">
      <c r="G2409" s="9">
        <v>42535</v>
      </c>
      <c r="H2409" s="8">
        <v>20.5</v>
      </c>
    </row>
    <row r="2410" spans="7:8" x14ac:dyDescent="0.45">
      <c r="G2410" s="9">
        <v>42534</v>
      </c>
      <c r="H2410" s="8">
        <v>20.97</v>
      </c>
    </row>
    <row r="2411" spans="7:8" x14ac:dyDescent="0.45">
      <c r="G2411" s="9">
        <v>42531</v>
      </c>
      <c r="H2411" s="8">
        <v>17.03</v>
      </c>
    </row>
    <row r="2412" spans="7:8" x14ac:dyDescent="0.45">
      <c r="G2412" s="9">
        <v>42530</v>
      </c>
      <c r="H2412" s="8">
        <v>14.64</v>
      </c>
    </row>
    <row r="2413" spans="7:8" x14ac:dyDescent="0.45">
      <c r="G2413" s="9">
        <v>42529</v>
      </c>
      <c r="H2413" s="8">
        <v>14.08</v>
      </c>
    </row>
    <row r="2414" spans="7:8" x14ac:dyDescent="0.45">
      <c r="G2414" s="9">
        <v>42528</v>
      </c>
      <c r="H2414" s="8">
        <v>14.05</v>
      </c>
    </row>
    <row r="2415" spans="7:8" x14ac:dyDescent="0.45">
      <c r="G2415" s="9">
        <v>42527</v>
      </c>
      <c r="H2415" s="8">
        <v>13.65</v>
      </c>
    </row>
    <row r="2416" spans="7:8" x14ac:dyDescent="0.45">
      <c r="G2416" s="9">
        <v>42524</v>
      </c>
      <c r="H2416" s="8">
        <v>13.47</v>
      </c>
    </row>
    <row r="2417" spans="7:8" x14ac:dyDescent="0.45">
      <c r="G2417" s="9">
        <v>42523</v>
      </c>
      <c r="H2417" s="8">
        <v>13.63</v>
      </c>
    </row>
    <row r="2418" spans="7:8" x14ac:dyDescent="0.45">
      <c r="G2418" s="9">
        <v>42522</v>
      </c>
      <c r="H2418" s="8">
        <v>14.2</v>
      </c>
    </row>
    <row r="2419" spans="7:8" x14ac:dyDescent="0.45">
      <c r="G2419" s="9">
        <v>42521</v>
      </c>
      <c r="H2419" s="8">
        <v>14.19</v>
      </c>
    </row>
    <row r="2420" spans="7:8" x14ac:dyDescent="0.45">
      <c r="G2420" s="9">
        <v>42517</v>
      </c>
      <c r="H2420" s="8">
        <v>13.12</v>
      </c>
    </row>
    <row r="2421" spans="7:8" x14ac:dyDescent="0.45">
      <c r="G2421" s="9">
        <v>42516</v>
      </c>
      <c r="H2421" s="8">
        <v>13.43</v>
      </c>
    </row>
    <row r="2422" spans="7:8" x14ac:dyDescent="0.45">
      <c r="G2422" s="9">
        <v>42515</v>
      </c>
      <c r="H2422" s="8">
        <v>13.9</v>
      </c>
    </row>
    <row r="2423" spans="7:8" x14ac:dyDescent="0.45">
      <c r="G2423" s="9">
        <v>42514</v>
      </c>
      <c r="H2423" s="8">
        <v>14.42</v>
      </c>
    </row>
    <row r="2424" spans="7:8" x14ac:dyDescent="0.45">
      <c r="G2424" s="9">
        <v>42513</v>
      </c>
      <c r="H2424" s="8">
        <v>15.82</v>
      </c>
    </row>
    <row r="2425" spans="7:8" x14ac:dyDescent="0.45">
      <c r="G2425" s="9">
        <v>42510</v>
      </c>
      <c r="H2425" s="8">
        <v>15.2</v>
      </c>
    </row>
    <row r="2426" spans="7:8" x14ac:dyDescent="0.45">
      <c r="G2426" s="9">
        <v>42509</v>
      </c>
      <c r="H2426" s="8">
        <v>16.329999999999998</v>
      </c>
    </row>
    <row r="2427" spans="7:8" x14ac:dyDescent="0.45">
      <c r="G2427" s="9">
        <v>42508</v>
      </c>
      <c r="H2427" s="8">
        <v>15.95</v>
      </c>
    </row>
    <row r="2428" spans="7:8" x14ac:dyDescent="0.45">
      <c r="G2428" s="9">
        <v>42507</v>
      </c>
      <c r="H2428" s="8">
        <v>15.57</v>
      </c>
    </row>
    <row r="2429" spans="7:8" x14ac:dyDescent="0.45">
      <c r="G2429" s="9">
        <v>42506</v>
      </c>
      <c r="H2429" s="8">
        <v>14.68</v>
      </c>
    </row>
    <row r="2430" spans="7:8" x14ac:dyDescent="0.45">
      <c r="G2430" s="9">
        <v>42503</v>
      </c>
      <c r="H2430" s="8">
        <v>15.04</v>
      </c>
    </row>
    <row r="2431" spans="7:8" x14ac:dyDescent="0.45">
      <c r="G2431" s="9">
        <v>42502</v>
      </c>
      <c r="H2431" s="8">
        <v>14.41</v>
      </c>
    </row>
    <row r="2432" spans="7:8" x14ac:dyDescent="0.45">
      <c r="G2432" s="9">
        <v>42501</v>
      </c>
      <c r="H2432" s="8">
        <v>14.69</v>
      </c>
    </row>
    <row r="2433" spans="7:8" x14ac:dyDescent="0.45">
      <c r="G2433" s="9">
        <v>42500</v>
      </c>
      <c r="H2433" s="8">
        <v>13.63</v>
      </c>
    </row>
    <row r="2434" spans="7:8" x14ac:dyDescent="0.45">
      <c r="G2434" s="9">
        <v>42499</v>
      </c>
      <c r="H2434" s="8">
        <v>14.57</v>
      </c>
    </row>
    <row r="2435" spans="7:8" x14ac:dyDescent="0.45">
      <c r="G2435" s="9">
        <v>42496</v>
      </c>
      <c r="H2435" s="8">
        <v>14.72</v>
      </c>
    </row>
    <row r="2436" spans="7:8" x14ac:dyDescent="0.45">
      <c r="G2436" s="9">
        <v>42495</v>
      </c>
      <c r="H2436" s="8">
        <v>15.91</v>
      </c>
    </row>
    <row r="2437" spans="7:8" x14ac:dyDescent="0.45">
      <c r="G2437" s="9">
        <v>42494</v>
      </c>
      <c r="H2437" s="8">
        <v>16.05</v>
      </c>
    </row>
    <row r="2438" spans="7:8" x14ac:dyDescent="0.45">
      <c r="G2438" s="9">
        <v>42493</v>
      </c>
      <c r="H2438" s="8">
        <v>15.6</v>
      </c>
    </row>
    <row r="2439" spans="7:8" x14ac:dyDescent="0.45">
      <c r="G2439" s="9">
        <v>42492</v>
      </c>
      <c r="H2439" s="8">
        <v>14.68</v>
      </c>
    </row>
    <row r="2440" spans="7:8" x14ac:dyDescent="0.45">
      <c r="G2440" s="9">
        <v>42489</v>
      </c>
      <c r="H2440" s="8">
        <v>15.7</v>
      </c>
    </row>
    <row r="2441" spans="7:8" x14ac:dyDescent="0.45">
      <c r="G2441" s="9">
        <v>42488</v>
      </c>
      <c r="H2441" s="8">
        <v>15.22</v>
      </c>
    </row>
    <row r="2442" spans="7:8" x14ac:dyDescent="0.45">
      <c r="G2442" s="9">
        <v>42487</v>
      </c>
      <c r="H2442" s="8">
        <v>13.77</v>
      </c>
    </row>
    <row r="2443" spans="7:8" x14ac:dyDescent="0.45">
      <c r="G2443" s="9">
        <v>42486</v>
      </c>
      <c r="H2443" s="8">
        <v>13.96</v>
      </c>
    </row>
    <row r="2444" spans="7:8" x14ac:dyDescent="0.45">
      <c r="G2444" s="9">
        <v>42485</v>
      </c>
      <c r="H2444" s="8">
        <v>14.08</v>
      </c>
    </row>
    <row r="2445" spans="7:8" x14ac:dyDescent="0.45">
      <c r="G2445" s="9">
        <v>42482</v>
      </c>
      <c r="H2445" s="8">
        <v>13.22</v>
      </c>
    </row>
    <row r="2446" spans="7:8" x14ac:dyDescent="0.45">
      <c r="G2446" s="9">
        <v>42481</v>
      </c>
      <c r="H2446" s="8">
        <v>13.95</v>
      </c>
    </row>
    <row r="2447" spans="7:8" x14ac:dyDescent="0.45">
      <c r="G2447" s="9">
        <v>42480</v>
      </c>
      <c r="H2447" s="8">
        <v>13.28</v>
      </c>
    </row>
    <row r="2448" spans="7:8" x14ac:dyDescent="0.45">
      <c r="G2448" s="9">
        <v>42479</v>
      </c>
      <c r="H2448" s="8">
        <v>13.24</v>
      </c>
    </row>
    <row r="2449" spans="7:8" x14ac:dyDescent="0.45">
      <c r="G2449" s="9">
        <v>42478</v>
      </c>
      <c r="H2449" s="8">
        <v>13.35</v>
      </c>
    </row>
    <row r="2450" spans="7:8" x14ac:dyDescent="0.45">
      <c r="G2450" s="9">
        <v>42475</v>
      </c>
      <c r="H2450" s="8">
        <v>13.62</v>
      </c>
    </row>
    <row r="2451" spans="7:8" x14ac:dyDescent="0.45">
      <c r="G2451" s="9">
        <v>42474</v>
      </c>
      <c r="H2451" s="8">
        <v>13.72</v>
      </c>
    </row>
    <row r="2452" spans="7:8" x14ac:dyDescent="0.45">
      <c r="G2452" s="9">
        <v>42473</v>
      </c>
      <c r="H2452" s="8">
        <v>13.84</v>
      </c>
    </row>
    <row r="2453" spans="7:8" x14ac:dyDescent="0.45">
      <c r="G2453" s="9">
        <v>42472</v>
      </c>
      <c r="H2453" s="8">
        <v>14.85</v>
      </c>
    </row>
    <row r="2454" spans="7:8" x14ac:dyDescent="0.45">
      <c r="G2454" s="9">
        <v>42471</v>
      </c>
      <c r="H2454" s="8">
        <v>16.260000000000002</v>
      </c>
    </row>
    <row r="2455" spans="7:8" x14ac:dyDescent="0.45">
      <c r="G2455" s="9">
        <v>42468</v>
      </c>
      <c r="H2455" s="8">
        <v>15.36</v>
      </c>
    </row>
    <row r="2456" spans="7:8" x14ac:dyDescent="0.45">
      <c r="G2456" s="9">
        <v>42467</v>
      </c>
      <c r="H2456" s="8">
        <v>16.16</v>
      </c>
    </row>
    <row r="2457" spans="7:8" x14ac:dyDescent="0.45">
      <c r="G2457" s="9">
        <v>42466</v>
      </c>
      <c r="H2457" s="8">
        <v>14.09</v>
      </c>
    </row>
    <row r="2458" spans="7:8" x14ac:dyDescent="0.45">
      <c r="G2458" s="9">
        <v>42465</v>
      </c>
      <c r="H2458" s="8">
        <v>15.42</v>
      </c>
    </row>
    <row r="2459" spans="7:8" x14ac:dyDescent="0.45">
      <c r="G2459" s="9">
        <v>42464</v>
      </c>
      <c r="H2459" s="8">
        <v>14.12</v>
      </c>
    </row>
    <row r="2460" spans="7:8" x14ac:dyDescent="0.45">
      <c r="G2460" s="9">
        <v>42461</v>
      </c>
      <c r="H2460" s="8">
        <v>13.1</v>
      </c>
    </row>
    <row r="2461" spans="7:8" x14ac:dyDescent="0.45">
      <c r="G2461" s="9">
        <v>42460</v>
      </c>
      <c r="H2461" s="8">
        <v>13.95</v>
      </c>
    </row>
    <row r="2462" spans="7:8" x14ac:dyDescent="0.45">
      <c r="G2462" s="9">
        <v>42459</v>
      </c>
      <c r="H2462" s="8">
        <v>13.56</v>
      </c>
    </row>
    <row r="2463" spans="7:8" x14ac:dyDescent="0.45">
      <c r="G2463" s="9">
        <v>42458</v>
      </c>
      <c r="H2463" s="8">
        <v>13.82</v>
      </c>
    </row>
    <row r="2464" spans="7:8" x14ac:dyDescent="0.45">
      <c r="G2464" s="9">
        <v>42457</v>
      </c>
      <c r="H2464" s="8">
        <v>15.24</v>
      </c>
    </row>
    <row r="2465" spans="7:8" x14ac:dyDescent="0.45">
      <c r="G2465" s="9">
        <v>42453</v>
      </c>
      <c r="H2465" s="8">
        <v>14.74</v>
      </c>
    </row>
    <row r="2466" spans="7:8" x14ac:dyDescent="0.45">
      <c r="G2466" s="9">
        <v>42452</v>
      </c>
      <c r="H2466" s="8">
        <v>14.94</v>
      </c>
    </row>
    <row r="2467" spans="7:8" x14ac:dyDescent="0.45">
      <c r="G2467" s="9">
        <v>42451</v>
      </c>
      <c r="H2467" s="8">
        <v>14.17</v>
      </c>
    </row>
    <row r="2468" spans="7:8" x14ac:dyDescent="0.45">
      <c r="G2468" s="9">
        <v>42450</v>
      </c>
      <c r="H2468" s="8">
        <v>13.79</v>
      </c>
    </row>
    <row r="2469" spans="7:8" x14ac:dyDescent="0.45">
      <c r="G2469" s="9">
        <v>42447</v>
      </c>
      <c r="H2469" s="8">
        <v>14.02</v>
      </c>
    </row>
    <row r="2470" spans="7:8" x14ac:dyDescent="0.45">
      <c r="G2470" s="9">
        <v>42446</v>
      </c>
      <c r="H2470" s="8">
        <v>14.44</v>
      </c>
    </row>
    <row r="2471" spans="7:8" x14ac:dyDescent="0.45">
      <c r="G2471" s="9">
        <v>42445</v>
      </c>
      <c r="H2471" s="8">
        <v>14.99</v>
      </c>
    </row>
    <row r="2472" spans="7:8" x14ac:dyDescent="0.45">
      <c r="G2472" s="9">
        <v>42444</v>
      </c>
      <c r="H2472" s="8">
        <v>16.84</v>
      </c>
    </row>
    <row r="2473" spans="7:8" x14ac:dyDescent="0.45">
      <c r="G2473" s="9">
        <v>42443</v>
      </c>
      <c r="H2473" s="8">
        <v>16.920000000000002</v>
      </c>
    </row>
    <row r="2474" spans="7:8" x14ac:dyDescent="0.45">
      <c r="G2474" s="9">
        <v>42440</v>
      </c>
      <c r="H2474" s="8">
        <v>16.5</v>
      </c>
    </row>
    <row r="2475" spans="7:8" x14ac:dyDescent="0.45">
      <c r="G2475" s="9">
        <v>42439</v>
      </c>
      <c r="H2475" s="8">
        <v>18.05</v>
      </c>
    </row>
    <row r="2476" spans="7:8" x14ac:dyDescent="0.45">
      <c r="G2476" s="9">
        <v>42438</v>
      </c>
      <c r="H2476" s="8">
        <v>18.34</v>
      </c>
    </row>
    <row r="2477" spans="7:8" x14ac:dyDescent="0.45">
      <c r="G2477" s="9">
        <v>42437</v>
      </c>
      <c r="H2477" s="8">
        <v>18.670000000000002</v>
      </c>
    </row>
    <row r="2478" spans="7:8" x14ac:dyDescent="0.45">
      <c r="G2478" s="9">
        <v>42436</v>
      </c>
      <c r="H2478" s="8">
        <v>17.350000000000001</v>
      </c>
    </row>
    <row r="2479" spans="7:8" x14ac:dyDescent="0.45">
      <c r="G2479" s="9">
        <v>42433</v>
      </c>
      <c r="H2479" s="8">
        <v>16.86</v>
      </c>
    </row>
    <row r="2480" spans="7:8" x14ac:dyDescent="0.45">
      <c r="G2480" s="9">
        <v>42432</v>
      </c>
      <c r="H2480" s="8">
        <v>16.7</v>
      </c>
    </row>
    <row r="2481" spans="7:8" x14ac:dyDescent="0.45">
      <c r="G2481" s="9">
        <v>42431</v>
      </c>
      <c r="H2481" s="8">
        <v>17.09</v>
      </c>
    </row>
    <row r="2482" spans="7:8" x14ac:dyDescent="0.45">
      <c r="G2482" s="9">
        <v>42430</v>
      </c>
      <c r="H2482" s="8">
        <v>17.7</v>
      </c>
    </row>
    <row r="2483" spans="7:8" x14ac:dyDescent="0.45">
      <c r="G2483" s="9">
        <v>42429</v>
      </c>
      <c r="H2483" s="8">
        <v>20.55</v>
      </c>
    </row>
    <row r="2484" spans="7:8" x14ac:dyDescent="0.45">
      <c r="G2484" s="9">
        <v>42426</v>
      </c>
      <c r="H2484" s="8">
        <v>19.809999999999999</v>
      </c>
    </row>
    <row r="2485" spans="7:8" x14ac:dyDescent="0.45">
      <c r="G2485" s="9">
        <v>42425</v>
      </c>
      <c r="H2485" s="8">
        <v>19.11</v>
      </c>
    </row>
    <row r="2486" spans="7:8" x14ac:dyDescent="0.45">
      <c r="G2486" s="9">
        <v>42424</v>
      </c>
      <c r="H2486" s="8">
        <v>20.72</v>
      </c>
    </row>
    <row r="2487" spans="7:8" x14ac:dyDescent="0.45">
      <c r="G2487" s="9">
        <v>42423</v>
      </c>
      <c r="H2487" s="8">
        <v>20.98</v>
      </c>
    </row>
    <row r="2488" spans="7:8" x14ac:dyDescent="0.45">
      <c r="G2488" s="9">
        <v>42422</v>
      </c>
      <c r="H2488" s="8">
        <v>19.38</v>
      </c>
    </row>
    <row r="2489" spans="7:8" x14ac:dyDescent="0.45">
      <c r="G2489" s="9">
        <v>42419</v>
      </c>
      <c r="H2489" s="8">
        <v>20.53</v>
      </c>
    </row>
    <row r="2490" spans="7:8" x14ac:dyDescent="0.45">
      <c r="G2490" s="9">
        <v>42418</v>
      </c>
      <c r="H2490" s="8">
        <v>21.64</v>
      </c>
    </row>
    <row r="2491" spans="7:8" x14ac:dyDescent="0.45">
      <c r="G2491" s="9">
        <v>42417</v>
      </c>
      <c r="H2491" s="8">
        <v>22.31</v>
      </c>
    </row>
    <row r="2492" spans="7:8" x14ac:dyDescent="0.45">
      <c r="G2492" s="9">
        <v>42416</v>
      </c>
      <c r="H2492" s="8">
        <v>24.11</v>
      </c>
    </row>
    <row r="2493" spans="7:8" x14ac:dyDescent="0.45">
      <c r="G2493" s="9">
        <v>42412</v>
      </c>
      <c r="H2493" s="8">
        <v>25.4</v>
      </c>
    </row>
    <row r="2494" spans="7:8" x14ac:dyDescent="0.45">
      <c r="G2494" s="9">
        <v>42411</v>
      </c>
      <c r="H2494" s="8">
        <v>28.14</v>
      </c>
    </row>
    <row r="2495" spans="7:8" x14ac:dyDescent="0.45">
      <c r="G2495" s="9">
        <v>42410</v>
      </c>
      <c r="H2495" s="8">
        <v>26.29</v>
      </c>
    </row>
    <row r="2496" spans="7:8" x14ac:dyDescent="0.45">
      <c r="G2496" s="9">
        <v>42409</v>
      </c>
      <c r="H2496" s="8">
        <v>26.54</v>
      </c>
    </row>
    <row r="2497" spans="7:8" x14ac:dyDescent="0.45">
      <c r="G2497" s="9">
        <v>42408</v>
      </c>
      <c r="H2497" s="8">
        <v>26</v>
      </c>
    </row>
    <row r="2498" spans="7:8" x14ac:dyDescent="0.45">
      <c r="G2498" s="9">
        <v>42405</v>
      </c>
      <c r="H2498" s="8">
        <v>23.38</v>
      </c>
    </row>
    <row r="2499" spans="7:8" x14ac:dyDescent="0.45">
      <c r="G2499" s="9">
        <v>42404</v>
      </c>
      <c r="H2499" s="8">
        <v>21.84</v>
      </c>
    </row>
    <row r="2500" spans="7:8" x14ac:dyDescent="0.45">
      <c r="G2500" s="9">
        <v>42403</v>
      </c>
      <c r="H2500" s="8">
        <v>21.65</v>
      </c>
    </row>
    <row r="2501" spans="7:8" x14ac:dyDescent="0.45">
      <c r="G2501" s="9">
        <v>42402</v>
      </c>
      <c r="H2501" s="8">
        <v>21.98</v>
      </c>
    </row>
    <row r="2502" spans="7:8" x14ac:dyDescent="0.45">
      <c r="G2502" s="9">
        <v>42401</v>
      </c>
      <c r="H2502" s="8">
        <v>19.98</v>
      </c>
    </row>
    <row r="2503" spans="7:8" x14ac:dyDescent="0.45">
      <c r="G2503" s="9">
        <v>42398</v>
      </c>
      <c r="H2503" s="8">
        <v>20.2</v>
      </c>
    </row>
    <row r="2504" spans="7:8" x14ac:dyDescent="0.45">
      <c r="G2504" s="9">
        <v>42397</v>
      </c>
      <c r="H2504" s="8">
        <v>22.42</v>
      </c>
    </row>
    <row r="2505" spans="7:8" x14ac:dyDescent="0.45">
      <c r="G2505" s="9">
        <v>42396</v>
      </c>
      <c r="H2505" s="8">
        <v>23.11</v>
      </c>
    </row>
    <row r="2506" spans="7:8" x14ac:dyDescent="0.45">
      <c r="G2506" s="9">
        <v>42395</v>
      </c>
      <c r="H2506" s="8">
        <v>22.5</v>
      </c>
    </row>
    <row r="2507" spans="7:8" x14ac:dyDescent="0.45">
      <c r="G2507" s="9">
        <v>42394</v>
      </c>
      <c r="H2507" s="8">
        <v>24.15</v>
      </c>
    </row>
    <row r="2508" spans="7:8" x14ac:dyDescent="0.45">
      <c r="G2508" s="9">
        <v>42391</v>
      </c>
      <c r="H2508" s="8">
        <v>22.34</v>
      </c>
    </row>
    <row r="2509" spans="7:8" x14ac:dyDescent="0.45">
      <c r="G2509" s="9">
        <v>42390</v>
      </c>
      <c r="H2509" s="8">
        <v>26.69</v>
      </c>
    </row>
    <row r="2510" spans="7:8" x14ac:dyDescent="0.45">
      <c r="G2510" s="9">
        <v>42389</v>
      </c>
      <c r="H2510" s="8">
        <v>27.59</v>
      </c>
    </row>
    <row r="2511" spans="7:8" x14ac:dyDescent="0.45">
      <c r="G2511" s="9">
        <v>42388</v>
      </c>
      <c r="H2511" s="8">
        <v>26.05</v>
      </c>
    </row>
    <row r="2512" spans="7:8" x14ac:dyDescent="0.45">
      <c r="G2512" s="9">
        <v>42384</v>
      </c>
      <c r="H2512" s="8">
        <v>27.02</v>
      </c>
    </row>
    <row r="2513" spans="7:8" x14ac:dyDescent="0.45">
      <c r="G2513" s="9">
        <v>42383</v>
      </c>
      <c r="H2513" s="8">
        <v>23.95</v>
      </c>
    </row>
    <row r="2514" spans="7:8" x14ac:dyDescent="0.45">
      <c r="G2514" s="9">
        <v>42382</v>
      </c>
      <c r="H2514" s="8">
        <v>25.22</v>
      </c>
    </row>
    <row r="2515" spans="7:8" x14ac:dyDescent="0.45">
      <c r="G2515" s="9">
        <v>42381</v>
      </c>
      <c r="H2515" s="8">
        <v>22.47</v>
      </c>
    </row>
    <row r="2516" spans="7:8" x14ac:dyDescent="0.45">
      <c r="G2516" s="9">
        <v>42380</v>
      </c>
      <c r="H2516" s="8">
        <v>24.3</v>
      </c>
    </row>
    <row r="2517" spans="7:8" x14ac:dyDescent="0.45">
      <c r="G2517" s="9">
        <v>42377</v>
      </c>
      <c r="H2517" s="8">
        <v>27.01</v>
      </c>
    </row>
    <row r="2518" spans="7:8" x14ac:dyDescent="0.45">
      <c r="G2518" s="9">
        <v>42376</v>
      </c>
      <c r="H2518" s="8">
        <v>24.99</v>
      </c>
    </row>
    <row r="2519" spans="7:8" x14ac:dyDescent="0.45">
      <c r="G2519" s="9">
        <v>42375</v>
      </c>
      <c r="H2519" s="8">
        <v>20.59</v>
      </c>
    </row>
    <row r="2520" spans="7:8" x14ac:dyDescent="0.45">
      <c r="G2520" s="9">
        <v>42374</v>
      </c>
      <c r="H2520" s="8">
        <v>19.34</v>
      </c>
    </row>
    <row r="2521" spans="7:8" x14ac:dyDescent="0.45">
      <c r="G2521" s="9">
        <v>42373</v>
      </c>
      <c r="H2521" s="8">
        <v>20.7</v>
      </c>
    </row>
    <row r="2522" spans="7:8" x14ac:dyDescent="0.45">
      <c r="G2522" s="9">
        <v>42369</v>
      </c>
      <c r="H2522" s="8">
        <v>18.21</v>
      </c>
    </row>
    <row r="2523" spans="7:8" x14ac:dyDescent="0.45">
      <c r="G2523" s="9">
        <v>42368</v>
      </c>
      <c r="H2523" s="8">
        <v>17.29</v>
      </c>
    </row>
    <row r="2524" spans="7:8" x14ac:dyDescent="0.45">
      <c r="G2524" s="9">
        <v>42367</v>
      </c>
      <c r="H2524" s="8">
        <v>16.079999999999998</v>
      </c>
    </row>
    <row r="2525" spans="7:8" x14ac:dyDescent="0.45">
      <c r="G2525" s="9">
        <v>42366</v>
      </c>
      <c r="H2525" s="8">
        <v>16.91</v>
      </c>
    </row>
    <row r="2526" spans="7:8" x14ac:dyDescent="0.45">
      <c r="G2526" s="9">
        <v>42362</v>
      </c>
      <c r="H2526" s="8">
        <v>15.74</v>
      </c>
    </row>
    <row r="2527" spans="7:8" x14ac:dyDescent="0.45">
      <c r="G2527" s="9">
        <v>42361</v>
      </c>
      <c r="H2527" s="8">
        <v>15.57</v>
      </c>
    </row>
    <row r="2528" spans="7:8" x14ac:dyDescent="0.45">
      <c r="G2528" s="9">
        <v>42360</v>
      </c>
      <c r="H2528" s="8">
        <v>16.600000000000001</v>
      </c>
    </row>
    <row r="2529" spans="7:8" x14ac:dyDescent="0.45">
      <c r="G2529" s="9">
        <v>42359</v>
      </c>
      <c r="H2529" s="8">
        <v>18.7</v>
      </c>
    </row>
    <row r="2530" spans="7:8" x14ac:dyDescent="0.45">
      <c r="G2530" s="9">
        <v>42356</v>
      </c>
      <c r="H2530" s="8">
        <v>20.7</v>
      </c>
    </row>
    <row r="2531" spans="7:8" x14ac:dyDescent="0.45">
      <c r="G2531" s="9">
        <v>42355</v>
      </c>
      <c r="H2531" s="8">
        <v>18.940000000000001</v>
      </c>
    </row>
    <row r="2532" spans="7:8" x14ac:dyDescent="0.45">
      <c r="G2532" s="9">
        <v>42354</v>
      </c>
      <c r="H2532" s="8">
        <v>17.86</v>
      </c>
    </row>
    <row r="2533" spans="7:8" x14ac:dyDescent="0.45">
      <c r="G2533" s="9">
        <v>42353</v>
      </c>
      <c r="H2533" s="8">
        <v>20.95</v>
      </c>
    </row>
    <row r="2534" spans="7:8" x14ac:dyDescent="0.45">
      <c r="G2534" s="9">
        <v>42352</v>
      </c>
      <c r="H2534" s="8">
        <v>22.73</v>
      </c>
    </row>
    <row r="2535" spans="7:8" x14ac:dyDescent="0.45">
      <c r="G2535" s="9">
        <v>42349</v>
      </c>
      <c r="H2535" s="8">
        <v>24.39</v>
      </c>
    </row>
    <row r="2536" spans="7:8" x14ac:dyDescent="0.45">
      <c r="G2536" s="9">
        <v>42348</v>
      </c>
      <c r="H2536" s="8">
        <v>19.34</v>
      </c>
    </row>
    <row r="2537" spans="7:8" x14ac:dyDescent="0.45">
      <c r="G2537" s="9">
        <v>42347</v>
      </c>
      <c r="H2537" s="8">
        <v>19.61</v>
      </c>
    </row>
    <row r="2538" spans="7:8" x14ac:dyDescent="0.45">
      <c r="G2538" s="9">
        <v>42346</v>
      </c>
      <c r="H2538" s="8">
        <v>17.600000000000001</v>
      </c>
    </row>
    <row r="2539" spans="7:8" x14ac:dyDescent="0.45">
      <c r="G2539" s="9">
        <v>42345</v>
      </c>
      <c r="H2539" s="8">
        <v>15.84</v>
      </c>
    </row>
    <row r="2540" spans="7:8" x14ac:dyDescent="0.45">
      <c r="G2540" s="9">
        <v>42342</v>
      </c>
      <c r="H2540" s="8">
        <v>14.81</v>
      </c>
    </row>
    <row r="2541" spans="7:8" x14ac:dyDescent="0.45">
      <c r="G2541" s="9">
        <v>42341</v>
      </c>
      <c r="H2541" s="8">
        <v>18.11</v>
      </c>
    </row>
    <row r="2542" spans="7:8" x14ac:dyDescent="0.45">
      <c r="G2542" s="9">
        <v>42340</v>
      </c>
      <c r="H2542" s="8">
        <v>15.91</v>
      </c>
    </row>
    <row r="2543" spans="7:8" x14ac:dyDescent="0.45">
      <c r="G2543" s="9">
        <v>42339</v>
      </c>
      <c r="H2543" s="8">
        <v>14.67</v>
      </c>
    </row>
    <row r="2544" spans="7:8" x14ac:dyDescent="0.45">
      <c r="G2544" s="9">
        <v>42338</v>
      </c>
      <c r="H2544" s="8">
        <v>16.13</v>
      </c>
    </row>
    <row r="2545" spans="7:8" x14ac:dyDescent="0.45">
      <c r="G2545" s="9">
        <v>42335</v>
      </c>
      <c r="H2545" s="8">
        <v>15.12</v>
      </c>
    </row>
    <row r="2546" spans="7:8" x14ac:dyDescent="0.45">
      <c r="G2546" s="9">
        <v>42333</v>
      </c>
      <c r="H2546" s="8">
        <v>15.19</v>
      </c>
    </row>
    <row r="2547" spans="7:8" x14ac:dyDescent="0.45">
      <c r="G2547" s="9">
        <v>42332</v>
      </c>
      <c r="H2547" s="8">
        <v>15.93</v>
      </c>
    </row>
    <row r="2548" spans="7:8" x14ac:dyDescent="0.45">
      <c r="G2548" s="9">
        <v>42331</v>
      </c>
      <c r="H2548" s="8">
        <v>15.62</v>
      </c>
    </row>
    <row r="2549" spans="7:8" x14ac:dyDescent="0.45">
      <c r="G2549" s="9">
        <v>42328</v>
      </c>
      <c r="H2549" s="8">
        <v>15.47</v>
      </c>
    </row>
    <row r="2550" spans="7:8" x14ac:dyDescent="0.45">
      <c r="G2550" s="9">
        <v>42327</v>
      </c>
      <c r="H2550" s="8">
        <v>16.989999999999998</v>
      </c>
    </row>
    <row r="2551" spans="7:8" x14ac:dyDescent="0.45">
      <c r="G2551" s="9">
        <v>42326</v>
      </c>
      <c r="H2551" s="8">
        <v>16.850000000000001</v>
      </c>
    </row>
    <row r="2552" spans="7:8" x14ac:dyDescent="0.45">
      <c r="G2552" s="9">
        <v>42325</v>
      </c>
      <c r="H2552" s="8">
        <v>18.84</v>
      </c>
    </row>
    <row r="2553" spans="7:8" x14ac:dyDescent="0.45">
      <c r="G2553" s="9">
        <v>42324</v>
      </c>
      <c r="H2553" s="8">
        <v>18.16</v>
      </c>
    </row>
    <row r="2554" spans="7:8" x14ac:dyDescent="0.45">
      <c r="G2554" s="9">
        <v>42321</v>
      </c>
      <c r="H2554" s="8">
        <v>20.079999999999998</v>
      </c>
    </row>
    <row r="2555" spans="7:8" x14ac:dyDescent="0.45">
      <c r="G2555" s="9">
        <v>42320</v>
      </c>
      <c r="H2555" s="8">
        <v>18.37</v>
      </c>
    </row>
    <row r="2556" spans="7:8" x14ac:dyDescent="0.45">
      <c r="G2556" s="9">
        <v>42319</v>
      </c>
      <c r="H2556" s="8">
        <v>16.059999999999999</v>
      </c>
    </row>
    <row r="2557" spans="7:8" x14ac:dyDescent="0.45">
      <c r="G2557" s="9">
        <v>42318</v>
      </c>
      <c r="H2557" s="8">
        <v>15.29</v>
      </c>
    </row>
    <row r="2558" spans="7:8" x14ac:dyDescent="0.45">
      <c r="G2558" s="9">
        <v>42317</v>
      </c>
      <c r="H2558" s="8">
        <v>16.52</v>
      </c>
    </row>
    <row r="2559" spans="7:8" x14ac:dyDescent="0.45">
      <c r="G2559" s="9">
        <v>42314</v>
      </c>
      <c r="H2559" s="8">
        <v>14.33</v>
      </c>
    </row>
    <row r="2560" spans="7:8" x14ac:dyDescent="0.45">
      <c r="G2560" s="9">
        <v>42313</v>
      </c>
      <c r="H2560" s="8">
        <v>15.05</v>
      </c>
    </row>
    <row r="2561" spans="7:8" x14ac:dyDescent="0.45">
      <c r="G2561" s="9">
        <v>42312</v>
      </c>
      <c r="H2561" s="8">
        <v>15.51</v>
      </c>
    </row>
    <row r="2562" spans="7:8" x14ac:dyDescent="0.45">
      <c r="G2562" s="9">
        <v>42311</v>
      </c>
      <c r="H2562" s="8">
        <v>14.54</v>
      </c>
    </row>
    <row r="2563" spans="7:8" x14ac:dyDescent="0.45">
      <c r="G2563" s="9">
        <v>42310</v>
      </c>
      <c r="H2563" s="8">
        <v>14.15</v>
      </c>
    </row>
    <row r="2564" spans="7:8" x14ac:dyDescent="0.45">
      <c r="G2564" s="9">
        <v>42307</v>
      </c>
      <c r="H2564" s="8">
        <v>15.07</v>
      </c>
    </row>
    <row r="2565" spans="7:8" x14ac:dyDescent="0.45">
      <c r="G2565" s="9">
        <v>42306</v>
      </c>
      <c r="H2565" s="8">
        <v>14.61</v>
      </c>
    </row>
    <row r="2566" spans="7:8" x14ac:dyDescent="0.45">
      <c r="G2566" s="9">
        <v>42305</v>
      </c>
      <c r="H2566" s="8">
        <v>14.33</v>
      </c>
    </row>
    <row r="2567" spans="7:8" x14ac:dyDescent="0.45">
      <c r="G2567" s="9">
        <v>42304</v>
      </c>
      <c r="H2567" s="8">
        <v>15.43</v>
      </c>
    </row>
    <row r="2568" spans="7:8" x14ac:dyDescent="0.45">
      <c r="G2568" s="9">
        <v>42303</v>
      </c>
      <c r="H2568" s="8">
        <v>15.29</v>
      </c>
    </row>
    <row r="2569" spans="7:8" x14ac:dyDescent="0.45">
      <c r="G2569" s="9">
        <v>42300</v>
      </c>
      <c r="H2569" s="8">
        <v>14.46</v>
      </c>
    </row>
    <row r="2570" spans="7:8" x14ac:dyDescent="0.45">
      <c r="G2570" s="9">
        <v>42299</v>
      </c>
      <c r="H2570" s="8">
        <v>14.45</v>
      </c>
    </row>
    <row r="2571" spans="7:8" x14ac:dyDescent="0.45">
      <c r="G2571" s="9">
        <v>42298</v>
      </c>
      <c r="H2571" s="8">
        <v>16.7</v>
      </c>
    </row>
    <row r="2572" spans="7:8" x14ac:dyDescent="0.45">
      <c r="G2572" s="9">
        <v>42297</v>
      </c>
      <c r="H2572" s="8">
        <v>15.75</v>
      </c>
    </row>
    <row r="2573" spans="7:8" x14ac:dyDescent="0.45">
      <c r="G2573" s="9">
        <v>42296</v>
      </c>
      <c r="H2573" s="8">
        <v>14.98</v>
      </c>
    </row>
    <row r="2574" spans="7:8" x14ac:dyDescent="0.45">
      <c r="G2574" s="9">
        <v>42293</v>
      </c>
      <c r="H2574" s="8">
        <v>15.05</v>
      </c>
    </row>
    <row r="2575" spans="7:8" x14ac:dyDescent="0.45">
      <c r="G2575" s="9">
        <v>42292</v>
      </c>
      <c r="H2575" s="8">
        <v>16.05</v>
      </c>
    </row>
    <row r="2576" spans="7:8" x14ac:dyDescent="0.45">
      <c r="G2576" s="9">
        <v>42291</v>
      </c>
      <c r="H2576" s="8">
        <v>18.03</v>
      </c>
    </row>
    <row r="2577" spans="7:8" x14ac:dyDescent="0.45">
      <c r="G2577" s="9">
        <v>42290</v>
      </c>
      <c r="H2577" s="8">
        <v>17.670000000000002</v>
      </c>
    </row>
    <row r="2578" spans="7:8" x14ac:dyDescent="0.45">
      <c r="G2578" s="9">
        <v>42289</v>
      </c>
      <c r="H2578" s="8">
        <v>16.170000000000002</v>
      </c>
    </row>
    <row r="2579" spans="7:8" x14ac:dyDescent="0.45">
      <c r="G2579" s="9">
        <v>42286</v>
      </c>
      <c r="H2579" s="8">
        <v>17.079999999999998</v>
      </c>
    </row>
    <row r="2580" spans="7:8" x14ac:dyDescent="0.45">
      <c r="G2580" s="9">
        <v>42285</v>
      </c>
      <c r="H2580" s="8">
        <v>17.420000000000002</v>
      </c>
    </row>
    <row r="2581" spans="7:8" x14ac:dyDescent="0.45">
      <c r="G2581" s="9">
        <v>42284</v>
      </c>
      <c r="H2581" s="8">
        <v>18.399999999999999</v>
      </c>
    </row>
    <row r="2582" spans="7:8" x14ac:dyDescent="0.45">
      <c r="G2582" s="9">
        <v>42283</v>
      </c>
      <c r="H2582" s="8">
        <v>19.399999999999999</v>
      </c>
    </row>
    <row r="2583" spans="7:8" x14ac:dyDescent="0.45">
      <c r="G2583" s="9">
        <v>42282</v>
      </c>
      <c r="H2583" s="8">
        <v>19.54</v>
      </c>
    </row>
    <row r="2584" spans="7:8" x14ac:dyDescent="0.45">
      <c r="G2584" s="9">
        <v>42279</v>
      </c>
      <c r="H2584" s="8">
        <v>20.94</v>
      </c>
    </row>
    <row r="2585" spans="7:8" x14ac:dyDescent="0.45">
      <c r="G2585" s="9">
        <v>42278</v>
      </c>
      <c r="H2585" s="8">
        <v>22.55</v>
      </c>
    </row>
    <row r="2586" spans="7:8" x14ac:dyDescent="0.45">
      <c r="G2586" s="9">
        <v>42277</v>
      </c>
      <c r="H2586" s="8">
        <v>24.5</v>
      </c>
    </row>
    <row r="2587" spans="7:8" x14ac:dyDescent="0.45">
      <c r="G2587" s="9">
        <v>42276</v>
      </c>
      <c r="H2587" s="8">
        <v>26.83</v>
      </c>
    </row>
    <row r="2588" spans="7:8" x14ac:dyDescent="0.45">
      <c r="G2588" s="9">
        <v>42275</v>
      </c>
      <c r="H2588" s="8">
        <v>27.63</v>
      </c>
    </row>
    <row r="2589" spans="7:8" x14ac:dyDescent="0.45">
      <c r="G2589" s="9">
        <v>42272</v>
      </c>
      <c r="H2589" s="8">
        <v>23.62</v>
      </c>
    </row>
    <row r="2590" spans="7:8" x14ac:dyDescent="0.45">
      <c r="G2590" s="9">
        <v>42271</v>
      </c>
      <c r="H2590" s="8">
        <v>23.47</v>
      </c>
    </row>
    <row r="2591" spans="7:8" x14ac:dyDescent="0.45">
      <c r="G2591" s="9">
        <v>42270</v>
      </c>
      <c r="H2591" s="8">
        <v>22.13</v>
      </c>
    </row>
    <row r="2592" spans="7:8" x14ac:dyDescent="0.45">
      <c r="G2592" s="9">
        <v>42269</v>
      </c>
      <c r="H2592" s="8">
        <v>22.44</v>
      </c>
    </row>
    <row r="2593" spans="7:8" x14ac:dyDescent="0.45">
      <c r="G2593" s="9">
        <v>42268</v>
      </c>
      <c r="H2593" s="8">
        <v>20.14</v>
      </c>
    </row>
    <row r="2594" spans="7:8" x14ac:dyDescent="0.45">
      <c r="G2594" s="9">
        <v>42265</v>
      </c>
      <c r="H2594" s="8">
        <v>22.28</v>
      </c>
    </row>
    <row r="2595" spans="7:8" x14ac:dyDescent="0.45">
      <c r="G2595" s="9">
        <v>42264</v>
      </c>
      <c r="H2595" s="8">
        <v>21.14</v>
      </c>
    </row>
    <row r="2596" spans="7:8" x14ac:dyDescent="0.45">
      <c r="G2596" s="9">
        <v>42263</v>
      </c>
      <c r="H2596" s="8">
        <v>21.35</v>
      </c>
    </row>
    <row r="2597" spans="7:8" x14ac:dyDescent="0.45">
      <c r="G2597" s="9">
        <v>42262</v>
      </c>
      <c r="H2597" s="8">
        <v>22.54</v>
      </c>
    </row>
    <row r="2598" spans="7:8" x14ac:dyDescent="0.45">
      <c r="G2598" s="9">
        <v>42261</v>
      </c>
      <c r="H2598" s="8">
        <v>24.25</v>
      </c>
    </row>
    <row r="2599" spans="7:8" x14ac:dyDescent="0.45">
      <c r="G2599" s="9">
        <v>42258</v>
      </c>
      <c r="H2599" s="8">
        <v>23.2</v>
      </c>
    </row>
    <row r="2600" spans="7:8" x14ac:dyDescent="0.45">
      <c r="G2600" s="9">
        <v>42257</v>
      </c>
      <c r="H2600" s="8">
        <v>24.37</v>
      </c>
    </row>
    <row r="2601" spans="7:8" x14ac:dyDescent="0.45">
      <c r="G2601" s="9">
        <v>42256</v>
      </c>
      <c r="H2601" s="8">
        <v>26.23</v>
      </c>
    </row>
    <row r="2602" spans="7:8" x14ac:dyDescent="0.45">
      <c r="G2602" s="9">
        <v>42255</v>
      </c>
      <c r="H2602" s="8">
        <v>24.9</v>
      </c>
    </row>
    <row r="2603" spans="7:8" x14ac:dyDescent="0.45">
      <c r="G2603" s="9">
        <v>42251</v>
      </c>
      <c r="H2603" s="8">
        <v>27.8</v>
      </c>
    </row>
    <row r="2604" spans="7:8" x14ac:dyDescent="0.45">
      <c r="G2604" s="9">
        <v>42250</v>
      </c>
      <c r="H2604" s="8">
        <v>25.61</v>
      </c>
    </row>
    <row r="2605" spans="7:8" x14ac:dyDescent="0.45">
      <c r="G2605" s="9">
        <v>42249</v>
      </c>
      <c r="H2605" s="8">
        <v>26.09</v>
      </c>
    </row>
    <row r="2606" spans="7:8" x14ac:dyDescent="0.45">
      <c r="G2606" s="9">
        <v>42248</v>
      </c>
      <c r="H2606" s="8">
        <v>31.4</v>
      </c>
    </row>
    <row r="2607" spans="7:8" x14ac:dyDescent="0.45">
      <c r="G2607" s="9">
        <v>42247</v>
      </c>
      <c r="H2607" s="8">
        <v>28.43</v>
      </c>
    </row>
    <row r="2608" spans="7:8" x14ac:dyDescent="0.45">
      <c r="G2608" s="9">
        <v>42244</v>
      </c>
      <c r="H2608" s="8">
        <v>26.05</v>
      </c>
    </row>
    <row r="2609" spans="7:8" x14ac:dyDescent="0.45">
      <c r="G2609" s="9">
        <v>42243</v>
      </c>
      <c r="H2609" s="8">
        <v>26.1</v>
      </c>
    </row>
    <row r="2610" spans="7:8" x14ac:dyDescent="0.45">
      <c r="G2610" s="9">
        <v>42242</v>
      </c>
      <c r="H2610" s="8">
        <v>30.32</v>
      </c>
    </row>
    <row r="2611" spans="7:8" x14ac:dyDescent="0.45">
      <c r="G2611" s="9">
        <v>42241</v>
      </c>
      <c r="H2611" s="8">
        <v>36.020000000000003</v>
      </c>
    </row>
    <row r="2612" spans="7:8" x14ac:dyDescent="0.45">
      <c r="G2612" s="9">
        <v>42240</v>
      </c>
      <c r="H2612" s="8">
        <v>40.74</v>
      </c>
    </row>
    <row r="2613" spans="7:8" x14ac:dyDescent="0.45">
      <c r="G2613" s="9">
        <v>42237</v>
      </c>
      <c r="H2613" s="8">
        <v>28.03</v>
      </c>
    </row>
    <row r="2614" spans="7:8" x14ac:dyDescent="0.45">
      <c r="G2614" s="9">
        <v>42236</v>
      </c>
      <c r="H2614" s="8">
        <v>19.14</v>
      </c>
    </row>
    <row r="2615" spans="7:8" x14ac:dyDescent="0.45">
      <c r="G2615" s="9">
        <v>42235</v>
      </c>
      <c r="H2615" s="8">
        <v>15.25</v>
      </c>
    </row>
    <row r="2616" spans="7:8" x14ac:dyDescent="0.45">
      <c r="G2616" s="9">
        <v>42234</v>
      </c>
      <c r="H2616" s="8">
        <v>13.79</v>
      </c>
    </row>
    <row r="2617" spans="7:8" x14ac:dyDescent="0.45">
      <c r="G2617" s="9">
        <v>42233</v>
      </c>
      <c r="H2617" s="8">
        <v>13.02</v>
      </c>
    </row>
    <row r="2618" spans="7:8" x14ac:dyDescent="0.45">
      <c r="G2618" s="9">
        <v>42230</v>
      </c>
      <c r="H2618" s="8">
        <v>12.83</v>
      </c>
    </row>
    <row r="2619" spans="7:8" x14ac:dyDescent="0.45">
      <c r="G2619" s="9">
        <v>42229</v>
      </c>
      <c r="H2619" s="8">
        <v>13.49</v>
      </c>
    </row>
    <row r="2620" spans="7:8" x14ac:dyDescent="0.45">
      <c r="G2620" s="9">
        <v>42228</v>
      </c>
      <c r="H2620" s="8">
        <v>13.61</v>
      </c>
    </row>
    <row r="2621" spans="7:8" x14ac:dyDescent="0.45">
      <c r="G2621" s="9">
        <v>42227</v>
      </c>
      <c r="H2621" s="8">
        <v>13.71</v>
      </c>
    </row>
    <row r="2622" spans="7:8" x14ac:dyDescent="0.45">
      <c r="G2622" s="9">
        <v>42226</v>
      </c>
      <c r="H2622" s="8">
        <v>12.23</v>
      </c>
    </row>
    <row r="2623" spans="7:8" x14ac:dyDescent="0.45">
      <c r="G2623" s="9">
        <v>42223</v>
      </c>
      <c r="H2623" s="8">
        <v>13.39</v>
      </c>
    </row>
    <row r="2624" spans="7:8" x14ac:dyDescent="0.45">
      <c r="G2624" s="9">
        <v>42222</v>
      </c>
      <c r="H2624" s="8">
        <v>13.77</v>
      </c>
    </row>
    <row r="2625" spans="7:8" x14ac:dyDescent="0.45">
      <c r="G2625" s="9">
        <v>42221</v>
      </c>
      <c r="H2625" s="8">
        <v>12.51</v>
      </c>
    </row>
    <row r="2626" spans="7:8" x14ac:dyDescent="0.45">
      <c r="G2626" s="9">
        <v>42220</v>
      </c>
      <c r="H2626" s="8">
        <v>13</v>
      </c>
    </row>
    <row r="2627" spans="7:8" x14ac:dyDescent="0.45">
      <c r="G2627" s="9">
        <v>42219</v>
      </c>
      <c r="H2627" s="8">
        <v>12.56</v>
      </c>
    </row>
    <row r="2628" spans="7:8" x14ac:dyDescent="0.45">
      <c r="G2628" s="9">
        <v>42216</v>
      </c>
      <c r="H2628" s="8">
        <v>12.12</v>
      </c>
    </row>
    <row r="2629" spans="7:8" x14ac:dyDescent="0.45">
      <c r="G2629" s="9">
        <v>42215</v>
      </c>
      <c r="H2629" s="8">
        <v>12.13</v>
      </c>
    </row>
    <row r="2630" spans="7:8" x14ac:dyDescent="0.45">
      <c r="G2630" s="9">
        <v>42214</v>
      </c>
      <c r="H2630" s="8">
        <v>12.5</v>
      </c>
    </row>
    <row r="2631" spans="7:8" x14ac:dyDescent="0.45">
      <c r="G2631" s="9">
        <v>42213</v>
      </c>
      <c r="H2631" s="8">
        <v>13.44</v>
      </c>
    </row>
    <row r="2632" spans="7:8" x14ac:dyDescent="0.45">
      <c r="G2632" s="9">
        <v>42212</v>
      </c>
      <c r="H2632" s="8">
        <v>15.6</v>
      </c>
    </row>
    <row r="2633" spans="7:8" x14ac:dyDescent="0.45">
      <c r="G2633" s="9">
        <v>42209</v>
      </c>
      <c r="H2633" s="8">
        <v>13.74</v>
      </c>
    </row>
    <row r="2634" spans="7:8" x14ac:dyDescent="0.45">
      <c r="G2634" s="9">
        <v>42208</v>
      </c>
      <c r="H2634" s="8">
        <v>12.64</v>
      </c>
    </row>
    <row r="2635" spans="7:8" x14ac:dyDescent="0.45">
      <c r="G2635" s="9">
        <v>42207</v>
      </c>
      <c r="H2635" s="8">
        <v>12.12</v>
      </c>
    </row>
    <row r="2636" spans="7:8" x14ac:dyDescent="0.45">
      <c r="G2636" s="9">
        <v>42206</v>
      </c>
      <c r="H2636" s="8">
        <v>12.22</v>
      </c>
    </row>
    <row r="2637" spans="7:8" x14ac:dyDescent="0.45">
      <c r="G2637" s="9">
        <v>42205</v>
      </c>
      <c r="H2637" s="8">
        <v>12.25</v>
      </c>
    </row>
    <row r="2638" spans="7:8" x14ac:dyDescent="0.45">
      <c r="G2638" s="9">
        <v>42202</v>
      </c>
      <c r="H2638" s="8">
        <v>11.95</v>
      </c>
    </row>
    <row r="2639" spans="7:8" x14ac:dyDescent="0.45">
      <c r="G2639" s="9">
        <v>42201</v>
      </c>
      <c r="H2639" s="8">
        <v>12.11</v>
      </c>
    </row>
    <row r="2640" spans="7:8" x14ac:dyDescent="0.45">
      <c r="G2640" s="9">
        <v>42200</v>
      </c>
      <c r="H2640" s="8">
        <v>13.23</v>
      </c>
    </row>
    <row r="2641" spans="7:8" x14ac:dyDescent="0.45">
      <c r="G2641" s="9">
        <v>42199</v>
      </c>
      <c r="H2641" s="8">
        <v>13.37</v>
      </c>
    </row>
    <row r="2642" spans="7:8" x14ac:dyDescent="0.45">
      <c r="G2642" s="9">
        <v>42198</v>
      </c>
      <c r="H2642" s="8">
        <v>13.9</v>
      </c>
    </row>
    <row r="2643" spans="7:8" x14ac:dyDescent="0.45">
      <c r="G2643" s="9">
        <v>42195</v>
      </c>
      <c r="H2643" s="8">
        <v>16.829999999999998</v>
      </c>
    </row>
    <row r="2644" spans="7:8" x14ac:dyDescent="0.45">
      <c r="G2644" s="9">
        <v>42194</v>
      </c>
      <c r="H2644" s="8">
        <v>19.97</v>
      </c>
    </row>
    <row r="2645" spans="7:8" x14ac:dyDescent="0.45">
      <c r="G2645" s="9">
        <v>42193</v>
      </c>
      <c r="H2645" s="8">
        <v>19.66</v>
      </c>
    </row>
    <row r="2646" spans="7:8" x14ac:dyDescent="0.45">
      <c r="G2646" s="9">
        <v>42192</v>
      </c>
      <c r="H2646" s="8">
        <v>16.09</v>
      </c>
    </row>
    <row r="2647" spans="7:8" x14ac:dyDescent="0.45">
      <c r="G2647" s="9">
        <v>42191</v>
      </c>
      <c r="H2647" s="8">
        <v>17.010000000000002</v>
      </c>
    </row>
    <row r="2648" spans="7:8" x14ac:dyDescent="0.45">
      <c r="G2648" s="9">
        <v>42187</v>
      </c>
      <c r="H2648" s="8">
        <v>16.79</v>
      </c>
    </row>
    <row r="2649" spans="7:8" x14ac:dyDescent="0.45">
      <c r="G2649" s="9">
        <v>42186</v>
      </c>
      <c r="H2649" s="8">
        <v>16.09</v>
      </c>
    </row>
    <row r="2650" spans="7:8" x14ac:dyDescent="0.45">
      <c r="G2650" s="9">
        <v>42185</v>
      </c>
      <c r="H2650" s="8">
        <v>18.23</v>
      </c>
    </row>
    <row r="2651" spans="7:8" x14ac:dyDescent="0.45">
      <c r="G2651" s="9">
        <v>42184</v>
      </c>
      <c r="H2651" s="8">
        <v>18.850000000000001</v>
      </c>
    </row>
    <row r="2652" spans="7:8" x14ac:dyDescent="0.45">
      <c r="G2652" s="9">
        <v>42181</v>
      </c>
      <c r="H2652" s="8">
        <v>14.02</v>
      </c>
    </row>
    <row r="2653" spans="7:8" x14ac:dyDescent="0.45">
      <c r="G2653" s="9">
        <v>42180</v>
      </c>
      <c r="H2653" s="8">
        <v>14.01</v>
      </c>
    </row>
    <row r="2654" spans="7:8" x14ac:dyDescent="0.45">
      <c r="G2654" s="9">
        <v>42179</v>
      </c>
      <c r="H2654" s="8">
        <v>13.26</v>
      </c>
    </row>
    <row r="2655" spans="7:8" x14ac:dyDescent="0.45">
      <c r="G2655" s="9">
        <v>42178</v>
      </c>
      <c r="H2655" s="8">
        <v>12.11</v>
      </c>
    </row>
    <row r="2656" spans="7:8" x14ac:dyDescent="0.45">
      <c r="G2656" s="9">
        <v>42177</v>
      </c>
      <c r="H2656" s="8">
        <v>12.74</v>
      </c>
    </row>
    <row r="2657" spans="7:8" x14ac:dyDescent="0.45">
      <c r="G2657" s="9">
        <v>42174</v>
      </c>
      <c r="H2657" s="8">
        <v>13.96</v>
      </c>
    </row>
    <row r="2658" spans="7:8" x14ac:dyDescent="0.45">
      <c r="G2658" s="9">
        <v>42173</v>
      </c>
      <c r="H2658" s="8">
        <v>13.19</v>
      </c>
    </row>
    <row r="2659" spans="7:8" x14ac:dyDescent="0.45">
      <c r="G2659" s="9">
        <v>42172</v>
      </c>
      <c r="H2659" s="8">
        <v>14.5</v>
      </c>
    </row>
    <row r="2660" spans="7:8" x14ac:dyDescent="0.45">
      <c r="G2660" s="9">
        <v>42171</v>
      </c>
      <c r="H2660" s="8">
        <v>14.81</v>
      </c>
    </row>
    <row r="2661" spans="7:8" x14ac:dyDescent="0.45">
      <c r="G2661" s="9">
        <v>42170</v>
      </c>
      <c r="H2661" s="8">
        <v>15.39</v>
      </c>
    </row>
    <row r="2662" spans="7:8" x14ac:dyDescent="0.45">
      <c r="G2662" s="9">
        <v>42167</v>
      </c>
      <c r="H2662" s="8">
        <v>13.78</v>
      </c>
    </row>
    <row r="2663" spans="7:8" x14ac:dyDescent="0.45">
      <c r="G2663" s="9">
        <v>42166</v>
      </c>
      <c r="H2663" s="8">
        <v>12.85</v>
      </c>
    </row>
    <row r="2664" spans="7:8" x14ac:dyDescent="0.45">
      <c r="G2664" s="9">
        <v>42165</v>
      </c>
      <c r="H2664" s="8">
        <v>13.22</v>
      </c>
    </row>
    <row r="2665" spans="7:8" x14ac:dyDescent="0.45">
      <c r="G2665" s="9">
        <v>42164</v>
      </c>
      <c r="H2665" s="8">
        <v>14.47</v>
      </c>
    </row>
    <row r="2666" spans="7:8" x14ac:dyDescent="0.45">
      <c r="G2666" s="9">
        <v>42163</v>
      </c>
      <c r="H2666" s="8">
        <v>15.29</v>
      </c>
    </row>
    <row r="2667" spans="7:8" x14ac:dyDescent="0.45">
      <c r="G2667" s="9">
        <v>42160</v>
      </c>
      <c r="H2667" s="8">
        <v>14.21</v>
      </c>
    </row>
    <row r="2668" spans="7:8" x14ac:dyDescent="0.45">
      <c r="G2668" s="9">
        <v>42159</v>
      </c>
      <c r="H2668" s="8">
        <v>14.71</v>
      </c>
    </row>
    <row r="2669" spans="7:8" x14ac:dyDescent="0.45">
      <c r="G2669" s="9">
        <v>42158</v>
      </c>
      <c r="H2669" s="8">
        <v>13.66</v>
      </c>
    </row>
    <row r="2670" spans="7:8" x14ac:dyDescent="0.45">
      <c r="G2670" s="9">
        <v>42157</v>
      </c>
      <c r="H2670" s="8">
        <v>14.24</v>
      </c>
    </row>
    <row r="2671" spans="7:8" x14ac:dyDescent="0.45">
      <c r="G2671" s="9">
        <v>42156</v>
      </c>
      <c r="H2671" s="8">
        <v>13.97</v>
      </c>
    </row>
    <row r="2672" spans="7:8" x14ac:dyDescent="0.45">
      <c r="G2672" s="9">
        <v>42153</v>
      </c>
      <c r="H2672" s="8">
        <v>13.84</v>
      </c>
    </row>
    <row r="2673" spans="7:8" x14ac:dyDescent="0.45">
      <c r="G2673" s="9">
        <v>42152</v>
      </c>
      <c r="H2673" s="8">
        <v>13.31</v>
      </c>
    </row>
    <row r="2674" spans="7:8" x14ac:dyDescent="0.45">
      <c r="G2674" s="9">
        <v>42151</v>
      </c>
      <c r="H2674" s="8">
        <v>13.27</v>
      </c>
    </row>
    <row r="2675" spans="7:8" x14ac:dyDescent="0.45">
      <c r="G2675" s="9">
        <v>42150</v>
      </c>
      <c r="H2675" s="8">
        <v>14.06</v>
      </c>
    </row>
    <row r="2676" spans="7:8" x14ac:dyDescent="0.45">
      <c r="G2676" s="9">
        <v>42146</v>
      </c>
      <c r="H2676" s="8">
        <v>12.13</v>
      </c>
    </row>
    <row r="2677" spans="7:8" x14ac:dyDescent="0.45">
      <c r="G2677" s="9">
        <v>42145</v>
      </c>
      <c r="H2677" s="8">
        <v>12.11</v>
      </c>
    </row>
    <row r="2678" spans="7:8" x14ac:dyDescent="0.45">
      <c r="G2678" s="9">
        <v>42144</v>
      </c>
      <c r="H2678" s="8">
        <v>12.88</v>
      </c>
    </row>
    <row r="2679" spans="7:8" x14ac:dyDescent="0.45">
      <c r="G2679" s="9">
        <v>42143</v>
      </c>
      <c r="H2679" s="8">
        <v>12.85</v>
      </c>
    </row>
    <row r="2680" spans="7:8" x14ac:dyDescent="0.45">
      <c r="G2680" s="9">
        <v>42142</v>
      </c>
      <c r="H2680" s="8">
        <v>12.73</v>
      </c>
    </row>
    <row r="2681" spans="7:8" x14ac:dyDescent="0.45">
      <c r="G2681" s="9">
        <v>42139</v>
      </c>
      <c r="H2681" s="8">
        <v>12.38</v>
      </c>
    </row>
    <row r="2682" spans="7:8" x14ac:dyDescent="0.45">
      <c r="G2682" s="9">
        <v>42138</v>
      </c>
      <c r="H2682" s="8">
        <v>12.74</v>
      </c>
    </row>
    <row r="2683" spans="7:8" x14ac:dyDescent="0.45">
      <c r="G2683" s="9">
        <v>42137</v>
      </c>
      <c r="H2683" s="8">
        <v>13.76</v>
      </c>
    </row>
    <row r="2684" spans="7:8" x14ac:dyDescent="0.45">
      <c r="G2684" s="9">
        <v>42136</v>
      </c>
      <c r="H2684" s="8">
        <v>13.86</v>
      </c>
    </row>
    <row r="2685" spans="7:8" x14ac:dyDescent="0.45">
      <c r="G2685" s="9">
        <v>42135</v>
      </c>
      <c r="H2685" s="8">
        <v>13.85</v>
      </c>
    </row>
    <row r="2686" spans="7:8" x14ac:dyDescent="0.45">
      <c r="G2686" s="9">
        <v>42132</v>
      </c>
      <c r="H2686" s="8">
        <v>12.86</v>
      </c>
    </row>
    <row r="2687" spans="7:8" x14ac:dyDescent="0.45">
      <c r="G2687" s="9">
        <v>42131</v>
      </c>
      <c r="H2687" s="8">
        <v>15.13</v>
      </c>
    </row>
    <row r="2688" spans="7:8" x14ac:dyDescent="0.45">
      <c r="G2688" s="9">
        <v>42130</v>
      </c>
      <c r="H2688" s="8">
        <v>15.15</v>
      </c>
    </row>
    <row r="2689" spans="7:8" x14ac:dyDescent="0.45">
      <c r="G2689" s="9">
        <v>42129</v>
      </c>
      <c r="H2689" s="8">
        <v>14.31</v>
      </c>
    </row>
    <row r="2690" spans="7:8" x14ac:dyDescent="0.45">
      <c r="G2690" s="9">
        <v>42128</v>
      </c>
      <c r="H2690" s="8">
        <v>12.85</v>
      </c>
    </row>
    <row r="2691" spans="7:8" x14ac:dyDescent="0.45">
      <c r="G2691" s="9">
        <v>42125</v>
      </c>
      <c r="H2691" s="8">
        <v>12.7</v>
      </c>
    </row>
    <row r="2692" spans="7:8" x14ac:dyDescent="0.45">
      <c r="G2692" s="9">
        <v>42124</v>
      </c>
      <c r="H2692" s="8">
        <v>14.55</v>
      </c>
    </row>
    <row r="2693" spans="7:8" x14ac:dyDescent="0.45">
      <c r="G2693" s="9">
        <v>42123</v>
      </c>
      <c r="H2693" s="8">
        <v>13.39</v>
      </c>
    </row>
    <row r="2694" spans="7:8" x14ac:dyDescent="0.45">
      <c r="G2694" s="9">
        <v>42122</v>
      </c>
      <c r="H2694" s="8">
        <v>12.41</v>
      </c>
    </row>
    <row r="2695" spans="7:8" x14ac:dyDescent="0.45">
      <c r="G2695" s="9">
        <v>42121</v>
      </c>
      <c r="H2695" s="8">
        <v>13.12</v>
      </c>
    </row>
    <row r="2696" spans="7:8" x14ac:dyDescent="0.45">
      <c r="G2696" s="9">
        <v>42118</v>
      </c>
      <c r="H2696" s="8">
        <v>12.29</v>
      </c>
    </row>
    <row r="2697" spans="7:8" x14ac:dyDescent="0.45">
      <c r="G2697" s="9">
        <v>42117</v>
      </c>
      <c r="H2697" s="8">
        <v>12.48</v>
      </c>
    </row>
    <row r="2698" spans="7:8" x14ac:dyDescent="0.45">
      <c r="G2698" s="9">
        <v>42116</v>
      </c>
      <c r="H2698" s="8">
        <v>12.71</v>
      </c>
    </row>
    <row r="2699" spans="7:8" x14ac:dyDescent="0.45">
      <c r="G2699" s="9">
        <v>42115</v>
      </c>
      <c r="H2699" s="8">
        <v>13.25</v>
      </c>
    </row>
    <row r="2700" spans="7:8" x14ac:dyDescent="0.45">
      <c r="G2700" s="9">
        <v>42114</v>
      </c>
      <c r="H2700" s="8">
        <v>13.3</v>
      </c>
    </row>
    <row r="2701" spans="7:8" x14ac:dyDescent="0.45">
      <c r="G2701" s="9">
        <v>42111</v>
      </c>
      <c r="H2701" s="8">
        <v>13.89</v>
      </c>
    </row>
    <row r="2702" spans="7:8" x14ac:dyDescent="0.45">
      <c r="G2702" s="9">
        <v>42110</v>
      </c>
      <c r="H2702" s="8">
        <v>12.6</v>
      </c>
    </row>
    <row r="2703" spans="7:8" x14ac:dyDescent="0.45">
      <c r="G2703" s="9">
        <v>42109</v>
      </c>
      <c r="H2703" s="8">
        <v>12.84</v>
      </c>
    </row>
    <row r="2704" spans="7:8" x14ac:dyDescent="0.45">
      <c r="G2704" s="9">
        <v>42108</v>
      </c>
      <c r="H2704" s="8">
        <v>13.67</v>
      </c>
    </row>
    <row r="2705" spans="7:8" x14ac:dyDescent="0.45">
      <c r="G2705" s="9">
        <v>42107</v>
      </c>
      <c r="H2705" s="8">
        <v>13.94</v>
      </c>
    </row>
    <row r="2706" spans="7:8" x14ac:dyDescent="0.45">
      <c r="G2706" s="9">
        <v>42104</v>
      </c>
      <c r="H2706" s="8">
        <v>12.58</v>
      </c>
    </row>
    <row r="2707" spans="7:8" x14ac:dyDescent="0.45">
      <c r="G2707" s="9">
        <v>42103</v>
      </c>
      <c r="H2707" s="8">
        <v>13.09</v>
      </c>
    </row>
    <row r="2708" spans="7:8" x14ac:dyDescent="0.45">
      <c r="G2708" s="9">
        <v>42102</v>
      </c>
      <c r="H2708" s="8">
        <v>13.98</v>
      </c>
    </row>
    <row r="2709" spans="7:8" x14ac:dyDescent="0.45">
      <c r="G2709" s="9">
        <v>42101</v>
      </c>
      <c r="H2709" s="8">
        <v>14.78</v>
      </c>
    </row>
    <row r="2710" spans="7:8" x14ac:dyDescent="0.45">
      <c r="G2710" s="9">
        <v>42100</v>
      </c>
      <c r="H2710" s="8">
        <v>14.74</v>
      </c>
    </row>
    <row r="2711" spans="7:8" x14ac:dyDescent="0.45">
      <c r="G2711" s="9">
        <v>42096</v>
      </c>
      <c r="H2711" s="8">
        <v>14.67</v>
      </c>
    </row>
    <row r="2712" spans="7:8" x14ac:dyDescent="0.45">
      <c r="G2712" s="9">
        <v>42095</v>
      </c>
      <c r="H2712" s="8">
        <v>15.11</v>
      </c>
    </row>
    <row r="2713" spans="7:8" x14ac:dyDescent="0.45">
      <c r="G2713" s="9">
        <v>42094</v>
      </c>
      <c r="H2713" s="8">
        <v>15.29</v>
      </c>
    </row>
    <row r="2714" spans="7:8" x14ac:dyDescent="0.45">
      <c r="G2714" s="9">
        <v>42093</v>
      </c>
      <c r="H2714" s="8">
        <v>14.51</v>
      </c>
    </row>
    <row r="2715" spans="7:8" x14ac:dyDescent="0.45">
      <c r="G2715" s="9">
        <v>42090</v>
      </c>
      <c r="H2715" s="8">
        <v>15.07</v>
      </c>
    </row>
    <row r="2716" spans="7:8" x14ac:dyDescent="0.45">
      <c r="G2716" s="9">
        <v>42089</v>
      </c>
      <c r="H2716" s="8">
        <v>15.8</v>
      </c>
    </row>
    <row r="2717" spans="7:8" x14ac:dyDescent="0.45">
      <c r="G2717" s="9">
        <v>42088</v>
      </c>
      <c r="H2717" s="8">
        <v>15.44</v>
      </c>
    </row>
    <row r="2718" spans="7:8" x14ac:dyDescent="0.45">
      <c r="G2718" s="9">
        <v>42087</v>
      </c>
      <c r="H2718" s="8">
        <v>13.62</v>
      </c>
    </row>
    <row r="2719" spans="7:8" x14ac:dyDescent="0.45">
      <c r="G2719" s="9">
        <v>42086</v>
      </c>
      <c r="H2719" s="8">
        <v>13.41</v>
      </c>
    </row>
    <row r="2720" spans="7:8" x14ac:dyDescent="0.45">
      <c r="G2720" s="9">
        <v>42083</v>
      </c>
      <c r="H2720" s="8">
        <v>13.02</v>
      </c>
    </row>
    <row r="2721" spans="7:8" x14ac:dyDescent="0.45">
      <c r="G2721" s="9">
        <v>42082</v>
      </c>
      <c r="H2721" s="8">
        <v>14.07</v>
      </c>
    </row>
    <row r="2722" spans="7:8" x14ac:dyDescent="0.45">
      <c r="G2722" s="9">
        <v>42081</v>
      </c>
      <c r="H2722" s="8">
        <v>13.97</v>
      </c>
    </row>
    <row r="2723" spans="7:8" x14ac:dyDescent="0.45">
      <c r="G2723" s="9">
        <v>42080</v>
      </c>
      <c r="H2723" s="8">
        <v>15.66</v>
      </c>
    </row>
    <row r="2724" spans="7:8" x14ac:dyDescent="0.45">
      <c r="G2724" s="9">
        <v>42079</v>
      </c>
      <c r="H2724" s="8">
        <v>15.61</v>
      </c>
    </row>
    <row r="2725" spans="7:8" x14ac:dyDescent="0.45">
      <c r="G2725" s="9">
        <v>42076</v>
      </c>
      <c r="H2725" s="8">
        <v>16</v>
      </c>
    </row>
    <row r="2726" spans="7:8" x14ac:dyDescent="0.45">
      <c r="G2726" s="9">
        <v>42075</v>
      </c>
      <c r="H2726" s="8">
        <v>15.42</v>
      </c>
    </row>
    <row r="2727" spans="7:8" x14ac:dyDescent="0.45">
      <c r="G2727" s="9">
        <v>42074</v>
      </c>
      <c r="H2727" s="8">
        <v>16.87</v>
      </c>
    </row>
    <row r="2728" spans="7:8" x14ac:dyDescent="0.45">
      <c r="G2728" s="9">
        <v>42073</v>
      </c>
      <c r="H2728" s="8">
        <v>16.690000000000001</v>
      </c>
    </row>
    <row r="2729" spans="7:8" x14ac:dyDescent="0.45">
      <c r="G2729" s="9">
        <v>42072</v>
      </c>
      <c r="H2729" s="8">
        <v>15.06</v>
      </c>
    </row>
    <row r="2730" spans="7:8" x14ac:dyDescent="0.45">
      <c r="G2730" s="9">
        <v>42069</v>
      </c>
      <c r="H2730" s="8">
        <v>15.2</v>
      </c>
    </row>
    <row r="2731" spans="7:8" x14ac:dyDescent="0.45">
      <c r="G2731" s="9">
        <v>42068</v>
      </c>
      <c r="H2731" s="8">
        <v>14.04</v>
      </c>
    </row>
    <row r="2732" spans="7:8" x14ac:dyDescent="0.45">
      <c r="G2732" s="9">
        <v>42067</v>
      </c>
      <c r="H2732" s="8">
        <v>14.23</v>
      </c>
    </row>
    <row r="2733" spans="7:8" x14ac:dyDescent="0.45">
      <c r="G2733" s="9">
        <v>42066</v>
      </c>
      <c r="H2733" s="8">
        <v>13.86</v>
      </c>
    </row>
    <row r="2734" spans="7:8" x14ac:dyDescent="0.45">
      <c r="G2734" s="9">
        <v>42065</v>
      </c>
      <c r="H2734" s="8">
        <v>13.04</v>
      </c>
    </row>
    <row r="2735" spans="7:8" x14ac:dyDescent="0.45">
      <c r="G2735" s="9">
        <v>42062</v>
      </c>
      <c r="H2735" s="8">
        <v>13.34</v>
      </c>
    </row>
    <row r="2736" spans="7:8" x14ac:dyDescent="0.45">
      <c r="G2736" s="9">
        <v>42061</v>
      </c>
      <c r="H2736" s="8">
        <v>13.91</v>
      </c>
    </row>
    <row r="2737" spans="7:8" x14ac:dyDescent="0.45">
      <c r="G2737" s="9">
        <v>42060</v>
      </c>
      <c r="H2737" s="8">
        <v>13.84</v>
      </c>
    </row>
    <row r="2738" spans="7:8" x14ac:dyDescent="0.45">
      <c r="G2738" s="9">
        <v>42059</v>
      </c>
      <c r="H2738" s="8">
        <v>13.69</v>
      </c>
    </row>
    <row r="2739" spans="7:8" x14ac:dyDescent="0.45">
      <c r="G2739" s="9">
        <v>42058</v>
      </c>
      <c r="H2739" s="8">
        <v>14.56</v>
      </c>
    </row>
    <row r="2740" spans="7:8" x14ac:dyDescent="0.45">
      <c r="G2740" s="9">
        <v>42055</v>
      </c>
      <c r="H2740" s="8">
        <v>14.3</v>
      </c>
    </row>
    <row r="2741" spans="7:8" x14ac:dyDescent="0.45">
      <c r="G2741" s="9">
        <v>42054</v>
      </c>
      <c r="H2741" s="8">
        <v>15.29</v>
      </c>
    </row>
    <row r="2742" spans="7:8" x14ac:dyDescent="0.45">
      <c r="G2742" s="9">
        <v>42053</v>
      </c>
      <c r="H2742" s="8">
        <v>15.45</v>
      </c>
    </row>
    <row r="2743" spans="7:8" x14ac:dyDescent="0.45">
      <c r="G2743" s="9">
        <v>42052</v>
      </c>
      <c r="H2743" s="8">
        <v>15.8</v>
      </c>
    </row>
    <row r="2744" spans="7:8" x14ac:dyDescent="0.45">
      <c r="G2744" s="9">
        <v>42048</v>
      </c>
      <c r="H2744" s="8">
        <v>14.69</v>
      </c>
    </row>
    <row r="2745" spans="7:8" x14ac:dyDescent="0.45">
      <c r="G2745" s="9">
        <v>42047</v>
      </c>
      <c r="H2745" s="8">
        <v>15.34</v>
      </c>
    </row>
    <row r="2746" spans="7:8" x14ac:dyDescent="0.45">
      <c r="G2746" s="9">
        <v>42046</v>
      </c>
      <c r="H2746" s="8">
        <v>16.96</v>
      </c>
    </row>
    <row r="2747" spans="7:8" x14ac:dyDescent="0.45">
      <c r="G2747" s="9">
        <v>42045</v>
      </c>
      <c r="H2747" s="8">
        <v>17.23</v>
      </c>
    </row>
    <row r="2748" spans="7:8" x14ac:dyDescent="0.45">
      <c r="G2748" s="9">
        <v>42044</v>
      </c>
      <c r="H2748" s="8">
        <v>18.55</v>
      </c>
    </row>
    <row r="2749" spans="7:8" x14ac:dyDescent="0.45">
      <c r="G2749" s="9">
        <v>42041</v>
      </c>
      <c r="H2749" s="8">
        <v>17.29</v>
      </c>
    </row>
    <row r="2750" spans="7:8" x14ac:dyDescent="0.45">
      <c r="G2750" s="9">
        <v>42040</v>
      </c>
      <c r="H2750" s="8">
        <v>16.850000000000001</v>
      </c>
    </row>
    <row r="2751" spans="7:8" x14ac:dyDescent="0.45">
      <c r="G2751" s="9">
        <v>42039</v>
      </c>
      <c r="H2751" s="8">
        <v>18.329999999999998</v>
      </c>
    </row>
    <row r="2752" spans="7:8" x14ac:dyDescent="0.45">
      <c r="G2752" s="9">
        <v>42038</v>
      </c>
      <c r="H2752" s="8">
        <v>17.329999999999998</v>
      </c>
    </row>
    <row r="2753" spans="7:8" x14ac:dyDescent="0.45">
      <c r="G2753" s="9">
        <v>42037</v>
      </c>
      <c r="H2753" s="8">
        <v>19.43</v>
      </c>
    </row>
    <row r="2754" spans="7:8" x14ac:dyDescent="0.45">
      <c r="G2754" s="9">
        <v>42034</v>
      </c>
      <c r="H2754" s="8">
        <v>20.97</v>
      </c>
    </row>
    <row r="2755" spans="7:8" x14ac:dyDescent="0.45">
      <c r="G2755" s="9">
        <v>42033</v>
      </c>
      <c r="H2755" s="8">
        <v>18.760000000000002</v>
      </c>
    </row>
    <row r="2756" spans="7:8" x14ac:dyDescent="0.45">
      <c r="G2756" s="9">
        <v>42032</v>
      </c>
      <c r="H2756" s="8">
        <v>20.440000000000001</v>
      </c>
    </row>
    <row r="2757" spans="7:8" x14ac:dyDescent="0.45">
      <c r="G2757" s="9">
        <v>42031</v>
      </c>
      <c r="H2757" s="8">
        <v>17.22</v>
      </c>
    </row>
    <row r="2758" spans="7:8" x14ac:dyDescent="0.45">
      <c r="G2758" s="9">
        <v>42030</v>
      </c>
      <c r="H2758" s="8">
        <v>15.52</v>
      </c>
    </row>
    <row r="2759" spans="7:8" x14ac:dyDescent="0.45">
      <c r="G2759" s="9">
        <v>42027</v>
      </c>
      <c r="H2759" s="8">
        <v>16.66</v>
      </c>
    </row>
    <row r="2760" spans="7:8" x14ac:dyDescent="0.45">
      <c r="G2760" s="9">
        <v>42026</v>
      </c>
      <c r="H2760" s="8">
        <v>16.399999999999999</v>
      </c>
    </row>
    <row r="2761" spans="7:8" x14ac:dyDescent="0.45">
      <c r="G2761" s="9">
        <v>42025</v>
      </c>
      <c r="H2761" s="8">
        <v>18.850000000000001</v>
      </c>
    </row>
    <row r="2762" spans="7:8" x14ac:dyDescent="0.45">
      <c r="G2762" s="9">
        <v>42024</v>
      </c>
      <c r="H2762" s="8">
        <v>19.89</v>
      </c>
    </row>
    <row r="2763" spans="7:8" x14ac:dyDescent="0.45">
      <c r="G2763" s="9">
        <v>42020</v>
      </c>
      <c r="H2763" s="8">
        <v>20.95</v>
      </c>
    </row>
    <row r="2764" spans="7:8" x14ac:dyDescent="0.45">
      <c r="G2764" s="9">
        <v>42019</v>
      </c>
      <c r="H2764" s="8">
        <v>22.39</v>
      </c>
    </row>
    <row r="2765" spans="7:8" x14ac:dyDescent="0.45">
      <c r="G2765" s="9">
        <v>42018</v>
      </c>
      <c r="H2765" s="8">
        <v>21.48</v>
      </c>
    </row>
    <row r="2766" spans="7:8" x14ac:dyDescent="0.45">
      <c r="G2766" s="9">
        <v>42017</v>
      </c>
      <c r="H2766" s="8">
        <v>20.56</v>
      </c>
    </row>
    <row r="2767" spans="7:8" x14ac:dyDescent="0.45">
      <c r="G2767" s="9">
        <v>42016</v>
      </c>
      <c r="H2767" s="8">
        <v>19.600000000000001</v>
      </c>
    </row>
    <row r="2768" spans="7:8" x14ac:dyDescent="0.45">
      <c r="G2768" s="9">
        <v>42013</v>
      </c>
      <c r="H2768" s="8">
        <v>17.55</v>
      </c>
    </row>
    <row r="2769" spans="7:8" x14ac:dyDescent="0.45">
      <c r="G2769" s="9">
        <v>42012</v>
      </c>
      <c r="H2769" s="8">
        <v>17.010000000000002</v>
      </c>
    </row>
    <row r="2770" spans="7:8" x14ac:dyDescent="0.45">
      <c r="G2770" s="9">
        <v>42011</v>
      </c>
      <c r="H2770" s="8">
        <v>19.309999999999999</v>
      </c>
    </row>
    <row r="2771" spans="7:8" x14ac:dyDescent="0.45">
      <c r="G2771" s="9">
        <v>42010</v>
      </c>
      <c r="H2771" s="8">
        <v>21.12</v>
      </c>
    </row>
    <row r="2772" spans="7:8" x14ac:dyDescent="0.45">
      <c r="G2772" s="9">
        <v>42009</v>
      </c>
      <c r="H2772" s="8">
        <v>19.920000000000002</v>
      </c>
    </row>
    <row r="2773" spans="7:8" x14ac:dyDescent="0.45">
      <c r="G2773" s="9">
        <v>42006</v>
      </c>
      <c r="H2773" s="8">
        <v>17.79</v>
      </c>
    </row>
    <row r="2774" spans="7:8" x14ac:dyDescent="0.45">
      <c r="G2774" s="9">
        <v>42004</v>
      </c>
      <c r="H2774" s="8">
        <v>19.2</v>
      </c>
    </row>
    <row r="2775" spans="7:8" x14ac:dyDescent="0.45">
      <c r="G2775" s="9">
        <v>42003</v>
      </c>
      <c r="H2775" s="8">
        <v>15.92</v>
      </c>
    </row>
    <row r="2776" spans="7:8" x14ac:dyDescent="0.45">
      <c r="G2776" s="9">
        <v>42002</v>
      </c>
      <c r="H2776" s="8">
        <v>15.06</v>
      </c>
    </row>
    <row r="2777" spans="7:8" x14ac:dyDescent="0.45">
      <c r="G2777" s="9">
        <v>41999</v>
      </c>
      <c r="H2777" s="8">
        <v>14.5</v>
      </c>
    </row>
    <row r="2778" spans="7:8" x14ac:dyDescent="0.45">
      <c r="G2778" s="9">
        <v>41997</v>
      </c>
      <c r="H2778" s="8">
        <v>14.37</v>
      </c>
    </row>
    <row r="2779" spans="7:8" x14ac:dyDescent="0.45">
      <c r="G2779" s="9">
        <v>41996</v>
      </c>
      <c r="H2779" s="8">
        <v>14.8</v>
      </c>
    </row>
    <row r="2780" spans="7:8" x14ac:dyDescent="0.45">
      <c r="G2780" s="9">
        <v>41995</v>
      </c>
      <c r="H2780" s="8">
        <v>15.25</v>
      </c>
    </row>
    <row r="2781" spans="7:8" x14ac:dyDescent="0.45">
      <c r="G2781" s="9">
        <v>41992</v>
      </c>
      <c r="H2781" s="8">
        <v>16.489999999999998</v>
      </c>
    </row>
    <row r="2782" spans="7:8" x14ac:dyDescent="0.45">
      <c r="G2782" s="9">
        <v>41991</v>
      </c>
      <c r="H2782" s="8">
        <v>16.809999999999999</v>
      </c>
    </row>
    <row r="2783" spans="7:8" x14ac:dyDescent="0.45">
      <c r="G2783" s="9">
        <v>41990</v>
      </c>
      <c r="H2783" s="8">
        <v>19.440000000000001</v>
      </c>
    </row>
    <row r="2784" spans="7:8" x14ac:dyDescent="0.45">
      <c r="G2784" s="9">
        <v>41989</v>
      </c>
      <c r="H2784" s="8">
        <v>23.57</v>
      </c>
    </row>
    <row r="2785" spans="7:8" x14ac:dyDescent="0.45">
      <c r="G2785" s="9">
        <v>41988</v>
      </c>
      <c r="H2785" s="8">
        <v>20.420000000000002</v>
      </c>
    </row>
    <row r="2786" spans="7:8" x14ac:dyDescent="0.45">
      <c r="G2786" s="9">
        <v>41985</v>
      </c>
      <c r="H2786" s="8">
        <v>21.08</v>
      </c>
    </row>
    <row r="2787" spans="7:8" x14ac:dyDescent="0.45">
      <c r="G2787" s="9">
        <v>41984</v>
      </c>
      <c r="H2787" s="8">
        <v>20.079999999999998</v>
      </c>
    </row>
    <row r="2788" spans="7:8" x14ac:dyDescent="0.45">
      <c r="G2788" s="9">
        <v>41983</v>
      </c>
      <c r="H2788" s="8">
        <v>18.53</v>
      </c>
    </row>
    <row r="2789" spans="7:8" x14ac:dyDescent="0.45">
      <c r="G2789" s="9">
        <v>41982</v>
      </c>
      <c r="H2789" s="8">
        <v>14.89</v>
      </c>
    </row>
    <row r="2790" spans="7:8" x14ac:dyDescent="0.45">
      <c r="G2790" s="9">
        <v>41981</v>
      </c>
      <c r="H2790" s="8">
        <v>14.21</v>
      </c>
    </row>
    <row r="2791" spans="7:8" x14ac:dyDescent="0.45">
      <c r="G2791" s="9">
        <v>41978</v>
      </c>
      <c r="H2791" s="8">
        <v>11.82</v>
      </c>
    </row>
    <row r="2792" spans="7:8" x14ac:dyDescent="0.45">
      <c r="G2792" s="9">
        <v>41977</v>
      </c>
      <c r="H2792" s="8">
        <v>12.38</v>
      </c>
    </row>
    <row r="2793" spans="7:8" x14ac:dyDescent="0.45">
      <c r="G2793" s="9">
        <v>41976</v>
      </c>
      <c r="H2793" s="8">
        <v>12.47</v>
      </c>
    </row>
    <row r="2794" spans="7:8" x14ac:dyDescent="0.45">
      <c r="G2794" s="9">
        <v>41975</v>
      </c>
      <c r="H2794" s="8">
        <v>12.85</v>
      </c>
    </row>
    <row r="2795" spans="7:8" x14ac:dyDescent="0.45">
      <c r="G2795" s="9">
        <v>41974</v>
      </c>
      <c r="H2795" s="8">
        <v>14.29</v>
      </c>
    </row>
    <row r="2796" spans="7:8" x14ac:dyDescent="0.45">
      <c r="G2796" s="9">
        <v>41971</v>
      </c>
      <c r="H2796" s="8">
        <v>13.33</v>
      </c>
    </row>
    <row r="2797" spans="7:8" x14ac:dyDescent="0.45">
      <c r="G2797" s="9">
        <v>41969</v>
      </c>
      <c r="H2797" s="8">
        <v>12.07</v>
      </c>
    </row>
    <row r="2798" spans="7:8" x14ac:dyDescent="0.45">
      <c r="G2798" s="9">
        <v>41968</v>
      </c>
      <c r="H2798" s="8">
        <v>12.25</v>
      </c>
    </row>
    <row r="2799" spans="7:8" x14ac:dyDescent="0.45">
      <c r="G2799" s="9">
        <v>41967</v>
      </c>
      <c r="H2799" s="8">
        <v>12.62</v>
      </c>
    </row>
    <row r="2800" spans="7:8" x14ac:dyDescent="0.45">
      <c r="G2800" s="9">
        <v>41964</v>
      </c>
      <c r="H2800" s="8">
        <v>12.9</v>
      </c>
    </row>
    <row r="2801" spans="7:8" x14ac:dyDescent="0.45">
      <c r="G2801" s="9">
        <v>41963</v>
      </c>
      <c r="H2801" s="8">
        <v>13.58</v>
      </c>
    </row>
    <row r="2802" spans="7:8" x14ac:dyDescent="0.45">
      <c r="G2802" s="9">
        <v>41962</v>
      </c>
      <c r="H2802" s="8">
        <v>13.96</v>
      </c>
    </row>
    <row r="2803" spans="7:8" x14ac:dyDescent="0.45">
      <c r="G2803" s="9">
        <v>41961</v>
      </c>
      <c r="H2803" s="8">
        <v>13.86</v>
      </c>
    </row>
    <row r="2804" spans="7:8" x14ac:dyDescent="0.45">
      <c r="G2804" s="9">
        <v>41960</v>
      </c>
      <c r="H2804" s="8">
        <v>13.99</v>
      </c>
    </row>
    <row r="2805" spans="7:8" x14ac:dyDescent="0.45">
      <c r="G2805" s="9">
        <v>41957</v>
      </c>
      <c r="H2805" s="8">
        <v>13.31</v>
      </c>
    </row>
    <row r="2806" spans="7:8" x14ac:dyDescent="0.45">
      <c r="G2806" s="9">
        <v>41956</v>
      </c>
      <c r="H2806" s="8">
        <v>13.79</v>
      </c>
    </row>
    <row r="2807" spans="7:8" x14ac:dyDescent="0.45">
      <c r="G2807" s="9">
        <v>41955</v>
      </c>
      <c r="H2807" s="8">
        <v>13.02</v>
      </c>
    </row>
    <row r="2808" spans="7:8" x14ac:dyDescent="0.45">
      <c r="G2808" s="9">
        <v>41954</v>
      </c>
      <c r="H2808" s="8">
        <v>12.92</v>
      </c>
    </row>
    <row r="2809" spans="7:8" x14ac:dyDescent="0.45">
      <c r="G2809" s="9">
        <v>41953</v>
      </c>
      <c r="H2809" s="8">
        <v>12.67</v>
      </c>
    </row>
    <row r="2810" spans="7:8" x14ac:dyDescent="0.45">
      <c r="G2810" s="9">
        <v>41950</v>
      </c>
      <c r="H2810" s="8">
        <v>13.12</v>
      </c>
    </row>
    <row r="2811" spans="7:8" x14ac:dyDescent="0.45">
      <c r="G2811" s="9">
        <v>41949</v>
      </c>
      <c r="H2811" s="8">
        <v>13.67</v>
      </c>
    </row>
    <row r="2812" spans="7:8" x14ac:dyDescent="0.45">
      <c r="G2812" s="9">
        <v>41948</v>
      </c>
      <c r="H2812" s="8">
        <v>14.17</v>
      </c>
    </row>
    <row r="2813" spans="7:8" x14ac:dyDescent="0.45">
      <c r="G2813" s="9">
        <v>41947</v>
      </c>
      <c r="H2813" s="8">
        <v>14.89</v>
      </c>
    </row>
    <row r="2814" spans="7:8" x14ac:dyDescent="0.45">
      <c r="G2814" s="9">
        <v>41946</v>
      </c>
      <c r="H2814" s="8">
        <v>14.73</v>
      </c>
    </row>
    <row r="2815" spans="7:8" x14ac:dyDescent="0.45">
      <c r="G2815" s="9">
        <v>41943</v>
      </c>
      <c r="H2815" s="8">
        <v>14.03</v>
      </c>
    </row>
    <row r="2816" spans="7:8" x14ac:dyDescent="0.45">
      <c r="G2816" s="9">
        <v>41942</v>
      </c>
      <c r="H2816" s="8">
        <v>14.52</v>
      </c>
    </row>
    <row r="2817" spans="7:8" x14ac:dyDescent="0.45">
      <c r="G2817" s="9">
        <v>41941</v>
      </c>
      <c r="H2817" s="8">
        <v>15.15</v>
      </c>
    </row>
    <row r="2818" spans="7:8" x14ac:dyDescent="0.45">
      <c r="G2818" s="9">
        <v>41940</v>
      </c>
      <c r="H2818" s="8">
        <v>14.39</v>
      </c>
    </row>
    <row r="2819" spans="7:8" x14ac:dyDescent="0.45">
      <c r="G2819" s="9">
        <v>41939</v>
      </c>
      <c r="H2819" s="8">
        <v>16.04</v>
      </c>
    </row>
    <row r="2820" spans="7:8" x14ac:dyDescent="0.45">
      <c r="G2820" s="9">
        <v>41936</v>
      </c>
      <c r="H2820" s="8">
        <v>16.11</v>
      </c>
    </row>
    <row r="2821" spans="7:8" x14ac:dyDescent="0.45">
      <c r="G2821" s="9">
        <v>41935</v>
      </c>
      <c r="H2821" s="8">
        <v>16.53</v>
      </c>
    </row>
    <row r="2822" spans="7:8" x14ac:dyDescent="0.45">
      <c r="G2822" s="9">
        <v>41934</v>
      </c>
      <c r="H2822" s="8">
        <v>17.87</v>
      </c>
    </row>
    <row r="2823" spans="7:8" x14ac:dyDescent="0.45">
      <c r="G2823" s="9">
        <v>41933</v>
      </c>
      <c r="H2823" s="8">
        <v>16.079999999999998</v>
      </c>
    </row>
    <row r="2824" spans="7:8" x14ac:dyDescent="0.45">
      <c r="G2824" s="9">
        <v>41932</v>
      </c>
      <c r="H2824" s="8">
        <v>18.57</v>
      </c>
    </row>
    <row r="2825" spans="7:8" x14ac:dyDescent="0.45">
      <c r="G2825" s="9">
        <v>41929</v>
      </c>
      <c r="H2825" s="8">
        <v>21.99</v>
      </c>
    </row>
    <row r="2826" spans="7:8" x14ac:dyDescent="0.45">
      <c r="G2826" s="9">
        <v>41928</v>
      </c>
      <c r="H2826" s="8">
        <v>25.2</v>
      </c>
    </row>
    <row r="2827" spans="7:8" x14ac:dyDescent="0.45">
      <c r="G2827" s="9">
        <v>41927</v>
      </c>
      <c r="H2827" s="8">
        <v>26.25</v>
      </c>
    </row>
    <row r="2828" spans="7:8" x14ac:dyDescent="0.45">
      <c r="G2828" s="9">
        <v>41926</v>
      </c>
      <c r="H2828" s="8">
        <v>22.79</v>
      </c>
    </row>
    <row r="2829" spans="7:8" x14ac:dyDescent="0.45">
      <c r="G2829" s="9">
        <v>41925</v>
      </c>
      <c r="H2829" s="8">
        <v>24.64</v>
      </c>
    </row>
    <row r="2830" spans="7:8" x14ac:dyDescent="0.45">
      <c r="G2830" s="9">
        <v>41922</v>
      </c>
      <c r="H2830" s="8">
        <v>21.24</v>
      </c>
    </row>
    <row r="2831" spans="7:8" x14ac:dyDescent="0.45">
      <c r="G2831" s="9">
        <v>41921</v>
      </c>
      <c r="H2831" s="8">
        <v>18.760000000000002</v>
      </c>
    </row>
    <row r="2832" spans="7:8" x14ac:dyDescent="0.45">
      <c r="G2832" s="9">
        <v>41920</v>
      </c>
      <c r="H2832" s="8">
        <v>15.11</v>
      </c>
    </row>
    <row r="2833" spans="7:8" x14ac:dyDescent="0.45">
      <c r="G2833" s="9">
        <v>41919</v>
      </c>
      <c r="H2833" s="8">
        <v>17.2</v>
      </c>
    </row>
    <row r="2834" spans="7:8" x14ac:dyDescent="0.45">
      <c r="G2834" s="9">
        <v>41918</v>
      </c>
      <c r="H2834" s="8">
        <v>15.46</v>
      </c>
    </row>
    <row r="2835" spans="7:8" x14ac:dyDescent="0.45">
      <c r="G2835" s="9">
        <v>41915</v>
      </c>
      <c r="H2835" s="8">
        <v>14.55</v>
      </c>
    </row>
    <row r="2836" spans="7:8" x14ac:dyDescent="0.45">
      <c r="G2836" s="9">
        <v>41914</v>
      </c>
      <c r="H2836" s="8">
        <v>16.16</v>
      </c>
    </row>
    <row r="2837" spans="7:8" x14ac:dyDescent="0.45">
      <c r="G2837" s="9">
        <v>41913</v>
      </c>
      <c r="H2837" s="8">
        <v>16.71</v>
      </c>
    </row>
    <row r="2838" spans="7:8" x14ac:dyDescent="0.45">
      <c r="G2838" s="9">
        <v>41912</v>
      </c>
      <c r="H2838" s="8">
        <v>16.309999999999999</v>
      </c>
    </row>
    <row r="2839" spans="7:8" x14ac:dyDescent="0.45">
      <c r="G2839" s="9">
        <v>41911</v>
      </c>
      <c r="H2839" s="8">
        <v>15.98</v>
      </c>
    </row>
    <row r="2840" spans="7:8" x14ac:dyDescent="0.45">
      <c r="G2840" s="9">
        <v>41908</v>
      </c>
      <c r="H2840" s="8">
        <v>14.85</v>
      </c>
    </row>
    <row r="2841" spans="7:8" x14ac:dyDescent="0.45">
      <c r="G2841" s="9">
        <v>41907</v>
      </c>
      <c r="H2841" s="8">
        <v>15.64</v>
      </c>
    </row>
    <row r="2842" spans="7:8" x14ac:dyDescent="0.45">
      <c r="G2842" s="9">
        <v>41906</v>
      </c>
      <c r="H2842" s="8">
        <v>13.27</v>
      </c>
    </row>
    <row r="2843" spans="7:8" x14ac:dyDescent="0.45">
      <c r="G2843" s="9">
        <v>41905</v>
      </c>
      <c r="H2843" s="8">
        <v>14.93</v>
      </c>
    </row>
    <row r="2844" spans="7:8" x14ac:dyDescent="0.45">
      <c r="G2844" s="9">
        <v>41904</v>
      </c>
      <c r="H2844" s="8">
        <v>13.69</v>
      </c>
    </row>
    <row r="2845" spans="7:8" x14ac:dyDescent="0.45">
      <c r="G2845" s="9">
        <v>41901</v>
      </c>
      <c r="H2845" s="8">
        <v>12.11</v>
      </c>
    </row>
    <row r="2846" spans="7:8" x14ac:dyDescent="0.45">
      <c r="G2846" s="9">
        <v>41900</v>
      </c>
      <c r="H2846" s="8">
        <v>12.03</v>
      </c>
    </row>
    <row r="2847" spans="7:8" x14ac:dyDescent="0.45">
      <c r="G2847" s="9">
        <v>41899</v>
      </c>
      <c r="H2847" s="8">
        <v>12.65</v>
      </c>
    </row>
    <row r="2848" spans="7:8" x14ac:dyDescent="0.45">
      <c r="G2848" s="9">
        <v>41898</v>
      </c>
      <c r="H2848" s="8">
        <v>12.73</v>
      </c>
    </row>
    <row r="2849" spans="7:8" x14ac:dyDescent="0.45">
      <c r="G2849" s="9">
        <v>41897</v>
      </c>
      <c r="H2849" s="8">
        <v>14.12</v>
      </c>
    </row>
    <row r="2850" spans="7:8" x14ac:dyDescent="0.45">
      <c r="G2850" s="9">
        <v>41894</v>
      </c>
      <c r="H2850" s="8">
        <v>13.31</v>
      </c>
    </row>
    <row r="2851" spans="7:8" x14ac:dyDescent="0.45">
      <c r="G2851" s="9">
        <v>41893</v>
      </c>
      <c r="H2851" s="8">
        <v>12.8</v>
      </c>
    </row>
    <row r="2852" spans="7:8" x14ac:dyDescent="0.45">
      <c r="G2852" s="9">
        <v>41892</v>
      </c>
      <c r="H2852" s="8">
        <v>12.88</v>
      </c>
    </row>
    <row r="2853" spans="7:8" x14ac:dyDescent="0.45">
      <c r="G2853" s="9">
        <v>41891</v>
      </c>
      <c r="H2853" s="8">
        <v>13.5</v>
      </c>
    </row>
    <row r="2854" spans="7:8" x14ac:dyDescent="0.45">
      <c r="G2854" s="9">
        <v>41890</v>
      </c>
      <c r="H2854" s="8">
        <v>12.66</v>
      </c>
    </row>
    <row r="2855" spans="7:8" x14ac:dyDescent="0.45">
      <c r="G2855" s="9">
        <v>41887</v>
      </c>
      <c r="H2855" s="8">
        <v>12.09</v>
      </c>
    </row>
    <row r="2856" spans="7:8" x14ac:dyDescent="0.45">
      <c r="G2856" s="9">
        <v>41886</v>
      </c>
      <c r="H2856" s="8">
        <v>12.64</v>
      </c>
    </row>
    <row r="2857" spans="7:8" x14ac:dyDescent="0.45">
      <c r="G2857" s="9">
        <v>41885</v>
      </c>
      <c r="H2857" s="8">
        <v>12.36</v>
      </c>
    </row>
    <row r="2858" spans="7:8" x14ac:dyDescent="0.45">
      <c r="G2858" s="9">
        <v>41884</v>
      </c>
      <c r="H2858" s="8">
        <v>12.25</v>
      </c>
    </row>
    <row r="2859" spans="7:8" x14ac:dyDescent="0.45">
      <c r="G2859" s="9">
        <v>41880</v>
      </c>
      <c r="H2859" s="8">
        <v>11.98</v>
      </c>
    </row>
    <row r="2860" spans="7:8" x14ac:dyDescent="0.45">
      <c r="G2860" s="9">
        <v>41879</v>
      </c>
      <c r="H2860" s="8">
        <v>12.05</v>
      </c>
    </row>
    <row r="2861" spans="7:8" x14ac:dyDescent="0.45">
      <c r="G2861" s="9">
        <v>41878</v>
      </c>
      <c r="H2861" s="8">
        <v>11.78</v>
      </c>
    </row>
    <row r="2862" spans="7:8" x14ac:dyDescent="0.45">
      <c r="G2862" s="9">
        <v>41877</v>
      </c>
      <c r="H2862" s="8">
        <v>11.63</v>
      </c>
    </row>
    <row r="2863" spans="7:8" x14ac:dyDescent="0.45">
      <c r="G2863" s="9">
        <v>41876</v>
      </c>
      <c r="H2863" s="8">
        <v>11.7</v>
      </c>
    </row>
    <row r="2864" spans="7:8" x14ac:dyDescent="0.45">
      <c r="G2864" s="9">
        <v>41873</v>
      </c>
      <c r="H2864" s="8">
        <v>11.47</v>
      </c>
    </row>
    <row r="2865" spans="7:8" x14ac:dyDescent="0.45">
      <c r="G2865" s="9">
        <v>41872</v>
      </c>
      <c r="H2865" s="8">
        <v>11.76</v>
      </c>
    </row>
    <row r="2866" spans="7:8" x14ac:dyDescent="0.45">
      <c r="G2866" s="9">
        <v>41871</v>
      </c>
      <c r="H2866" s="8">
        <v>11.78</v>
      </c>
    </row>
    <row r="2867" spans="7:8" x14ac:dyDescent="0.45">
      <c r="G2867" s="9">
        <v>41870</v>
      </c>
      <c r="H2867" s="8">
        <v>12.21</v>
      </c>
    </row>
    <row r="2868" spans="7:8" x14ac:dyDescent="0.45">
      <c r="G2868" s="9">
        <v>41869</v>
      </c>
      <c r="H2868" s="8">
        <v>12.32</v>
      </c>
    </row>
    <row r="2869" spans="7:8" x14ac:dyDescent="0.45">
      <c r="G2869" s="9">
        <v>41866</v>
      </c>
      <c r="H2869" s="8">
        <v>13.15</v>
      </c>
    </row>
    <row r="2870" spans="7:8" x14ac:dyDescent="0.45">
      <c r="G2870" s="9">
        <v>41865</v>
      </c>
      <c r="H2870" s="8">
        <v>12.42</v>
      </c>
    </row>
    <row r="2871" spans="7:8" x14ac:dyDescent="0.45">
      <c r="G2871" s="9">
        <v>41864</v>
      </c>
      <c r="H2871" s="8">
        <v>12.9</v>
      </c>
    </row>
    <row r="2872" spans="7:8" x14ac:dyDescent="0.45">
      <c r="G2872" s="9">
        <v>41863</v>
      </c>
      <c r="H2872" s="8">
        <v>14.13</v>
      </c>
    </row>
    <row r="2873" spans="7:8" x14ac:dyDescent="0.45">
      <c r="G2873" s="9">
        <v>41862</v>
      </c>
      <c r="H2873" s="8">
        <v>14.23</v>
      </c>
    </row>
    <row r="2874" spans="7:8" x14ac:dyDescent="0.45">
      <c r="G2874" s="9">
        <v>41859</v>
      </c>
      <c r="H2874" s="8">
        <v>15.77</v>
      </c>
    </row>
    <row r="2875" spans="7:8" x14ac:dyDescent="0.45">
      <c r="G2875" s="9">
        <v>41858</v>
      </c>
      <c r="H2875" s="8">
        <v>16.66</v>
      </c>
    </row>
    <row r="2876" spans="7:8" x14ac:dyDescent="0.45">
      <c r="G2876" s="9">
        <v>41857</v>
      </c>
      <c r="H2876" s="8">
        <v>16.37</v>
      </c>
    </row>
    <row r="2877" spans="7:8" x14ac:dyDescent="0.45">
      <c r="G2877" s="9">
        <v>41856</v>
      </c>
      <c r="H2877" s="8">
        <v>16.87</v>
      </c>
    </row>
    <row r="2878" spans="7:8" x14ac:dyDescent="0.45">
      <c r="G2878" s="9">
        <v>41855</v>
      </c>
      <c r="H2878" s="8">
        <v>15.12</v>
      </c>
    </row>
    <row r="2879" spans="7:8" x14ac:dyDescent="0.45">
      <c r="G2879" s="9">
        <v>41852</v>
      </c>
      <c r="H2879" s="8">
        <v>17.03</v>
      </c>
    </row>
    <row r="2880" spans="7:8" x14ac:dyDescent="0.45">
      <c r="G2880" s="9">
        <v>41851</v>
      </c>
      <c r="H2880" s="8">
        <v>16.95</v>
      </c>
    </row>
    <row r="2881" spans="7:8" x14ac:dyDescent="0.45">
      <c r="G2881" s="9">
        <v>41850</v>
      </c>
      <c r="H2881" s="8">
        <v>13.33</v>
      </c>
    </row>
    <row r="2882" spans="7:8" x14ac:dyDescent="0.45">
      <c r="G2882" s="9">
        <v>41849</v>
      </c>
      <c r="H2882" s="8">
        <v>13.28</v>
      </c>
    </row>
    <row r="2883" spans="7:8" x14ac:dyDescent="0.45">
      <c r="G2883" s="9">
        <v>41848</v>
      </c>
      <c r="H2883" s="8">
        <v>12.56</v>
      </c>
    </row>
    <row r="2884" spans="7:8" x14ac:dyDescent="0.45">
      <c r="G2884" s="9">
        <v>41845</v>
      </c>
      <c r="H2884" s="8">
        <v>12.69</v>
      </c>
    </row>
    <row r="2885" spans="7:8" x14ac:dyDescent="0.45">
      <c r="G2885" s="9">
        <v>41844</v>
      </c>
      <c r="H2885" s="8">
        <v>11.84</v>
      </c>
    </row>
    <row r="2886" spans="7:8" x14ac:dyDescent="0.45">
      <c r="G2886" s="9">
        <v>41843</v>
      </c>
      <c r="H2886" s="8">
        <v>11.52</v>
      </c>
    </row>
    <row r="2887" spans="7:8" x14ac:dyDescent="0.45">
      <c r="G2887" s="9">
        <v>41842</v>
      </c>
      <c r="H2887" s="8">
        <v>12.24</v>
      </c>
    </row>
    <row r="2888" spans="7:8" x14ac:dyDescent="0.45">
      <c r="G2888" s="9">
        <v>41841</v>
      </c>
      <c r="H2888" s="8">
        <v>12.81</v>
      </c>
    </row>
    <row r="2889" spans="7:8" x14ac:dyDescent="0.45">
      <c r="G2889" s="9">
        <v>41838</v>
      </c>
      <c r="H2889" s="8">
        <v>12.06</v>
      </c>
    </row>
    <row r="2890" spans="7:8" x14ac:dyDescent="0.45">
      <c r="G2890" s="9">
        <v>41837</v>
      </c>
      <c r="H2890" s="8">
        <v>14.54</v>
      </c>
    </row>
    <row r="2891" spans="7:8" x14ac:dyDescent="0.45">
      <c r="G2891" s="9">
        <v>41836</v>
      </c>
      <c r="H2891" s="8">
        <v>11</v>
      </c>
    </row>
    <row r="2892" spans="7:8" x14ac:dyDescent="0.45">
      <c r="G2892" s="9">
        <v>41835</v>
      </c>
      <c r="H2892" s="8">
        <v>11.96</v>
      </c>
    </row>
    <row r="2893" spans="7:8" x14ac:dyDescent="0.45">
      <c r="G2893" s="9">
        <v>41834</v>
      </c>
      <c r="H2893" s="8">
        <v>11.82</v>
      </c>
    </row>
    <row r="2894" spans="7:8" x14ac:dyDescent="0.45">
      <c r="G2894" s="9">
        <v>41831</v>
      </c>
      <c r="H2894" s="8">
        <v>12.08</v>
      </c>
    </row>
    <row r="2895" spans="7:8" x14ac:dyDescent="0.45">
      <c r="G2895" s="9">
        <v>41830</v>
      </c>
      <c r="H2895" s="8">
        <v>12.59</v>
      </c>
    </row>
    <row r="2896" spans="7:8" x14ac:dyDescent="0.45">
      <c r="G2896" s="9">
        <v>41829</v>
      </c>
      <c r="H2896" s="8">
        <v>11.65</v>
      </c>
    </row>
    <row r="2897" spans="7:8" x14ac:dyDescent="0.45">
      <c r="G2897" s="9">
        <v>41828</v>
      </c>
      <c r="H2897" s="8">
        <v>11.98</v>
      </c>
    </row>
    <row r="2898" spans="7:8" x14ac:dyDescent="0.45">
      <c r="G2898" s="9">
        <v>41827</v>
      </c>
      <c r="H2898" s="8">
        <v>11.33</v>
      </c>
    </row>
    <row r="2899" spans="7:8" x14ac:dyDescent="0.45">
      <c r="G2899" s="9">
        <v>41823</v>
      </c>
      <c r="H2899" s="8">
        <v>10.32</v>
      </c>
    </row>
    <row r="2900" spans="7:8" x14ac:dyDescent="0.45">
      <c r="G2900" s="9">
        <v>41822</v>
      </c>
      <c r="H2900" s="8">
        <v>10.82</v>
      </c>
    </row>
    <row r="2901" spans="7:8" x14ac:dyDescent="0.45">
      <c r="G2901" s="9">
        <v>41821</v>
      </c>
      <c r="H2901" s="8">
        <v>11.15</v>
      </c>
    </row>
    <row r="2902" spans="7:8" x14ac:dyDescent="0.45">
      <c r="G2902" s="9">
        <v>41820</v>
      </c>
      <c r="H2902" s="8">
        <v>11.57</v>
      </c>
    </row>
    <row r="2903" spans="7:8" x14ac:dyDescent="0.45">
      <c r="G2903" s="9">
        <v>41817</v>
      </c>
      <c r="H2903" s="8">
        <v>11.26</v>
      </c>
    </row>
    <row r="2904" spans="7:8" x14ac:dyDescent="0.45">
      <c r="G2904" s="9">
        <v>41816</v>
      </c>
      <c r="H2904" s="8">
        <v>11.63</v>
      </c>
    </row>
    <row r="2905" spans="7:8" x14ac:dyDescent="0.45">
      <c r="G2905" s="9">
        <v>41815</v>
      </c>
      <c r="H2905" s="8">
        <v>11.59</v>
      </c>
    </row>
    <row r="2906" spans="7:8" x14ac:dyDescent="0.45">
      <c r="G2906" s="9">
        <v>41814</v>
      </c>
      <c r="H2906" s="8">
        <v>12.13</v>
      </c>
    </row>
    <row r="2907" spans="7:8" x14ac:dyDescent="0.45">
      <c r="G2907" s="9">
        <v>41813</v>
      </c>
      <c r="H2907" s="8">
        <v>10.98</v>
      </c>
    </row>
    <row r="2908" spans="7:8" x14ac:dyDescent="0.45">
      <c r="G2908" s="9">
        <v>41810</v>
      </c>
      <c r="H2908" s="8">
        <v>10.85</v>
      </c>
    </row>
    <row r="2909" spans="7:8" x14ac:dyDescent="0.45">
      <c r="G2909" s="9">
        <v>41809</v>
      </c>
      <c r="H2909" s="8">
        <v>10.62</v>
      </c>
    </row>
    <row r="2910" spans="7:8" x14ac:dyDescent="0.45">
      <c r="G2910" s="9">
        <v>41808</v>
      </c>
      <c r="H2910" s="8">
        <v>10.61</v>
      </c>
    </row>
    <row r="2911" spans="7:8" x14ac:dyDescent="0.45">
      <c r="G2911" s="9">
        <v>41807</v>
      </c>
      <c r="H2911" s="8">
        <v>12.06</v>
      </c>
    </row>
    <row r="2912" spans="7:8" x14ac:dyDescent="0.45">
      <c r="G2912" s="9">
        <v>41806</v>
      </c>
      <c r="H2912" s="8">
        <v>12.65</v>
      </c>
    </row>
    <row r="2913" spans="7:8" x14ac:dyDescent="0.45">
      <c r="G2913" s="9">
        <v>41803</v>
      </c>
      <c r="H2913" s="8">
        <v>12.18</v>
      </c>
    </row>
    <row r="2914" spans="7:8" x14ac:dyDescent="0.45">
      <c r="G2914" s="9">
        <v>41802</v>
      </c>
      <c r="H2914" s="8">
        <v>12.56</v>
      </c>
    </row>
    <row r="2915" spans="7:8" x14ac:dyDescent="0.45">
      <c r="G2915" s="9">
        <v>41801</v>
      </c>
      <c r="H2915" s="8">
        <v>11.6</v>
      </c>
    </row>
    <row r="2916" spans="7:8" x14ac:dyDescent="0.45">
      <c r="G2916" s="9">
        <v>41800</v>
      </c>
      <c r="H2916" s="8">
        <v>10.99</v>
      </c>
    </row>
    <row r="2917" spans="7:8" x14ac:dyDescent="0.45">
      <c r="G2917" s="9">
        <v>41799</v>
      </c>
      <c r="H2917" s="8">
        <v>11.15</v>
      </c>
    </row>
    <row r="2918" spans="7:8" x14ac:dyDescent="0.45">
      <c r="G2918" s="9">
        <v>41796</v>
      </c>
      <c r="H2918" s="8">
        <v>10.73</v>
      </c>
    </row>
    <row r="2919" spans="7:8" x14ac:dyDescent="0.45">
      <c r="G2919" s="9">
        <v>41795</v>
      </c>
      <c r="H2919" s="8">
        <v>11.68</v>
      </c>
    </row>
    <row r="2920" spans="7:8" x14ac:dyDescent="0.45">
      <c r="G2920" s="9">
        <v>41794</v>
      </c>
      <c r="H2920" s="8">
        <v>12.08</v>
      </c>
    </row>
    <row r="2921" spans="7:8" x14ac:dyDescent="0.45">
      <c r="G2921" s="9">
        <v>41793</v>
      </c>
      <c r="H2921" s="8">
        <v>11.87</v>
      </c>
    </row>
    <row r="2922" spans="7:8" x14ac:dyDescent="0.45">
      <c r="G2922" s="9">
        <v>41792</v>
      </c>
      <c r="H2922" s="8">
        <v>11.58</v>
      </c>
    </row>
    <row r="2923" spans="7:8" x14ac:dyDescent="0.45">
      <c r="G2923" s="9">
        <v>41789</v>
      </c>
      <c r="H2923" s="8">
        <v>11.4</v>
      </c>
    </row>
    <row r="2924" spans="7:8" x14ac:dyDescent="0.45">
      <c r="G2924" s="9">
        <v>41788</v>
      </c>
      <c r="H2924" s="8">
        <v>11.57</v>
      </c>
    </row>
    <row r="2925" spans="7:8" x14ac:dyDescent="0.45">
      <c r="G2925" s="9">
        <v>41787</v>
      </c>
      <c r="H2925" s="8">
        <v>11.68</v>
      </c>
    </row>
    <row r="2926" spans="7:8" x14ac:dyDescent="0.45">
      <c r="G2926" s="9">
        <v>41786</v>
      </c>
      <c r="H2926" s="8">
        <v>11.51</v>
      </c>
    </row>
    <row r="2927" spans="7:8" x14ac:dyDescent="0.45">
      <c r="G2927" s="9">
        <v>41782</v>
      </c>
      <c r="H2927" s="8">
        <v>11.36</v>
      </c>
    </row>
    <row r="2928" spans="7:8" x14ac:dyDescent="0.45">
      <c r="G2928" s="9">
        <v>41781</v>
      </c>
      <c r="H2928" s="8">
        <v>12.03</v>
      </c>
    </row>
    <row r="2929" spans="7:8" x14ac:dyDescent="0.45">
      <c r="G2929" s="9">
        <v>41780</v>
      </c>
      <c r="H2929" s="8">
        <v>11.91</v>
      </c>
    </row>
    <row r="2930" spans="7:8" x14ac:dyDescent="0.45">
      <c r="G2930" s="9">
        <v>41779</v>
      </c>
      <c r="H2930" s="8">
        <v>12.96</v>
      </c>
    </row>
    <row r="2931" spans="7:8" x14ac:dyDescent="0.45">
      <c r="G2931" s="9">
        <v>41778</v>
      </c>
      <c r="H2931" s="8">
        <v>12.42</v>
      </c>
    </row>
    <row r="2932" spans="7:8" x14ac:dyDescent="0.45">
      <c r="G2932" s="9">
        <v>41775</v>
      </c>
      <c r="H2932" s="8">
        <v>12.44</v>
      </c>
    </row>
    <row r="2933" spans="7:8" x14ac:dyDescent="0.45">
      <c r="G2933" s="9">
        <v>41774</v>
      </c>
      <c r="H2933" s="8">
        <v>13.17</v>
      </c>
    </row>
    <row r="2934" spans="7:8" x14ac:dyDescent="0.45">
      <c r="G2934" s="9">
        <v>41773</v>
      </c>
      <c r="H2934" s="8">
        <v>12.17</v>
      </c>
    </row>
    <row r="2935" spans="7:8" x14ac:dyDescent="0.45">
      <c r="G2935" s="9">
        <v>41772</v>
      </c>
      <c r="H2935" s="8">
        <v>12.13</v>
      </c>
    </row>
    <row r="2936" spans="7:8" x14ac:dyDescent="0.45">
      <c r="G2936" s="9">
        <v>41771</v>
      </c>
      <c r="H2936" s="8">
        <v>12.23</v>
      </c>
    </row>
    <row r="2937" spans="7:8" x14ac:dyDescent="0.45">
      <c r="G2937" s="9">
        <v>41768</v>
      </c>
      <c r="H2937" s="8">
        <v>12.92</v>
      </c>
    </row>
    <row r="2938" spans="7:8" x14ac:dyDescent="0.45">
      <c r="G2938" s="9">
        <v>41767</v>
      </c>
      <c r="H2938" s="8">
        <v>13.43</v>
      </c>
    </row>
    <row r="2939" spans="7:8" x14ac:dyDescent="0.45">
      <c r="G2939" s="9">
        <v>41766</v>
      </c>
      <c r="H2939" s="8">
        <v>13.4</v>
      </c>
    </row>
    <row r="2940" spans="7:8" x14ac:dyDescent="0.45">
      <c r="G2940" s="9">
        <v>41765</v>
      </c>
      <c r="H2940" s="8">
        <v>13.8</v>
      </c>
    </row>
    <row r="2941" spans="7:8" x14ac:dyDescent="0.45">
      <c r="G2941" s="9">
        <v>41764</v>
      </c>
      <c r="H2941" s="8">
        <v>13.29</v>
      </c>
    </row>
    <row r="2942" spans="7:8" x14ac:dyDescent="0.45">
      <c r="G2942" s="9">
        <v>41761</v>
      </c>
      <c r="H2942" s="8">
        <v>12.91</v>
      </c>
    </row>
    <row r="2943" spans="7:8" x14ac:dyDescent="0.45">
      <c r="G2943" s="9">
        <v>41760</v>
      </c>
      <c r="H2943" s="8">
        <v>13.25</v>
      </c>
    </row>
    <row r="2944" spans="7:8" x14ac:dyDescent="0.45">
      <c r="G2944" s="9">
        <v>41759</v>
      </c>
      <c r="H2944" s="8">
        <v>13.41</v>
      </c>
    </row>
    <row r="2945" spans="7:8" x14ac:dyDescent="0.45">
      <c r="G2945" s="9">
        <v>41758</v>
      </c>
      <c r="H2945" s="8">
        <v>13.71</v>
      </c>
    </row>
    <row r="2946" spans="7:8" x14ac:dyDescent="0.45">
      <c r="G2946" s="9">
        <v>41757</v>
      </c>
      <c r="H2946" s="8">
        <v>13.97</v>
      </c>
    </row>
    <row r="2947" spans="7:8" x14ac:dyDescent="0.45">
      <c r="G2947" s="9">
        <v>41754</v>
      </c>
      <c r="H2947" s="8">
        <v>14.06</v>
      </c>
    </row>
    <row r="2948" spans="7:8" x14ac:dyDescent="0.45">
      <c r="G2948" s="9">
        <v>41753</v>
      </c>
      <c r="H2948" s="8">
        <v>13.32</v>
      </c>
    </row>
    <row r="2949" spans="7:8" x14ac:dyDescent="0.45">
      <c r="G2949" s="9">
        <v>41752</v>
      </c>
      <c r="H2949" s="8">
        <v>13.27</v>
      </c>
    </row>
    <row r="2950" spans="7:8" x14ac:dyDescent="0.45">
      <c r="G2950" s="9">
        <v>41751</v>
      </c>
      <c r="H2950" s="8">
        <v>13.19</v>
      </c>
    </row>
    <row r="2951" spans="7:8" x14ac:dyDescent="0.45">
      <c r="G2951" s="9">
        <v>41750</v>
      </c>
      <c r="H2951" s="8">
        <v>13.25</v>
      </c>
    </row>
    <row r="2952" spans="7:8" x14ac:dyDescent="0.45">
      <c r="G2952" s="9">
        <v>41746</v>
      </c>
      <c r="H2952" s="8">
        <v>13.36</v>
      </c>
    </row>
    <row r="2953" spans="7:8" x14ac:dyDescent="0.45">
      <c r="G2953" s="9">
        <v>41745</v>
      </c>
      <c r="H2953" s="8">
        <v>14.18</v>
      </c>
    </row>
    <row r="2954" spans="7:8" x14ac:dyDescent="0.45">
      <c r="G2954" s="9">
        <v>41744</v>
      </c>
      <c r="H2954" s="8">
        <v>15.61</v>
      </c>
    </row>
    <row r="2955" spans="7:8" x14ac:dyDescent="0.45">
      <c r="G2955" s="9">
        <v>41743</v>
      </c>
      <c r="H2955" s="8">
        <v>16.11</v>
      </c>
    </row>
    <row r="2956" spans="7:8" x14ac:dyDescent="0.45">
      <c r="G2956" s="9">
        <v>41740</v>
      </c>
      <c r="H2956" s="8">
        <v>17.03</v>
      </c>
    </row>
    <row r="2957" spans="7:8" x14ac:dyDescent="0.45">
      <c r="G2957" s="9">
        <v>41739</v>
      </c>
      <c r="H2957" s="8">
        <v>15.89</v>
      </c>
    </row>
    <row r="2958" spans="7:8" x14ac:dyDescent="0.45">
      <c r="G2958" s="9">
        <v>41738</v>
      </c>
      <c r="H2958" s="8">
        <v>13.82</v>
      </c>
    </row>
    <row r="2959" spans="7:8" x14ac:dyDescent="0.45">
      <c r="G2959" s="9">
        <v>41737</v>
      </c>
      <c r="H2959" s="8">
        <v>14.89</v>
      </c>
    </row>
    <row r="2960" spans="7:8" x14ac:dyDescent="0.45">
      <c r="G2960" s="9">
        <v>41736</v>
      </c>
      <c r="H2960" s="8">
        <v>15.57</v>
      </c>
    </row>
    <row r="2961" spans="7:8" x14ac:dyDescent="0.45">
      <c r="G2961" s="9">
        <v>41733</v>
      </c>
      <c r="H2961" s="8">
        <v>13.96</v>
      </c>
    </row>
    <row r="2962" spans="7:8" x14ac:dyDescent="0.45">
      <c r="G2962" s="9">
        <v>41732</v>
      </c>
      <c r="H2962" s="8">
        <v>13.37</v>
      </c>
    </row>
    <row r="2963" spans="7:8" x14ac:dyDescent="0.45">
      <c r="G2963" s="9">
        <v>41731</v>
      </c>
      <c r="H2963" s="8">
        <v>13.09</v>
      </c>
    </row>
    <row r="2964" spans="7:8" x14ac:dyDescent="0.45">
      <c r="G2964" s="9">
        <v>41730</v>
      </c>
      <c r="H2964" s="8">
        <v>13.1</v>
      </c>
    </row>
    <row r="2965" spans="7:8" x14ac:dyDescent="0.45">
      <c r="G2965" s="9">
        <v>41729</v>
      </c>
      <c r="H2965" s="8">
        <v>13.88</v>
      </c>
    </row>
    <row r="2966" spans="7:8" x14ac:dyDescent="0.45">
      <c r="G2966" s="9">
        <v>41726</v>
      </c>
      <c r="H2966" s="8">
        <v>14.41</v>
      </c>
    </row>
    <row r="2967" spans="7:8" x14ac:dyDescent="0.45">
      <c r="G2967" s="9">
        <v>41725</v>
      </c>
      <c r="H2967" s="8">
        <v>14.62</v>
      </c>
    </row>
    <row r="2968" spans="7:8" x14ac:dyDescent="0.45">
      <c r="G2968" s="9">
        <v>41724</v>
      </c>
      <c r="H2968" s="8">
        <v>14.93</v>
      </c>
    </row>
    <row r="2969" spans="7:8" x14ac:dyDescent="0.45">
      <c r="G2969" s="9">
        <v>41723</v>
      </c>
      <c r="H2969" s="8">
        <v>14.02</v>
      </c>
    </row>
    <row r="2970" spans="7:8" x14ac:dyDescent="0.45">
      <c r="G2970" s="9">
        <v>41722</v>
      </c>
      <c r="H2970" s="8">
        <v>15.09</v>
      </c>
    </row>
    <row r="2971" spans="7:8" x14ac:dyDescent="0.45">
      <c r="G2971" s="9">
        <v>41719</v>
      </c>
      <c r="H2971" s="8">
        <v>15</v>
      </c>
    </row>
    <row r="2972" spans="7:8" x14ac:dyDescent="0.45">
      <c r="G2972" s="9">
        <v>41718</v>
      </c>
      <c r="H2972" s="8">
        <v>14.52</v>
      </c>
    </row>
    <row r="2973" spans="7:8" x14ac:dyDescent="0.45">
      <c r="G2973" s="9">
        <v>41717</v>
      </c>
      <c r="H2973" s="8">
        <v>15.12</v>
      </c>
    </row>
    <row r="2974" spans="7:8" x14ac:dyDescent="0.45">
      <c r="G2974" s="9">
        <v>41716</v>
      </c>
      <c r="H2974" s="8">
        <v>14.52</v>
      </c>
    </row>
    <row r="2975" spans="7:8" x14ac:dyDescent="0.45">
      <c r="G2975" s="9">
        <v>41715</v>
      </c>
      <c r="H2975" s="8">
        <v>15.64</v>
      </c>
    </row>
    <row r="2976" spans="7:8" x14ac:dyDescent="0.45">
      <c r="G2976" s="9">
        <v>41712</v>
      </c>
      <c r="H2976" s="8">
        <v>17.82</v>
      </c>
    </row>
    <row r="2977" spans="7:8" x14ac:dyDescent="0.45">
      <c r="G2977" s="9">
        <v>41711</v>
      </c>
      <c r="H2977" s="8">
        <v>16.22</v>
      </c>
    </row>
    <row r="2978" spans="7:8" x14ac:dyDescent="0.45">
      <c r="G2978" s="9">
        <v>41710</v>
      </c>
      <c r="H2978" s="8">
        <v>14.47</v>
      </c>
    </row>
    <row r="2979" spans="7:8" x14ac:dyDescent="0.45">
      <c r="G2979" s="9">
        <v>41709</v>
      </c>
      <c r="H2979" s="8">
        <v>14.8</v>
      </c>
    </row>
    <row r="2980" spans="7:8" x14ac:dyDescent="0.45">
      <c r="G2980" s="9">
        <v>41708</v>
      </c>
      <c r="H2980" s="8">
        <v>14.2</v>
      </c>
    </row>
    <row r="2981" spans="7:8" x14ac:dyDescent="0.45">
      <c r="G2981" s="9">
        <v>41705</v>
      </c>
      <c r="H2981" s="8">
        <v>14.11</v>
      </c>
    </row>
    <row r="2982" spans="7:8" x14ac:dyDescent="0.45">
      <c r="G2982" s="9">
        <v>41704</v>
      </c>
      <c r="H2982" s="8">
        <v>14.21</v>
      </c>
    </row>
    <row r="2983" spans="7:8" x14ac:dyDescent="0.45">
      <c r="G2983" s="9">
        <v>41703</v>
      </c>
      <c r="H2983" s="8">
        <v>13.89</v>
      </c>
    </row>
    <row r="2984" spans="7:8" x14ac:dyDescent="0.45">
      <c r="G2984" s="9">
        <v>41702</v>
      </c>
      <c r="H2984" s="8">
        <v>14.1</v>
      </c>
    </row>
    <row r="2985" spans="7:8" x14ac:dyDescent="0.45">
      <c r="G2985" s="9">
        <v>41701</v>
      </c>
      <c r="H2985" s="8">
        <v>16</v>
      </c>
    </row>
    <row r="2986" spans="7:8" x14ac:dyDescent="0.45">
      <c r="G2986" s="9">
        <v>41698</v>
      </c>
      <c r="H2986" s="8">
        <v>14</v>
      </c>
    </row>
    <row r="2987" spans="7:8" x14ac:dyDescent="0.45">
      <c r="G2987" s="9">
        <v>41697</v>
      </c>
      <c r="H2987" s="8">
        <v>14.04</v>
      </c>
    </row>
    <row r="2988" spans="7:8" x14ac:dyDescent="0.45">
      <c r="G2988" s="9">
        <v>41696</v>
      </c>
      <c r="H2988" s="8">
        <v>14.35</v>
      </c>
    </row>
    <row r="2989" spans="7:8" x14ac:dyDescent="0.45">
      <c r="G2989" s="9">
        <v>41695</v>
      </c>
      <c r="H2989" s="8">
        <v>13.67</v>
      </c>
    </row>
    <row r="2990" spans="7:8" x14ac:dyDescent="0.45">
      <c r="G2990" s="9">
        <v>41694</v>
      </c>
      <c r="H2990" s="8">
        <v>14.23</v>
      </c>
    </row>
    <row r="2991" spans="7:8" x14ac:dyDescent="0.45">
      <c r="G2991" s="9">
        <v>41691</v>
      </c>
      <c r="H2991" s="8">
        <v>14.68</v>
      </c>
    </row>
    <row r="2992" spans="7:8" x14ac:dyDescent="0.45">
      <c r="G2992" s="9">
        <v>41690</v>
      </c>
      <c r="H2992" s="8">
        <v>14.79</v>
      </c>
    </row>
    <row r="2993" spans="7:8" x14ac:dyDescent="0.45">
      <c r="G2993" s="9">
        <v>41689</v>
      </c>
      <c r="H2993" s="8">
        <v>15.5</v>
      </c>
    </row>
    <row r="2994" spans="7:8" x14ac:dyDescent="0.45">
      <c r="G2994" s="9">
        <v>41688</v>
      </c>
      <c r="H2994" s="8">
        <v>13.87</v>
      </c>
    </row>
    <row r="2995" spans="7:8" x14ac:dyDescent="0.45">
      <c r="G2995" s="9">
        <v>41684</v>
      </c>
      <c r="H2995" s="8">
        <v>13.57</v>
      </c>
    </row>
    <row r="2996" spans="7:8" x14ac:dyDescent="0.45">
      <c r="G2996" s="9">
        <v>41683</v>
      </c>
      <c r="H2996" s="8">
        <v>14.14</v>
      </c>
    </row>
    <row r="2997" spans="7:8" x14ac:dyDescent="0.45">
      <c r="G2997" s="9">
        <v>41682</v>
      </c>
      <c r="H2997" s="8">
        <v>14.3</v>
      </c>
    </row>
    <row r="2998" spans="7:8" x14ac:dyDescent="0.45">
      <c r="G2998" s="9">
        <v>41681</v>
      </c>
      <c r="H2998" s="8">
        <v>14.51</v>
      </c>
    </row>
    <row r="2999" spans="7:8" x14ac:dyDescent="0.45">
      <c r="G2999" s="9">
        <v>41680</v>
      </c>
      <c r="H2999" s="8">
        <v>15.26</v>
      </c>
    </row>
    <row r="3000" spans="7:8" x14ac:dyDescent="0.45">
      <c r="G3000" s="9">
        <v>41677</v>
      </c>
      <c r="H3000" s="8">
        <v>15.29</v>
      </c>
    </row>
    <row r="3001" spans="7:8" x14ac:dyDescent="0.45">
      <c r="G3001" s="9">
        <v>41676</v>
      </c>
      <c r="H3001" s="8">
        <v>17.23</v>
      </c>
    </row>
    <row r="3002" spans="7:8" x14ac:dyDescent="0.45">
      <c r="G3002" s="9">
        <v>41675</v>
      </c>
      <c r="H3002" s="8">
        <v>19.95</v>
      </c>
    </row>
    <row r="3003" spans="7:8" x14ac:dyDescent="0.45">
      <c r="G3003" s="9">
        <v>41674</v>
      </c>
      <c r="H3003" s="8">
        <v>19.11</v>
      </c>
    </row>
    <row r="3004" spans="7:8" x14ac:dyDescent="0.45">
      <c r="G3004" s="9">
        <v>41673</v>
      </c>
      <c r="H3004" s="8">
        <v>21.44</v>
      </c>
    </row>
    <row r="3005" spans="7:8" x14ac:dyDescent="0.45">
      <c r="G3005" s="9">
        <v>41670</v>
      </c>
      <c r="H3005" s="8">
        <v>18.41</v>
      </c>
    </row>
    <row r="3006" spans="7:8" x14ac:dyDescent="0.45">
      <c r="G3006" s="9">
        <v>41669</v>
      </c>
      <c r="H3006" s="8">
        <v>17.29</v>
      </c>
    </row>
    <row r="3007" spans="7:8" x14ac:dyDescent="0.45">
      <c r="G3007" s="9">
        <v>41668</v>
      </c>
      <c r="H3007" s="8">
        <v>17.350000000000001</v>
      </c>
    </row>
    <row r="3008" spans="7:8" x14ac:dyDescent="0.45">
      <c r="G3008" s="9">
        <v>41667</v>
      </c>
      <c r="H3008" s="8">
        <v>15.8</v>
      </c>
    </row>
    <row r="3009" spans="7:8" x14ac:dyDescent="0.45">
      <c r="G3009" s="9">
        <v>41666</v>
      </c>
      <c r="H3009" s="8">
        <v>17.420000000000002</v>
      </c>
    </row>
    <row r="3010" spans="7:8" x14ac:dyDescent="0.45">
      <c r="G3010" s="9">
        <v>41663</v>
      </c>
      <c r="H3010" s="8">
        <v>18.14</v>
      </c>
    </row>
    <row r="3011" spans="7:8" x14ac:dyDescent="0.45">
      <c r="G3011" s="9">
        <v>41662</v>
      </c>
      <c r="H3011" s="8">
        <v>13.77</v>
      </c>
    </row>
    <row r="3012" spans="7:8" x14ac:dyDescent="0.45">
      <c r="G3012" s="9">
        <v>41661</v>
      </c>
      <c r="H3012" s="8">
        <v>12.84</v>
      </c>
    </row>
    <row r="3013" spans="7:8" x14ac:dyDescent="0.45">
      <c r="G3013" s="9">
        <v>41660</v>
      </c>
      <c r="H3013" s="8">
        <v>12.87</v>
      </c>
    </row>
    <row r="3014" spans="7:8" x14ac:dyDescent="0.45">
      <c r="G3014" s="9">
        <v>41656</v>
      </c>
      <c r="H3014" s="8">
        <v>12.44</v>
      </c>
    </row>
    <row r="3015" spans="7:8" x14ac:dyDescent="0.45">
      <c r="G3015" s="9">
        <v>41655</v>
      </c>
      <c r="H3015" s="8">
        <v>12.53</v>
      </c>
    </row>
    <row r="3016" spans="7:8" x14ac:dyDescent="0.45">
      <c r="G3016" s="9">
        <v>41654</v>
      </c>
      <c r="H3016" s="8">
        <v>12.28</v>
      </c>
    </row>
    <row r="3017" spans="7:8" x14ac:dyDescent="0.45">
      <c r="G3017" s="9">
        <v>41653</v>
      </c>
      <c r="H3017" s="8">
        <v>12.28</v>
      </c>
    </row>
    <row r="3018" spans="7:8" x14ac:dyDescent="0.45">
      <c r="G3018" s="9">
        <v>41652</v>
      </c>
      <c r="H3018" s="8">
        <v>13.28</v>
      </c>
    </row>
    <row r="3019" spans="7:8" x14ac:dyDescent="0.45">
      <c r="G3019" s="9">
        <v>41649</v>
      </c>
      <c r="H3019" s="8">
        <v>12.14</v>
      </c>
    </row>
    <row r="3020" spans="7:8" x14ac:dyDescent="0.45">
      <c r="G3020" s="9">
        <v>41648</v>
      </c>
      <c r="H3020" s="8">
        <v>12.89</v>
      </c>
    </row>
    <row r="3021" spans="7:8" x14ac:dyDescent="0.45">
      <c r="G3021" s="9">
        <v>41647</v>
      </c>
      <c r="H3021" s="8">
        <v>12.87</v>
      </c>
    </row>
    <row r="3022" spans="7:8" x14ac:dyDescent="0.45">
      <c r="G3022" s="9">
        <v>41646</v>
      </c>
      <c r="H3022" s="8">
        <v>12.92</v>
      </c>
    </row>
    <row r="3023" spans="7:8" x14ac:dyDescent="0.45">
      <c r="G3023" s="9">
        <v>41645</v>
      </c>
      <c r="H3023" s="8">
        <v>13.55</v>
      </c>
    </row>
    <row r="3024" spans="7:8" x14ac:dyDescent="0.45">
      <c r="G3024" s="9">
        <v>41642</v>
      </c>
      <c r="H3024" s="8">
        <v>13.76</v>
      </c>
    </row>
    <row r="3025" spans="7:8" x14ac:dyDescent="0.45">
      <c r="G3025" s="9">
        <v>41641</v>
      </c>
      <c r="H3025" s="8">
        <v>14.23</v>
      </c>
    </row>
    <row r="3026" spans="7:8" x14ac:dyDescent="0.45">
      <c r="G3026" s="9">
        <v>41639</v>
      </c>
      <c r="H3026" s="8">
        <v>13.72</v>
      </c>
    </row>
    <row r="3027" spans="7:8" x14ac:dyDescent="0.45">
      <c r="G3027" s="9">
        <v>41638</v>
      </c>
      <c r="H3027" s="8">
        <v>13.56</v>
      </c>
    </row>
    <row r="3028" spans="7:8" x14ac:dyDescent="0.45">
      <c r="G3028" s="9">
        <v>41635</v>
      </c>
      <c r="H3028" s="8">
        <v>12.46</v>
      </c>
    </row>
    <row r="3029" spans="7:8" x14ac:dyDescent="0.45">
      <c r="G3029" s="9">
        <v>41634</v>
      </c>
      <c r="H3029" s="8">
        <v>12.33</v>
      </c>
    </row>
    <row r="3030" spans="7:8" x14ac:dyDescent="0.45">
      <c r="G3030" s="9">
        <v>41632</v>
      </c>
      <c r="H3030" s="8">
        <v>12.48</v>
      </c>
    </row>
    <row r="3031" spans="7:8" x14ac:dyDescent="0.45">
      <c r="G3031" s="9">
        <v>41631</v>
      </c>
      <c r="H3031" s="8">
        <v>13.04</v>
      </c>
    </row>
    <row r="3032" spans="7:8" x14ac:dyDescent="0.45">
      <c r="G3032" s="9">
        <v>41628</v>
      </c>
      <c r="H3032" s="8">
        <v>13.79</v>
      </c>
    </row>
    <row r="3033" spans="7:8" x14ac:dyDescent="0.45">
      <c r="G3033" s="9">
        <v>41627</v>
      </c>
      <c r="H3033" s="8">
        <v>14.15</v>
      </c>
    </row>
    <row r="3034" spans="7:8" x14ac:dyDescent="0.45">
      <c r="G3034" s="9">
        <v>41626</v>
      </c>
      <c r="H3034" s="8">
        <v>13.8</v>
      </c>
    </row>
    <row r="3035" spans="7:8" x14ac:dyDescent="0.45">
      <c r="G3035" s="9">
        <v>41625</v>
      </c>
      <c r="H3035" s="8">
        <v>16.21</v>
      </c>
    </row>
    <row r="3036" spans="7:8" x14ac:dyDescent="0.45">
      <c r="G3036" s="9">
        <v>41624</v>
      </c>
      <c r="H3036" s="8">
        <v>16.03</v>
      </c>
    </row>
    <row r="3037" spans="7:8" x14ac:dyDescent="0.45">
      <c r="G3037" s="9">
        <v>41621</v>
      </c>
      <c r="H3037" s="8">
        <v>15.76</v>
      </c>
    </row>
    <row r="3038" spans="7:8" x14ac:dyDescent="0.45">
      <c r="G3038" s="9">
        <v>41620</v>
      </c>
      <c r="H3038" s="8">
        <v>15.54</v>
      </c>
    </row>
    <row r="3039" spans="7:8" x14ac:dyDescent="0.45">
      <c r="G3039" s="9">
        <v>41619</v>
      </c>
      <c r="H3039" s="8">
        <v>15.42</v>
      </c>
    </row>
    <row r="3040" spans="7:8" x14ac:dyDescent="0.45">
      <c r="G3040" s="9">
        <v>41618</v>
      </c>
      <c r="H3040" s="8">
        <v>13.91</v>
      </c>
    </row>
    <row r="3041" spans="7:8" x14ac:dyDescent="0.45">
      <c r="G3041" s="9">
        <v>41617</v>
      </c>
      <c r="H3041" s="8">
        <v>13.49</v>
      </c>
    </row>
    <row r="3042" spans="7:8" x14ac:dyDescent="0.45">
      <c r="G3042" s="9">
        <v>41614</v>
      </c>
      <c r="H3042" s="8">
        <v>13.79</v>
      </c>
    </row>
    <row r="3043" spans="7:8" x14ac:dyDescent="0.45">
      <c r="G3043" s="9">
        <v>41613</v>
      </c>
      <c r="H3043" s="8">
        <v>15.08</v>
      </c>
    </row>
    <row r="3044" spans="7:8" x14ac:dyDescent="0.45">
      <c r="G3044" s="9">
        <v>41612</v>
      </c>
      <c r="H3044" s="8">
        <v>14.7</v>
      </c>
    </row>
    <row r="3045" spans="7:8" x14ac:dyDescent="0.45">
      <c r="G3045" s="9">
        <v>41611</v>
      </c>
      <c r="H3045" s="8">
        <v>14.55</v>
      </c>
    </row>
    <row r="3046" spans="7:8" x14ac:dyDescent="0.45">
      <c r="G3046" s="9">
        <v>41610</v>
      </c>
      <c r="H3046" s="8">
        <v>14.23</v>
      </c>
    </row>
    <row r="3047" spans="7:8" x14ac:dyDescent="0.45">
      <c r="G3047" s="9">
        <v>41607</v>
      </c>
      <c r="H3047" s="8">
        <v>13.7</v>
      </c>
    </row>
    <row r="3048" spans="7:8" x14ac:dyDescent="0.45">
      <c r="G3048" s="9">
        <v>41605</v>
      </c>
      <c r="H3048" s="8">
        <v>12.98</v>
      </c>
    </row>
    <row r="3049" spans="7:8" x14ac:dyDescent="0.45">
      <c r="G3049" s="9">
        <v>41604</v>
      </c>
      <c r="H3049" s="8">
        <v>12.81</v>
      </c>
    </row>
    <row r="3050" spans="7:8" x14ac:dyDescent="0.45">
      <c r="G3050" s="9">
        <v>41603</v>
      </c>
      <c r="H3050" s="8">
        <v>12.79</v>
      </c>
    </row>
    <row r="3051" spans="7:8" x14ac:dyDescent="0.45">
      <c r="G3051" s="9">
        <v>41600</v>
      </c>
      <c r="H3051" s="8">
        <v>12.26</v>
      </c>
    </row>
    <row r="3052" spans="7:8" x14ac:dyDescent="0.45">
      <c r="G3052" s="9">
        <v>41599</v>
      </c>
      <c r="H3052" s="8">
        <v>12.66</v>
      </c>
    </row>
    <row r="3053" spans="7:8" x14ac:dyDescent="0.45">
      <c r="G3053" s="9">
        <v>41598</v>
      </c>
      <c r="H3053" s="8">
        <v>13.4</v>
      </c>
    </row>
    <row r="3054" spans="7:8" x14ac:dyDescent="0.45">
      <c r="G3054" s="9">
        <v>41597</v>
      </c>
      <c r="H3054" s="8">
        <v>13.39</v>
      </c>
    </row>
    <row r="3055" spans="7:8" x14ac:dyDescent="0.45">
      <c r="G3055" s="9">
        <v>41596</v>
      </c>
      <c r="H3055" s="8">
        <v>13.1</v>
      </c>
    </row>
    <row r="3056" spans="7:8" x14ac:dyDescent="0.45">
      <c r="G3056" s="9">
        <v>41593</v>
      </c>
      <c r="H3056" s="8">
        <v>12.19</v>
      </c>
    </row>
    <row r="3057" spans="7:8" x14ac:dyDescent="0.45">
      <c r="G3057" s="9">
        <v>41592</v>
      </c>
      <c r="H3057" s="8">
        <v>12.37</v>
      </c>
    </row>
    <row r="3058" spans="7:8" x14ac:dyDescent="0.45">
      <c r="G3058" s="9">
        <v>41591</v>
      </c>
      <c r="H3058" s="8">
        <v>12.52</v>
      </c>
    </row>
    <row r="3059" spans="7:8" x14ac:dyDescent="0.45">
      <c r="G3059" s="9">
        <v>41590</v>
      </c>
      <c r="H3059" s="8">
        <v>12.82</v>
      </c>
    </row>
    <row r="3060" spans="7:8" x14ac:dyDescent="0.45">
      <c r="G3060" s="9">
        <v>41589</v>
      </c>
      <c r="H3060" s="8">
        <v>12.53</v>
      </c>
    </row>
    <row r="3061" spans="7:8" x14ac:dyDescent="0.45">
      <c r="G3061" s="9">
        <v>41586</v>
      </c>
      <c r="H3061" s="8">
        <v>12.9</v>
      </c>
    </row>
    <row r="3062" spans="7:8" x14ac:dyDescent="0.45">
      <c r="G3062" s="9">
        <v>41585</v>
      </c>
      <c r="H3062" s="8">
        <v>13.91</v>
      </c>
    </row>
    <row r="3063" spans="7:8" x14ac:dyDescent="0.45">
      <c r="G3063" s="9">
        <v>41584</v>
      </c>
      <c r="H3063" s="8">
        <v>12.67</v>
      </c>
    </row>
    <row r="3064" spans="7:8" x14ac:dyDescent="0.45">
      <c r="G3064" s="9">
        <v>41583</v>
      </c>
      <c r="H3064" s="8">
        <v>13.27</v>
      </c>
    </row>
    <row r="3065" spans="7:8" x14ac:dyDescent="0.45">
      <c r="G3065" s="9">
        <v>41582</v>
      </c>
      <c r="H3065" s="8">
        <v>12.93</v>
      </c>
    </row>
    <row r="3066" spans="7:8" x14ac:dyDescent="0.45">
      <c r="G3066" s="9">
        <v>41579</v>
      </c>
      <c r="H3066" s="8">
        <v>13.28</v>
      </c>
    </row>
    <row r="3067" spans="7:8" x14ac:dyDescent="0.45">
      <c r="G3067" s="9">
        <v>41578</v>
      </c>
      <c r="H3067" s="8">
        <v>13.75</v>
      </c>
    </row>
    <row r="3068" spans="7:8" x14ac:dyDescent="0.45">
      <c r="G3068" s="9">
        <v>41577</v>
      </c>
      <c r="H3068" s="8">
        <v>13.65</v>
      </c>
    </row>
    <row r="3069" spans="7:8" x14ac:dyDescent="0.45">
      <c r="G3069" s="9">
        <v>41576</v>
      </c>
      <c r="H3069" s="8">
        <v>13.41</v>
      </c>
    </row>
    <row r="3070" spans="7:8" x14ac:dyDescent="0.45">
      <c r="G3070" s="9">
        <v>41575</v>
      </c>
      <c r="H3070" s="8">
        <v>13.31</v>
      </c>
    </row>
    <row r="3071" spans="7:8" x14ac:dyDescent="0.45">
      <c r="G3071" s="9">
        <v>41572</v>
      </c>
      <c r="H3071" s="8">
        <v>13.09</v>
      </c>
    </row>
    <row r="3072" spans="7:8" x14ac:dyDescent="0.45">
      <c r="G3072" s="9">
        <v>41571</v>
      </c>
      <c r="H3072" s="8">
        <v>13.2</v>
      </c>
    </row>
    <row r="3073" spans="7:8" x14ac:dyDescent="0.45">
      <c r="G3073" s="9">
        <v>41570</v>
      </c>
      <c r="H3073" s="8">
        <v>13.42</v>
      </c>
    </row>
    <row r="3074" spans="7:8" x14ac:dyDescent="0.45">
      <c r="G3074" s="9">
        <v>41569</v>
      </c>
      <c r="H3074" s="8">
        <v>13.33</v>
      </c>
    </row>
    <row r="3075" spans="7:8" x14ac:dyDescent="0.45">
      <c r="G3075" s="9">
        <v>41568</v>
      </c>
      <c r="H3075" s="8">
        <v>13.16</v>
      </c>
    </row>
    <row r="3076" spans="7:8" x14ac:dyDescent="0.45">
      <c r="G3076" s="9">
        <v>41565</v>
      </c>
      <c r="H3076" s="8">
        <v>13.04</v>
      </c>
    </row>
    <row r="3077" spans="7:8" x14ac:dyDescent="0.45">
      <c r="G3077" s="9">
        <v>41564</v>
      </c>
      <c r="H3077" s="8">
        <v>13.48</v>
      </c>
    </row>
    <row r="3078" spans="7:8" x14ac:dyDescent="0.45">
      <c r="G3078" s="9">
        <v>41563</v>
      </c>
      <c r="H3078" s="8">
        <v>14.71</v>
      </c>
    </row>
    <row r="3079" spans="7:8" x14ac:dyDescent="0.45">
      <c r="G3079" s="9">
        <v>41562</v>
      </c>
      <c r="H3079" s="8">
        <v>18.66</v>
      </c>
    </row>
    <row r="3080" spans="7:8" x14ac:dyDescent="0.45">
      <c r="G3080" s="9">
        <v>41561</v>
      </c>
      <c r="H3080" s="8">
        <v>16.07</v>
      </c>
    </row>
    <row r="3081" spans="7:8" x14ac:dyDescent="0.45">
      <c r="G3081" s="9">
        <v>41558</v>
      </c>
      <c r="H3081" s="8">
        <v>15.72</v>
      </c>
    </row>
    <row r="3082" spans="7:8" x14ac:dyDescent="0.45">
      <c r="G3082" s="9">
        <v>41557</v>
      </c>
      <c r="H3082" s="8">
        <v>16.48</v>
      </c>
    </row>
    <row r="3083" spans="7:8" x14ac:dyDescent="0.45">
      <c r="G3083" s="9">
        <v>41556</v>
      </c>
      <c r="H3083" s="8">
        <v>19.600000000000001</v>
      </c>
    </row>
    <row r="3084" spans="7:8" x14ac:dyDescent="0.45">
      <c r="G3084" s="9">
        <v>41555</v>
      </c>
      <c r="H3084" s="8">
        <v>20.34</v>
      </c>
    </row>
    <row r="3085" spans="7:8" x14ac:dyDescent="0.45">
      <c r="G3085" s="9">
        <v>41554</v>
      </c>
      <c r="H3085" s="8">
        <v>19.41</v>
      </c>
    </row>
    <row r="3086" spans="7:8" x14ac:dyDescent="0.45">
      <c r="G3086" s="9">
        <v>41551</v>
      </c>
      <c r="H3086" s="8">
        <v>16.739999999999998</v>
      </c>
    </row>
    <row r="3087" spans="7:8" x14ac:dyDescent="0.45">
      <c r="G3087" s="9">
        <v>41550</v>
      </c>
      <c r="H3087" s="8">
        <v>17.670000000000002</v>
      </c>
    </row>
    <row r="3088" spans="7:8" x14ac:dyDescent="0.45">
      <c r="G3088" s="9">
        <v>41549</v>
      </c>
      <c r="H3088" s="8">
        <v>16.600000000000001</v>
      </c>
    </row>
    <row r="3089" spans="7:8" x14ac:dyDescent="0.45">
      <c r="G3089" s="9">
        <v>41548</v>
      </c>
      <c r="H3089" s="8">
        <v>15.54</v>
      </c>
    </row>
    <row r="3090" spans="7:8" x14ac:dyDescent="0.45">
      <c r="G3090" s="9">
        <v>41547</v>
      </c>
      <c r="H3090" s="8">
        <v>16.600000000000001</v>
      </c>
    </row>
    <row r="3091" spans="7:8" x14ac:dyDescent="0.45">
      <c r="G3091" s="9">
        <v>41544</v>
      </c>
      <c r="H3091" s="8">
        <v>15.46</v>
      </c>
    </row>
    <row r="3092" spans="7:8" x14ac:dyDescent="0.45">
      <c r="G3092" s="9">
        <v>41543</v>
      </c>
      <c r="H3092" s="8">
        <v>14.06</v>
      </c>
    </row>
    <row r="3093" spans="7:8" x14ac:dyDescent="0.45">
      <c r="G3093" s="9">
        <v>41542</v>
      </c>
      <c r="H3093" s="8">
        <v>14.01</v>
      </c>
    </row>
    <row r="3094" spans="7:8" x14ac:dyDescent="0.45">
      <c r="G3094" s="9">
        <v>41541</v>
      </c>
      <c r="H3094" s="8">
        <v>14.08</v>
      </c>
    </row>
    <row r="3095" spans="7:8" x14ac:dyDescent="0.45">
      <c r="G3095" s="9">
        <v>41540</v>
      </c>
      <c r="H3095" s="8">
        <v>14.31</v>
      </c>
    </row>
    <row r="3096" spans="7:8" x14ac:dyDescent="0.45">
      <c r="G3096" s="9">
        <v>41537</v>
      </c>
      <c r="H3096" s="8">
        <v>13.12</v>
      </c>
    </row>
    <row r="3097" spans="7:8" x14ac:dyDescent="0.45">
      <c r="G3097" s="9">
        <v>41536</v>
      </c>
      <c r="H3097" s="8">
        <v>13.16</v>
      </c>
    </row>
    <row r="3098" spans="7:8" x14ac:dyDescent="0.45">
      <c r="G3098" s="9">
        <v>41535</v>
      </c>
      <c r="H3098" s="8">
        <v>13.59</v>
      </c>
    </row>
    <row r="3099" spans="7:8" x14ac:dyDescent="0.45">
      <c r="G3099" s="9">
        <v>41534</v>
      </c>
      <c r="H3099" s="8">
        <v>14.53</v>
      </c>
    </row>
    <row r="3100" spans="7:8" x14ac:dyDescent="0.45">
      <c r="G3100" s="9">
        <v>41533</v>
      </c>
      <c r="H3100" s="8">
        <v>14.38</v>
      </c>
    </row>
    <row r="3101" spans="7:8" x14ac:dyDescent="0.45">
      <c r="G3101" s="9">
        <v>41530</v>
      </c>
      <c r="H3101" s="8">
        <v>14.16</v>
      </c>
    </row>
    <row r="3102" spans="7:8" x14ac:dyDescent="0.45">
      <c r="G3102" s="9">
        <v>41529</v>
      </c>
      <c r="H3102" s="8">
        <v>14.29</v>
      </c>
    </row>
    <row r="3103" spans="7:8" x14ac:dyDescent="0.45">
      <c r="G3103" s="9">
        <v>41528</v>
      </c>
      <c r="H3103" s="8">
        <v>13.82</v>
      </c>
    </row>
    <row r="3104" spans="7:8" x14ac:dyDescent="0.45">
      <c r="G3104" s="9">
        <v>41527</v>
      </c>
      <c r="H3104" s="8">
        <v>14.53</v>
      </c>
    </row>
    <row r="3105" spans="7:8" x14ac:dyDescent="0.45">
      <c r="G3105" s="9">
        <v>41526</v>
      </c>
      <c r="H3105" s="8">
        <v>15.63</v>
      </c>
    </row>
    <row r="3106" spans="7:8" x14ac:dyDescent="0.45">
      <c r="G3106" s="9">
        <v>41523</v>
      </c>
      <c r="H3106" s="8">
        <v>15.85</v>
      </c>
    </row>
    <row r="3107" spans="7:8" x14ac:dyDescent="0.45">
      <c r="G3107" s="9">
        <v>41522</v>
      </c>
      <c r="H3107" s="8">
        <v>15.77</v>
      </c>
    </row>
    <row r="3108" spans="7:8" x14ac:dyDescent="0.45">
      <c r="G3108" s="9">
        <v>41521</v>
      </c>
      <c r="H3108" s="8">
        <v>15.88</v>
      </c>
    </row>
    <row r="3109" spans="7:8" x14ac:dyDescent="0.45">
      <c r="G3109" s="9">
        <v>41520</v>
      </c>
      <c r="H3109" s="8">
        <v>16.61</v>
      </c>
    </row>
    <row r="3110" spans="7:8" x14ac:dyDescent="0.45">
      <c r="G3110" s="9">
        <v>41516</v>
      </c>
      <c r="H3110" s="8">
        <v>17.010000000000002</v>
      </c>
    </row>
    <row r="3111" spans="7:8" x14ac:dyDescent="0.45">
      <c r="G3111" s="9">
        <v>41515</v>
      </c>
      <c r="H3111" s="8">
        <v>16.809999999999999</v>
      </c>
    </row>
    <row r="3112" spans="7:8" x14ac:dyDescent="0.45">
      <c r="G3112" s="9">
        <v>41514</v>
      </c>
      <c r="H3112" s="8">
        <v>16.489999999999998</v>
      </c>
    </row>
    <row r="3113" spans="7:8" x14ac:dyDescent="0.45">
      <c r="G3113" s="9">
        <v>41513</v>
      </c>
      <c r="H3113" s="8">
        <v>16.77</v>
      </c>
    </row>
    <row r="3114" spans="7:8" x14ac:dyDescent="0.45">
      <c r="G3114" s="9">
        <v>41512</v>
      </c>
      <c r="H3114" s="8">
        <v>14.99</v>
      </c>
    </row>
    <row r="3115" spans="7:8" x14ac:dyDescent="0.45">
      <c r="G3115" s="9">
        <v>41509</v>
      </c>
      <c r="H3115" s="8">
        <v>13.98</v>
      </c>
    </row>
    <row r="3116" spans="7:8" x14ac:dyDescent="0.45">
      <c r="G3116" s="9">
        <v>41508</v>
      </c>
      <c r="H3116" s="8">
        <v>14.76</v>
      </c>
    </row>
    <row r="3117" spans="7:8" x14ac:dyDescent="0.45">
      <c r="G3117" s="9">
        <v>41507</v>
      </c>
      <c r="H3117" s="8">
        <v>15.94</v>
      </c>
    </row>
    <row r="3118" spans="7:8" x14ac:dyDescent="0.45">
      <c r="G3118" s="9">
        <v>41506</v>
      </c>
      <c r="H3118" s="8">
        <v>14.91</v>
      </c>
    </row>
    <row r="3119" spans="7:8" x14ac:dyDescent="0.45">
      <c r="G3119" s="9">
        <v>41505</v>
      </c>
      <c r="H3119" s="8">
        <v>15.1</v>
      </c>
    </row>
    <row r="3120" spans="7:8" x14ac:dyDescent="0.45">
      <c r="G3120" s="9">
        <v>41502</v>
      </c>
      <c r="H3120" s="8">
        <v>14.37</v>
      </c>
    </row>
    <row r="3121" spans="7:8" x14ac:dyDescent="0.45">
      <c r="G3121" s="9">
        <v>41501</v>
      </c>
      <c r="H3121" s="8">
        <v>14.73</v>
      </c>
    </row>
    <row r="3122" spans="7:8" x14ac:dyDescent="0.45">
      <c r="G3122" s="9">
        <v>41500</v>
      </c>
      <c r="H3122" s="8">
        <v>13.04</v>
      </c>
    </row>
    <row r="3123" spans="7:8" x14ac:dyDescent="0.45">
      <c r="G3123" s="9">
        <v>41499</v>
      </c>
      <c r="H3123" s="8">
        <v>12.31</v>
      </c>
    </row>
    <row r="3124" spans="7:8" x14ac:dyDescent="0.45">
      <c r="G3124" s="9">
        <v>41498</v>
      </c>
      <c r="H3124" s="8">
        <v>12.81</v>
      </c>
    </row>
    <row r="3125" spans="7:8" x14ac:dyDescent="0.45">
      <c r="G3125" s="9">
        <v>41495</v>
      </c>
      <c r="H3125" s="8">
        <v>13.41</v>
      </c>
    </row>
    <row r="3126" spans="7:8" x14ac:dyDescent="0.45">
      <c r="G3126" s="9">
        <v>41494</v>
      </c>
      <c r="H3126" s="8">
        <v>12.73</v>
      </c>
    </row>
    <row r="3127" spans="7:8" x14ac:dyDescent="0.45">
      <c r="G3127" s="9">
        <v>41493</v>
      </c>
      <c r="H3127" s="8">
        <v>12.98</v>
      </c>
    </row>
    <row r="3128" spans="7:8" x14ac:dyDescent="0.45">
      <c r="G3128" s="9">
        <v>41492</v>
      </c>
      <c r="H3128" s="8">
        <v>12.72</v>
      </c>
    </row>
    <row r="3129" spans="7:8" x14ac:dyDescent="0.45">
      <c r="G3129" s="9">
        <v>41491</v>
      </c>
      <c r="H3129" s="8">
        <v>11.84</v>
      </c>
    </row>
    <row r="3130" spans="7:8" x14ac:dyDescent="0.45">
      <c r="G3130" s="9">
        <v>41488</v>
      </c>
      <c r="H3130" s="8">
        <v>11.98</v>
      </c>
    </row>
    <row r="3131" spans="7:8" x14ac:dyDescent="0.45">
      <c r="G3131" s="9">
        <v>41487</v>
      </c>
      <c r="H3131" s="8">
        <v>12.94</v>
      </c>
    </row>
    <row r="3132" spans="7:8" x14ac:dyDescent="0.45">
      <c r="G3132" s="9">
        <v>41486</v>
      </c>
      <c r="H3132" s="8">
        <v>13.45</v>
      </c>
    </row>
    <row r="3133" spans="7:8" x14ac:dyDescent="0.45">
      <c r="G3133" s="9">
        <v>41485</v>
      </c>
      <c r="H3133" s="8">
        <v>13.39</v>
      </c>
    </row>
    <row r="3134" spans="7:8" x14ac:dyDescent="0.45">
      <c r="G3134" s="9">
        <v>41484</v>
      </c>
      <c r="H3134" s="8">
        <v>13.39</v>
      </c>
    </row>
    <row r="3135" spans="7:8" x14ac:dyDescent="0.45">
      <c r="G3135" s="9">
        <v>41481</v>
      </c>
      <c r="H3135" s="8">
        <v>12.72</v>
      </c>
    </row>
    <row r="3136" spans="7:8" x14ac:dyDescent="0.45">
      <c r="G3136" s="9">
        <v>41480</v>
      </c>
      <c r="H3136" s="8">
        <v>12.97</v>
      </c>
    </row>
    <row r="3137" spans="7:8" x14ac:dyDescent="0.45">
      <c r="G3137" s="9">
        <v>41479</v>
      </c>
      <c r="H3137" s="8">
        <v>13.18</v>
      </c>
    </row>
    <row r="3138" spans="7:8" x14ac:dyDescent="0.45">
      <c r="G3138" s="9">
        <v>41478</v>
      </c>
      <c r="H3138" s="8">
        <v>12.66</v>
      </c>
    </row>
    <row r="3139" spans="7:8" x14ac:dyDescent="0.45">
      <c r="G3139" s="9">
        <v>41477</v>
      </c>
      <c r="H3139" s="8">
        <v>12.29</v>
      </c>
    </row>
    <row r="3140" spans="7:8" x14ac:dyDescent="0.45">
      <c r="G3140" s="9">
        <v>41474</v>
      </c>
      <c r="H3140" s="8">
        <v>12.54</v>
      </c>
    </row>
    <row r="3141" spans="7:8" x14ac:dyDescent="0.45">
      <c r="G3141" s="9">
        <v>41473</v>
      </c>
      <c r="H3141" s="8">
        <v>13.77</v>
      </c>
    </row>
    <row r="3142" spans="7:8" x14ac:dyDescent="0.45">
      <c r="G3142" s="9">
        <v>41472</v>
      </c>
      <c r="H3142" s="8">
        <v>13.78</v>
      </c>
    </row>
    <row r="3143" spans="7:8" x14ac:dyDescent="0.45">
      <c r="G3143" s="9">
        <v>41471</v>
      </c>
      <c r="H3143" s="8">
        <v>14.42</v>
      </c>
    </row>
    <row r="3144" spans="7:8" x14ac:dyDescent="0.45">
      <c r="G3144" s="9">
        <v>41470</v>
      </c>
      <c r="H3144" s="8">
        <v>13.79</v>
      </c>
    </row>
    <row r="3145" spans="7:8" x14ac:dyDescent="0.45">
      <c r="G3145" s="9">
        <v>41467</v>
      </c>
      <c r="H3145" s="8">
        <v>13.84</v>
      </c>
    </row>
    <row r="3146" spans="7:8" x14ac:dyDescent="0.45">
      <c r="G3146" s="9">
        <v>41466</v>
      </c>
      <c r="H3146" s="8">
        <v>14.01</v>
      </c>
    </row>
    <row r="3147" spans="7:8" x14ac:dyDescent="0.45">
      <c r="G3147" s="9">
        <v>41465</v>
      </c>
      <c r="H3147" s="8">
        <v>14.21</v>
      </c>
    </row>
    <row r="3148" spans="7:8" x14ac:dyDescent="0.45">
      <c r="G3148" s="9">
        <v>41464</v>
      </c>
      <c r="H3148" s="8">
        <v>14.35</v>
      </c>
    </row>
    <row r="3149" spans="7:8" x14ac:dyDescent="0.45">
      <c r="G3149" s="9">
        <v>41463</v>
      </c>
      <c r="H3149" s="8">
        <v>14.78</v>
      </c>
    </row>
    <row r="3150" spans="7:8" x14ac:dyDescent="0.45">
      <c r="G3150" s="9">
        <v>41460</v>
      </c>
      <c r="H3150" s="8">
        <v>14.89</v>
      </c>
    </row>
    <row r="3151" spans="7:8" x14ac:dyDescent="0.45">
      <c r="G3151" s="9">
        <v>41458</v>
      </c>
      <c r="H3151" s="8">
        <v>16.2</v>
      </c>
    </row>
    <row r="3152" spans="7:8" x14ac:dyDescent="0.45">
      <c r="G3152" s="9">
        <v>41457</v>
      </c>
      <c r="H3152" s="8">
        <v>16.440000000000001</v>
      </c>
    </row>
    <row r="3153" spans="7:8" x14ac:dyDescent="0.45">
      <c r="G3153" s="9">
        <v>41456</v>
      </c>
      <c r="H3153" s="8">
        <v>16.37</v>
      </c>
    </row>
    <row r="3154" spans="7:8" x14ac:dyDescent="0.45">
      <c r="G3154" s="9">
        <v>41453</v>
      </c>
      <c r="H3154" s="8">
        <v>16.86</v>
      </c>
    </row>
    <row r="3155" spans="7:8" x14ac:dyDescent="0.45">
      <c r="G3155" s="9">
        <v>41452</v>
      </c>
      <c r="H3155" s="8">
        <v>16.86</v>
      </c>
    </row>
    <row r="3156" spans="7:8" x14ac:dyDescent="0.45">
      <c r="G3156" s="9">
        <v>41451</v>
      </c>
      <c r="H3156" s="8">
        <v>17.21</v>
      </c>
    </row>
    <row r="3157" spans="7:8" x14ac:dyDescent="0.45">
      <c r="G3157" s="9">
        <v>41450</v>
      </c>
      <c r="H3157" s="8">
        <v>18.47</v>
      </c>
    </row>
    <row r="3158" spans="7:8" x14ac:dyDescent="0.45">
      <c r="G3158" s="9">
        <v>41449</v>
      </c>
      <c r="H3158" s="8">
        <v>20.11</v>
      </c>
    </row>
    <row r="3159" spans="7:8" x14ac:dyDescent="0.45">
      <c r="G3159" s="9">
        <v>41446</v>
      </c>
      <c r="H3159" s="8">
        <v>18.899999999999999</v>
      </c>
    </row>
    <row r="3160" spans="7:8" x14ac:dyDescent="0.45">
      <c r="G3160" s="9">
        <v>41445</v>
      </c>
      <c r="H3160" s="8">
        <v>20.49</v>
      </c>
    </row>
    <row r="3161" spans="7:8" x14ac:dyDescent="0.45">
      <c r="G3161" s="9">
        <v>41444</v>
      </c>
      <c r="H3161" s="8">
        <v>16.64</v>
      </c>
    </row>
    <row r="3162" spans="7:8" x14ac:dyDescent="0.45">
      <c r="G3162" s="9">
        <v>41443</v>
      </c>
      <c r="H3162" s="8">
        <v>16.61</v>
      </c>
    </row>
    <row r="3163" spans="7:8" x14ac:dyDescent="0.45">
      <c r="G3163" s="9">
        <v>41442</v>
      </c>
      <c r="H3163" s="8">
        <v>16.8</v>
      </c>
    </row>
    <row r="3164" spans="7:8" x14ac:dyDescent="0.45">
      <c r="G3164" s="9">
        <v>41439</v>
      </c>
      <c r="H3164" s="8">
        <v>17.149999999999999</v>
      </c>
    </row>
    <row r="3165" spans="7:8" x14ac:dyDescent="0.45">
      <c r="G3165" s="9">
        <v>41438</v>
      </c>
      <c r="H3165" s="8">
        <v>16.41</v>
      </c>
    </row>
    <row r="3166" spans="7:8" x14ac:dyDescent="0.45">
      <c r="G3166" s="9">
        <v>41437</v>
      </c>
      <c r="H3166" s="8">
        <v>18.59</v>
      </c>
    </row>
    <row r="3167" spans="7:8" x14ac:dyDescent="0.45">
      <c r="G3167" s="9">
        <v>41436</v>
      </c>
      <c r="H3167" s="8">
        <v>17.07</v>
      </c>
    </row>
    <row r="3168" spans="7:8" x14ac:dyDescent="0.45">
      <c r="G3168" s="9">
        <v>41435</v>
      </c>
      <c r="H3168" s="8">
        <v>15.44</v>
      </c>
    </row>
    <row r="3169" spans="7:8" x14ac:dyDescent="0.45">
      <c r="G3169" s="9">
        <v>41432</v>
      </c>
      <c r="H3169" s="8">
        <v>15.14</v>
      </c>
    </row>
    <row r="3170" spans="7:8" x14ac:dyDescent="0.45">
      <c r="G3170" s="9">
        <v>41431</v>
      </c>
      <c r="H3170" s="8">
        <v>16.63</v>
      </c>
    </row>
    <row r="3171" spans="7:8" x14ac:dyDescent="0.45">
      <c r="G3171" s="9">
        <v>41430</v>
      </c>
      <c r="H3171" s="8">
        <v>17.5</v>
      </c>
    </row>
    <row r="3172" spans="7:8" x14ac:dyDescent="0.45">
      <c r="G3172" s="9">
        <v>41429</v>
      </c>
      <c r="H3172" s="8">
        <v>16.27</v>
      </c>
    </row>
    <row r="3173" spans="7:8" x14ac:dyDescent="0.45">
      <c r="G3173" s="9">
        <v>41428</v>
      </c>
      <c r="H3173" s="8">
        <v>16.28</v>
      </c>
    </row>
    <row r="3174" spans="7:8" x14ac:dyDescent="0.45">
      <c r="G3174" s="9">
        <v>41425</v>
      </c>
      <c r="H3174" s="8">
        <v>16.3</v>
      </c>
    </row>
    <row r="3175" spans="7:8" x14ac:dyDescent="0.45">
      <c r="G3175" s="9">
        <v>41424</v>
      </c>
      <c r="H3175" s="8">
        <v>14.53</v>
      </c>
    </row>
    <row r="3176" spans="7:8" x14ac:dyDescent="0.45">
      <c r="G3176" s="9">
        <v>41423</v>
      </c>
      <c r="H3176" s="8">
        <v>14.83</v>
      </c>
    </row>
    <row r="3177" spans="7:8" x14ac:dyDescent="0.45">
      <c r="G3177" s="9">
        <v>41422</v>
      </c>
      <c r="H3177" s="8">
        <v>14.48</v>
      </c>
    </row>
    <row r="3178" spans="7:8" x14ac:dyDescent="0.45">
      <c r="G3178" s="9">
        <v>41418</v>
      </c>
      <c r="H3178" s="8">
        <v>13.99</v>
      </c>
    </row>
    <row r="3179" spans="7:8" x14ac:dyDescent="0.45">
      <c r="G3179" s="9">
        <v>41417</v>
      </c>
      <c r="H3179" s="8">
        <v>14.07</v>
      </c>
    </row>
    <row r="3180" spans="7:8" x14ac:dyDescent="0.45">
      <c r="G3180" s="9">
        <v>41416</v>
      </c>
      <c r="H3180" s="8">
        <v>13.82</v>
      </c>
    </row>
    <row r="3181" spans="7:8" x14ac:dyDescent="0.45">
      <c r="G3181" s="9">
        <v>41415</v>
      </c>
      <c r="H3181" s="8">
        <v>13.37</v>
      </c>
    </row>
    <row r="3182" spans="7:8" x14ac:dyDescent="0.45">
      <c r="G3182" s="9">
        <v>41414</v>
      </c>
      <c r="H3182" s="8">
        <v>13.02</v>
      </c>
    </row>
    <row r="3183" spans="7:8" x14ac:dyDescent="0.45">
      <c r="G3183" s="9">
        <v>41411</v>
      </c>
      <c r="H3183" s="8">
        <v>12.45</v>
      </c>
    </row>
    <row r="3184" spans="7:8" x14ac:dyDescent="0.45">
      <c r="G3184" s="9">
        <v>41410</v>
      </c>
      <c r="H3184" s="8">
        <v>13.07</v>
      </c>
    </row>
    <row r="3185" spans="7:8" x14ac:dyDescent="0.45">
      <c r="G3185" s="9">
        <v>41409</v>
      </c>
      <c r="H3185" s="8">
        <v>12.81</v>
      </c>
    </row>
    <row r="3186" spans="7:8" x14ac:dyDescent="0.45">
      <c r="G3186" s="9">
        <v>41408</v>
      </c>
      <c r="H3186" s="8">
        <v>12.77</v>
      </c>
    </row>
    <row r="3187" spans="7:8" x14ac:dyDescent="0.45">
      <c r="G3187" s="9">
        <v>41407</v>
      </c>
      <c r="H3187" s="8">
        <v>12.55</v>
      </c>
    </row>
    <row r="3188" spans="7:8" x14ac:dyDescent="0.45">
      <c r="G3188" s="9">
        <v>41404</v>
      </c>
      <c r="H3188" s="8">
        <v>12.59</v>
      </c>
    </row>
    <row r="3189" spans="7:8" x14ac:dyDescent="0.45">
      <c r="G3189" s="9">
        <v>41403</v>
      </c>
      <c r="H3189" s="8">
        <v>13.13</v>
      </c>
    </row>
    <row r="3190" spans="7:8" x14ac:dyDescent="0.45">
      <c r="G3190" s="9">
        <v>41402</v>
      </c>
      <c r="H3190" s="8">
        <v>12.66</v>
      </c>
    </row>
    <row r="3191" spans="7:8" x14ac:dyDescent="0.45">
      <c r="G3191" s="9">
        <v>41401</v>
      </c>
      <c r="H3191" s="8">
        <v>12.83</v>
      </c>
    </row>
    <row r="3192" spans="7:8" x14ac:dyDescent="0.45">
      <c r="G3192" s="9">
        <v>41400</v>
      </c>
      <c r="H3192" s="8">
        <v>12.66</v>
      </c>
    </row>
    <row r="3193" spans="7:8" x14ac:dyDescent="0.45">
      <c r="G3193" s="9">
        <v>41397</v>
      </c>
      <c r="H3193" s="8">
        <v>12.85</v>
      </c>
    </row>
    <row r="3194" spans="7:8" x14ac:dyDescent="0.45">
      <c r="G3194" s="9">
        <v>41396</v>
      </c>
      <c r="H3194" s="8">
        <v>13.59</v>
      </c>
    </row>
    <row r="3195" spans="7:8" x14ac:dyDescent="0.45">
      <c r="G3195" s="9">
        <v>41395</v>
      </c>
      <c r="H3195" s="8">
        <v>14.49</v>
      </c>
    </row>
    <row r="3196" spans="7:8" x14ac:dyDescent="0.45">
      <c r="G3196" s="9">
        <v>41394</v>
      </c>
      <c r="H3196" s="8">
        <v>13.52</v>
      </c>
    </row>
    <row r="3197" spans="7:8" x14ac:dyDescent="0.45">
      <c r="G3197" s="9">
        <v>41393</v>
      </c>
      <c r="H3197" s="8">
        <v>13.71</v>
      </c>
    </row>
    <row r="3198" spans="7:8" x14ac:dyDescent="0.45">
      <c r="G3198" s="9">
        <v>41390</v>
      </c>
      <c r="H3198" s="8">
        <v>13.61</v>
      </c>
    </row>
    <row r="3199" spans="7:8" x14ac:dyDescent="0.45">
      <c r="G3199" s="9">
        <v>41389</v>
      </c>
      <c r="H3199" s="8">
        <v>13.62</v>
      </c>
    </row>
    <row r="3200" spans="7:8" x14ac:dyDescent="0.45">
      <c r="G3200" s="9">
        <v>41388</v>
      </c>
      <c r="H3200" s="8">
        <v>13.61</v>
      </c>
    </row>
    <row r="3201" spans="7:8" x14ac:dyDescent="0.45">
      <c r="G3201" s="9">
        <v>41387</v>
      </c>
      <c r="H3201" s="8">
        <v>13.48</v>
      </c>
    </row>
    <row r="3202" spans="7:8" x14ac:dyDescent="0.45">
      <c r="G3202" s="9">
        <v>41386</v>
      </c>
      <c r="H3202" s="8">
        <v>14.39</v>
      </c>
    </row>
    <row r="3203" spans="7:8" x14ac:dyDescent="0.45">
      <c r="G3203" s="9">
        <v>41383</v>
      </c>
      <c r="H3203" s="8">
        <v>14.97</v>
      </c>
    </row>
    <row r="3204" spans="7:8" x14ac:dyDescent="0.45">
      <c r="G3204" s="9">
        <v>41382</v>
      </c>
      <c r="H3204" s="8">
        <v>17.559999999999999</v>
      </c>
    </row>
    <row r="3205" spans="7:8" x14ac:dyDescent="0.45">
      <c r="G3205" s="9">
        <v>41381</v>
      </c>
      <c r="H3205" s="8">
        <v>16.510000000000002</v>
      </c>
    </row>
    <row r="3206" spans="7:8" x14ac:dyDescent="0.45">
      <c r="G3206" s="9">
        <v>41380</v>
      </c>
      <c r="H3206" s="8">
        <v>13.96</v>
      </c>
    </row>
    <row r="3207" spans="7:8" x14ac:dyDescent="0.45">
      <c r="G3207" s="9">
        <v>41379</v>
      </c>
      <c r="H3207" s="8">
        <v>17.27</v>
      </c>
    </row>
    <row r="3208" spans="7:8" x14ac:dyDescent="0.45">
      <c r="G3208" s="9">
        <v>41376</v>
      </c>
      <c r="H3208" s="8">
        <v>12.06</v>
      </c>
    </row>
    <row r="3209" spans="7:8" x14ac:dyDescent="0.45">
      <c r="G3209" s="9">
        <v>41375</v>
      </c>
      <c r="H3209" s="8">
        <v>12.24</v>
      </c>
    </row>
    <row r="3210" spans="7:8" x14ac:dyDescent="0.45">
      <c r="G3210" s="9">
        <v>41374</v>
      </c>
      <c r="H3210" s="8">
        <v>12.36</v>
      </c>
    </row>
    <row r="3211" spans="7:8" x14ac:dyDescent="0.45">
      <c r="G3211" s="9">
        <v>41373</v>
      </c>
      <c r="H3211" s="8">
        <v>12.84</v>
      </c>
    </row>
    <row r="3212" spans="7:8" x14ac:dyDescent="0.45">
      <c r="G3212" s="9">
        <v>41372</v>
      </c>
      <c r="H3212" s="8">
        <v>13.19</v>
      </c>
    </row>
    <row r="3213" spans="7:8" x14ac:dyDescent="0.45">
      <c r="G3213" s="9">
        <v>41369</v>
      </c>
      <c r="H3213" s="8">
        <v>13.92</v>
      </c>
    </row>
    <row r="3214" spans="7:8" x14ac:dyDescent="0.45">
      <c r="G3214" s="9">
        <v>41368</v>
      </c>
      <c r="H3214" s="8">
        <v>13.89</v>
      </c>
    </row>
    <row r="3215" spans="7:8" x14ac:dyDescent="0.45">
      <c r="G3215" s="9">
        <v>41367</v>
      </c>
      <c r="H3215" s="8">
        <v>14.21</v>
      </c>
    </row>
    <row r="3216" spans="7:8" x14ac:dyDescent="0.45">
      <c r="G3216" s="9">
        <v>41366</v>
      </c>
      <c r="H3216" s="8">
        <v>12.78</v>
      </c>
    </row>
    <row r="3217" spans="7:8" x14ac:dyDescent="0.45">
      <c r="G3217" s="9">
        <v>41365</v>
      </c>
      <c r="H3217" s="8">
        <v>13.58</v>
      </c>
    </row>
    <row r="3218" spans="7:8" x14ac:dyDescent="0.45">
      <c r="G3218" s="9">
        <v>41361</v>
      </c>
      <c r="H3218" s="8">
        <v>12.7</v>
      </c>
    </row>
    <row r="3219" spans="7:8" x14ac:dyDescent="0.45">
      <c r="G3219" s="9">
        <v>41360</v>
      </c>
      <c r="H3219" s="8">
        <v>13.15</v>
      </c>
    </row>
    <row r="3220" spans="7:8" x14ac:dyDescent="0.45">
      <c r="G3220" s="9">
        <v>41359</v>
      </c>
      <c r="H3220" s="8">
        <v>12.77</v>
      </c>
    </row>
    <row r="3221" spans="7:8" x14ac:dyDescent="0.45">
      <c r="G3221" s="9">
        <v>41358</v>
      </c>
      <c r="H3221" s="8">
        <v>13.74</v>
      </c>
    </row>
    <row r="3222" spans="7:8" x14ac:dyDescent="0.45">
      <c r="G3222" s="9">
        <v>41355</v>
      </c>
      <c r="H3222" s="8">
        <v>13.57</v>
      </c>
    </row>
    <row r="3223" spans="7:8" x14ac:dyDescent="0.45">
      <c r="G3223" s="9">
        <v>41354</v>
      </c>
      <c r="H3223" s="8">
        <v>13.99</v>
      </c>
    </row>
    <row r="3224" spans="7:8" x14ac:dyDescent="0.45">
      <c r="G3224" s="9">
        <v>41353</v>
      </c>
      <c r="H3224" s="8">
        <v>12.67</v>
      </c>
    </row>
    <row r="3225" spans="7:8" x14ac:dyDescent="0.45">
      <c r="G3225" s="9">
        <v>41352</v>
      </c>
      <c r="H3225" s="8">
        <v>14.39</v>
      </c>
    </row>
    <row r="3226" spans="7:8" x14ac:dyDescent="0.45">
      <c r="G3226" s="9">
        <v>41351</v>
      </c>
      <c r="H3226" s="8">
        <v>13.36</v>
      </c>
    </row>
    <row r="3227" spans="7:8" x14ac:dyDescent="0.45">
      <c r="G3227" s="9">
        <v>41348</v>
      </c>
      <c r="H3227" s="8">
        <v>11.3</v>
      </c>
    </row>
    <row r="3228" spans="7:8" x14ac:dyDescent="0.45">
      <c r="G3228" s="9">
        <v>41347</v>
      </c>
      <c r="H3228" s="8">
        <v>11.3</v>
      </c>
    </row>
    <row r="3229" spans="7:8" x14ac:dyDescent="0.45">
      <c r="G3229" s="9">
        <v>41346</v>
      </c>
      <c r="H3229" s="8">
        <v>11.83</v>
      </c>
    </row>
    <row r="3230" spans="7:8" x14ac:dyDescent="0.45">
      <c r="G3230" s="9">
        <v>41345</v>
      </c>
      <c r="H3230" s="8">
        <v>12.27</v>
      </c>
    </row>
    <row r="3231" spans="7:8" x14ac:dyDescent="0.45">
      <c r="G3231" s="9">
        <v>41344</v>
      </c>
      <c r="H3231" s="8">
        <v>11.56</v>
      </c>
    </row>
    <row r="3232" spans="7:8" x14ac:dyDescent="0.45">
      <c r="G3232" s="9">
        <v>41341</v>
      </c>
      <c r="H3232" s="8">
        <v>12.59</v>
      </c>
    </row>
    <row r="3233" spans="7:8" x14ac:dyDescent="0.45">
      <c r="G3233" s="9">
        <v>41340</v>
      </c>
      <c r="H3233" s="8">
        <v>13.06</v>
      </c>
    </row>
    <row r="3234" spans="7:8" x14ac:dyDescent="0.45">
      <c r="G3234" s="9">
        <v>41339</v>
      </c>
      <c r="H3234" s="8">
        <v>13.53</v>
      </c>
    </row>
    <row r="3235" spans="7:8" x14ac:dyDescent="0.45">
      <c r="G3235" s="9">
        <v>41338</v>
      </c>
      <c r="H3235" s="8">
        <v>13.48</v>
      </c>
    </row>
    <row r="3236" spans="7:8" x14ac:dyDescent="0.45">
      <c r="G3236" s="9">
        <v>41337</v>
      </c>
      <c r="H3236" s="8">
        <v>14.01</v>
      </c>
    </row>
    <row r="3237" spans="7:8" x14ac:dyDescent="0.45">
      <c r="G3237" s="9">
        <v>41334</v>
      </c>
      <c r="H3237" s="8">
        <v>15.36</v>
      </c>
    </row>
    <row r="3238" spans="7:8" x14ac:dyDescent="0.45">
      <c r="G3238" s="9">
        <v>41333</v>
      </c>
      <c r="H3238" s="8">
        <v>15.51</v>
      </c>
    </row>
    <row r="3239" spans="7:8" x14ac:dyDescent="0.45">
      <c r="G3239" s="9">
        <v>41332</v>
      </c>
      <c r="H3239" s="8">
        <v>14.73</v>
      </c>
    </row>
    <row r="3240" spans="7:8" x14ac:dyDescent="0.45">
      <c r="G3240" s="9">
        <v>41331</v>
      </c>
      <c r="H3240" s="8">
        <v>16.87</v>
      </c>
    </row>
    <row r="3241" spans="7:8" x14ac:dyDescent="0.45">
      <c r="G3241" s="9">
        <v>41330</v>
      </c>
      <c r="H3241" s="8">
        <v>18.989999999999998</v>
      </c>
    </row>
    <row r="3242" spans="7:8" x14ac:dyDescent="0.45">
      <c r="G3242" s="9">
        <v>41327</v>
      </c>
      <c r="H3242" s="8">
        <v>14.17</v>
      </c>
    </row>
    <row r="3243" spans="7:8" x14ac:dyDescent="0.45">
      <c r="G3243" s="9">
        <v>41326</v>
      </c>
      <c r="H3243" s="8">
        <v>15.22</v>
      </c>
    </row>
    <row r="3244" spans="7:8" x14ac:dyDescent="0.45">
      <c r="G3244" s="9">
        <v>41325</v>
      </c>
      <c r="H3244" s="8">
        <v>14.68</v>
      </c>
    </row>
    <row r="3245" spans="7:8" x14ac:dyDescent="0.45">
      <c r="G3245" s="9">
        <v>41324</v>
      </c>
      <c r="H3245" s="8">
        <v>12.31</v>
      </c>
    </row>
    <row r="3246" spans="7:8" x14ac:dyDescent="0.45">
      <c r="G3246" s="9">
        <v>41320</v>
      </c>
      <c r="H3246" s="8">
        <v>12.46</v>
      </c>
    </row>
    <row r="3247" spans="7:8" x14ac:dyDescent="0.45">
      <c r="G3247" s="9">
        <v>41319</v>
      </c>
      <c r="H3247" s="8">
        <v>12.66</v>
      </c>
    </row>
    <row r="3248" spans="7:8" x14ac:dyDescent="0.45">
      <c r="G3248" s="9">
        <v>41318</v>
      </c>
      <c r="H3248" s="8">
        <v>12.98</v>
      </c>
    </row>
    <row r="3249" spans="7:8" x14ac:dyDescent="0.45">
      <c r="G3249" s="9">
        <v>41317</v>
      </c>
      <c r="H3249" s="8">
        <v>12.64</v>
      </c>
    </row>
    <row r="3250" spans="7:8" x14ac:dyDescent="0.45">
      <c r="G3250" s="9">
        <v>41316</v>
      </c>
      <c r="H3250" s="8">
        <v>12.94</v>
      </c>
    </row>
    <row r="3251" spans="7:8" x14ac:dyDescent="0.45">
      <c r="G3251" s="9">
        <v>41313</v>
      </c>
      <c r="H3251" s="8">
        <v>13.02</v>
      </c>
    </row>
    <row r="3252" spans="7:8" x14ac:dyDescent="0.45">
      <c r="G3252" s="9">
        <v>41312</v>
      </c>
      <c r="H3252" s="8">
        <v>13.5</v>
      </c>
    </row>
    <row r="3253" spans="7:8" x14ac:dyDescent="0.45">
      <c r="G3253" s="9">
        <v>41311</v>
      </c>
      <c r="H3253" s="8">
        <v>13.41</v>
      </c>
    </row>
    <row r="3254" spans="7:8" x14ac:dyDescent="0.45">
      <c r="G3254" s="9">
        <v>41310</v>
      </c>
      <c r="H3254" s="8">
        <v>13.72</v>
      </c>
    </row>
    <row r="3255" spans="7:8" x14ac:dyDescent="0.45">
      <c r="G3255" s="9">
        <v>41309</v>
      </c>
      <c r="H3255" s="8">
        <v>14.67</v>
      </c>
    </row>
    <row r="3256" spans="7:8" x14ac:dyDescent="0.45">
      <c r="G3256" s="9">
        <v>41306</v>
      </c>
      <c r="H3256" s="8">
        <v>12.9</v>
      </c>
    </row>
    <row r="3257" spans="7:8" x14ac:dyDescent="0.45">
      <c r="G3257" s="9">
        <v>41305</v>
      </c>
      <c r="H3257" s="8">
        <v>14.28</v>
      </c>
    </row>
    <row r="3258" spans="7:8" x14ac:dyDescent="0.45">
      <c r="G3258" s="9">
        <v>41304</v>
      </c>
      <c r="H3258" s="8">
        <v>14.32</v>
      </c>
    </row>
    <row r="3259" spans="7:8" x14ac:dyDescent="0.45">
      <c r="G3259" s="9">
        <v>41303</v>
      </c>
      <c r="H3259" s="8">
        <v>13.31</v>
      </c>
    </row>
    <row r="3260" spans="7:8" x14ac:dyDescent="0.45">
      <c r="G3260" s="9">
        <v>41302</v>
      </c>
      <c r="H3260" s="8">
        <v>13.57</v>
      </c>
    </row>
    <row r="3261" spans="7:8" x14ac:dyDescent="0.45">
      <c r="G3261" s="9">
        <v>41299</v>
      </c>
      <c r="H3261" s="8">
        <v>12.89</v>
      </c>
    </row>
    <row r="3262" spans="7:8" x14ac:dyDescent="0.45">
      <c r="G3262" s="9">
        <v>41298</v>
      </c>
      <c r="H3262" s="8">
        <v>12.69</v>
      </c>
    </row>
    <row r="3263" spans="7:8" x14ac:dyDescent="0.45">
      <c r="G3263" s="9">
        <v>41297</v>
      </c>
      <c r="H3263" s="8">
        <v>12.46</v>
      </c>
    </row>
    <row r="3264" spans="7:8" x14ac:dyDescent="0.45">
      <c r="G3264" s="9">
        <v>41296</v>
      </c>
      <c r="H3264" s="8">
        <v>12.43</v>
      </c>
    </row>
    <row r="3265" spans="7:8" x14ac:dyDescent="0.45">
      <c r="G3265" s="9">
        <v>41292</v>
      </c>
      <c r="H3265" s="8">
        <v>12.46</v>
      </c>
    </row>
    <row r="3266" spans="7:8" x14ac:dyDescent="0.45">
      <c r="G3266" s="9">
        <v>41291</v>
      </c>
      <c r="H3266" s="8">
        <v>13.57</v>
      </c>
    </row>
    <row r="3267" spans="7:8" x14ac:dyDescent="0.45">
      <c r="G3267" s="9">
        <v>41290</v>
      </c>
      <c r="H3267" s="8">
        <v>13.42</v>
      </c>
    </row>
    <row r="3268" spans="7:8" x14ac:dyDescent="0.45">
      <c r="G3268" s="9">
        <v>41289</v>
      </c>
      <c r="H3268" s="8">
        <v>13.55</v>
      </c>
    </row>
    <row r="3269" spans="7:8" x14ac:dyDescent="0.45">
      <c r="G3269" s="9">
        <v>41288</v>
      </c>
      <c r="H3269" s="8">
        <v>13.52</v>
      </c>
    </row>
    <row r="3270" spans="7:8" x14ac:dyDescent="0.45">
      <c r="G3270" s="9">
        <v>41285</v>
      </c>
      <c r="H3270" s="8">
        <v>13.36</v>
      </c>
    </row>
    <row r="3271" spans="7:8" x14ac:dyDescent="0.45">
      <c r="G3271" s="9">
        <v>41284</v>
      </c>
      <c r="H3271" s="8">
        <v>13.49</v>
      </c>
    </row>
    <row r="3272" spans="7:8" x14ac:dyDescent="0.45">
      <c r="G3272" s="9">
        <v>41283</v>
      </c>
      <c r="H3272" s="8">
        <v>13.81</v>
      </c>
    </row>
    <row r="3273" spans="7:8" x14ac:dyDescent="0.45">
      <c r="G3273" s="9">
        <v>41282</v>
      </c>
      <c r="H3273" s="8">
        <v>13.62</v>
      </c>
    </row>
    <row r="3274" spans="7:8" x14ac:dyDescent="0.45">
      <c r="G3274" s="9">
        <v>41281</v>
      </c>
      <c r="H3274" s="8">
        <v>13.79</v>
      </c>
    </row>
    <row r="3275" spans="7:8" x14ac:dyDescent="0.45">
      <c r="G3275" s="9">
        <v>41278</v>
      </c>
      <c r="H3275" s="8">
        <v>13.83</v>
      </c>
    </row>
    <row r="3276" spans="7:8" x14ac:dyDescent="0.45">
      <c r="G3276" s="9">
        <v>41277</v>
      </c>
      <c r="H3276" s="8">
        <v>14.56</v>
      </c>
    </row>
    <row r="3277" spans="7:8" x14ac:dyDescent="0.45">
      <c r="G3277" s="9">
        <v>41276</v>
      </c>
      <c r="H3277" s="8">
        <v>14.68</v>
      </c>
    </row>
    <row r="3278" spans="7:8" x14ac:dyDescent="0.45">
      <c r="G3278" s="9">
        <v>41274</v>
      </c>
      <c r="H3278" s="8">
        <v>18.02</v>
      </c>
    </row>
    <row r="3279" spans="7:8" x14ac:dyDescent="0.45">
      <c r="G3279" s="9">
        <v>41271</v>
      </c>
      <c r="H3279" s="8">
        <v>22.72</v>
      </c>
    </row>
    <row r="3280" spans="7:8" x14ac:dyDescent="0.45">
      <c r="G3280" s="9">
        <v>41270</v>
      </c>
      <c r="H3280" s="8">
        <v>19.47</v>
      </c>
    </row>
    <row r="3281" spans="7:8" x14ac:dyDescent="0.45">
      <c r="G3281" s="9">
        <v>41269</v>
      </c>
      <c r="H3281" s="8">
        <v>19.48</v>
      </c>
    </row>
    <row r="3282" spans="7:8" x14ac:dyDescent="0.45">
      <c r="G3282" s="9">
        <v>41267</v>
      </c>
      <c r="H3282" s="8">
        <v>17.84</v>
      </c>
    </row>
    <row r="3283" spans="7:8" x14ac:dyDescent="0.45">
      <c r="G3283" s="9">
        <v>41264</v>
      </c>
      <c r="H3283" s="8">
        <v>17.84</v>
      </c>
    </row>
    <row r="3284" spans="7:8" x14ac:dyDescent="0.45">
      <c r="G3284" s="9">
        <v>41263</v>
      </c>
      <c r="H3284" s="8">
        <v>17.670000000000002</v>
      </c>
    </row>
    <row r="3285" spans="7:8" x14ac:dyDescent="0.45">
      <c r="G3285" s="9">
        <v>41262</v>
      </c>
      <c r="H3285" s="8">
        <v>17.36</v>
      </c>
    </row>
    <row r="3286" spans="7:8" x14ac:dyDescent="0.45">
      <c r="G3286" s="9">
        <v>41261</v>
      </c>
      <c r="H3286" s="8">
        <v>15.57</v>
      </c>
    </row>
    <row r="3287" spans="7:8" x14ac:dyDescent="0.45">
      <c r="G3287" s="9">
        <v>41260</v>
      </c>
      <c r="H3287" s="8">
        <v>16.34</v>
      </c>
    </row>
    <row r="3288" spans="7:8" x14ac:dyDescent="0.45">
      <c r="G3288" s="9">
        <v>41257</v>
      </c>
      <c r="H3288" s="8">
        <v>17</v>
      </c>
    </row>
    <row r="3289" spans="7:8" x14ac:dyDescent="0.45">
      <c r="G3289" s="9">
        <v>41256</v>
      </c>
      <c r="H3289" s="8">
        <v>16.559999999999999</v>
      </c>
    </row>
    <row r="3290" spans="7:8" x14ac:dyDescent="0.45">
      <c r="G3290" s="9">
        <v>41255</v>
      </c>
      <c r="H3290" s="8">
        <v>15.95</v>
      </c>
    </row>
    <row r="3291" spans="7:8" x14ac:dyDescent="0.45">
      <c r="G3291" s="9">
        <v>41254</v>
      </c>
      <c r="H3291" s="8">
        <v>15.57</v>
      </c>
    </row>
    <row r="3292" spans="7:8" x14ac:dyDescent="0.45">
      <c r="G3292" s="9">
        <v>41253</v>
      </c>
      <c r="H3292" s="8">
        <v>16.05</v>
      </c>
    </row>
    <row r="3293" spans="7:8" x14ac:dyDescent="0.45">
      <c r="G3293" s="9">
        <v>41250</v>
      </c>
      <c r="H3293" s="8">
        <v>15.9</v>
      </c>
    </row>
    <row r="3294" spans="7:8" x14ac:dyDescent="0.45">
      <c r="G3294" s="9">
        <v>41249</v>
      </c>
      <c r="H3294" s="8">
        <v>16.579999999999998</v>
      </c>
    </row>
    <row r="3295" spans="7:8" x14ac:dyDescent="0.45">
      <c r="G3295" s="9">
        <v>41248</v>
      </c>
      <c r="H3295" s="8">
        <v>16.46</v>
      </c>
    </row>
    <row r="3296" spans="7:8" x14ac:dyDescent="0.45">
      <c r="G3296" s="9">
        <v>41247</v>
      </c>
      <c r="H3296" s="8">
        <v>17.12</v>
      </c>
    </row>
    <row r="3297" spans="7:8" x14ac:dyDescent="0.45">
      <c r="G3297" s="9">
        <v>41246</v>
      </c>
      <c r="H3297" s="8">
        <v>16.64</v>
      </c>
    </row>
    <row r="3298" spans="7:8" x14ac:dyDescent="0.45">
      <c r="G3298" s="9">
        <v>41243</v>
      </c>
      <c r="H3298" s="8">
        <v>15.87</v>
      </c>
    </row>
    <row r="3299" spans="7:8" x14ac:dyDescent="0.45">
      <c r="G3299" s="9">
        <v>41242</v>
      </c>
      <c r="H3299" s="8">
        <v>15.06</v>
      </c>
    </row>
    <row r="3300" spans="7:8" x14ac:dyDescent="0.45">
      <c r="G3300" s="9">
        <v>41241</v>
      </c>
      <c r="H3300" s="8">
        <v>15.51</v>
      </c>
    </row>
    <row r="3301" spans="7:8" x14ac:dyDescent="0.45">
      <c r="G3301" s="9">
        <v>41240</v>
      </c>
      <c r="H3301" s="8">
        <v>15.92</v>
      </c>
    </row>
    <row r="3302" spans="7:8" x14ac:dyDescent="0.45">
      <c r="G3302" s="9">
        <v>41239</v>
      </c>
      <c r="H3302" s="8">
        <v>15.5</v>
      </c>
    </row>
    <row r="3303" spans="7:8" x14ac:dyDescent="0.45">
      <c r="G3303" s="9">
        <v>41236</v>
      </c>
      <c r="H3303" s="8">
        <v>15.14</v>
      </c>
    </row>
    <row r="3304" spans="7:8" x14ac:dyDescent="0.45">
      <c r="G3304" s="9">
        <v>41234</v>
      </c>
      <c r="H3304" s="8">
        <v>15.31</v>
      </c>
    </row>
    <row r="3305" spans="7:8" x14ac:dyDescent="0.45">
      <c r="G3305" s="9">
        <v>41233</v>
      </c>
      <c r="H3305" s="8">
        <v>15.08</v>
      </c>
    </row>
    <row r="3306" spans="7:8" x14ac:dyDescent="0.45">
      <c r="G3306" s="9">
        <v>41232</v>
      </c>
      <c r="H3306" s="8">
        <v>15.24</v>
      </c>
    </row>
    <row r="3307" spans="7:8" x14ac:dyDescent="0.45">
      <c r="G3307" s="9">
        <v>41229</v>
      </c>
      <c r="H3307" s="8">
        <v>16.41</v>
      </c>
    </row>
    <row r="3308" spans="7:8" x14ac:dyDescent="0.45">
      <c r="G3308" s="9">
        <v>41228</v>
      </c>
      <c r="H3308" s="8">
        <v>17.989999999999998</v>
      </c>
    </row>
    <row r="3309" spans="7:8" x14ac:dyDescent="0.45">
      <c r="G3309" s="9">
        <v>41227</v>
      </c>
      <c r="H3309" s="8">
        <v>17.920000000000002</v>
      </c>
    </row>
    <row r="3310" spans="7:8" x14ac:dyDescent="0.45">
      <c r="G3310" s="9">
        <v>41226</v>
      </c>
      <c r="H3310" s="8">
        <v>16.649999999999999</v>
      </c>
    </row>
    <row r="3311" spans="7:8" x14ac:dyDescent="0.45">
      <c r="G3311" s="9">
        <v>41225</v>
      </c>
      <c r="H3311" s="8">
        <v>16.68</v>
      </c>
    </row>
    <row r="3312" spans="7:8" x14ac:dyDescent="0.45">
      <c r="G3312" s="9">
        <v>41222</v>
      </c>
      <c r="H3312" s="8">
        <v>18.61</v>
      </c>
    </row>
    <row r="3313" spans="7:8" x14ac:dyDescent="0.45">
      <c r="G3313" s="9">
        <v>41221</v>
      </c>
      <c r="H3313" s="8">
        <v>18.489999999999998</v>
      </c>
    </row>
    <row r="3314" spans="7:8" x14ac:dyDescent="0.45">
      <c r="G3314" s="9">
        <v>41220</v>
      </c>
      <c r="H3314" s="8">
        <v>19.079999999999998</v>
      </c>
    </row>
    <row r="3315" spans="7:8" x14ac:dyDescent="0.45">
      <c r="G3315" s="9">
        <v>41219</v>
      </c>
      <c r="H3315" s="8">
        <v>17.579999999999998</v>
      </c>
    </row>
    <row r="3316" spans="7:8" x14ac:dyDescent="0.45">
      <c r="G3316" s="9">
        <v>41218</v>
      </c>
      <c r="H3316" s="8">
        <v>18.420000000000002</v>
      </c>
    </row>
    <row r="3317" spans="7:8" x14ac:dyDescent="0.45">
      <c r="G3317" s="9">
        <v>41215</v>
      </c>
      <c r="H3317" s="8">
        <v>17.59</v>
      </c>
    </row>
    <row r="3318" spans="7:8" x14ac:dyDescent="0.45">
      <c r="G3318" s="9">
        <v>41214</v>
      </c>
      <c r="H3318" s="8">
        <v>16.690000000000001</v>
      </c>
    </row>
    <row r="3319" spans="7:8" x14ac:dyDescent="0.45">
      <c r="G3319" s="9">
        <v>41213</v>
      </c>
      <c r="H3319" s="8">
        <v>18.600000000000001</v>
      </c>
    </row>
    <row r="3320" spans="7:8" x14ac:dyDescent="0.45">
      <c r="G3320" s="9">
        <v>41208</v>
      </c>
      <c r="H3320" s="8">
        <v>17.809999999999999</v>
      </c>
    </row>
    <row r="3321" spans="7:8" x14ac:dyDescent="0.45">
      <c r="G3321" s="9">
        <v>41207</v>
      </c>
      <c r="H3321" s="8">
        <v>18.12</v>
      </c>
    </row>
    <row r="3322" spans="7:8" x14ac:dyDescent="0.45">
      <c r="G3322" s="9">
        <v>41206</v>
      </c>
      <c r="H3322" s="8">
        <v>18.329999999999998</v>
      </c>
    </row>
    <row r="3323" spans="7:8" x14ac:dyDescent="0.45">
      <c r="G3323" s="9">
        <v>41205</v>
      </c>
      <c r="H3323" s="8">
        <v>18.829999999999998</v>
      </c>
    </row>
    <row r="3324" spans="7:8" x14ac:dyDescent="0.45">
      <c r="G3324" s="9">
        <v>41204</v>
      </c>
      <c r="H3324" s="8">
        <v>16.62</v>
      </c>
    </row>
    <row r="3325" spans="7:8" x14ac:dyDescent="0.45">
      <c r="G3325" s="9">
        <v>41201</v>
      </c>
      <c r="H3325" s="8">
        <v>17.059999999999999</v>
      </c>
    </row>
    <row r="3326" spans="7:8" x14ac:dyDescent="0.45">
      <c r="G3326" s="9">
        <v>41200</v>
      </c>
      <c r="H3326" s="8">
        <v>15.03</v>
      </c>
    </row>
    <row r="3327" spans="7:8" x14ac:dyDescent="0.45">
      <c r="G3327" s="9">
        <v>41199</v>
      </c>
      <c r="H3327" s="8">
        <v>15.07</v>
      </c>
    </row>
    <row r="3328" spans="7:8" x14ac:dyDescent="0.45">
      <c r="G3328" s="9">
        <v>41198</v>
      </c>
      <c r="H3328" s="8">
        <v>15.22</v>
      </c>
    </row>
    <row r="3329" spans="7:8" x14ac:dyDescent="0.45">
      <c r="G3329" s="9">
        <v>41197</v>
      </c>
      <c r="H3329" s="8">
        <v>15.27</v>
      </c>
    </row>
    <row r="3330" spans="7:8" x14ac:dyDescent="0.45">
      <c r="G3330" s="9">
        <v>41194</v>
      </c>
      <c r="H3330" s="8">
        <v>16.14</v>
      </c>
    </row>
    <row r="3331" spans="7:8" x14ac:dyDescent="0.45">
      <c r="G3331" s="9">
        <v>41193</v>
      </c>
      <c r="H3331" s="8">
        <v>15.59</v>
      </c>
    </row>
    <row r="3332" spans="7:8" x14ac:dyDescent="0.45">
      <c r="G3332" s="9">
        <v>41192</v>
      </c>
      <c r="H3332" s="8">
        <v>16.29</v>
      </c>
    </row>
    <row r="3333" spans="7:8" x14ac:dyDescent="0.45">
      <c r="G3333" s="9">
        <v>41191</v>
      </c>
      <c r="H3333" s="8">
        <v>16.37</v>
      </c>
    </row>
    <row r="3334" spans="7:8" x14ac:dyDescent="0.45">
      <c r="G3334" s="9">
        <v>41190</v>
      </c>
      <c r="H3334" s="8">
        <v>15.11</v>
      </c>
    </row>
    <row r="3335" spans="7:8" x14ac:dyDescent="0.45">
      <c r="G3335" s="9">
        <v>41187</v>
      </c>
      <c r="H3335" s="8">
        <v>14.33</v>
      </c>
    </row>
    <row r="3336" spans="7:8" x14ac:dyDescent="0.45">
      <c r="G3336" s="9">
        <v>41186</v>
      </c>
      <c r="H3336" s="8">
        <v>14.55</v>
      </c>
    </row>
    <row r="3337" spans="7:8" x14ac:dyDescent="0.45">
      <c r="G3337" s="9">
        <v>41185</v>
      </c>
      <c r="H3337" s="8">
        <v>15.43</v>
      </c>
    </row>
    <row r="3338" spans="7:8" x14ac:dyDescent="0.45">
      <c r="G3338" s="9">
        <v>41184</v>
      </c>
      <c r="H3338" s="8">
        <v>15.71</v>
      </c>
    </row>
    <row r="3339" spans="7:8" x14ac:dyDescent="0.45">
      <c r="G3339" s="9">
        <v>41183</v>
      </c>
      <c r="H3339" s="8">
        <v>16.32</v>
      </c>
    </row>
    <row r="3340" spans="7:8" x14ac:dyDescent="0.45">
      <c r="G3340" s="9">
        <v>41180</v>
      </c>
      <c r="H3340" s="8">
        <v>15.73</v>
      </c>
    </row>
    <row r="3341" spans="7:8" x14ac:dyDescent="0.45">
      <c r="G3341" s="9">
        <v>41179</v>
      </c>
      <c r="H3341" s="8">
        <v>14.84</v>
      </c>
    </row>
    <row r="3342" spans="7:8" x14ac:dyDescent="0.45">
      <c r="G3342" s="9">
        <v>41178</v>
      </c>
      <c r="H3342" s="8">
        <v>16.809999999999999</v>
      </c>
    </row>
    <row r="3343" spans="7:8" x14ac:dyDescent="0.45">
      <c r="G3343" s="9">
        <v>41177</v>
      </c>
      <c r="H3343" s="8">
        <v>15.43</v>
      </c>
    </row>
    <row r="3344" spans="7:8" x14ac:dyDescent="0.45">
      <c r="G3344" s="9">
        <v>41176</v>
      </c>
      <c r="H3344" s="8">
        <v>14.15</v>
      </c>
    </row>
    <row r="3345" spans="7:8" x14ac:dyDescent="0.45">
      <c r="G3345" s="9">
        <v>41173</v>
      </c>
      <c r="H3345" s="8">
        <v>13.98</v>
      </c>
    </row>
    <row r="3346" spans="7:8" x14ac:dyDescent="0.45">
      <c r="G3346" s="9">
        <v>41172</v>
      </c>
      <c r="H3346" s="8">
        <v>14.07</v>
      </c>
    </row>
    <row r="3347" spans="7:8" x14ac:dyDescent="0.45">
      <c r="G3347" s="9">
        <v>41171</v>
      </c>
      <c r="H3347" s="8">
        <v>13.88</v>
      </c>
    </row>
    <row r="3348" spans="7:8" x14ac:dyDescent="0.45">
      <c r="G3348" s="9">
        <v>41170</v>
      </c>
      <c r="H3348" s="8">
        <v>14.18</v>
      </c>
    </row>
    <row r="3349" spans="7:8" x14ac:dyDescent="0.45">
      <c r="G3349" s="9">
        <v>41169</v>
      </c>
      <c r="H3349" s="8">
        <v>14.59</v>
      </c>
    </row>
    <row r="3350" spans="7:8" x14ac:dyDescent="0.45">
      <c r="G3350" s="9">
        <v>41166</v>
      </c>
      <c r="H3350" s="8">
        <v>14.51</v>
      </c>
    </row>
    <row r="3351" spans="7:8" x14ac:dyDescent="0.45">
      <c r="G3351" s="9">
        <v>41165</v>
      </c>
      <c r="H3351" s="8">
        <v>14.05</v>
      </c>
    </row>
    <row r="3352" spans="7:8" x14ac:dyDescent="0.45">
      <c r="G3352" s="9">
        <v>41164</v>
      </c>
      <c r="H3352" s="8">
        <v>15.8</v>
      </c>
    </row>
    <row r="3353" spans="7:8" x14ac:dyDescent="0.45">
      <c r="G3353" s="9">
        <v>41163</v>
      </c>
      <c r="H3353" s="8">
        <v>16.41</v>
      </c>
    </row>
    <row r="3354" spans="7:8" x14ac:dyDescent="0.45">
      <c r="G3354" s="9">
        <v>41162</v>
      </c>
      <c r="H3354" s="8">
        <v>16.28</v>
      </c>
    </row>
    <row r="3355" spans="7:8" x14ac:dyDescent="0.45">
      <c r="G3355" s="9">
        <v>41159</v>
      </c>
      <c r="H3355" s="8">
        <v>14.38</v>
      </c>
    </row>
    <row r="3356" spans="7:8" x14ac:dyDescent="0.45">
      <c r="G3356" s="9">
        <v>41158</v>
      </c>
      <c r="H3356" s="8">
        <v>15.6</v>
      </c>
    </row>
    <row r="3357" spans="7:8" x14ac:dyDescent="0.45">
      <c r="G3357" s="9">
        <v>41157</v>
      </c>
      <c r="H3357" s="8">
        <v>17.739999999999998</v>
      </c>
    </row>
    <row r="3358" spans="7:8" x14ac:dyDescent="0.45">
      <c r="G3358" s="9">
        <v>41156</v>
      </c>
      <c r="H3358" s="8">
        <v>17.98</v>
      </c>
    </row>
    <row r="3359" spans="7:8" x14ac:dyDescent="0.45">
      <c r="G3359" s="9">
        <v>41152</v>
      </c>
      <c r="H3359" s="8">
        <v>17.47</v>
      </c>
    </row>
    <row r="3360" spans="7:8" x14ac:dyDescent="0.45">
      <c r="G3360" s="9">
        <v>41151</v>
      </c>
      <c r="H3360" s="8">
        <v>17.829999999999998</v>
      </c>
    </row>
    <row r="3361" spans="7:8" x14ac:dyDescent="0.45">
      <c r="G3361" s="9">
        <v>41150</v>
      </c>
      <c r="H3361" s="8">
        <v>17.059999999999999</v>
      </c>
    </row>
    <row r="3362" spans="7:8" x14ac:dyDescent="0.45">
      <c r="G3362" s="9">
        <v>41149</v>
      </c>
      <c r="H3362" s="8">
        <v>16.489999999999998</v>
      </c>
    </row>
    <row r="3363" spans="7:8" x14ac:dyDescent="0.45">
      <c r="G3363" s="9">
        <v>41148</v>
      </c>
      <c r="H3363" s="8">
        <v>16.350000000000001</v>
      </c>
    </row>
    <row r="3364" spans="7:8" x14ac:dyDescent="0.45">
      <c r="G3364" s="9">
        <v>41145</v>
      </c>
      <c r="H3364" s="8">
        <v>15.18</v>
      </c>
    </row>
    <row r="3365" spans="7:8" x14ac:dyDescent="0.45">
      <c r="G3365" s="9">
        <v>41144</v>
      </c>
      <c r="H3365" s="8">
        <v>15.96</v>
      </c>
    </row>
    <row r="3366" spans="7:8" x14ac:dyDescent="0.45">
      <c r="G3366" s="9">
        <v>41143</v>
      </c>
      <c r="H3366" s="8">
        <v>15.11</v>
      </c>
    </row>
    <row r="3367" spans="7:8" x14ac:dyDescent="0.45">
      <c r="G3367" s="9">
        <v>41142</v>
      </c>
      <c r="H3367" s="8">
        <v>15.02</v>
      </c>
    </row>
    <row r="3368" spans="7:8" x14ac:dyDescent="0.45">
      <c r="G3368" s="9">
        <v>41141</v>
      </c>
      <c r="H3368" s="8">
        <v>14.02</v>
      </c>
    </row>
    <row r="3369" spans="7:8" x14ac:dyDescent="0.45">
      <c r="G3369" s="9">
        <v>41138</v>
      </c>
      <c r="H3369" s="8">
        <v>13.45</v>
      </c>
    </row>
    <row r="3370" spans="7:8" x14ac:dyDescent="0.45">
      <c r="G3370" s="9">
        <v>41137</v>
      </c>
      <c r="H3370" s="8">
        <v>14.29</v>
      </c>
    </row>
    <row r="3371" spans="7:8" x14ac:dyDescent="0.45">
      <c r="G3371" s="9">
        <v>41136</v>
      </c>
      <c r="H3371" s="8">
        <v>14.63</v>
      </c>
    </row>
    <row r="3372" spans="7:8" x14ac:dyDescent="0.45">
      <c r="G3372" s="9">
        <v>41135</v>
      </c>
      <c r="H3372" s="8">
        <v>14.85</v>
      </c>
    </row>
    <row r="3373" spans="7:8" x14ac:dyDescent="0.45">
      <c r="G3373" s="9">
        <v>41134</v>
      </c>
      <c r="H3373" s="8">
        <v>13.7</v>
      </c>
    </row>
    <row r="3374" spans="7:8" x14ac:dyDescent="0.45">
      <c r="G3374" s="9">
        <v>41131</v>
      </c>
      <c r="H3374" s="8">
        <v>14.74</v>
      </c>
    </row>
    <row r="3375" spans="7:8" x14ac:dyDescent="0.45">
      <c r="G3375" s="9">
        <v>41130</v>
      </c>
      <c r="H3375" s="8">
        <v>15.28</v>
      </c>
    </row>
    <row r="3376" spans="7:8" x14ac:dyDescent="0.45">
      <c r="G3376" s="9">
        <v>41129</v>
      </c>
      <c r="H3376" s="8">
        <v>15.32</v>
      </c>
    </row>
    <row r="3377" spans="7:8" x14ac:dyDescent="0.45">
      <c r="G3377" s="9">
        <v>41128</v>
      </c>
      <c r="H3377" s="8">
        <v>15.99</v>
      </c>
    </row>
    <row r="3378" spans="7:8" x14ac:dyDescent="0.45">
      <c r="G3378" s="9">
        <v>41127</v>
      </c>
      <c r="H3378" s="8">
        <v>15.95</v>
      </c>
    </row>
    <row r="3379" spans="7:8" x14ac:dyDescent="0.45">
      <c r="G3379" s="9">
        <v>41124</v>
      </c>
      <c r="H3379" s="8">
        <v>15.64</v>
      </c>
    </row>
    <row r="3380" spans="7:8" x14ac:dyDescent="0.45">
      <c r="G3380" s="9">
        <v>41123</v>
      </c>
      <c r="H3380" s="8">
        <v>17.57</v>
      </c>
    </row>
    <row r="3381" spans="7:8" x14ac:dyDescent="0.45">
      <c r="G3381" s="9">
        <v>41122</v>
      </c>
      <c r="H3381" s="8">
        <v>18.96</v>
      </c>
    </row>
    <row r="3382" spans="7:8" x14ac:dyDescent="0.45">
      <c r="G3382" s="9">
        <v>41121</v>
      </c>
      <c r="H3382" s="8">
        <v>18.93</v>
      </c>
    </row>
    <row r="3383" spans="7:8" x14ac:dyDescent="0.45">
      <c r="G3383" s="9">
        <v>41120</v>
      </c>
      <c r="H3383" s="8">
        <v>18.03</v>
      </c>
    </row>
    <row r="3384" spans="7:8" x14ac:dyDescent="0.45">
      <c r="G3384" s="9">
        <v>41117</v>
      </c>
      <c r="H3384" s="8">
        <v>16.7</v>
      </c>
    </row>
    <row r="3385" spans="7:8" x14ac:dyDescent="0.45">
      <c r="G3385" s="9">
        <v>41116</v>
      </c>
      <c r="H3385" s="8">
        <v>17.53</v>
      </c>
    </row>
    <row r="3386" spans="7:8" x14ac:dyDescent="0.45">
      <c r="G3386" s="9">
        <v>41115</v>
      </c>
      <c r="H3386" s="8">
        <v>19.34</v>
      </c>
    </row>
    <row r="3387" spans="7:8" x14ac:dyDescent="0.45">
      <c r="G3387" s="9">
        <v>41114</v>
      </c>
      <c r="H3387" s="8">
        <v>20.47</v>
      </c>
    </row>
    <row r="3388" spans="7:8" x14ac:dyDescent="0.45">
      <c r="G3388" s="9">
        <v>41113</v>
      </c>
      <c r="H3388" s="8">
        <v>18.62</v>
      </c>
    </row>
    <row r="3389" spans="7:8" x14ac:dyDescent="0.45">
      <c r="G3389" s="9">
        <v>41110</v>
      </c>
      <c r="H3389" s="8">
        <v>16.27</v>
      </c>
    </row>
    <row r="3390" spans="7:8" x14ac:dyDescent="0.45">
      <c r="G3390" s="9">
        <v>41109</v>
      </c>
      <c r="H3390" s="8">
        <v>15.45</v>
      </c>
    </row>
    <row r="3391" spans="7:8" x14ac:dyDescent="0.45">
      <c r="G3391" s="9">
        <v>41108</v>
      </c>
      <c r="H3391" s="8">
        <v>16.16</v>
      </c>
    </row>
    <row r="3392" spans="7:8" x14ac:dyDescent="0.45">
      <c r="G3392" s="9">
        <v>41107</v>
      </c>
      <c r="H3392" s="8">
        <v>16.48</v>
      </c>
    </row>
    <row r="3393" spans="7:8" x14ac:dyDescent="0.45">
      <c r="G3393" s="9">
        <v>41106</v>
      </c>
      <c r="H3393" s="8">
        <v>17.11</v>
      </c>
    </row>
    <row r="3394" spans="7:8" x14ac:dyDescent="0.45">
      <c r="G3394" s="9">
        <v>41103</v>
      </c>
      <c r="H3394" s="8">
        <v>16.739999999999998</v>
      </c>
    </row>
    <row r="3395" spans="7:8" x14ac:dyDescent="0.45">
      <c r="G3395" s="9">
        <v>41102</v>
      </c>
      <c r="H3395" s="8">
        <v>18.329999999999998</v>
      </c>
    </row>
    <row r="3396" spans="7:8" x14ac:dyDescent="0.45">
      <c r="G3396" s="9">
        <v>41101</v>
      </c>
      <c r="H3396" s="8">
        <v>17.95</v>
      </c>
    </row>
    <row r="3397" spans="7:8" x14ac:dyDescent="0.45">
      <c r="G3397" s="9">
        <v>41100</v>
      </c>
      <c r="H3397" s="8">
        <v>18.72</v>
      </c>
    </row>
    <row r="3398" spans="7:8" x14ac:dyDescent="0.45">
      <c r="G3398" s="9">
        <v>41099</v>
      </c>
      <c r="H3398" s="8">
        <v>17.98</v>
      </c>
    </row>
    <row r="3399" spans="7:8" x14ac:dyDescent="0.45">
      <c r="G3399" s="9">
        <v>41096</v>
      </c>
      <c r="H3399" s="8">
        <v>17.100000000000001</v>
      </c>
    </row>
    <row r="3400" spans="7:8" x14ac:dyDescent="0.45">
      <c r="G3400" s="9">
        <v>41095</v>
      </c>
      <c r="H3400" s="8">
        <v>17.5</v>
      </c>
    </row>
    <row r="3401" spans="7:8" x14ac:dyDescent="0.45">
      <c r="G3401" s="9">
        <v>41093</v>
      </c>
      <c r="H3401" s="8">
        <v>16.66</v>
      </c>
    </row>
    <row r="3402" spans="7:8" x14ac:dyDescent="0.45">
      <c r="G3402" s="9">
        <v>41092</v>
      </c>
      <c r="H3402" s="8">
        <v>16.8</v>
      </c>
    </row>
    <row r="3403" spans="7:8" x14ac:dyDescent="0.45">
      <c r="G3403" s="9">
        <v>41089</v>
      </c>
      <c r="H3403" s="8">
        <v>17.079999999999998</v>
      </c>
    </row>
    <row r="3404" spans="7:8" x14ac:dyDescent="0.45">
      <c r="G3404" s="9">
        <v>41088</v>
      </c>
      <c r="H3404" s="8">
        <v>19.71</v>
      </c>
    </row>
    <row r="3405" spans="7:8" x14ac:dyDescent="0.45">
      <c r="G3405" s="9">
        <v>41087</v>
      </c>
      <c r="H3405" s="8">
        <v>19.45</v>
      </c>
    </row>
    <row r="3406" spans="7:8" x14ac:dyDescent="0.45">
      <c r="G3406" s="9">
        <v>41086</v>
      </c>
      <c r="H3406" s="8">
        <v>19.72</v>
      </c>
    </row>
    <row r="3407" spans="7:8" x14ac:dyDescent="0.45">
      <c r="G3407" s="9">
        <v>41085</v>
      </c>
      <c r="H3407" s="8">
        <v>20.38</v>
      </c>
    </row>
    <row r="3408" spans="7:8" x14ac:dyDescent="0.45">
      <c r="G3408" s="9">
        <v>41082</v>
      </c>
      <c r="H3408" s="8">
        <v>18.11</v>
      </c>
    </row>
    <row r="3409" spans="7:8" x14ac:dyDescent="0.45">
      <c r="G3409" s="9">
        <v>41081</v>
      </c>
      <c r="H3409" s="8">
        <v>20.079999999999998</v>
      </c>
    </row>
    <row r="3410" spans="7:8" x14ac:dyDescent="0.45">
      <c r="G3410" s="9">
        <v>41080</v>
      </c>
      <c r="H3410" s="8">
        <v>17.239999999999998</v>
      </c>
    </row>
    <row r="3411" spans="7:8" x14ac:dyDescent="0.45">
      <c r="G3411" s="9">
        <v>41079</v>
      </c>
      <c r="H3411" s="8">
        <v>18.38</v>
      </c>
    </row>
    <row r="3412" spans="7:8" x14ac:dyDescent="0.45">
      <c r="G3412" s="9">
        <v>41078</v>
      </c>
      <c r="H3412" s="8">
        <v>18.32</v>
      </c>
    </row>
    <row r="3413" spans="7:8" x14ac:dyDescent="0.45">
      <c r="G3413" s="9">
        <v>41075</v>
      </c>
      <c r="H3413" s="8">
        <v>21.11</v>
      </c>
    </row>
    <row r="3414" spans="7:8" x14ac:dyDescent="0.45">
      <c r="G3414" s="9">
        <v>41074</v>
      </c>
      <c r="H3414" s="8">
        <v>21.68</v>
      </c>
    </row>
    <row r="3415" spans="7:8" x14ac:dyDescent="0.45">
      <c r="G3415" s="9">
        <v>41073</v>
      </c>
      <c r="H3415" s="8">
        <v>24.27</v>
      </c>
    </row>
    <row r="3416" spans="7:8" x14ac:dyDescent="0.45">
      <c r="G3416" s="9">
        <v>41072</v>
      </c>
      <c r="H3416" s="8">
        <v>22.09</v>
      </c>
    </row>
    <row r="3417" spans="7:8" x14ac:dyDescent="0.45">
      <c r="G3417" s="9">
        <v>41071</v>
      </c>
      <c r="H3417" s="8">
        <v>23.56</v>
      </c>
    </row>
    <row r="3418" spans="7:8" x14ac:dyDescent="0.45">
      <c r="G3418" s="9">
        <v>41068</v>
      </c>
      <c r="H3418" s="8">
        <v>21.23</v>
      </c>
    </row>
    <row r="3419" spans="7:8" x14ac:dyDescent="0.45">
      <c r="G3419" s="9">
        <v>41067</v>
      </c>
      <c r="H3419" s="8">
        <v>21.72</v>
      </c>
    </row>
    <row r="3420" spans="7:8" x14ac:dyDescent="0.45">
      <c r="G3420" s="9">
        <v>41066</v>
      </c>
      <c r="H3420" s="8">
        <v>22.16</v>
      </c>
    </row>
    <row r="3421" spans="7:8" x14ac:dyDescent="0.45">
      <c r="G3421" s="9">
        <v>41065</v>
      </c>
      <c r="H3421" s="8">
        <v>24.68</v>
      </c>
    </row>
    <row r="3422" spans="7:8" x14ac:dyDescent="0.45">
      <c r="G3422" s="9">
        <v>41064</v>
      </c>
      <c r="H3422" s="8">
        <v>26.12</v>
      </c>
    </row>
    <row r="3423" spans="7:8" x14ac:dyDescent="0.45">
      <c r="G3423" s="9">
        <v>41061</v>
      </c>
      <c r="H3423" s="8">
        <v>26.66</v>
      </c>
    </row>
    <row r="3424" spans="7:8" x14ac:dyDescent="0.45">
      <c r="G3424" s="9">
        <v>41060</v>
      </c>
      <c r="H3424" s="8">
        <v>24.06</v>
      </c>
    </row>
    <row r="3425" spans="7:8" x14ac:dyDescent="0.45">
      <c r="G3425" s="9">
        <v>41059</v>
      </c>
      <c r="H3425" s="8">
        <v>24.14</v>
      </c>
    </row>
    <row r="3426" spans="7:8" x14ac:dyDescent="0.45">
      <c r="G3426" s="9">
        <v>41058</v>
      </c>
      <c r="H3426" s="8">
        <v>21.03</v>
      </c>
    </row>
    <row r="3427" spans="7:8" x14ac:dyDescent="0.45">
      <c r="G3427" s="9">
        <v>41054</v>
      </c>
      <c r="H3427" s="8">
        <v>21.76</v>
      </c>
    </row>
    <row r="3428" spans="7:8" x14ac:dyDescent="0.45">
      <c r="G3428" s="9">
        <v>41053</v>
      </c>
      <c r="H3428" s="8">
        <v>21.54</v>
      </c>
    </row>
    <row r="3429" spans="7:8" x14ac:dyDescent="0.45">
      <c r="G3429" s="9">
        <v>41052</v>
      </c>
      <c r="H3429" s="8">
        <v>22.33</v>
      </c>
    </row>
    <row r="3430" spans="7:8" x14ac:dyDescent="0.45">
      <c r="G3430" s="9">
        <v>41051</v>
      </c>
      <c r="H3430" s="8">
        <v>22.48</v>
      </c>
    </row>
    <row r="3431" spans="7:8" x14ac:dyDescent="0.45">
      <c r="G3431" s="9">
        <v>41050</v>
      </c>
      <c r="H3431" s="8">
        <v>22.01</v>
      </c>
    </row>
    <row r="3432" spans="7:8" x14ac:dyDescent="0.45">
      <c r="G3432" s="9">
        <v>41047</v>
      </c>
      <c r="H3432" s="8">
        <v>25.1</v>
      </c>
    </row>
    <row r="3433" spans="7:8" x14ac:dyDescent="0.45">
      <c r="G3433" s="9">
        <v>41046</v>
      </c>
      <c r="H3433" s="8">
        <v>24.49</v>
      </c>
    </row>
    <row r="3434" spans="7:8" x14ac:dyDescent="0.45">
      <c r="G3434" s="9">
        <v>41045</v>
      </c>
      <c r="H3434" s="8">
        <v>22.27</v>
      </c>
    </row>
    <row r="3435" spans="7:8" x14ac:dyDescent="0.45">
      <c r="G3435" s="9">
        <v>41044</v>
      </c>
      <c r="H3435" s="8">
        <v>21.97</v>
      </c>
    </row>
    <row r="3436" spans="7:8" x14ac:dyDescent="0.45">
      <c r="G3436" s="9">
        <v>41043</v>
      </c>
      <c r="H3436" s="8">
        <v>21.87</v>
      </c>
    </row>
    <row r="3437" spans="7:8" x14ac:dyDescent="0.45">
      <c r="G3437" s="9">
        <v>41040</v>
      </c>
      <c r="H3437" s="8">
        <v>19.89</v>
      </c>
    </row>
    <row r="3438" spans="7:8" x14ac:dyDescent="0.45">
      <c r="G3438" s="9">
        <v>41039</v>
      </c>
      <c r="H3438" s="8">
        <v>18.829999999999998</v>
      </c>
    </row>
    <row r="3439" spans="7:8" x14ac:dyDescent="0.45">
      <c r="G3439" s="9">
        <v>41038</v>
      </c>
      <c r="H3439" s="8">
        <v>20.079999999999998</v>
      </c>
    </row>
    <row r="3440" spans="7:8" x14ac:dyDescent="0.45">
      <c r="G3440" s="9">
        <v>41037</v>
      </c>
      <c r="H3440" s="8">
        <v>19.05</v>
      </c>
    </row>
    <row r="3441" spans="7:8" x14ac:dyDescent="0.45">
      <c r="G3441" s="9">
        <v>41036</v>
      </c>
      <c r="H3441" s="8">
        <v>18.940000000000001</v>
      </c>
    </row>
    <row r="3442" spans="7:8" x14ac:dyDescent="0.45">
      <c r="G3442" s="9">
        <v>41033</v>
      </c>
      <c r="H3442" s="8">
        <v>19.16</v>
      </c>
    </row>
    <row r="3443" spans="7:8" x14ac:dyDescent="0.45">
      <c r="G3443" s="9">
        <v>41032</v>
      </c>
      <c r="H3443" s="8">
        <v>17.559999999999999</v>
      </c>
    </row>
    <row r="3444" spans="7:8" x14ac:dyDescent="0.45">
      <c r="G3444" s="9">
        <v>41031</v>
      </c>
      <c r="H3444" s="8">
        <v>16.88</v>
      </c>
    </row>
    <row r="3445" spans="7:8" x14ac:dyDescent="0.45">
      <c r="G3445" s="9">
        <v>41030</v>
      </c>
      <c r="H3445" s="8">
        <v>16.600000000000001</v>
      </c>
    </row>
    <row r="3446" spans="7:8" x14ac:dyDescent="0.45">
      <c r="G3446" s="9">
        <v>41029</v>
      </c>
      <c r="H3446" s="8">
        <v>17.149999999999999</v>
      </c>
    </row>
    <row r="3447" spans="7:8" x14ac:dyDescent="0.45">
      <c r="G3447" s="9">
        <v>41026</v>
      </c>
      <c r="H3447" s="8">
        <v>16.32</v>
      </c>
    </row>
    <row r="3448" spans="7:8" x14ac:dyDescent="0.45">
      <c r="G3448" s="9">
        <v>41025</v>
      </c>
      <c r="H3448" s="8">
        <v>16.239999999999998</v>
      </c>
    </row>
    <row r="3449" spans="7:8" x14ac:dyDescent="0.45">
      <c r="G3449" s="9">
        <v>41024</v>
      </c>
      <c r="H3449" s="8">
        <v>16.82</v>
      </c>
    </row>
    <row r="3450" spans="7:8" x14ac:dyDescent="0.45">
      <c r="G3450" s="9">
        <v>41023</v>
      </c>
      <c r="H3450" s="8">
        <v>18.100000000000001</v>
      </c>
    </row>
    <row r="3451" spans="7:8" x14ac:dyDescent="0.45">
      <c r="G3451" s="9">
        <v>41022</v>
      </c>
      <c r="H3451" s="8">
        <v>18.97</v>
      </c>
    </row>
    <row r="3452" spans="7:8" x14ac:dyDescent="0.45">
      <c r="G3452" s="9">
        <v>41019</v>
      </c>
      <c r="H3452" s="8">
        <v>17.440000000000001</v>
      </c>
    </row>
    <row r="3453" spans="7:8" x14ac:dyDescent="0.45">
      <c r="G3453" s="9">
        <v>41018</v>
      </c>
      <c r="H3453" s="8">
        <v>18.36</v>
      </c>
    </row>
    <row r="3454" spans="7:8" x14ac:dyDescent="0.45">
      <c r="G3454" s="9">
        <v>41017</v>
      </c>
      <c r="H3454" s="8">
        <v>18.64</v>
      </c>
    </row>
    <row r="3455" spans="7:8" x14ac:dyDescent="0.45">
      <c r="G3455" s="9">
        <v>41016</v>
      </c>
      <c r="H3455" s="8">
        <v>18.46</v>
      </c>
    </row>
    <row r="3456" spans="7:8" x14ac:dyDescent="0.45">
      <c r="G3456" s="9">
        <v>41015</v>
      </c>
      <c r="H3456" s="8">
        <v>19.55</v>
      </c>
    </row>
    <row r="3457" spans="7:8" x14ac:dyDescent="0.45">
      <c r="G3457" s="9">
        <v>41012</v>
      </c>
      <c r="H3457" s="8">
        <v>19.55</v>
      </c>
    </row>
    <row r="3458" spans="7:8" x14ac:dyDescent="0.45">
      <c r="G3458" s="9">
        <v>41011</v>
      </c>
      <c r="H3458" s="8">
        <v>17.2</v>
      </c>
    </row>
    <row r="3459" spans="7:8" x14ac:dyDescent="0.45">
      <c r="G3459" s="9">
        <v>41010</v>
      </c>
      <c r="H3459" s="8">
        <v>20.02</v>
      </c>
    </row>
    <row r="3460" spans="7:8" x14ac:dyDescent="0.45">
      <c r="G3460" s="9">
        <v>41009</v>
      </c>
      <c r="H3460" s="8">
        <v>20.39</v>
      </c>
    </row>
    <row r="3461" spans="7:8" x14ac:dyDescent="0.45">
      <c r="G3461" s="9">
        <v>41008</v>
      </c>
      <c r="H3461" s="8">
        <v>18.809999999999999</v>
      </c>
    </row>
    <row r="3462" spans="7:8" x14ac:dyDescent="0.45">
      <c r="G3462" s="9">
        <v>41004</v>
      </c>
      <c r="H3462" s="8">
        <v>16.7</v>
      </c>
    </row>
    <row r="3463" spans="7:8" x14ac:dyDescent="0.45">
      <c r="G3463" s="9">
        <v>41003</v>
      </c>
      <c r="H3463" s="8">
        <v>16.440000000000001</v>
      </c>
    </row>
    <row r="3464" spans="7:8" x14ac:dyDescent="0.45">
      <c r="G3464" s="9">
        <v>41002</v>
      </c>
      <c r="H3464" s="8">
        <v>15.66</v>
      </c>
    </row>
    <row r="3465" spans="7:8" x14ac:dyDescent="0.45">
      <c r="G3465" s="9">
        <v>41001</v>
      </c>
      <c r="H3465" s="8">
        <v>15.64</v>
      </c>
    </row>
    <row r="3466" spans="7:8" x14ac:dyDescent="0.45">
      <c r="G3466" s="9">
        <v>40998</v>
      </c>
      <c r="H3466" s="8">
        <v>15.5</v>
      </c>
    </row>
    <row r="3467" spans="7:8" x14ac:dyDescent="0.45">
      <c r="G3467" s="9">
        <v>40997</v>
      </c>
      <c r="H3467" s="8">
        <v>15.48</v>
      </c>
    </row>
    <row r="3468" spans="7:8" x14ac:dyDescent="0.45">
      <c r="G3468" s="9">
        <v>40996</v>
      </c>
      <c r="H3468" s="8">
        <v>15.47</v>
      </c>
    </row>
    <row r="3469" spans="7:8" x14ac:dyDescent="0.45">
      <c r="G3469" s="9">
        <v>40995</v>
      </c>
      <c r="H3469" s="8">
        <v>15.59</v>
      </c>
    </row>
    <row r="3470" spans="7:8" x14ac:dyDescent="0.45">
      <c r="G3470" s="9">
        <v>40994</v>
      </c>
      <c r="H3470" s="8">
        <v>14.26</v>
      </c>
    </row>
    <row r="3471" spans="7:8" x14ac:dyDescent="0.45">
      <c r="G3471" s="9">
        <v>40991</v>
      </c>
      <c r="H3471" s="8">
        <v>14.82</v>
      </c>
    </row>
    <row r="3472" spans="7:8" x14ac:dyDescent="0.45">
      <c r="G3472" s="9">
        <v>40990</v>
      </c>
      <c r="H3472" s="8">
        <v>15.57</v>
      </c>
    </row>
    <row r="3473" spans="7:8" x14ac:dyDescent="0.45">
      <c r="G3473" s="9">
        <v>40989</v>
      </c>
      <c r="H3473" s="8">
        <v>15.13</v>
      </c>
    </row>
    <row r="3474" spans="7:8" x14ac:dyDescent="0.45">
      <c r="G3474" s="9">
        <v>40988</v>
      </c>
      <c r="H3474" s="8">
        <v>15.58</v>
      </c>
    </row>
    <row r="3475" spans="7:8" x14ac:dyDescent="0.45">
      <c r="G3475" s="9">
        <v>40987</v>
      </c>
      <c r="H3475" s="8">
        <v>15.04</v>
      </c>
    </row>
    <row r="3476" spans="7:8" x14ac:dyDescent="0.45">
      <c r="G3476" s="9">
        <v>40984</v>
      </c>
      <c r="H3476" s="8">
        <v>14.47</v>
      </c>
    </row>
    <row r="3477" spans="7:8" x14ac:dyDescent="0.45">
      <c r="G3477" s="9">
        <v>40983</v>
      </c>
      <c r="H3477" s="8">
        <v>15.42</v>
      </c>
    </row>
    <row r="3478" spans="7:8" x14ac:dyDescent="0.45">
      <c r="G3478" s="9">
        <v>40982</v>
      </c>
      <c r="H3478" s="8">
        <v>15.31</v>
      </c>
    </row>
    <row r="3479" spans="7:8" x14ac:dyDescent="0.45">
      <c r="G3479" s="9">
        <v>40981</v>
      </c>
      <c r="H3479" s="8">
        <v>14.8</v>
      </c>
    </row>
    <row r="3480" spans="7:8" x14ac:dyDescent="0.45">
      <c r="G3480" s="9">
        <v>40980</v>
      </c>
      <c r="H3480" s="8">
        <v>15.64</v>
      </c>
    </row>
    <row r="3481" spans="7:8" x14ac:dyDescent="0.45">
      <c r="G3481" s="9">
        <v>40977</v>
      </c>
      <c r="H3481" s="8">
        <v>17.11</v>
      </c>
    </row>
    <row r="3482" spans="7:8" x14ac:dyDescent="0.45">
      <c r="G3482" s="9">
        <v>40976</v>
      </c>
      <c r="H3482" s="8">
        <v>17.95</v>
      </c>
    </row>
    <row r="3483" spans="7:8" x14ac:dyDescent="0.45">
      <c r="G3483" s="9">
        <v>40975</v>
      </c>
      <c r="H3483" s="8">
        <v>19.07</v>
      </c>
    </row>
    <row r="3484" spans="7:8" x14ac:dyDescent="0.45">
      <c r="G3484" s="9">
        <v>40974</v>
      </c>
      <c r="H3484" s="8">
        <v>20.87</v>
      </c>
    </row>
    <row r="3485" spans="7:8" x14ac:dyDescent="0.45">
      <c r="G3485" s="9">
        <v>40973</v>
      </c>
      <c r="H3485" s="8">
        <v>18.05</v>
      </c>
    </row>
    <row r="3486" spans="7:8" x14ac:dyDescent="0.45">
      <c r="G3486" s="9">
        <v>40970</v>
      </c>
      <c r="H3486" s="8">
        <v>17.29</v>
      </c>
    </row>
    <row r="3487" spans="7:8" x14ac:dyDescent="0.45">
      <c r="G3487" s="9">
        <v>40969</v>
      </c>
      <c r="H3487" s="8">
        <v>17.260000000000002</v>
      </c>
    </row>
    <row r="3488" spans="7:8" x14ac:dyDescent="0.45">
      <c r="G3488" s="9">
        <v>40968</v>
      </c>
      <c r="H3488" s="8">
        <v>18.43</v>
      </c>
    </row>
    <row r="3489" spans="7:8" x14ac:dyDescent="0.45">
      <c r="G3489" s="9">
        <v>40967</v>
      </c>
      <c r="H3489" s="8">
        <v>17.96</v>
      </c>
    </row>
    <row r="3490" spans="7:8" x14ac:dyDescent="0.45">
      <c r="G3490" s="9">
        <v>40966</v>
      </c>
      <c r="H3490" s="8">
        <v>18.190000000000001</v>
      </c>
    </row>
    <row r="3491" spans="7:8" x14ac:dyDescent="0.45">
      <c r="G3491" s="9">
        <v>40963</v>
      </c>
      <c r="H3491" s="8">
        <v>17.309999999999999</v>
      </c>
    </row>
    <row r="3492" spans="7:8" x14ac:dyDescent="0.45">
      <c r="G3492" s="9">
        <v>40962</v>
      </c>
      <c r="H3492" s="8">
        <v>16.8</v>
      </c>
    </row>
    <row r="3493" spans="7:8" x14ac:dyDescent="0.45">
      <c r="G3493" s="9">
        <v>40961</v>
      </c>
      <c r="H3493" s="8">
        <v>18.190000000000001</v>
      </c>
    </row>
    <row r="3494" spans="7:8" x14ac:dyDescent="0.45">
      <c r="G3494" s="9">
        <v>40960</v>
      </c>
      <c r="H3494" s="8">
        <v>18.190000000000001</v>
      </c>
    </row>
    <row r="3495" spans="7:8" x14ac:dyDescent="0.45">
      <c r="G3495" s="9">
        <v>40956</v>
      </c>
      <c r="H3495" s="8">
        <v>17.78</v>
      </c>
    </row>
    <row r="3496" spans="7:8" x14ac:dyDescent="0.45">
      <c r="G3496" s="9">
        <v>40955</v>
      </c>
      <c r="H3496" s="8">
        <v>19.22</v>
      </c>
    </row>
    <row r="3497" spans="7:8" x14ac:dyDescent="0.45">
      <c r="G3497" s="9">
        <v>40954</v>
      </c>
      <c r="H3497" s="8">
        <v>21.14</v>
      </c>
    </row>
    <row r="3498" spans="7:8" x14ac:dyDescent="0.45">
      <c r="G3498" s="9">
        <v>40953</v>
      </c>
      <c r="H3498" s="8">
        <v>19.54</v>
      </c>
    </row>
    <row r="3499" spans="7:8" x14ac:dyDescent="0.45">
      <c r="G3499" s="9">
        <v>40952</v>
      </c>
      <c r="H3499" s="8">
        <v>19.04</v>
      </c>
    </row>
    <row r="3500" spans="7:8" x14ac:dyDescent="0.45">
      <c r="G3500" s="9">
        <v>40949</v>
      </c>
      <c r="H3500" s="8">
        <v>20.79</v>
      </c>
    </row>
    <row r="3501" spans="7:8" x14ac:dyDescent="0.45">
      <c r="G3501" s="9">
        <v>40948</v>
      </c>
      <c r="H3501" s="8">
        <v>18.63</v>
      </c>
    </row>
    <row r="3502" spans="7:8" x14ac:dyDescent="0.45">
      <c r="G3502" s="9">
        <v>40947</v>
      </c>
      <c r="H3502" s="8">
        <v>18.16</v>
      </c>
    </row>
    <row r="3503" spans="7:8" x14ac:dyDescent="0.45">
      <c r="G3503" s="9">
        <v>40946</v>
      </c>
      <c r="H3503" s="8">
        <v>17.649999999999999</v>
      </c>
    </row>
    <row r="3504" spans="7:8" x14ac:dyDescent="0.45">
      <c r="G3504" s="9">
        <v>40945</v>
      </c>
      <c r="H3504" s="8">
        <v>17.760000000000002</v>
      </c>
    </row>
    <row r="3505" spans="7:8" x14ac:dyDescent="0.45">
      <c r="G3505" s="9">
        <v>40942</v>
      </c>
      <c r="H3505" s="8">
        <v>17.100000000000001</v>
      </c>
    </row>
    <row r="3506" spans="7:8" x14ac:dyDescent="0.45">
      <c r="G3506" s="9">
        <v>40941</v>
      </c>
      <c r="H3506" s="8">
        <v>17.98</v>
      </c>
    </row>
    <row r="3507" spans="7:8" x14ac:dyDescent="0.45">
      <c r="G3507" s="9">
        <v>40940</v>
      </c>
      <c r="H3507" s="8">
        <v>18.55</v>
      </c>
    </row>
    <row r="3508" spans="7:8" x14ac:dyDescent="0.45">
      <c r="G3508" s="9">
        <v>40939</v>
      </c>
      <c r="H3508" s="8">
        <v>19.440000000000001</v>
      </c>
    </row>
    <row r="3509" spans="7:8" x14ac:dyDescent="0.45">
      <c r="G3509" s="9">
        <v>40938</v>
      </c>
      <c r="H3509" s="8">
        <v>19.399999999999999</v>
      </c>
    </row>
    <row r="3510" spans="7:8" x14ac:dyDescent="0.45">
      <c r="G3510" s="9">
        <v>40935</v>
      </c>
      <c r="H3510" s="8">
        <v>18.53</v>
      </c>
    </row>
    <row r="3511" spans="7:8" x14ac:dyDescent="0.45">
      <c r="G3511" s="9">
        <v>40934</v>
      </c>
      <c r="H3511" s="8">
        <v>18.57</v>
      </c>
    </row>
    <row r="3512" spans="7:8" x14ac:dyDescent="0.45">
      <c r="G3512" s="9">
        <v>40933</v>
      </c>
      <c r="H3512" s="8">
        <v>18.309999999999999</v>
      </c>
    </row>
    <row r="3513" spans="7:8" x14ac:dyDescent="0.45">
      <c r="G3513" s="9">
        <v>40932</v>
      </c>
      <c r="H3513" s="8">
        <v>18.91</v>
      </c>
    </row>
    <row r="3514" spans="7:8" x14ac:dyDescent="0.45">
      <c r="G3514" s="9">
        <v>40931</v>
      </c>
      <c r="H3514" s="8">
        <v>18.670000000000002</v>
      </c>
    </row>
    <row r="3515" spans="7:8" x14ac:dyDescent="0.45">
      <c r="G3515" s="9">
        <v>40928</v>
      </c>
      <c r="H3515" s="8">
        <v>18.28</v>
      </c>
    </row>
    <row r="3516" spans="7:8" x14ac:dyDescent="0.45">
      <c r="G3516" s="9">
        <v>40927</v>
      </c>
      <c r="H3516" s="8">
        <v>19.87</v>
      </c>
    </row>
    <row r="3517" spans="7:8" x14ac:dyDescent="0.45">
      <c r="G3517" s="9">
        <v>40926</v>
      </c>
      <c r="H3517" s="8">
        <v>20.89</v>
      </c>
    </row>
    <row r="3518" spans="7:8" x14ac:dyDescent="0.45">
      <c r="G3518" s="9">
        <v>40925</v>
      </c>
      <c r="H3518" s="8">
        <v>22.2</v>
      </c>
    </row>
    <row r="3519" spans="7:8" x14ac:dyDescent="0.45">
      <c r="G3519" s="9">
        <v>40921</v>
      </c>
      <c r="H3519" s="8">
        <v>20.91</v>
      </c>
    </row>
    <row r="3520" spans="7:8" x14ac:dyDescent="0.45">
      <c r="G3520" s="9">
        <v>40920</v>
      </c>
      <c r="H3520" s="8">
        <v>20.47</v>
      </c>
    </row>
    <row r="3521" spans="7:8" x14ac:dyDescent="0.45">
      <c r="G3521" s="9">
        <v>40919</v>
      </c>
      <c r="H3521" s="8">
        <v>21.05</v>
      </c>
    </row>
    <row r="3522" spans="7:8" x14ac:dyDescent="0.45">
      <c r="G3522" s="9">
        <v>40918</v>
      </c>
      <c r="H3522" s="8">
        <v>20.69</v>
      </c>
    </row>
    <row r="3523" spans="7:8" x14ac:dyDescent="0.45">
      <c r="G3523" s="9">
        <v>40917</v>
      </c>
      <c r="H3523" s="8">
        <v>21.07</v>
      </c>
    </row>
    <row r="3524" spans="7:8" x14ac:dyDescent="0.45">
      <c r="G3524" s="9">
        <v>40914</v>
      </c>
      <c r="H3524" s="8">
        <v>20.63</v>
      </c>
    </row>
    <row r="3525" spans="7:8" x14ac:dyDescent="0.45">
      <c r="G3525" s="9">
        <v>40913</v>
      </c>
      <c r="H3525" s="8">
        <v>21.48</v>
      </c>
    </row>
    <row r="3526" spans="7:8" x14ac:dyDescent="0.45">
      <c r="G3526" s="9">
        <v>40912</v>
      </c>
      <c r="H3526" s="8">
        <v>22.22</v>
      </c>
    </row>
    <row r="3527" spans="7:8" x14ac:dyDescent="0.45">
      <c r="G3527" s="9">
        <v>40911</v>
      </c>
      <c r="H3527" s="8">
        <v>22.97</v>
      </c>
    </row>
    <row r="3528" spans="7:8" x14ac:dyDescent="0.45">
      <c r="G3528" s="9">
        <v>40907</v>
      </c>
      <c r="H3528" s="8">
        <v>23.4</v>
      </c>
    </row>
    <row r="3529" spans="7:8" x14ac:dyDescent="0.45">
      <c r="G3529" s="9">
        <v>40906</v>
      </c>
      <c r="H3529" s="8">
        <v>22.65</v>
      </c>
    </row>
    <row r="3530" spans="7:8" x14ac:dyDescent="0.45">
      <c r="G3530" s="9">
        <v>40905</v>
      </c>
      <c r="H3530" s="8">
        <v>23.52</v>
      </c>
    </row>
    <row r="3531" spans="7:8" x14ac:dyDescent="0.45">
      <c r="G3531" s="9">
        <v>40904</v>
      </c>
      <c r="H3531" s="8">
        <v>21.91</v>
      </c>
    </row>
    <row r="3532" spans="7:8" x14ac:dyDescent="0.45">
      <c r="G3532" s="9">
        <v>40900</v>
      </c>
      <c r="H3532" s="8">
        <v>20.73</v>
      </c>
    </row>
    <row r="3533" spans="7:8" x14ac:dyDescent="0.45">
      <c r="G3533" s="9">
        <v>40899</v>
      </c>
      <c r="H3533" s="8">
        <v>21.16</v>
      </c>
    </row>
    <row r="3534" spans="7:8" x14ac:dyDescent="0.45">
      <c r="G3534" s="9">
        <v>40898</v>
      </c>
      <c r="H3534" s="8">
        <v>21.43</v>
      </c>
    </row>
    <row r="3535" spans="7:8" x14ac:dyDescent="0.45">
      <c r="G3535" s="9">
        <v>40897</v>
      </c>
      <c r="H3535" s="8">
        <v>23.22</v>
      </c>
    </row>
    <row r="3536" spans="7:8" x14ac:dyDescent="0.45">
      <c r="G3536" s="9">
        <v>40896</v>
      </c>
      <c r="H3536" s="8">
        <v>24.92</v>
      </c>
    </row>
    <row r="3537" spans="7:8" x14ac:dyDescent="0.45">
      <c r="G3537" s="9">
        <v>40893</v>
      </c>
      <c r="H3537" s="8">
        <v>24.29</v>
      </c>
    </row>
    <row r="3538" spans="7:8" x14ac:dyDescent="0.45">
      <c r="G3538" s="9">
        <v>40892</v>
      </c>
      <c r="H3538" s="8">
        <v>25.11</v>
      </c>
    </row>
    <row r="3539" spans="7:8" x14ac:dyDescent="0.45">
      <c r="G3539" s="9">
        <v>40891</v>
      </c>
      <c r="H3539" s="8">
        <v>26.04</v>
      </c>
    </row>
    <row r="3540" spans="7:8" x14ac:dyDescent="0.45">
      <c r="G3540" s="9">
        <v>40890</v>
      </c>
      <c r="H3540" s="8">
        <v>25.41</v>
      </c>
    </row>
    <row r="3541" spans="7:8" x14ac:dyDescent="0.45">
      <c r="G3541" s="9">
        <v>40889</v>
      </c>
      <c r="H3541" s="8">
        <v>25.67</v>
      </c>
    </row>
    <row r="3542" spans="7:8" x14ac:dyDescent="0.45">
      <c r="G3542" s="9">
        <v>40886</v>
      </c>
      <c r="H3542" s="8">
        <v>26.38</v>
      </c>
    </row>
    <row r="3543" spans="7:8" x14ac:dyDescent="0.45">
      <c r="G3543" s="9">
        <v>40885</v>
      </c>
      <c r="H3543" s="8">
        <v>30.59</v>
      </c>
    </row>
    <row r="3544" spans="7:8" x14ac:dyDescent="0.45">
      <c r="G3544" s="9">
        <v>40884</v>
      </c>
      <c r="H3544" s="8">
        <v>28.67</v>
      </c>
    </row>
    <row r="3545" spans="7:8" x14ac:dyDescent="0.45">
      <c r="G3545" s="9">
        <v>40883</v>
      </c>
      <c r="H3545" s="8">
        <v>28.13</v>
      </c>
    </row>
    <row r="3546" spans="7:8" x14ac:dyDescent="0.45">
      <c r="G3546" s="9">
        <v>40882</v>
      </c>
      <c r="H3546" s="8">
        <v>27.84</v>
      </c>
    </row>
    <row r="3547" spans="7:8" x14ac:dyDescent="0.45">
      <c r="G3547" s="9">
        <v>40879</v>
      </c>
      <c r="H3547" s="8">
        <v>27.52</v>
      </c>
    </row>
    <row r="3548" spans="7:8" x14ac:dyDescent="0.45">
      <c r="G3548" s="9">
        <v>40878</v>
      </c>
      <c r="H3548" s="8">
        <v>27.41</v>
      </c>
    </row>
    <row r="3549" spans="7:8" x14ac:dyDescent="0.45">
      <c r="G3549" s="9">
        <v>40877</v>
      </c>
      <c r="H3549" s="8">
        <v>27.8</v>
      </c>
    </row>
    <row r="3550" spans="7:8" x14ac:dyDescent="0.45">
      <c r="G3550" s="9">
        <v>40876</v>
      </c>
      <c r="H3550" s="8">
        <v>30.64</v>
      </c>
    </row>
    <row r="3551" spans="7:8" x14ac:dyDescent="0.45">
      <c r="G3551" s="9">
        <v>40875</v>
      </c>
      <c r="H3551" s="8">
        <v>32.130000000000003</v>
      </c>
    </row>
    <row r="3552" spans="7:8" x14ac:dyDescent="0.45">
      <c r="G3552" s="9">
        <v>40872</v>
      </c>
      <c r="H3552" s="8">
        <v>34.47</v>
      </c>
    </row>
    <row r="3553" spans="7:8" x14ac:dyDescent="0.45">
      <c r="G3553" s="9">
        <v>40870</v>
      </c>
      <c r="H3553" s="8">
        <v>33.979999999999997</v>
      </c>
    </row>
    <row r="3554" spans="7:8" x14ac:dyDescent="0.45">
      <c r="G3554" s="9">
        <v>40869</v>
      </c>
      <c r="H3554" s="8">
        <v>31.97</v>
      </c>
    </row>
    <row r="3555" spans="7:8" x14ac:dyDescent="0.45">
      <c r="G3555" s="9">
        <v>40868</v>
      </c>
      <c r="H3555" s="8">
        <v>32.909999999999997</v>
      </c>
    </row>
    <row r="3556" spans="7:8" x14ac:dyDescent="0.45">
      <c r="G3556" s="9">
        <v>40865</v>
      </c>
      <c r="H3556" s="8">
        <v>32</v>
      </c>
    </row>
    <row r="3557" spans="7:8" x14ac:dyDescent="0.45">
      <c r="G3557" s="9">
        <v>40864</v>
      </c>
      <c r="H3557" s="8">
        <v>34.51</v>
      </c>
    </row>
    <row r="3558" spans="7:8" x14ac:dyDescent="0.45">
      <c r="G3558" s="9">
        <v>40863</v>
      </c>
      <c r="H3558" s="8">
        <v>33.51</v>
      </c>
    </row>
    <row r="3559" spans="7:8" x14ac:dyDescent="0.45">
      <c r="G3559" s="9">
        <v>40862</v>
      </c>
      <c r="H3559" s="8">
        <v>31.22</v>
      </c>
    </row>
    <row r="3560" spans="7:8" x14ac:dyDescent="0.45">
      <c r="G3560" s="9">
        <v>40861</v>
      </c>
      <c r="H3560" s="8">
        <v>31.13</v>
      </c>
    </row>
    <row r="3561" spans="7:8" x14ac:dyDescent="0.45">
      <c r="G3561" s="9">
        <v>40858</v>
      </c>
      <c r="H3561" s="8">
        <v>30.04</v>
      </c>
    </row>
    <row r="3562" spans="7:8" x14ac:dyDescent="0.45">
      <c r="G3562" s="9">
        <v>40857</v>
      </c>
      <c r="H3562" s="8">
        <v>32.81</v>
      </c>
    </row>
    <row r="3563" spans="7:8" x14ac:dyDescent="0.45">
      <c r="G3563" s="9">
        <v>40856</v>
      </c>
      <c r="H3563" s="8">
        <v>36.159999999999997</v>
      </c>
    </row>
    <row r="3564" spans="7:8" x14ac:dyDescent="0.45">
      <c r="G3564" s="9">
        <v>40855</v>
      </c>
      <c r="H3564" s="8">
        <v>27.48</v>
      </c>
    </row>
    <row r="3565" spans="7:8" x14ac:dyDescent="0.45">
      <c r="G3565" s="9">
        <v>40854</v>
      </c>
      <c r="H3565" s="8">
        <v>29.85</v>
      </c>
    </row>
    <row r="3566" spans="7:8" x14ac:dyDescent="0.45">
      <c r="G3566" s="9">
        <v>40851</v>
      </c>
      <c r="H3566" s="8">
        <v>30.16</v>
      </c>
    </row>
    <row r="3567" spans="7:8" x14ac:dyDescent="0.45">
      <c r="G3567" s="9">
        <v>40850</v>
      </c>
      <c r="H3567" s="8">
        <v>30.5</v>
      </c>
    </row>
    <row r="3568" spans="7:8" x14ac:dyDescent="0.45">
      <c r="G3568" s="9">
        <v>40849</v>
      </c>
      <c r="H3568" s="8">
        <v>32.74</v>
      </c>
    </row>
    <row r="3569" spans="7:8" x14ac:dyDescent="0.45">
      <c r="G3569" s="9">
        <v>40848</v>
      </c>
      <c r="H3569" s="8">
        <v>34.770000000000003</v>
      </c>
    </row>
    <row r="3570" spans="7:8" x14ac:dyDescent="0.45">
      <c r="G3570" s="9">
        <v>40847</v>
      </c>
      <c r="H3570" s="8">
        <v>29.96</v>
      </c>
    </row>
    <row r="3571" spans="7:8" x14ac:dyDescent="0.45">
      <c r="G3571" s="9">
        <v>40844</v>
      </c>
      <c r="H3571" s="8">
        <v>24.53</v>
      </c>
    </row>
    <row r="3572" spans="7:8" x14ac:dyDescent="0.45">
      <c r="G3572" s="9">
        <v>40843</v>
      </c>
      <c r="H3572" s="8">
        <v>25.46</v>
      </c>
    </row>
    <row r="3573" spans="7:8" x14ac:dyDescent="0.45">
      <c r="G3573" s="9">
        <v>40842</v>
      </c>
      <c r="H3573" s="8">
        <v>29.86</v>
      </c>
    </row>
    <row r="3574" spans="7:8" x14ac:dyDescent="0.45">
      <c r="G3574" s="9">
        <v>40841</v>
      </c>
      <c r="H3574" s="8">
        <v>32.22</v>
      </c>
    </row>
    <row r="3575" spans="7:8" x14ac:dyDescent="0.45">
      <c r="G3575" s="9">
        <v>40840</v>
      </c>
      <c r="H3575" s="8">
        <v>29.26</v>
      </c>
    </row>
    <row r="3576" spans="7:8" x14ac:dyDescent="0.45">
      <c r="G3576" s="9">
        <v>40837</v>
      </c>
      <c r="H3576" s="8">
        <v>31.32</v>
      </c>
    </row>
    <row r="3577" spans="7:8" x14ac:dyDescent="0.45">
      <c r="G3577" s="9">
        <v>40836</v>
      </c>
      <c r="H3577" s="8">
        <v>34.78</v>
      </c>
    </row>
    <row r="3578" spans="7:8" x14ac:dyDescent="0.45">
      <c r="G3578" s="9">
        <v>40835</v>
      </c>
      <c r="H3578" s="8">
        <v>34.44</v>
      </c>
    </row>
    <row r="3579" spans="7:8" x14ac:dyDescent="0.45">
      <c r="G3579" s="9">
        <v>40834</v>
      </c>
      <c r="H3579" s="8">
        <v>31.56</v>
      </c>
    </row>
    <row r="3580" spans="7:8" x14ac:dyDescent="0.45">
      <c r="G3580" s="9">
        <v>40833</v>
      </c>
      <c r="H3580" s="8">
        <v>33.39</v>
      </c>
    </row>
    <row r="3581" spans="7:8" x14ac:dyDescent="0.45">
      <c r="G3581" s="9">
        <v>40830</v>
      </c>
      <c r="H3581" s="8">
        <v>28.24</v>
      </c>
    </row>
    <row r="3582" spans="7:8" x14ac:dyDescent="0.45">
      <c r="G3582" s="9">
        <v>40829</v>
      </c>
      <c r="H3582" s="8">
        <v>30.7</v>
      </c>
    </row>
    <row r="3583" spans="7:8" x14ac:dyDescent="0.45">
      <c r="G3583" s="9">
        <v>40828</v>
      </c>
      <c r="H3583" s="8">
        <v>31.26</v>
      </c>
    </row>
    <row r="3584" spans="7:8" x14ac:dyDescent="0.45">
      <c r="G3584" s="9">
        <v>40827</v>
      </c>
      <c r="H3584" s="8">
        <v>32.86</v>
      </c>
    </row>
    <row r="3585" spans="7:8" x14ac:dyDescent="0.45">
      <c r="G3585" s="9">
        <v>40826</v>
      </c>
      <c r="H3585" s="8">
        <v>33.020000000000003</v>
      </c>
    </row>
    <row r="3586" spans="7:8" x14ac:dyDescent="0.45">
      <c r="G3586" s="9">
        <v>40823</v>
      </c>
      <c r="H3586" s="8">
        <v>36.200000000000003</v>
      </c>
    </row>
    <row r="3587" spans="7:8" x14ac:dyDescent="0.45">
      <c r="G3587" s="9">
        <v>40822</v>
      </c>
      <c r="H3587" s="8">
        <v>36.270000000000003</v>
      </c>
    </row>
    <row r="3588" spans="7:8" x14ac:dyDescent="0.45">
      <c r="G3588" s="9">
        <v>40821</v>
      </c>
      <c r="H3588" s="8">
        <v>37.81</v>
      </c>
    </row>
    <row r="3589" spans="7:8" x14ac:dyDescent="0.45">
      <c r="G3589" s="9">
        <v>40820</v>
      </c>
      <c r="H3589" s="8">
        <v>40.82</v>
      </c>
    </row>
    <row r="3590" spans="7:8" x14ac:dyDescent="0.45">
      <c r="G3590" s="9">
        <v>40819</v>
      </c>
      <c r="H3590" s="8">
        <v>45.45</v>
      </c>
    </row>
    <row r="3591" spans="7:8" x14ac:dyDescent="0.45">
      <c r="G3591" s="9">
        <v>40816</v>
      </c>
      <c r="H3591" s="8">
        <v>42.96</v>
      </c>
    </row>
    <row r="3592" spans="7:8" x14ac:dyDescent="0.45">
      <c r="G3592" s="9">
        <v>40815</v>
      </c>
      <c r="H3592" s="8">
        <v>38.840000000000003</v>
      </c>
    </row>
    <row r="3593" spans="7:8" x14ac:dyDescent="0.45">
      <c r="G3593" s="9">
        <v>40814</v>
      </c>
      <c r="H3593" s="8">
        <v>41.08</v>
      </c>
    </row>
    <row r="3594" spans="7:8" x14ac:dyDescent="0.45">
      <c r="G3594" s="9">
        <v>40813</v>
      </c>
      <c r="H3594" s="8">
        <v>37.71</v>
      </c>
    </row>
    <row r="3595" spans="7:8" x14ac:dyDescent="0.45">
      <c r="G3595" s="9">
        <v>40812</v>
      </c>
      <c r="H3595" s="8">
        <v>39.020000000000003</v>
      </c>
    </row>
    <row r="3596" spans="7:8" x14ac:dyDescent="0.45">
      <c r="G3596" s="9">
        <v>40809</v>
      </c>
      <c r="H3596" s="8">
        <v>41.25</v>
      </c>
    </row>
    <row r="3597" spans="7:8" x14ac:dyDescent="0.45">
      <c r="G3597" s="9">
        <v>40808</v>
      </c>
      <c r="H3597" s="8">
        <v>41.35</v>
      </c>
    </row>
    <row r="3598" spans="7:8" x14ac:dyDescent="0.45">
      <c r="G3598" s="9">
        <v>40807</v>
      </c>
      <c r="H3598" s="8">
        <v>37.32</v>
      </c>
    </row>
    <row r="3599" spans="7:8" x14ac:dyDescent="0.45">
      <c r="G3599" s="9">
        <v>40806</v>
      </c>
      <c r="H3599" s="8">
        <v>32.86</v>
      </c>
    </row>
    <row r="3600" spans="7:8" x14ac:dyDescent="0.45">
      <c r="G3600" s="9">
        <v>40805</v>
      </c>
      <c r="H3600" s="8">
        <v>32.729999999999997</v>
      </c>
    </row>
    <row r="3601" spans="7:8" x14ac:dyDescent="0.45">
      <c r="G3601" s="9">
        <v>40802</v>
      </c>
      <c r="H3601" s="8">
        <v>30.98</v>
      </c>
    </row>
    <row r="3602" spans="7:8" x14ac:dyDescent="0.45">
      <c r="G3602" s="9">
        <v>40801</v>
      </c>
      <c r="H3602" s="8">
        <v>31.97</v>
      </c>
    </row>
    <row r="3603" spans="7:8" x14ac:dyDescent="0.45">
      <c r="G3603" s="9">
        <v>40800</v>
      </c>
      <c r="H3603" s="8">
        <v>34.6</v>
      </c>
    </row>
    <row r="3604" spans="7:8" x14ac:dyDescent="0.45">
      <c r="G3604" s="9">
        <v>40799</v>
      </c>
      <c r="H3604" s="8">
        <v>36.909999999999997</v>
      </c>
    </row>
    <row r="3605" spans="7:8" x14ac:dyDescent="0.45">
      <c r="G3605" s="9">
        <v>40798</v>
      </c>
      <c r="H3605" s="8">
        <v>38.590000000000003</v>
      </c>
    </row>
    <row r="3606" spans="7:8" x14ac:dyDescent="0.45">
      <c r="G3606" s="9">
        <v>40795</v>
      </c>
      <c r="H3606" s="8">
        <v>38.520000000000003</v>
      </c>
    </row>
    <row r="3607" spans="7:8" x14ac:dyDescent="0.45">
      <c r="G3607" s="9">
        <v>40794</v>
      </c>
      <c r="H3607" s="8">
        <v>34.32</v>
      </c>
    </row>
    <row r="3608" spans="7:8" x14ac:dyDescent="0.45">
      <c r="G3608" s="9">
        <v>40793</v>
      </c>
      <c r="H3608" s="8">
        <v>33.380000000000003</v>
      </c>
    </row>
    <row r="3609" spans="7:8" x14ac:dyDescent="0.45">
      <c r="G3609" s="9">
        <v>40792</v>
      </c>
      <c r="H3609" s="8">
        <v>37</v>
      </c>
    </row>
    <row r="3610" spans="7:8" x14ac:dyDescent="0.45">
      <c r="G3610" s="9">
        <v>40788</v>
      </c>
      <c r="H3610" s="8">
        <v>33.92</v>
      </c>
    </row>
    <row r="3611" spans="7:8" x14ac:dyDescent="0.45">
      <c r="G3611" s="9">
        <v>40787</v>
      </c>
      <c r="H3611" s="8">
        <v>31.82</v>
      </c>
    </row>
    <row r="3612" spans="7:8" x14ac:dyDescent="0.45">
      <c r="G3612" s="9">
        <v>40786</v>
      </c>
      <c r="H3612" s="8">
        <v>31.62</v>
      </c>
    </row>
    <row r="3613" spans="7:8" x14ac:dyDescent="0.45">
      <c r="G3613" s="9">
        <v>40785</v>
      </c>
      <c r="H3613" s="8">
        <v>32.89</v>
      </c>
    </row>
    <row r="3614" spans="7:8" x14ac:dyDescent="0.45">
      <c r="G3614" s="9">
        <v>40784</v>
      </c>
      <c r="H3614" s="8">
        <v>32.28</v>
      </c>
    </row>
    <row r="3615" spans="7:8" x14ac:dyDescent="0.45">
      <c r="G3615" s="9">
        <v>40781</v>
      </c>
      <c r="H3615" s="8">
        <v>35.590000000000003</v>
      </c>
    </row>
    <row r="3616" spans="7:8" x14ac:dyDescent="0.45">
      <c r="G3616" s="9">
        <v>40780</v>
      </c>
      <c r="H3616" s="8">
        <v>39.76</v>
      </c>
    </row>
    <row r="3617" spans="7:8" x14ac:dyDescent="0.45">
      <c r="G3617" s="9">
        <v>40779</v>
      </c>
      <c r="H3617" s="8">
        <v>35.9</v>
      </c>
    </row>
    <row r="3618" spans="7:8" x14ac:dyDescent="0.45">
      <c r="G3618" s="9">
        <v>40778</v>
      </c>
      <c r="H3618" s="8">
        <v>36.270000000000003</v>
      </c>
    </row>
    <row r="3619" spans="7:8" x14ac:dyDescent="0.45">
      <c r="G3619" s="9">
        <v>40777</v>
      </c>
      <c r="H3619" s="8">
        <v>42.44</v>
      </c>
    </row>
    <row r="3620" spans="7:8" x14ac:dyDescent="0.45">
      <c r="G3620" s="9">
        <v>40774</v>
      </c>
      <c r="H3620" s="8">
        <v>43.05</v>
      </c>
    </row>
    <row r="3621" spans="7:8" x14ac:dyDescent="0.45">
      <c r="G3621" s="9">
        <v>40773</v>
      </c>
      <c r="H3621" s="8">
        <v>42.67</v>
      </c>
    </row>
    <row r="3622" spans="7:8" x14ac:dyDescent="0.45">
      <c r="G3622" s="9">
        <v>40772</v>
      </c>
      <c r="H3622" s="8">
        <v>31.58</v>
      </c>
    </row>
    <row r="3623" spans="7:8" x14ac:dyDescent="0.45">
      <c r="G3623" s="9">
        <v>40771</v>
      </c>
      <c r="H3623" s="8">
        <v>32.85</v>
      </c>
    </row>
    <row r="3624" spans="7:8" x14ac:dyDescent="0.45">
      <c r="G3624" s="9">
        <v>40770</v>
      </c>
      <c r="H3624" s="8">
        <v>31.87</v>
      </c>
    </row>
    <row r="3625" spans="7:8" x14ac:dyDescent="0.45">
      <c r="G3625" s="9">
        <v>40767</v>
      </c>
      <c r="H3625" s="8">
        <v>36.36</v>
      </c>
    </row>
    <row r="3626" spans="7:8" x14ac:dyDescent="0.45">
      <c r="G3626" s="9">
        <v>40766</v>
      </c>
      <c r="H3626" s="8">
        <v>39</v>
      </c>
    </row>
    <row r="3627" spans="7:8" x14ac:dyDescent="0.45">
      <c r="G3627" s="9">
        <v>40765</v>
      </c>
      <c r="H3627" s="8">
        <v>42.99</v>
      </c>
    </row>
    <row r="3628" spans="7:8" x14ac:dyDescent="0.45">
      <c r="G3628" s="9">
        <v>40764</v>
      </c>
      <c r="H3628" s="8">
        <v>35.06</v>
      </c>
    </row>
    <row r="3629" spans="7:8" x14ac:dyDescent="0.45">
      <c r="G3629" s="9">
        <v>40763</v>
      </c>
      <c r="H3629" s="8">
        <v>48</v>
      </c>
    </row>
    <row r="3630" spans="7:8" x14ac:dyDescent="0.45">
      <c r="G3630" s="9">
        <v>40760</v>
      </c>
      <c r="H3630" s="8">
        <v>32</v>
      </c>
    </row>
    <row r="3631" spans="7:8" x14ac:dyDescent="0.45">
      <c r="G3631" s="9">
        <v>40759</v>
      </c>
      <c r="H3631" s="8">
        <v>31.66</v>
      </c>
    </row>
    <row r="3632" spans="7:8" x14ac:dyDescent="0.45">
      <c r="G3632" s="9">
        <v>40758</v>
      </c>
      <c r="H3632" s="8">
        <v>23.38</v>
      </c>
    </row>
    <row r="3633" spans="7:8" x14ac:dyDescent="0.45">
      <c r="G3633" s="9">
        <v>40757</v>
      </c>
      <c r="H3633" s="8">
        <v>24.79</v>
      </c>
    </row>
    <row r="3634" spans="7:8" x14ac:dyDescent="0.45">
      <c r="G3634" s="9">
        <v>40756</v>
      </c>
      <c r="H3634" s="8">
        <v>23.66</v>
      </c>
    </row>
    <row r="3635" spans="7:8" x14ac:dyDescent="0.45">
      <c r="G3635" s="9">
        <v>40753</v>
      </c>
      <c r="H3635" s="8">
        <v>25.25</v>
      </c>
    </row>
    <row r="3636" spans="7:8" x14ac:dyDescent="0.45">
      <c r="G3636" s="9">
        <v>40752</v>
      </c>
      <c r="H3636" s="8">
        <v>23.74</v>
      </c>
    </row>
    <row r="3637" spans="7:8" x14ac:dyDescent="0.45">
      <c r="G3637" s="9">
        <v>40751</v>
      </c>
      <c r="H3637" s="8">
        <v>22.98</v>
      </c>
    </row>
    <row r="3638" spans="7:8" x14ac:dyDescent="0.45">
      <c r="G3638" s="9">
        <v>40750</v>
      </c>
      <c r="H3638" s="8">
        <v>20.23</v>
      </c>
    </row>
    <row r="3639" spans="7:8" x14ac:dyDescent="0.45">
      <c r="G3639" s="9">
        <v>40749</v>
      </c>
      <c r="H3639" s="8">
        <v>19.350000000000001</v>
      </c>
    </row>
    <row r="3640" spans="7:8" x14ac:dyDescent="0.45">
      <c r="G3640" s="9">
        <v>40746</v>
      </c>
      <c r="H3640" s="8">
        <v>17.52</v>
      </c>
    </row>
    <row r="3641" spans="7:8" x14ac:dyDescent="0.45">
      <c r="G3641" s="9">
        <v>40745</v>
      </c>
      <c r="H3641" s="8">
        <v>17.559999999999999</v>
      </c>
    </row>
    <row r="3642" spans="7:8" x14ac:dyDescent="0.45">
      <c r="G3642" s="9">
        <v>40744</v>
      </c>
      <c r="H3642" s="8">
        <v>19.09</v>
      </c>
    </row>
    <row r="3643" spans="7:8" x14ac:dyDescent="0.45">
      <c r="G3643" s="9">
        <v>40743</v>
      </c>
      <c r="H3643" s="8">
        <v>19.21</v>
      </c>
    </row>
    <row r="3644" spans="7:8" x14ac:dyDescent="0.45">
      <c r="G3644" s="9">
        <v>40742</v>
      </c>
      <c r="H3644" s="8">
        <v>20.95</v>
      </c>
    </row>
    <row r="3645" spans="7:8" x14ac:dyDescent="0.45">
      <c r="G3645" s="9">
        <v>40739</v>
      </c>
      <c r="H3645" s="8">
        <v>19.53</v>
      </c>
    </row>
    <row r="3646" spans="7:8" x14ac:dyDescent="0.45">
      <c r="G3646" s="9">
        <v>40738</v>
      </c>
      <c r="H3646" s="8">
        <v>20.8</v>
      </c>
    </row>
    <row r="3647" spans="7:8" x14ac:dyDescent="0.45">
      <c r="G3647" s="9">
        <v>40737</v>
      </c>
      <c r="H3647" s="8">
        <v>19.91</v>
      </c>
    </row>
    <row r="3648" spans="7:8" x14ac:dyDescent="0.45">
      <c r="G3648" s="9">
        <v>40736</v>
      </c>
      <c r="H3648" s="8">
        <v>19.87</v>
      </c>
    </row>
    <row r="3649" spans="7:8" x14ac:dyDescent="0.45">
      <c r="G3649" s="9">
        <v>40735</v>
      </c>
      <c r="H3649" s="8">
        <v>18.39</v>
      </c>
    </row>
    <row r="3650" spans="7:8" x14ac:dyDescent="0.45">
      <c r="G3650" s="9">
        <v>40732</v>
      </c>
      <c r="H3650" s="8">
        <v>15.95</v>
      </c>
    </row>
    <row r="3651" spans="7:8" x14ac:dyDescent="0.45">
      <c r="G3651" s="9">
        <v>40731</v>
      </c>
      <c r="H3651" s="8">
        <v>15.95</v>
      </c>
    </row>
    <row r="3652" spans="7:8" x14ac:dyDescent="0.45">
      <c r="G3652" s="9">
        <v>40730</v>
      </c>
      <c r="H3652" s="8">
        <v>16.34</v>
      </c>
    </row>
    <row r="3653" spans="7:8" x14ac:dyDescent="0.45">
      <c r="G3653" s="9">
        <v>40729</v>
      </c>
      <c r="H3653" s="8">
        <v>16.059999999999999</v>
      </c>
    </row>
    <row r="3654" spans="7:8" x14ac:dyDescent="0.45">
      <c r="G3654" s="9">
        <v>40725</v>
      </c>
      <c r="H3654" s="8">
        <v>15.87</v>
      </c>
    </row>
    <row r="3655" spans="7:8" x14ac:dyDescent="0.45">
      <c r="G3655" s="9">
        <v>40724</v>
      </c>
      <c r="H3655" s="8">
        <v>16.52</v>
      </c>
    </row>
    <row r="3656" spans="7:8" x14ac:dyDescent="0.45">
      <c r="G3656" s="9">
        <v>40723</v>
      </c>
      <c r="H3656" s="8">
        <v>17.27</v>
      </c>
    </row>
    <row r="3657" spans="7:8" x14ac:dyDescent="0.45">
      <c r="G3657" s="9">
        <v>40722</v>
      </c>
      <c r="H3657" s="8">
        <v>19.170000000000002</v>
      </c>
    </row>
    <row r="3658" spans="7:8" x14ac:dyDescent="0.45">
      <c r="G3658" s="9">
        <v>40721</v>
      </c>
      <c r="H3658" s="8">
        <v>20.56</v>
      </c>
    </row>
    <row r="3659" spans="7:8" x14ac:dyDescent="0.45">
      <c r="G3659" s="9">
        <v>40718</v>
      </c>
      <c r="H3659" s="8">
        <v>21.1</v>
      </c>
    </row>
    <row r="3660" spans="7:8" x14ac:dyDescent="0.45">
      <c r="G3660" s="9">
        <v>40717</v>
      </c>
      <c r="H3660" s="8">
        <v>19.29</v>
      </c>
    </row>
    <row r="3661" spans="7:8" x14ac:dyDescent="0.45">
      <c r="G3661" s="9">
        <v>40716</v>
      </c>
      <c r="H3661" s="8">
        <v>18.52</v>
      </c>
    </row>
    <row r="3662" spans="7:8" x14ac:dyDescent="0.45">
      <c r="G3662" s="9">
        <v>40715</v>
      </c>
      <c r="H3662" s="8">
        <v>18.86</v>
      </c>
    </row>
    <row r="3663" spans="7:8" x14ac:dyDescent="0.45">
      <c r="G3663" s="9">
        <v>40714</v>
      </c>
      <c r="H3663" s="8">
        <v>19.989999999999998</v>
      </c>
    </row>
    <row r="3664" spans="7:8" x14ac:dyDescent="0.45">
      <c r="G3664" s="9">
        <v>40711</v>
      </c>
      <c r="H3664" s="8">
        <v>21.85</v>
      </c>
    </row>
    <row r="3665" spans="7:8" x14ac:dyDescent="0.45">
      <c r="G3665" s="9">
        <v>40710</v>
      </c>
      <c r="H3665" s="8">
        <v>22.73</v>
      </c>
    </row>
    <row r="3666" spans="7:8" x14ac:dyDescent="0.45">
      <c r="G3666" s="9">
        <v>40709</v>
      </c>
      <c r="H3666" s="8">
        <v>21.32</v>
      </c>
    </row>
    <row r="3667" spans="7:8" x14ac:dyDescent="0.45">
      <c r="G3667" s="9">
        <v>40708</v>
      </c>
      <c r="H3667" s="8">
        <v>18.260000000000002</v>
      </c>
    </row>
    <row r="3668" spans="7:8" x14ac:dyDescent="0.45">
      <c r="G3668" s="9">
        <v>40707</v>
      </c>
      <c r="H3668" s="8">
        <v>19.61</v>
      </c>
    </row>
    <row r="3669" spans="7:8" x14ac:dyDescent="0.45">
      <c r="G3669" s="9">
        <v>40704</v>
      </c>
      <c r="H3669" s="8">
        <v>18.86</v>
      </c>
    </row>
    <row r="3670" spans="7:8" x14ac:dyDescent="0.45">
      <c r="G3670" s="9">
        <v>40703</v>
      </c>
      <c r="H3670" s="8">
        <v>17.77</v>
      </c>
    </row>
    <row r="3671" spans="7:8" x14ac:dyDescent="0.45">
      <c r="G3671" s="9">
        <v>40702</v>
      </c>
      <c r="H3671" s="8">
        <v>18.79</v>
      </c>
    </row>
    <row r="3672" spans="7:8" x14ac:dyDescent="0.45">
      <c r="G3672" s="9">
        <v>40701</v>
      </c>
      <c r="H3672" s="8">
        <v>18.07</v>
      </c>
    </row>
    <row r="3673" spans="7:8" x14ac:dyDescent="0.45">
      <c r="G3673" s="9">
        <v>40700</v>
      </c>
      <c r="H3673" s="8">
        <v>18.489999999999998</v>
      </c>
    </row>
    <row r="3674" spans="7:8" x14ac:dyDescent="0.45">
      <c r="G3674" s="9">
        <v>40697</v>
      </c>
      <c r="H3674" s="8">
        <v>17.95</v>
      </c>
    </row>
    <row r="3675" spans="7:8" x14ac:dyDescent="0.45">
      <c r="G3675" s="9">
        <v>40696</v>
      </c>
      <c r="H3675" s="8">
        <v>18.09</v>
      </c>
    </row>
    <row r="3676" spans="7:8" x14ac:dyDescent="0.45">
      <c r="G3676" s="9">
        <v>40695</v>
      </c>
      <c r="H3676" s="8">
        <v>18.3</v>
      </c>
    </row>
    <row r="3677" spans="7:8" x14ac:dyDescent="0.45">
      <c r="G3677" s="9">
        <v>40694</v>
      </c>
      <c r="H3677" s="8">
        <v>15.45</v>
      </c>
    </row>
    <row r="3678" spans="7:8" x14ac:dyDescent="0.45">
      <c r="G3678" s="9">
        <v>40690</v>
      </c>
      <c r="H3678" s="8">
        <v>15.98</v>
      </c>
    </row>
    <row r="3679" spans="7:8" x14ac:dyDescent="0.45">
      <c r="G3679" s="9">
        <v>40689</v>
      </c>
      <c r="H3679" s="8">
        <v>16.09</v>
      </c>
    </row>
    <row r="3680" spans="7:8" x14ac:dyDescent="0.45">
      <c r="G3680" s="9">
        <v>40688</v>
      </c>
      <c r="H3680" s="8">
        <v>17.07</v>
      </c>
    </row>
    <row r="3681" spans="7:8" x14ac:dyDescent="0.45">
      <c r="G3681" s="9">
        <v>40687</v>
      </c>
      <c r="H3681" s="8">
        <v>17.82</v>
      </c>
    </row>
    <row r="3682" spans="7:8" x14ac:dyDescent="0.45">
      <c r="G3682" s="9">
        <v>40686</v>
      </c>
      <c r="H3682" s="8">
        <v>18.27</v>
      </c>
    </row>
    <row r="3683" spans="7:8" x14ac:dyDescent="0.45">
      <c r="G3683" s="9">
        <v>40683</v>
      </c>
      <c r="H3683" s="8">
        <v>17.43</v>
      </c>
    </row>
    <row r="3684" spans="7:8" x14ac:dyDescent="0.45">
      <c r="G3684" s="9">
        <v>40682</v>
      </c>
      <c r="H3684" s="8">
        <v>15.52</v>
      </c>
    </row>
    <row r="3685" spans="7:8" x14ac:dyDescent="0.45">
      <c r="G3685" s="9">
        <v>40681</v>
      </c>
      <c r="H3685" s="8">
        <v>16.23</v>
      </c>
    </row>
    <row r="3686" spans="7:8" x14ac:dyDescent="0.45">
      <c r="G3686" s="9">
        <v>40680</v>
      </c>
      <c r="H3686" s="8">
        <v>17.55</v>
      </c>
    </row>
    <row r="3687" spans="7:8" x14ac:dyDescent="0.45">
      <c r="G3687" s="9">
        <v>40679</v>
      </c>
      <c r="H3687" s="8">
        <v>18.239999999999998</v>
      </c>
    </row>
    <row r="3688" spans="7:8" x14ac:dyDescent="0.45">
      <c r="G3688" s="9">
        <v>40676</v>
      </c>
      <c r="H3688" s="8">
        <v>17.07</v>
      </c>
    </row>
    <row r="3689" spans="7:8" x14ac:dyDescent="0.45">
      <c r="G3689" s="9">
        <v>40675</v>
      </c>
      <c r="H3689" s="8">
        <v>16.03</v>
      </c>
    </row>
    <row r="3690" spans="7:8" x14ac:dyDescent="0.45">
      <c r="G3690" s="9">
        <v>40674</v>
      </c>
      <c r="H3690" s="8">
        <v>16.95</v>
      </c>
    </row>
    <row r="3691" spans="7:8" x14ac:dyDescent="0.45">
      <c r="G3691" s="9">
        <v>40673</v>
      </c>
      <c r="H3691" s="8">
        <v>15.91</v>
      </c>
    </row>
    <row r="3692" spans="7:8" x14ac:dyDescent="0.45">
      <c r="G3692" s="9">
        <v>40672</v>
      </c>
      <c r="H3692" s="8">
        <v>17.16</v>
      </c>
    </row>
    <row r="3693" spans="7:8" x14ac:dyDescent="0.45">
      <c r="G3693" s="9">
        <v>40669</v>
      </c>
      <c r="H3693" s="8">
        <v>18.399999999999999</v>
      </c>
    </row>
    <row r="3694" spans="7:8" x14ac:dyDescent="0.45">
      <c r="G3694" s="9">
        <v>40668</v>
      </c>
      <c r="H3694" s="8">
        <v>18.2</v>
      </c>
    </row>
    <row r="3695" spans="7:8" x14ac:dyDescent="0.45">
      <c r="G3695" s="9">
        <v>40667</v>
      </c>
      <c r="H3695" s="8">
        <v>17.079999999999998</v>
      </c>
    </row>
    <row r="3696" spans="7:8" x14ac:dyDescent="0.45">
      <c r="G3696" s="9">
        <v>40666</v>
      </c>
      <c r="H3696" s="8">
        <v>16.7</v>
      </c>
    </row>
    <row r="3697" spans="7:8" x14ac:dyDescent="0.45">
      <c r="G3697" s="9">
        <v>40665</v>
      </c>
      <c r="H3697" s="8">
        <v>15.99</v>
      </c>
    </row>
    <row r="3698" spans="7:8" x14ac:dyDescent="0.45">
      <c r="G3698" s="9">
        <v>40662</v>
      </c>
      <c r="H3698" s="8">
        <v>14.75</v>
      </c>
    </row>
    <row r="3699" spans="7:8" x14ac:dyDescent="0.45">
      <c r="G3699" s="9">
        <v>40661</v>
      </c>
      <c r="H3699" s="8">
        <v>14.62</v>
      </c>
    </row>
    <row r="3700" spans="7:8" x14ac:dyDescent="0.45">
      <c r="G3700" s="9">
        <v>40660</v>
      </c>
      <c r="H3700" s="8">
        <v>15.35</v>
      </c>
    </row>
    <row r="3701" spans="7:8" x14ac:dyDescent="0.45">
      <c r="G3701" s="9">
        <v>40659</v>
      </c>
      <c r="H3701" s="8">
        <v>15.62</v>
      </c>
    </row>
    <row r="3702" spans="7:8" x14ac:dyDescent="0.45">
      <c r="G3702" s="9">
        <v>40658</v>
      </c>
      <c r="H3702" s="8">
        <v>15.77</v>
      </c>
    </row>
    <row r="3703" spans="7:8" x14ac:dyDescent="0.45">
      <c r="G3703" s="9">
        <v>40654</v>
      </c>
      <c r="H3703" s="8">
        <v>14.69</v>
      </c>
    </row>
    <row r="3704" spans="7:8" x14ac:dyDescent="0.45">
      <c r="G3704" s="9">
        <v>40653</v>
      </c>
      <c r="H3704" s="8">
        <v>15.07</v>
      </c>
    </row>
    <row r="3705" spans="7:8" x14ac:dyDescent="0.45">
      <c r="G3705" s="9">
        <v>40652</v>
      </c>
      <c r="H3705" s="8">
        <v>15.83</v>
      </c>
    </row>
    <row r="3706" spans="7:8" x14ac:dyDescent="0.45">
      <c r="G3706" s="9">
        <v>40651</v>
      </c>
      <c r="H3706" s="8">
        <v>16.96</v>
      </c>
    </row>
    <row r="3707" spans="7:8" x14ac:dyDescent="0.45">
      <c r="G3707" s="9">
        <v>40648</v>
      </c>
      <c r="H3707" s="8">
        <v>15.32</v>
      </c>
    </row>
    <row r="3708" spans="7:8" x14ac:dyDescent="0.45">
      <c r="G3708" s="9">
        <v>40647</v>
      </c>
      <c r="H3708" s="8">
        <v>16.27</v>
      </c>
    </row>
    <row r="3709" spans="7:8" x14ac:dyDescent="0.45">
      <c r="G3709" s="9">
        <v>40646</v>
      </c>
      <c r="H3709" s="8">
        <v>16.920000000000002</v>
      </c>
    </row>
    <row r="3710" spans="7:8" x14ac:dyDescent="0.45">
      <c r="G3710" s="9">
        <v>40645</v>
      </c>
      <c r="H3710" s="8">
        <v>17.09</v>
      </c>
    </row>
    <row r="3711" spans="7:8" x14ac:dyDescent="0.45">
      <c r="G3711" s="9">
        <v>40644</v>
      </c>
      <c r="H3711" s="8">
        <v>16.59</v>
      </c>
    </row>
    <row r="3712" spans="7:8" x14ac:dyDescent="0.45">
      <c r="G3712" s="9">
        <v>40641</v>
      </c>
      <c r="H3712" s="8">
        <v>17.87</v>
      </c>
    </row>
    <row r="3713" spans="7:8" x14ac:dyDescent="0.45">
      <c r="G3713" s="9">
        <v>40640</v>
      </c>
      <c r="H3713" s="8">
        <v>17.11</v>
      </c>
    </row>
    <row r="3714" spans="7:8" x14ac:dyDescent="0.45">
      <c r="G3714" s="9">
        <v>40639</v>
      </c>
      <c r="H3714" s="8">
        <v>16.899999999999999</v>
      </c>
    </row>
    <row r="3715" spans="7:8" x14ac:dyDescent="0.45">
      <c r="G3715" s="9">
        <v>40638</v>
      </c>
      <c r="H3715" s="8">
        <v>17.25</v>
      </c>
    </row>
    <row r="3716" spans="7:8" x14ac:dyDescent="0.45">
      <c r="G3716" s="9">
        <v>40637</v>
      </c>
      <c r="H3716" s="8">
        <v>17.5</v>
      </c>
    </row>
    <row r="3717" spans="7:8" x14ac:dyDescent="0.45">
      <c r="G3717" s="9">
        <v>40634</v>
      </c>
      <c r="H3717" s="8">
        <v>17.399999999999999</v>
      </c>
    </row>
    <row r="3718" spans="7:8" x14ac:dyDescent="0.45">
      <c r="G3718" s="9">
        <v>40633</v>
      </c>
      <c r="H3718" s="8">
        <v>17.739999999999998</v>
      </c>
    </row>
    <row r="3719" spans="7:8" x14ac:dyDescent="0.45">
      <c r="G3719" s="9">
        <v>40632</v>
      </c>
      <c r="H3719" s="8">
        <v>17.71</v>
      </c>
    </row>
    <row r="3720" spans="7:8" x14ac:dyDescent="0.45">
      <c r="G3720" s="9">
        <v>40631</v>
      </c>
      <c r="H3720" s="8">
        <v>18.16</v>
      </c>
    </row>
    <row r="3721" spans="7:8" x14ac:dyDescent="0.45">
      <c r="G3721" s="9">
        <v>40630</v>
      </c>
      <c r="H3721" s="8">
        <v>19.440000000000001</v>
      </c>
    </row>
    <row r="3722" spans="7:8" x14ac:dyDescent="0.45">
      <c r="G3722" s="9">
        <v>40627</v>
      </c>
      <c r="H3722" s="8">
        <v>17.91</v>
      </c>
    </row>
    <row r="3723" spans="7:8" x14ac:dyDescent="0.45">
      <c r="G3723" s="9">
        <v>40626</v>
      </c>
      <c r="H3723" s="8">
        <v>18</v>
      </c>
    </row>
    <row r="3724" spans="7:8" x14ac:dyDescent="0.45">
      <c r="G3724" s="9">
        <v>40625</v>
      </c>
      <c r="H3724" s="8">
        <v>19.170000000000002</v>
      </c>
    </row>
    <row r="3725" spans="7:8" x14ac:dyDescent="0.45">
      <c r="G3725" s="9">
        <v>40624</v>
      </c>
      <c r="H3725" s="8">
        <v>20.21</v>
      </c>
    </row>
    <row r="3726" spans="7:8" x14ac:dyDescent="0.45">
      <c r="G3726" s="9">
        <v>40623</v>
      </c>
      <c r="H3726" s="8">
        <v>20.61</v>
      </c>
    </row>
    <row r="3727" spans="7:8" x14ac:dyDescent="0.45">
      <c r="G3727" s="9">
        <v>40620</v>
      </c>
      <c r="H3727" s="8">
        <v>24.44</v>
      </c>
    </row>
    <row r="3728" spans="7:8" x14ac:dyDescent="0.45">
      <c r="G3728" s="9">
        <v>40619</v>
      </c>
      <c r="H3728" s="8">
        <v>26.37</v>
      </c>
    </row>
    <row r="3729" spans="7:8" x14ac:dyDescent="0.45">
      <c r="G3729" s="9">
        <v>40618</v>
      </c>
      <c r="H3729" s="8">
        <v>29.4</v>
      </c>
    </row>
    <row r="3730" spans="7:8" x14ac:dyDescent="0.45">
      <c r="G3730" s="9">
        <v>40617</v>
      </c>
      <c r="H3730" s="8">
        <v>24.32</v>
      </c>
    </row>
    <row r="3731" spans="7:8" x14ac:dyDescent="0.45">
      <c r="G3731" s="9">
        <v>40616</v>
      </c>
      <c r="H3731" s="8">
        <v>21.13</v>
      </c>
    </row>
    <row r="3732" spans="7:8" x14ac:dyDescent="0.45">
      <c r="G3732" s="9">
        <v>40613</v>
      </c>
      <c r="H3732" s="8">
        <v>20.079999999999998</v>
      </c>
    </row>
    <row r="3733" spans="7:8" x14ac:dyDescent="0.45">
      <c r="G3733" s="9">
        <v>40612</v>
      </c>
      <c r="H3733" s="8">
        <v>21.88</v>
      </c>
    </row>
    <row r="3734" spans="7:8" x14ac:dyDescent="0.45">
      <c r="G3734" s="9">
        <v>40611</v>
      </c>
      <c r="H3734" s="8">
        <v>20.22</v>
      </c>
    </row>
    <row r="3735" spans="7:8" x14ac:dyDescent="0.45">
      <c r="G3735" s="9">
        <v>40610</v>
      </c>
      <c r="H3735" s="8">
        <v>19.82</v>
      </c>
    </row>
    <row r="3736" spans="7:8" x14ac:dyDescent="0.45">
      <c r="G3736" s="9">
        <v>40609</v>
      </c>
      <c r="H3736" s="8">
        <v>20.66</v>
      </c>
    </row>
    <row r="3737" spans="7:8" x14ac:dyDescent="0.45">
      <c r="G3737" s="9">
        <v>40606</v>
      </c>
      <c r="H3737" s="8">
        <v>19.059999999999999</v>
      </c>
    </row>
    <row r="3738" spans="7:8" x14ac:dyDescent="0.45">
      <c r="G3738" s="9">
        <v>40605</v>
      </c>
      <c r="H3738" s="8">
        <v>18.600000000000001</v>
      </c>
    </row>
    <row r="3739" spans="7:8" x14ac:dyDescent="0.45">
      <c r="G3739" s="9">
        <v>40604</v>
      </c>
      <c r="H3739" s="8">
        <v>20.7</v>
      </c>
    </row>
    <row r="3740" spans="7:8" x14ac:dyDescent="0.45">
      <c r="G3740" s="9">
        <v>40603</v>
      </c>
      <c r="H3740" s="8">
        <v>21.01</v>
      </c>
    </row>
    <row r="3741" spans="7:8" x14ac:dyDescent="0.45">
      <c r="G3741" s="9">
        <v>40602</v>
      </c>
      <c r="H3741" s="8">
        <v>18.350000000000001</v>
      </c>
    </row>
    <row r="3742" spans="7:8" x14ac:dyDescent="0.45">
      <c r="G3742" s="9">
        <v>40599</v>
      </c>
      <c r="H3742" s="8">
        <v>19.22</v>
      </c>
    </row>
    <row r="3743" spans="7:8" x14ac:dyDescent="0.45">
      <c r="G3743" s="9">
        <v>40598</v>
      </c>
      <c r="H3743" s="8">
        <v>21.32</v>
      </c>
    </row>
    <row r="3744" spans="7:8" x14ac:dyDescent="0.45">
      <c r="G3744" s="9">
        <v>40597</v>
      </c>
      <c r="H3744" s="8">
        <v>22.13</v>
      </c>
    </row>
    <row r="3745" spans="7:8" x14ac:dyDescent="0.45">
      <c r="G3745" s="9">
        <v>40596</v>
      </c>
      <c r="H3745" s="8">
        <v>20.8</v>
      </c>
    </row>
    <row r="3746" spans="7:8" x14ac:dyDescent="0.45">
      <c r="G3746" s="9">
        <v>40592</v>
      </c>
      <c r="H3746" s="8">
        <v>16.43</v>
      </c>
    </row>
    <row r="3747" spans="7:8" x14ac:dyDescent="0.45">
      <c r="G3747" s="9">
        <v>40591</v>
      </c>
      <c r="H3747" s="8">
        <v>16.59</v>
      </c>
    </row>
    <row r="3748" spans="7:8" x14ac:dyDescent="0.45">
      <c r="G3748" s="9">
        <v>40590</v>
      </c>
      <c r="H3748" s="8">
        <v>16.72</v>
      </c>
    </row>
    <row r="3749" spans="7:8" x14ac:dyDescent="0.45">
      <c r="G3749" s="9">
        <v>40589</v>
      </c>
      <c r="H3749" s="8">
        <v>16.37</v>
      </c>
    </row>
    <row r="3750" spans="7:8" x14ac:dyDescent="0.45">
      <c r="G3750" s="9">
        <v>40588</v>
      </c>
      <c r="H3750" s="8">
        <v>15.95</v>
      </c>
    </row>
    <row r="3751" spans="7:8" x14ac:dyDescent="0.45">
      <c r="G3751" s="9">
        <v>40585</v>
      </c>
      <c r="H3751" s="8">
        <v>15.69</v>
      </c>
    </row>
    <row r="3752" spans="7:8" x14ac:dyDescent="0.45">
      <c r="G3752" s="9">
        <v>40584</v>
      </c>
      <c r="H3752" s="8">
        <v>16.09</v>
      </c>
    </row>
    <row r="3753" spans="7:8" x14ac:dyDescent="0.45">
      <c r="G3753" s="9">
        <v>40583</v>
      </c>
      <c r="H3753" s="8">
        <v>15.87</v>
      </c>
    </row>
    <row r="3754" spans="7:8" x14ac:dyDescent="0.45">
      <c r="G3754" s="9">
        <v>40582</v>
      </c>
      <c r="H3754" s="8">
        <v>15.81</v>
      </c>
    </row>
    <row r="3755" spans="7:8" x14ac:dyDescent="0.45">
      <c r="G3755" s="9">
        <v>40581</v>
      </c>
      <c r="H3755" s="8">
        <v>16.28</v>
      </c>
    </row>
    <row r="3756" spans="7:8" x14ac:dyDescent="0.45">
      <c r="G3756" s="9">
        <v>40578</v>
      </c>
      <c r="H3756" s="8">
        <v>15.93</v>
      </c>
    </row>
    <row r="3757" spans="7:8" x14ac:dyDescent="0.45">
      <c r="G3757" s="9">
        <v>40577</v>
      </c>
      <c r="H3757" s="8">
        <v>16.690000000000001</v>
      </c>
    </row>
    <row r="3758" spans="7:8" x14ac:dyDescent="0.45">
      <c r="G3758" s="9">
        <v>40576</v>
      </c>
      <c r="H3758" s="8">
        <v>17.3</v>
      </c>
    </row>
    <row r="3759" spans="7:8" x14ac:dyDescent="0.45">
      <c r="G3759" s="9">
        <v>40575</v>
      </c>
      <c r="H3759" s="8">
        <v>17.63</v>
      </c>
    </row>
    <row r="3760" spans="7:8" x14ac:dyDescent="0.45">
      <c r="G3760" s="9">
        <v>40574</v>
      </c>
      <c r="H3760" s="8">
        <v>19.53</v>
      </c>
    </row>
    <row r="3761" spans="7:8" x14ac:dyDescent="0.45">
      <c r="G3761" s="9">
        <v>40571</v>
      </c>
      <c r="H3761" s="8">
        <v>20.04</v>
      </c>
    </row>
    <row r="3762" spans="7:8" x14ac:dyDescent="0.45">
      <c r="G3762" s="9">
        <v>40570</v>
      </c>
      <c r="H3762" s="8">
        <v>16.149999999999999</v>
      </c>
    </row>
    <row r="3763" spans="7:8" x14ac:dyDescent="0.45">
      <c r="G3763" s="9">
        <v>40569</v>
      </c>
      <c r="H3763" s="8">
        <v>16.64</v>
      </c>
    </row>
    <row r="3764" spans="7:8" x14ac:dyDescent="0.45">
      <c r="G3764" s="9">
        <v>40568</v>
      </c>
      <c r="H3764" s="8">
        <v>17.59</v>
      </c>
    </row>
    <row r="3765" spans="7:8" x14ac:dyDescent="0.45">
      <c r="G3765" s="9">
        <v>40567</v>
      </c>
      <c r="H3765" s="8">
        <v>17.649999999999999</v>
      </c>
    </row>
    <row r="3766" spans="7:8" x14ac:dyDescent="0.45">
      <c r="G3766" s="9">
        <v>40564</v>
      </c>
      <c r="H3766" s="8">
        <v>18.47</v>
      </c>
    </row>
    <row r="3767" spans="7:8" x14ac:dyDescent="0.45">
      <c r="G3767" s="9">
        <v>40563</v>
      </c>
      <c r="H3767" s="8">
        <v>17.989999999999998</v>
      </c>
    </row>
    <row r="3768" spans="7:8" x14ac:dyDescent="0.45">
      <c r="G3768" s="9">
        <v>40562</v>
      </c>
      <c r="H3768" s="8">
        <v>17.309999999999999</v>
      </c>
    </row>
    <row r="3769" spans="7:8" x14ac:dyDescent="0.45">
      <c r="G3769" s="9">
        <v>40561</v>
      </c>
      <c r="H3769" s="8">
        <v>15.87</v>
      </c>
    </row>
    <row r="3770" spans="7:8" x14ac:dyDescent="0.45">
      <c r="G3770" s="9">
        <v>40557</v>
      </c>
      <c r="H3770" s="8">
        <v>15.46</v>
      </c>
    </row>
    <row r="3771" spans="7:8" x14ac:dyDescent="0.45">
      <c r="G3771" s="9">
        <v>40556</v>
      </c>
      <c r="H3771" s="8">
        <v>16.39</v>
      </c>
    </row>
    <row r="3772" spans="7:8" x14ac:dyDescent="0.45">
      <c r="G3772" s="9">
        <v>40555</v>
      </c>
      <c r="H3772" s="8">
        <v>16.239999999999998</v>
      </c>
    </row>
    <row r="3773" spans="7:8" x14ac:dyDescent="0.45">
      <c r="G3773" s="9">
        <v>40554</v>
      </c>
      <c r="H3773" s="8">
        <v>16.89</v>
      </c>
    </row>
    <row r="3774" spans="7:8" x14ac:dyDescent="0.45">
      <c r="G3774" s="9">
        <v>40553</v>
      </c>
      <c r="H3774" s="8">
        <v>17.54</v>
      </c>
    </row>
    <row r="3775" spans="7:8" x14ac:dyDescent="0.45">
      <c r="G3775" s="9">
        <v>40550</v>
      </c>
      <c r="H3775" s="8">
        <v>17.14</v>
      </c>
    </row>
    <row r="3776" spans="7:8" x14ac:dyDescent="0.45">
      <c r="G3776" s="9">
        <v>40549</v>
      </c>
      <c r="H3776" s="8">
        <v>17.399999999999999</v>
      </c>
    </row>
    <row r="3777" spans="7:8" x14ac:dyDescent="0.45">
      <c r="G3777" s="9">
        <v>40548</v>
      </c>
      <c r="H3777" s="8">
        <v>17.02</v>
      </c>
    </row>
    <row r="3778" spans="7:8" x14ac:dyDescent="0.45">
      <c r="G3778" s="9">
        <v>40547</v>
      </c>
      <c r="H3778" s="8">
        <v>17.38</v>
      </c>
    </row>
    <row r="3779" spans="7:8" x14ac:dyDescent="0.45">
      <c r="G3779" s="9">
        <v>40546</v>
      </c>
      <c r="H3779" s="8">
        <v>17.61</v>
      </c>
    </row>
    <row r="3780" spans="7:8" x14ac:dyDescent="0.45">
      <c r="G3780" s="9">
        <v>40543</v>
      </c>
      <c r="H3780" s="8">
        <v>17.75</v>
      </c>
    </row>
    <row r="3781" spans="7:8" x14ac:dyDescent="0.45">
      <c r="G3781" s="9">
        <v>40542</v>
      </c>
      <c r="H3781" s="8">
        <v>17.52</v>
      </c>
    </row>
    <row r="3782" spans="7:8" x14ac:dyDescent="0.45">
      <c r="G3782" s="9">
        <v>40541</v>
      </c>
      <c r="H3782" s="8">
        <v>17.28</v>
      </c>
    </row>
    <row r="3783" spans="7:8" x14ac:dyDescent="0.45">
      <c r="G3783" s="9">
        <v>40540</v>
      </c>
      <c r="H3783" s="8">
        <v>17.52</v>
      </c>
    </row>
    <row r="3784" spans="7:8" x14ac:dyDescent="0.45">
      <c r="G3784" s="9">
        <v>40539</v>
      </c>
      <c r="H3784" s="8">
        <v>17.670000000000002</v>
      </c>
    </row>
    <row r="3785" spans="7:8" x14ac:dyDescent="0.45">
      <c r="G3785" s="9">
        <v>40535</v>
      </c>
      <c r="H3785" s="8">
        <v>16.47</v>
      </c>
    </row>
    <row r="3786" spans="7:8" x14ac:dyDescent="0.45">
      <c r="G3786" s="9">
        <v>40534</v>
      </c>
      <c r="H3786" s="8">
        <v>15.45</v>
      </c>
    </row>
    <row r="3787" spans="7:8" x14ac:dyDescent="0.45">
      <c r="G3787" s="9">
        <v>40533</v>
      </c>
      <c r="H3787" s="8">
        <v>16.489999999999998</v>
      </c>
    </row>
    <row r="3788" spans="7:8" x14ac:dyDescent="0.45">
      <c r="G3788" s="9">
        <v>40532</v>
      </c>
      <c r="H3788" s="8">
        <v>16.41</v>
      </c>
    </row>
    <row r="3789" spans="7:8" x14ac:dyDescent="0.45">
      <c r="G3789" s="9">
        <v>40529</v>
      </c>
      <c r="H3789" s="8">
        <v>16.11</v>
      </c>
    </row>
    <row r="3790" spans="7:8" x14ac:dyDescent="0.45">
      <c r="G3790" s="9">
        <v>40528</v>
      </c>
      <c r="H3790" s="8">
        <v>17.39</v>
      </c>
    </row>
    <row r="3791" spans="7:8" x14ac:dyDescent="0.45">
      <c r="G3791" s="9">
        <v>40527</v>
      </c>
      <c r="H3791" s="8">
        <v>17.940000000000001</v>
      </c>
    </row>
    <row r="3792" spans="7:8" x14ac:dyDescent="0.45">
      <c r="G3792" s="9">
        <v>40526</v>
      </c>
      <c r="H3792" s="8">
        <v>17.61</v>
      </c>
    </row>
    <row r="3793" spans="7:8" x14ac:dyDescent="0.45">
      <c r="G3793" s="9">
        <v>40525</v>
      </c>
      <c r="H3793" s="8">
        <v>17.55</v>
      </c>
    </row>
    <row r="3794" spans="7:8" x14ac:dyDescent="0.45">
      <c r="G3794" s="9">
        <v>40522</v>
      </c>
      <c r="H3794" s="8">
        <v>17.61</v>
      </c>
    </row>
    <row r="3795" spans="7:8" x14ac:dyDescent="0.45">
      <c r="G3795" s="9">
        <v>40521</v>
      </c>
      <c r="H3795" s="8">
        <v>17.25</v>
      </c>
    </row>
    <row r="3796" spans="7:8" x14ac:dyDescent="0.45">
      <c r="G3796" s="9">
        <v>40520</v>
      </c>
      <c r="H3796" s="8">
        <v>17.739999999999998</v>
      </c>
    </row>
    <row r="3797" spans="7:8" x14ac:dyDescent="0.45">
      <c r="G3797" s="9">
        <v>40519</v>
      </c>
      <c r="H3797" s="8">
        <v>17.989999999999998</v>
      </c>
    </row>
    <row r="3798" spans="7:8" x14ac:dyDescent="0.45">
      <c r="G3798" s="9">
        <v>40518</v>
      </c>
      <c r="H3798" s="8">
        <v>18.02</v>
      </c>
    </row>
    <row r="3799" spans="7:8" x14ac:dyDescent="0.45">
      <c r="G3799" s="9">
        <v>40515</v>
      </c>
      <c r="H3799" s="8">
        <v>18.010000000000002</v>
      </c>
    </row>
    <row r="3800" spans="7:8" x14ac:dyDescent="0.45">
      <c r="G3800" s="9">
        <v>40514</v>
      </c>
      <c r="H3800" s="8">
        <v>19.39</v>
      </c>
    </row>
    <row r="3801" spans="7:8" x14ac:dyDescent="0.45">
      <c r="G3801" s="9">
        <v>40513</v>
      </c>
      <c r="H3801" s="8">
        <v>21.36</v>
      </c>
    </row>
    <row r="3802" spans="7:8" x14ac:dyDescent="0.45">
      <c r="G3802" s="9">
        <v>40512</v>
      </c>
      <c r="H3802" s="8">
        <v>23.54</v>
      </c>
    </row>
    <row r="3803" spans="7:8" x14ac:dyDescent="0.45">
      <c r="G3803" s="9">
        <v>40511</v>
      </c>
      <c r="H3803" s="8">
        <v>21.53</v>
      </c>
    </row>
    <row r="3804" spans="7:8" x14ac:dyDescent="0.45">
      <c r="G3804" s="9">
        <v>40508</v>
      </c>
      <c r="H3804" s="8">
        <v>22.22</v>
      </c>
    </row>
    <row r="3805" spans="7:8" x14ac:dyDescent="0.45">
      <c r="G3805" s="9">
        <v>40506</v>
      </c>
      <c r="H3805" s="8">
        <v>19.559999999999999</v>
      </c>
    </row>
    <row r="3806" spans="7:8" x14ac:dyDescent="0.45">
      <c r="G3806" s="9">
        <v>40505</v>
      </c>
      <c r="H3806" s="8">
        <v>20.63</v>
      </c>
    </row>
    <row r="3807" spans="7:8" x14ac:dyDescent="0.45">
      <c r="G3807" s="9">
        <v>40504</v>
      </c>
      <c r="H3807" s="8">
        <v>18.37</v>
      </c>
    </row>
    <row r="3808" spans="7:8" x14ac:dyDescent="0.45">
      <c r="G3808" s="9">
        <v>40501</v>
      </c>
      <c r="H3808" s="8">
        <v>18.04</v>
      </c>
    </row>
    <row r="3809" spans="7:8" x14ac:dyDescent="0.45">
      <c r="G3809" s="9">
        <v>40500</v>
      </c>
      <c r="H3809" s="8">
        <v>18.75</v>
      </c>
    </row>
    <row r="3810" spans="7:8" x14ac:dyDescent="0.45">
      <c r="G3810" s="9">
        <v>40499</v>
      </c>
      <c r="H3810" s="8">
        <v>21.76</v>
      </c>
    </row>
    <row r="3811" spans="7:8" x14ac:dyDescent="0.45">
      <c r="G3811" s="9">
        <v>40498</v>
      </c>
      <c r="H3811" s="8">
        <v>22.58</v>
      </c>
    </row>
    <row r="3812" spans="7:8" x14ac:dyDescent="0.45">
      <c r="G3812" s="9">
        <v>40497</v>
      </c>
      <c r="H3812" s="8">
        <v>20.2</v>
      </c>
    </row>
    <row r="3813" spans="7:8" x14ac:dyDescent="0.45">
      <c r="G3813" s="9">
        <v>40494</v>
      </c>
      <c r="H3813" s="8">
        <v>20.61</v>
      </c>
    </row>
    <row r="3814" spans="7:8" x14ac:dyDescent="0.45">
      <c r="G3814" s="9">
        <v>40493</v>
      </c>
      <c r="H3814" s="8">
        <v>18.64</v>
      </c>
    </row>
    <row r="3815" spans="7:8" x14ac:dyDescent="0.45">
      <c r="G3815" s="9">
        <v>40492</v>
      </c>
      <c r="H3815" s="8">
        <v>18.47</v>
      </c>
    </row>
    <row r="3816" spans="7:8" x14ac:dyDescent="0.45">
      <c r="G3816" s="9">
        <v>40491</v>
      </c>
      <c r="H3816" s="8">
        <v>19.079999999999998</v>
      </c>
    </row>
    <row r="3817" spans="7:8" x14ac:dyDescent="0.45">
      <c r="G3817" s="9">
        <v>40490</v>
      </c>
      <c r="H3817" s="8">
        <v>18.29</v>
      </c>
    </row>
    <row r="3818" spans="7:8" x14ac:dyDescent="0.45">
      <c r="G3818" s="9">
        <v>40487</v>
      </c>
      <c r="H3818" s="8">
        <v>18.260000000000002</v>
      </c>
    </row>
    <row r="3819" spans="7:8" x14ac:dyDescent="0.45">
      <c r="G3819" s="9">
        <v>40486</v>
      </c>
      <c r="H3819" s="8">
        <v>18.52</v>
      </c>
    </row>
    <row r="3820" spans="7:8" x14ac:dyDescent="0.45">
      <c r="G3820" s="9">
        <v>40485</v>
      </c>
      <c r="H3820" s="8">
        <v>19.559999999999999</v>
      </c>
    </row>
    <row r="3821" spans="7:8" x14ac:dyDescent="0.45">
      <c r="G3821" s="9">
        <v>40484</v>
      </c>
      <c r="H3821" s="8">
        <v>21.57</v>
      </c>
    </row>
    <row r="3822" spans="7:8" x14ac:dyDescent="0.45">
      <c r="G3822" s="9">
        <v>40483</v>
      </c>
      <c r="H3822" s="8">
        <v>21.83</v>
      </c>
    </row>
    <row r="3823" spans="7:8" x14ac:dyDescent="0.45">
      <c r="G3823" s="9">
        <v>40480</v>
      </c>
      <c r="H3823" s="8">
        <v>21.2</v>
      </c>
    </row>
    <row r="3824" spans="7:8" x14ac:dyDescent="0.45">
      <c r="G3824" s="9">
        <v>40479</v>
      </c>
      <c r="H3824" s="8">
        <v>20.88</v>
      </c>
    </row>
    <row r="3825" spans="7:8" x14ac:dyDescent="0.45">
      <c r="G3825" s="9">
        <v>40478</v>
      </c>
      <c r="H3825" s="8">
        <v>20.71</v>
      </c>
    </row>
    <row r="3826" spans="7:8" x14ac:dyDescent="0.45">
      <c r="G3826" s="9">
        <v>40477</v>
      </c>
      <c r="H3826" s="8">
        <v>20.22</v>
      </c>
    </row>
    <row r="3827" spans="7:8" x14ac:dyDescent="0.45">
      <c r="G3827" s="9">
        <v>40476</v>
      </c>
      <c r="H3827" s="8">
        <v>19.850000000000001</v>
      </c>
    </row>
    <row r="3828" spans="7:8" x14ac:dyDescent="0.45">
      <c r="G3828" s="9">
        <v>40473</v>
      </c>
      <c r="H3828" s="8">
        <v>18.78</v>
      </c>
    </row>
    <row r="3829" spans="7:8" x14ac:dyDescent="0.45">
      <c r="G3829" s="9">
        <v>40472</v>
      </c>
      <c r="H3829" s="8">
        <v>19.27</v>
      </c>
    </row>
    <row r="3830" spans="7:8" x14ac:dyDescent="0.45">
      <c r="G3830" s="9">
        <v>40471</v>
      </c>
      <c r="H3830" s="8">
        <v>19.79</v>
      </c>
    </row>
    <row r="3831" spans="7:8" x14ac:dyDescent="0.45">
      <c r="G3831" s="9">
        <v>40470</v>
      </c>
      <c r="H3831" s="8">
        <v>20.63</v>
      </c>
    </row>
    <row r="3832" spans="7:8" x14ac:dyDescent="0.45">
      <c r="G3832" s="9">
        <v>40469</v>
      </c>
      <c r="H3832" s="8">
        <v>19.09</v>
      </c>
    </row>
    <row r="3833" spans="7:8" x14ac:dyDescent="0.45">
      <c r="G3833" s="9">
        <v>40466</v>
      </c>
      <c r="H3833" s="8">
        <v>19.03</v>
      </c>
    </row>
    <row r="3834" spans="7:8" x14ac:dyDescent="0.45">
      <c r="G3834" s="9">
        <v>40465</v>
      </c>
      <c r="H3834" s="8">
        <v>19.88</v>
      </c>
    </row>
    <row r="3835" spans="7:8" x14ac:dyDescent="0.45">
      <c r="G3835" s="9">
        <v>40464</v>
      </c>
      <c r="H3835" s="8">
        <v>19.07</v>
      </c>
    </row>
    <row r="3836" spans="7:8" x14ac:dyDescent="0.45">
      <c r="G3836" s="9">
        <v>40463</v>
      </c>
      <c r="H3836" s="8">
        <v>18.93</v>
      </c>
    </row>
    <row r="3837" spans="7:8" x14ac:dyDescent="0.45">
      <c r="G3837" s="9">
        <v>40462</v>
      </c>
      <c r="H3837" s="8">
        <v>18.96</v>
      </c>
    </row>
    <row r="3838" spans="7:8" x14ac:dyDescent="0.45">
      <c r="G3838" s="9">
        <v>40459</v>
      </c>
      <c r="H3838" s="8">
        <v>20.71</v>
      </c>
    </row>
    <row r="3839" spans="7:8" x14ac:dyDescent="0.45">
      <c r="G3839" s="9">
        <v>40458</v>
      </c>
      <c r="H3839" s="8">
        <v>21.56</v>
      </c>
    </row>
    <row r="3840" spans="7:8" x14ac:dyDescent="0.45">
      <c r="G3840" s="9">
        <v>40457</v>
      </c>
      <c r="H3840" s="8">
        <v>21.49</v>
      </c>
    </row>
    <row r="3841" spans="7:8" x14ac:dyDescent="0.45">
      <c r="G3841" s="9">
        <v>40456</v>
      </c>
      <c r="H3841" s="8">
        <v>21.76</v>
      </c>
    </row>
    <row r="3842" spans="7:8" x14ac:dyDescent="0.45">
      <c r="G3842" s="9">
        <v>40455</v>
      </c>
      <c r="H3842" s="8">
        <v>23.53</v>
      </c>
    </row>
    <row r="3843" spans="7:8" x14ac:dyDescent="0.45">
      <c r="G3843" s="9">
        <v>40452</v>
      </c>
      <c r="H3843" s="8">
        <v>22.5</v>
      </c>
    </row>
    <row r="3844" spans="7:8" x14ac:dyDescent="0.45">
      <c r="G3844" s="9">
        <v>40451</v>
      </c>
      <c r="H3844" s="8">
        <v>23.7</v>
      </c>
    </row>
    <row r="3845" spans="7:8" x14ac:dyDescent="0.45">
      <c r="G3845" s="9">
        <v>40450</v>
      </c>
      <c r="H3845" s="8">
        <v>23.25</v>
      </c>
    </row>
    <row r="3846" spans="7:8" x14ac:dyDescent="0.45">
      <c r="G3846" s="9">
        <v>40449</v>
      </c>
      <c r="H3846" s="8">
        <v>22.6</v>
      </c>
    </row>
    <row r="3847" spans="7:8" x14ac:dyDescent="0.45">
      <c r="G3847" s="9">
        <v>40448</v>
      </c>
      <c r="H3847" s="8">
        <v>22.54</v>
      </c>
    </row>
    <row r="3848" spans="7:8" x14ac:dyDescent="0.45">
      <c r="G3848" s="9">
        <v>40445</v>
      </c>
      <c r="H3848" s="8">
        <v>21.71</v>
      </c>
    </row>
    <row r="3849" spans="7:8" x14ac:dyDescent="0.45">
      <c r="G3849" s="9">
        <v>40444</v>
      </c>
      <c r="H3849" s="8">
        <v>23.87</v>
      </c>
    </row>
    <row r="3850" spans="7:8" x14ac:dyDescent="0.45">
      <c r="G3850" s="9">
        <v>40443</v>
      </c>
      <c r="H3850" s="8">
        <v>22.51</v>
      </c>
    </row>
    <row r="3851" spans="7:8" x14ac:dyDescent="0.45">
      <c r="G3851" s="9">
        <v>40442</v>
      </c>
      <c r="H3851" s="8">
        <v>22.35</v>
      </c>
    </row>
    <row r="3852" spans="7:8" x14ac:dyDescent="0.45">
      <c r="G3852" s="9">
        <v>40441</v>
      </c>
      <c r="H3852" s="8">
        <v>21.5</v>
      </c>
    </row>
    <row r="3853" spans="7:8" x14ac:dyDescent="0.45">
      <c r="G3853" s="9">
        <v>40438</v>
      </c>
      <c r="H3853" s="8">
        <v>22.01</v>
      </c>
    </row>
    <row r="3854" spans="7:8" x14ac:dyDescent="0.45">
      <c r="G3854" s="9">
        <v>40437</v>
      </c>
      <c r="H3854" s="8">
        <v>21.72</v>
      </c>
    </row>
    <row r="3855" spans="7:8" x14ac:dyDescent="0.45">
      <c r="G3855" s="9">
        <v>40436</v>
      </c>
      <c r="H3855" s="8">
        <v>22.1</v>
      </c>
    </row>
    <row r="3856" spans="7:8" x14ac:dyDescent="0.45">
      <c r="G3856" s="9">
        <v>40435</v>
      </c>
      <c r="H3856" s="8">
        <v>21.56</v>
      </c>
    </row>
    <row r="3857" spans="7:8" x14ac:dyDescent="0.45">
      <c r="G3857" s="9">
        <v>40434</v>
      </c>
      <c r="H3857" s="8">
        <v>21.21</v>
      </c>
    </row>
    <row r="3858" spans="7:8" x14ac:dyDescent="0.45">
      <c r="G3858" s="9">
        <v>40431</v>
      </c>
      <c r="H3858" s="8">
        <v>21.99</v>
      </c>
    </row>
    <row r="3859" spans="7:8" x14ac:dyDescent="0.45">
      <c r="G3859" s="9">
        <v>40430</v>
      </c>
      <c r="H3859" s="8">
        <v>22.81</v>
      </c>
    </row>
    <row r="3860" spans="7:8" x14ac:dyDescent="0.45">
      <c r="G3860" s="9">
        <v>40429</v>
      </c>
      <c r="H3860" s="8">
        <v>23.25</v>
      </c>
    </row>
    <row r="3861" spans="7:8" x14ac:dyDescent="0.45">
      <c r="G3861" s="9">
        <v>40428</v>
      </c>
      <c r="H3861" s="8">
        <v>23.8</v>
      </c>
    </row>
    <row r="3862" spans="7:8" x14ac:dyDescent="0.45">
      <c r="G3862" s="9">
        <v>40424</v>
      </c>
      <c r="H3862" s="8">
        <v>21.31</v>
      </c>
    </row>
    <row r="3863" spans="7:8" x14ac:dyDescent="0.45">
      <c r="G3863" s="9">
        <v>40423</v>
      </c>
      <c r="H3863" s="8">
        <v>23.19</v>
      </c>
    </row>
    <row r="3864" spans="7:8" x14ac:dyDescent="0.45">
      <c r="G3864" s="9">
        <v>40422</v>
      </c>
      <c r="H3864" s="8">
        <v>23.89</v>
      </c>
    </row>
    <row r="3865" spans="7:8" x14ac:dyDescent="0.45">
      <c r="G3865" s="9">
        <v>40421</v>
      </c>
      <c r="H3865" s="8">
        <v>26.05</v>
      </c>
    </row>
    <row r="3866" spans="7:8" x14ac:dyDescent="0.45">
      <c r="G3866" s="9">
        <v>40420</v>
      </c>
      <c r="H3866" s="8">
        <v>27.21</v>
      </c>
    </row>
    <row r="3867" spans="7:8" x14ac:dyDescent="0.45">
      <c r="G3867" s="9">
        <v>40417</v>
      </c>
      <c r="H3867" s="8">
        <v>24.45</v>
      </c>
    </row>
    <row r="3868" spans="7:8" x14ac:dyDescent="0.45">
      <c r="G3868" s="9">
        <v>40416</v>
      </c>
      <c r="H3868" s="8">
        <v>27.37</v>
      </c>
    </row>
    <row r="3869" spans="7:8" x14ac:dyDescent="0.45">
      <c r="G3869" s="9">
        <v>40415</v>
      </c>
      <c r="H3869" s="8">
        <v>26.7</v>
      </c>
    </row>
    <row r="3870" spans="7:8" x14ac:dyDescent="0.45">
      <c r="G3870" s="9">
        <v>40414</v>
      </c>
      <c r="H3870" s="8">
        <v>27.46</v>
      </c>
    </row>
    <row r="3871" spans="7:8" x14ac:dyDescent="0.45">
      <c r="G3871" s="9">
        <v>40413</v>
      </c>
      <c r="H3871" s="8">
        <v>25.66</v>
      </c>
    </row>
    <row r="3872" spans="7:8" x14ac:dyDescent="0.45">
      <c r="G3872" s="9">
        <v>40410</v>
      </c>
      <c r="H3872" s="8">
        <v>25.49</v>
      </c>
    </row>
    <row r="3873" spans="7:8" x14ac:dyDescent="0.45">
      <c r="G3873" s="9">
        <v>40409</v>
      </c>
      <c r="H3873" s="8">
        <v>26.44</v>
      </c>
    </row>
    <row r="3874" spans="7:8" x14ac:dyDescent="0.45">
      <c r="G3874" s="9">
        <v>40408</v>
      </c>
      <c r="H3874" s="8">
        <v>24.59</v>
      </c>
    </row>
    <row r="3875" spans="7:8" x14ac:dyDescent="0.45">
      <c r="G3875" s="9">
        <v>40407</v>
      </c>
      <c r="H3875" s="8">
        <v>24.33</v>
      </c>
    </row>
    <row r="3876" spans="7:8" x14ac:dyDescent="0.45">
      <c r="G3876" s="9">
        <v>40406</v>
      </c>
      <c r="H3876" s="8">
        <v>26.1</v>
      </c>
    </row>
    <row r="3877" spans="7:8" x14ac:dyDescent="0.45">
      <c r="G3877" s="9">
        <v>40403</v>
      </c>
      <c r="H3877" s="8">
        <v>26.24</v>
      </c>
    </row>
    <row r="3878" spans="7:8" x14ac:dyDescent="0.45">
      <c r="G3878" s="9">
        <v>40402</v>
      </c>
      <c r="H3878" s="8">
        <v>25.73</v>
      </c>
    </row>
    <row r="3879" spans="7:8" x14ac:dyDescent="0.45">
      <c r="G3879" s="9">
        <v>40401</v>
      </c>
      <c r="H3879" s="8">
        <v>25.39</v>
      </c>
    </row>
    <row r="3880" spans="7:8" x14ac:dyDescent="0.45">
      <c r="G3880" s="9">
        <v>40400</v>
      </c>
      <c r="H3880" s="8">
        <v>22.37</v>
      </c>
    </row>
    <row r="3881" spans="7:8" x14ac:dyDescent="0.45">
      <c r="G3881" s="9">
        <v>40399</v>
      </c>
      <c r="H3881" s="8">
        <v>22.14</v>
      </c>
    </row>
    <row r="3882" spans="7:8" x14ac:dyDescent="0.45">
      <c r="G3882" s="9">
        <v>40396</v>
      </c>
      <c r="H3882" s="8">
        <v>21.74</v>
      </c>
    </row>
    <row r="3883" spans="7:8" x14ac:dyDescent="0.45">
      <c r="G3883" s="9">
        <v>40395</v>
      </c>
      <c r="H3883" s="8">
        <v>22.1</v>
      </c>
    </row>
    <row r="3884" spans="7:8" x14ac:dyDescent="0.45">
      <c r="G3884" s="9">
        <v>40394</v>
      </c>
      <c r="H3884" s="8">
        <v>22.21</v>
      </c>
    </row>
    <row r="3885" spans="7:8" x14ac:dyDescent="0.45">
      <c r="G3885" s="9">
        <v>40393</v>
      </c>
      <c r="H3885" s="8">
        <v>22.63</v>
      </c>
    </row>
    <row r="3886" spans="7:8" x14ac:dyDescent="0.45">
      <c r="G3886" s="9">
        <v>40392</v>
      </c>
      <c r="H3886" s="8">
        <v>22.01</v>
      </c>
    </row>
    <row r="3887" spans="7:8" x14ac:dyDescent="0.45">
      <c r="G3887" s="9">
        <v>40389</v>
      </c>
      <c r="H3887" s="8">
        <v>23.5</v>
      </c>
    </row>
    <row r="3888" spans="7:8" x14ac:dyDescent="0.45">
      <c r="G3888" s="9">
        <v>40388</v>
      </c>
      <c r="H3888" s="8">
        <v>24.13</v>
      </c>
    </row>
    <row r="3889" spans="7:8" x14ac:dyDescent="0.45">
      <c r="G3889" s="9">
        <v>40387</v>
      </c>
      <c r="H3889" s="8">
        <v>24.25</v>
      </c>
    </row>
    <row r="3890" spans="7:8" x14ac:dyDescent="0.45">
      <c r="G3890" s="9">
        <v>40386</v>
      </c>
      <c r="H3890" s="8">
        <v>23.19</v>
      </c>
    </row>
    <row r="3891" spans="7:8" x14ac:dyDescent="0.45">
      <c r="G3891" s="9">
        <v>40385</v>
      </c>
      <c r="H3891" s="8">
        <v>22.73</v>
      </c>
    </row>
    <row r="3892" spans="7:8" x14ac:dyDescent="0.45">
      <c r="G3892" s="9">
        <v>40382</v>
      </c>
      <c r="H3892" s="8">
        <v>23.47</v>
      </c>
    </row>
    <row r="3893" spans="7:8" x14ac:dyDescent="0.45">
      <c r="G3893" s="9">
        <v>40381</v>
      </c>
      <c r="H3893" s="8">
        <v>24.63</v>
      </c>
    </row>
    <row r="3894" spans="7:8" x14ac:dyDescent="0.45">
      <c r="G3894" s="9">
        <v>40380</v>
      </c>
      <c r="H3894" s="8">
        <v>25.64</v>
      </c>
    </row>
    <row r="3895" spans="7:8" x14ac:dyDescent="0.45">
      <c r="G3895" s="9">
        <v>40379</v>
      </c>
      <c r="H3895" s="8">
        <v>23.93</v>
      </c>
    </row>
    <row r="3896" spans="7:8" x14ac:dyDescent="0.45">
      <c r="G3896" s="9">
        <v>40378</v>
      </c>
      <c r="H3896" s="8">
        <v>25.97</v>
      </c>
    </row>
    <row r="3897" spans="7:8" x14ac:dyDescent="0.45">
      <c r="G3897" s="9">
        <v>40375</v>
      </c>
      <c r="H3897" s="8">
        <v>26.25</v>
      </c>
    </row>
    <row r="3898" spans="7:8" x14ac:dyDescent="0.45">
      <c r="G3898" s="9">
        <v>40374</v>
      </c>
      <c r="H3898" s="8">
        <v>25.14</v>
      </c>
    </row>
    <row r="3899" spans="7:8" x14ac:dyDescent="0.45">
      <c r="G3899" s="9">
        <v>40373</v>
      </c>
      <c r="H3899" s="8">
        <v>24.89</v>
      </c>
    </row>
    <row r="3900" spans="7:8" x14ac:dyDescent="0.45">
      <c r="G3900" s="9">
        <v>40372</v>
      </c>
      <c r="H3900" s="8">
        <v>24.56</v>
      </c>
    </row>
    <row r="3901" spans="7:8" x14ac:dyDescent="0.45">
      <c r="G3901" s="9">
        <v>40371</v>
      </c>
      <c r="H3901" s="8">
        <v>24.43</v>
      </c>
    </row>
    <row r="3902" spans="7:8" x14ac:dyDescent="0.45">
      <c r="G3902" s="9">
        <v>40368</v>
      </c>
      <c r="H3902" s="8">
        <v>24.98</v>
      </c>
    </row>
    <row r="3903" spans="7:8" x14ac:dyDescent="0.45">
      <c r="G3903" s="9">
        <v>40367</v>
      </c>
      <c r="H3903" s="8">
        <v>25.71</v>
      </c>
    </row>
    <row r="3904" spans="7:8" x14ac:dyDescent="0.45">
      <c r="G3904" s="9">
        <v>40366</v>
      </c>
      <c r="H3904" s="8">
        <v>26.84</v>
      </c>
    </row>
    <row r="3905" spans="7:8" x14ac:dyDescent="0.45">
      <c r="G3905" s="9">
        <v>40365</v>
      </c>
      <c r="H3905" s="8">
        <v>29.65</v>
      </c>
    </row>
    <row r="3906" spans="7:8" x14ac:dyDescent="0.45">
      <c r="G3906" s="9">
        <v>40361</v>
      </c>
      <c r="H3906" s="8">
        <v>30.12</v>
      </c>
    </row>
    <row r="3907" spans="7:8" x14ac:dyDescent="0.45">
      <c r="G3907" s="9">
        <v>40360</v>
      </c>
      <c r="H3907" s="8">
        <v>32.86</v>
      </c>
    </row>
    <row r="3908" spans="7:8" x14ac:dyDescent="0.45">
      <c r="G3908" s="9">
        <v>40359</v>
      </c>
      <c r="H3908" s="8">
        <v>34.54</v>
      </c>
    </row>
    <row r="3909" spans="7:8" x14ac:dyDescent="0.45">
      <c r="G3909" s="9">
        <v>40358</v>
      </c>
      <c r="H3909" s="8">
        <v>34.130000000000003</v>
      </c>
    </row>
    <row r="3910" spans="7:8" x14ac:dyDescent="0.45">
      <c r="G3910" s="9">
        <v>40357</v>
      </c>
      <c r="H3910" s="8">
        <v>29</v>
      </c>
    </row>
    <row r="3911" spans="7:8" x14ac:dyDescent="0.45">
      <c r="G3911" s="9">
        <v>40354</v>
      </c>
      <c r="H3911" s="8">
        <v>28.53</v>
      </c>
    </row>
    <row r="3912" spans="7:8" x14ac:dyDescent="0.45">
      <c r="G3912" s="9">
        <v>40353</v>
      </c>
      <c r="H3912" s="8">
        <v>29.74</v>
      </c>
    </row>
    <row r="3913" spans="7:8" x14ac:dyDescent="0.45">
      <c r="G3913" s="9">
        <v>40352</v>
      </c>
      <c r="H3913" s="8">
        <v>26.91</v>
      </c>
    </row>
    <row r="3914" spans="7:8" x14ac:dyDescent="0.45">
      <c r="G3914" s="9">
        <v>40351</v>
      </c>
      <c r="H3914" s="8">
        <v>27.05</v>
      </c>
    </row>
    <row r="3915" spans="7:8" x14ac:dyDescent="0.45">
      <c r="G3915" s="9">
        <v>40350</v>
      </c>
      <c r="H3915" s="8">
        <v>24.88</v>
      </c>
    </row>
    <row r="3916" spans="7:8" x14ac:dyDescent="0.45">
      <c r="G3916" s="9">
        <v>40347</v>
      </c>
      <c r="H3916" s="8">
        <v>23.95</v>
      </c>
    </row>
    <row r="3917" spans="7:8" x14ac:dyDescent="0.45">
      <c r="G3917" s="9">
        <v>40346</v>
      </c>
      <c r="H3917" s="8">
        <v>25.05</v>
      </c>
    </row>
    <row r="3918" spans="7:8" x14ac:dyDescent="0.45">
      <c r="G3918" s="9">
        <v>40345</v>
      </c>
      <c r="H3918" s="8">
        <v>25.92</v>
      </c>
    </row>
    <row r="3919" spans="7:8" x14ac:dyDescent="0.45">
      <c r="G3919" s="9">
        <v>40344</v>
      </c>
      <c r="H3919" s="8">
        <v>25.87</v>
      </c>
    </row>
    <row r="3920" spans="7:8" x14ac:dyDescent="0.45">
      <c r="G3920" s="9">
        <v>40343</v>
      </c>
      <c r="H3920" s="8">
        <v>28.58</v>
      </c>
    </row>
    <row r="3921" spans="7:8" x14ac:dyDescent="0.45">
      <c r="G3921" s="9">
        <v>40340</v>
      </c>
      <c r="H3921" s="8">
        <v>28.79</v>
      </c>
    </row>
    <row r="3922" spans="7:8" x14ac:dyDescent="0.45">
      <c r="G3922" s="9">
        <v>40339</v>
      </c>
      <c r="H3922" s="8">
        <v>30.57</v>
      </c>
    </row>
    <row r="3923" spans="7:8" x14ac:dyDescent="0.45">
      <c r="G3923" s="9">
        <v>40338</v>
      </c>
      <c r="H3923" s="8">
        <v>33.729999999999997</v>
      </c>
    </row>
    <row r="3924" spans="7:8" x14ac:dyDescent="0.45">
      <c r="G3924" s="9">
        <v>40337</v>
      </c>
      <c r="H3924" s="8">
        <v>33.700000000000003</v>
      </c>
    </row>
    <row r="3925" spans="7:8" x14ac:dyDescent="0.45">
      <c r="G3925" s="9">
        <v>40336</v>
      </c>
      <c r="H3925" s="8">
        <v>36.57</v>
      </c>
    </row>
    <row r="3926" spans="7:8" x14ac:dyDescent="0.45">
      <c r="G3926" s="9">
        <v>40333</v>
      </c>
      <c r="H3926" s="8">
        <v>35.479999999999997</v>
      </c>
    </row>
    <row r="3927" spans="7:8" x14ac:dyDescent="0.45">
      <c r="G3927" s="9">
        <v>40332</v>
      </c>
      <c r="H3927" s="8">
        <v>29.46</v>
      </c>
    </row>
    <row r="3928" spans="7:8" x14ac:dyDescent="0.45">
      <c r="G3928" s="9">
        <v>40331</v>
      </c>
      <c r="H3928" s="8">
        <v>30.17</v>
      </c>
    </row>
    <row r="3929" spans="7:8" x14ac:dyDescent="0.45">
      <c r="G3929" s="9">
        <v>40330</v>
      </c>
      <c r="H3929" s="8">
        <v>35.54</v>
      </c>
    </row>
    <row r="3930" spans="7:8" x14ac:dyDescent="0.45">
      <c r="G3930" s="9">
        <v>40326</v>
      </c>
      <c r="H3930" s="8">
        <v>32.07</v>
      </c>
    </row>
    <row r="3931" spans="7:8" x14ac:dyDescent="0.45">
      <c r="G3931" s="9">
        <v>40325</v>
      </c>
      <c r="H3931" s="8">
        <v>29.68</v>
      </c>
    </row>
    <row r="3932" spans="7:8" x14ac:dyDescent="0.45">
      <c r="G3932" s="9">
        <v>40324</v>
      </c>
      <c r="H3932" s="8">
        <v>35.020000000000003</v>
      </c>
    </row>
    <row r="3933" spans="7:8" x14ac:dyDescent="0.45">
      <c r="G3933" s="9">
        <v>40323</v>
      </c>
      <c r="H3933" s="8">
        <v>34.61</v>
      </c>
    </row>
    <row r="3934" spans="7:8" x14ac:dyDescent="0.45">
      <c r="G3934" s="9">
        <v>40322</v>
      </c>
      <c r="H3934" s="8">
        <v>38.32</v>
      </c>
    </row>
    <row r="3935" spans="7:8" x14ac:dyDescent="0.45">
      <c r="G3935" s="9">
        <v>40319</v>
      </c>
      <c r="H3935" s="8">
        <v>40.1</v>
      </c>
    </row>
    <row r="3936" spans="7:8" x14ac:dyDescent="0.45">
      <c r="G3936" s="9">
        <v>40318</v>
      </c>
      <c r="H3936" s="8">
        <v>45.79</v>
      </c>
    </row>
    <row r="3937" spans="7:8" x14ac:dyDescent="0.45">
      <c r="G3937" s="9">
        <v>40317</v>
      </c>
      <c r="H3937" s="8">
        <v>35.32</v>
      </c>
    </row>
    <row r="3938" spans="7:8" x14ac:dyDescent="0.45">
      <c r="G3938" s="9">
        <v>40316</v>
      </c>
      <c r="H3938" s="8">
        <v>33.549999999999997</v>
      </c>
    </row>
    <row r="3939" spans="7:8" x14ac:dyDescent="0.45">
      <c r="G3939" s="9">
        <v>40315</v>
      </c>
      <c r="H3939" s="8">
        <v>30.84</v>
      </c>
    </row>
    <row r="3940" spans="7:8" x14ac:dyDescent="0.45">
      <c r="G3940" s="9">
        <v>40312</v>
      </c>
      <c r="H3940" s="8">
        <v>31.24</v>
      </c>
    </row>
    <row r="3941" spans="7:8" x14ac:dyDescent="0.45">
      <c r="G3941" s="9">
        <v>40311</v>
      </c>
      <c r="H3941" s="8">
        <v>26.68</v>
      </c>
    </row>
    <row r="3942" spans="7:8" x14ac:dyDescent="0.45">
      <c r="G3942" s="9">
        <v>40310</v>
      </c>
      <c r="H3942" s="8">
        <v>25.52</v>
      </c>
    </row>
    <row r="3943" spans="7:8" x14ac:dyDescent="0.45">
      <c r="G3943" s="9">
        <v>40309</v>
      </c>
      <c r="H3943" s="8">
        <v>28.32</v>
      </c>
    </row>
    <row r="3944" spans="7:8" x14ac:dyDescent="0.45">
      <c r="G3944" s="9">
        <v>40308</v>
      </c>
      <c r="H3944" s="8">
        <v>28.84</v>
      </c>
    </row>
    <row r="3945" spans="7:8" x14ac:dyDescent="0.45">
      <c r="G3945" s="9">
        <v>40305</v>
      </c>
      <c r="H3945" s="8">
        <v>40.950000000000003</v>
      </c>
    </row>
    <row r="3946" spans="7:8" x14ac:dyDescent="0.45">
      <c r="G3946" s="9">
        <v>40304</v>
      </c>
      <c r="H3946" s="8">
        <v>32.799999999999997</v>
      </c>
    </row>
    <row r="3947" spans="7:8" x14ac:dyDescent="0.45">
      <c r="G3947" s="9">
        <v>40303</v>
      </c>
      <c r="H3947" s="8">
        <v>24.91</v>
      </c>
    </row>
    <row r="3948" spans="7:8" x14ac:dyDescent="0.45">
      <c r="G3948" s="9">
        <v>40302</v>
      </c>
      <c r="H3948" s="8">
        <v>23.84</v>
      </c>
    </row>
    <row r="3949" spans="7:8" x14ac:dyDescent="0.45">
      <c r="G3949" s="9">
        <v>40301</v>
      </c>
      <c r="H3949" s="8">
        <v>20.190000000000001</v>
      </c>
    </row>
    <row r="3950" spans="7:8" x14ac:dyDescent="0.45">
      <c r="G3950" s="9">
        <v>40298</v>
      </c>
      <c r="H3950" s="8">
        <v>22.05</v>
      </c>
    </row>
    <row r="3951" spans="7:8" x14ac:dyDescent="0.45">
      <c r="G3951" s="9">
        <v>40297</v>
      </c>
      <c r="H3951" s="8">
        <v>18.440000000000001</v>
      </c>
    </row>
    <row r="3952" spans="7:8" x14ac:dyDescent="0.45">
      <c r="G3952" s="9">
        <v>40296</v>
      </c>
      <c r="H3952" s="8">
        <v>21.08</v>
      </c>
    </row>
    <row r="3953" spans="7:8" x14ac:dyDescent="0.45">
      <c r="G3953" s="9">
        <v>40295</v>
      </c>
      <c r="H3953" s="8">
        <v>22.81</v>
      </c>
    </row>
    <row r="3954" spans="7:8" x14ac:dyDescent="0.45">
      <c r="G3954" s="9">
        <v>40294</v>
      </c>
      <c r="H3954" s="8">
        <v>17.47</v>
      </c>
    </row>
    <row r="3955" spans="7:8" x14ac:dyDescent="0.45">
      <c r="G3955" s="9">
        <v>40291</v>
      </c>
      <c r="H3955" s="8">
        <v>16.62</v>
      </c>
    </row>
    <row r="3956" spans="7:8" x14ac:dyDescent="0.45">
      <c r="G3956" s="9">
        <v>40290</v>
      </c>
      <c r="H3956" s="8">
        <v>16.47</v>
      </c>
    </row>
    <row r="3957" spans="7:8" x14ac:dyDescent="0.45">
      <c r="G3957" s="9">
        <v>40289</v>
      </c>
      <c r="H3957" s="8">
        <v>16.32</v>
      </c>
    </row>
    <row r="3958" spans="7:8" x14ac:dyDescent="0.45">
      <c r="G3958" s="9">
        <v>40288</v>
      </c>
      <c r="H3958" s="8">
        <v>15.73</v>
      </c>
    </row>
    <row r="3959" spans="7:8" x14ac:dyDescent="0.45">
      <c r="G3959" s="9">
        <v>40287</v>
      </c>
      <c r="H3959" s="8">
        <v>17.34</v>
      </c>
    </row>
    <row r="3960" spans="7:8" x14ac:dyDescent="0.45">
      <c r="G3960" s="9">
        <v>40284</v>
      </c>
      <c r="H3960" s="8">
        <v>18.36</v>
      </c>
    </row>
    <row r="3961" spans="7:8" x14ac:dyDescent="0.45">
      <c r="G3961" s="9">
        <v>40283</v>
      </c>
      <c r="H3961" s="8">
        <v>15.89</v>
      </c>
    </row>
    <row r="3962" spans="7:8" x14ac:dyDescent="0.45">
      <c r="G3962" s="9">
        <v>40282</v>
      </c>
      <c r="H3962" s="8">
        <v>15.59</v>
      </c>
    </row>
    <row r="3963" spans="7:8" x14ac:dyDescent="0.45">
      <c r="G3963" s="9">
        <v>40281</v>
      </c>
      <c r="H3963" s="8">
        <v>16.2</v>
      </c>
    </row>
    <row r="3964" spans="7:8" x14ac:dyDescent="0.45">
      <c r="G3964" s="9">
        <v>40280</v>
      </c>
      <c r="H3964" s="8">
        <v>15.58</v>
      </c>
    </row>
    <row r="3965" spans="7:8" x14ac:dyDescent="0.45">
      <c r="G3965" s="9">
        <v>40277</v>
      </c>
      <c r="H3965" s="8">
        <v>16.14</v>
      </c>
    </row>
    <row r="3966" spans="7:8" x14ac:dyDescent="0.45">
      <c r="G3966" s="9">
        <v>40276</v>
      </c>
      <c r="H3966" s="8">
        <v>16.48</v>
      </c>
    </row>
    <row r="3967" spans="7:8" x14ac:dyDescent="0.45">
      <c r="G3967" s="9">
        <v>40275</v>
      </c>
      <c r="H3967" s="8">
        <v>16.62</v>
      </c>
    </row>
    <row r="3968" spans="7:8" x14ac:dyDescent="0.45">
      <c r="G3968" s="9">
        <v>40274</v>
      </c>
      <c r="H3968" s="8">
        <v>16.23</v>
      </c>
    </row>
    <row r="3969" spans="7:8" x14ac:dyDescent="0.45">
      <c r="G3969" s="9">
        <v>40273</v>
      </c>
      <c r="H3969" s="8">
        <v>17.02</v>
      </c>
    </row>
    <row r="3970" spans="7:8" x14ac:dyDescent="0.45">
      <c r="G3970" s="9">
        <v>40269</v>
      </c>
      <c r="H3970" s="8">
        <v>17.47</v>
      </c>
    </row>
    <row r="3971" spans="7:8" x14ac:dyDescent="0.45">
      <c r="G3971" s="9">
        <v>40268</v>
      </c>
      <c r="H3971" s="8">
        <v>17.59</v>
      </c>
    </row>
    <row r="3972" spans="7:8" x14ac:dyDescent="0.45">
      <c r="G3972" s="9">
        <v>40267</v>
      </c>
      <c r="H3972" s="8">
        <v>17.13</v>
      </c>
    </row>
    <row r="3973" spans="7:8" x14ac:dyDescent="0.45">
      <c r="G3973" s="9">
        <v>40266</v>
      </c>
      <c r="H3973" s="8">
        <v>17.59</v>
      </c>
    </row>
    <row r="3974" spans="7:8" x14ac:dyDescent="0.45">
      <c r="G3974" s="9">
        <v>40263</v>
      </c>
      <c r="H3974" s="8">
        <v>17.77</v>
      </c>
    </row>
    <row r="3975" spans="7:8" x14ac:dyDescent="0.45">
      <c r="G3975" s="9">
        <v>40262</v>
      </c>
      <c r="H3975" s="8">
        <v>18.399999999999999</v>
      </c>
    </row>
    <row r="3976" spans="7:8" x14ac:dyDescent="0.45">
      <c r="G3976" s="9">
        <v>40261</v>
      </c>
      <c r="H3976" s="8">
        <v>17.55</v>
      </c>
    </row>
    <row r="3977" spans="7:8" x14ac:dyDescent="0.45">
      <c r="G3977" s="9">
        <v>40260</v>
      </c>
      <c r="H3977" s="8">
        <v>16.350000000000001</v>
      </c>
    </row>
    <row r="3978" spans="7:8" x14ac:dyDescent="0.45">
      <c r="G3978" s="9">
        <v>40259</v>
      </c>
      <c r="H3978" s="8">
        <v>16.87</v>
      </c>
    </row>
    <row r="3979" spans="7:8" x14ac:dyDescent="0.45">
      <c r="G3979" s="9">
        <v>40256</v>
      </c>
      <c r="H3979" s="8">
        <v>16.97</v>
      </c>
    </row>
    <row r="3980" spans="7:8" x14ac:dyDescent="0.45">
      <c r="G3980" s="9">
        <v>40255</v>
      </c>
      <c r="H3980" s="8">
        <v>16.62</v>
      </c>
    </row>
    <row r="3981" spans="7:8" x14ac:dyDescent="0.45">
      <c r="G3981" s="9">
        <v>40254</v>
      </c>
      <c r="H3981" s="8">
        <v>16.91</v>
      </c>
    </row>
    <row r="3982" spans="7:8" x14ac:dyDescent="0.45">
      <c r="G3982" s="9">
        <v>40253</v>
      </c>
      <c r="H3982" s="8">
        <v>17.690000000000001</v>
      </c>
    </row>
    <row r="3983" spans="7:8" x14ac:dyDescent="0.45">
      <c r="G3983" s="9">
        <v>40252</v>
      </c>
      <c r="H3983" s="8">
        <v>18</v>
      </c>
    </row>
    <row r="3984" spans="7:8" x14ac:dyDescent="0.45">
      <c r="G3984" s="9">
        <v>40249</v>
      </c>
      <c r="H3984" s="8">
        <v>17.579999999999998</v>
      </c>
    </row>
    <row r="3985" spans="7:8" x14ac:dyDescent="0.45">
      <c r="G3985" s="9">
        <v>40248</v>
      </c>
      <c r="H3985" s="8">
        <v>18.059999999999999</v>
      </c>
    </row>
    <row r="3986" spans="7:8" x14ac:dyDescent="0.45">
      <c r="G3986" s="9">
        <v>40247</v>
      </c>
      <c r="H3986" s="8">
        <v>18.57</v>
      </c>
    </row>
    <row r="3987" spans="7:8" x14ac:dyDescent="0.45">
      <c r="G3987" s="9">
        <v>40246</v>
      </c>
      <c r="H3987" s="8">
        <v>17.920000000000002</v>
      </c>
    </row>
    <row r="3988" spans="7:8" x14ac:dyDescent="0.45">
      <c r="G3988" s="9">
        <v>40245</v>
      </c>
      <c r="H3988" s="8">
        <v>17.79</v>
      </c>
    </row>
    <row r="3989" spans="7:8" x14ac:dyDescent="0.45">
      <c r="G3989" s="9">
        <v>40242</v>
      </c>
      <c r="H3989" s="8">
        <v>17.420000000000002</v>
      </c>
    </row>
    <row r="3990" spans="7:8" x14ac:dyDescent="0.45">
      <c r="G3990" s="9">
        <v>40241</v>
      </c>
      <c r="H3990" s="8">
        <v>18.72</v>
      </c>
    </row>
    <row r="3991" spans="7:8" x14ac:dyDescent="0.45">
      <c r="G3991" s="9">
        <v>40240</v>
      </c>
      <c r="H3991" s="8">
        <v>18.829999999999998</v>
      </c>
    </row>
    <row r="3992" spans="7:8" x14ac:dyDescent="0.45">
      <c r="G3992" s="9">
        <v>40239</v>
      </c>
      <c r="H3992" s="8">
        <v>19.059999999999999</v>
      </c>
    </row>
    <row r="3993" spans="7:8" x14ac:dyDescent="0.45">
      <c r="G3993" s="9">
        <v>40238</v>
      </c>
      <c r="H3993" s="8">
        <v>19.260000000000002</v>
      </c>
    </row>
    <row r="3994" spans="7:8" x14ac:dyDescent="0.45">
      <c r="G3994" s="9">
        <v>40235</v>
      </c>
      <c r="H3994" s="8">
        <v>19.5</v>
      </c>
    </row>
    <row r="3995" spans="7:8" x14ac:dyDescent="0.45">
      <c r="G3995" s="9">
        <v>40234</v>
      </c>
      <c r="H3995" s="8">
        <v>20.100000000000001</v>
      </c>
    </row>
    <row r="3996" spans="7:8" x14ac:dyDescent="0.45">
      <c r="G3996" s="9">
        <v>40233</v>
      </c>
      <c r="H3996" s="8">
        <v>20.27</v>
      </c>
    </row>
    <row r="3997" spans="7:8" x14ac:dyDescent="0.45">
      <c r="G3997" s="9">
        <v>40232</v>
      </c>
      <c r="H3997" s="8">
        <v>21.37</v>
      </c>
    </row>
    <row r="3998" spans="7:8" x14ac:dyDescent="0.45">
      <c r="G3998" s="9">
        <v>40231</v>
      </c>
      <c r="H3998" s="8">
        <v>19.940000000000001</v>
      </c>
    </row>
    <row r="3999" spans="7:8" x14ac:dyDescent="0.45">
      <c r="G3999" s="9">
        <v>40228</v>
      </c>
      <c r="H3999" s="8">
        <v>20.02</v>
      </c>
    </row>
    <row r="4000" spans="7:8" x14ac:dyDescent="0.45">
      <c r="G4000" s="9">
        <v>40227</v>
      </c>
      <c r="H4000" s="8">
        <v>20.63</v>
      </c>
    </row>
    <row r="4001" spans="7:8" x14ac:dyDescent="0.45">
      <c r="G4001" s="9">
        <v>40226</v>
      </c>
      <c r="H4001" s="8">
        <v>21.72</v>
      </c>
    </row>
    <row r="4002" spans="7:8" x14ac:dyDescent="0.45">
      <c r="G4002" s="9">
        <v>40225</v>
      </c>
      <c r="H4002" s="8">
        <v>22.25</v>
      </c>
    </row>
    <row r="4003" spans="7:8" x14ac:dyDescent="0.45">
      <c r="G4003" s="9">
        <v>40221</v>
      </c>
      <c r="H4003" s="8">
        <v>22.73</v>
      </c>
    </row>
    <row r="4004" spans="7:8" x14ac:dyDescent="0.45">
      <c r="G4004" s="9">
        <v>40220</v>
      </c>
      <c r="H4004" s="8">
        <v>23.96</v>
      </c>
    </row>
    <row r="4005" spans="7:8" x14ac:dyDescent="0.45">
      <c r="G4005" s="9">
        <v>40219</v>
      </c>
      <c r="H4005" s="8">
        <v>25.4</v>
      </c>
    </row>
    <row r="4006" spans="7:8" x14ac:dyDescent="0.45">
      <c r="G4006" s="9">
        <v>40218</v>
      </c>
      <c r="H4006" s="8">
        <v>26</v>
      </c>
    </row>
    <row r="4007" spans="7:8" x14ac:dyDescent="0.45">
      <c r="G4007" s="9">
        <v>40217</v>
      </c>
      <c r="H4007" s="8">
        <v>26.51</v>
      </c>
    </row>
    <row r="4008" spans="7:8" x14ac:dyDescent="0.45">
      <c r="G4008" s="9">
        <v>40214</v>
      </c>
      <c r="H4008" s="8">
        <v>26.11</v>
      </c>
    </row>
    <row r="4009" spans="7:8" x14ac:dyDescent="0.45">
      <c r="G4009" s="9">
        <v>40213</v>
      </c>
      <c r="H4009" s="8">
        <v>26.08</v>
      </c>
    </row>
    <row r="4010" spans="7:8" x14ac:dyDescent="0.45">
      <c r="G4010" s="9">
        <v>40212</v>
      </c>
      <c r="H4010" s="8">
        <v>21.6</v>
      </c>
    </row>
    <row r="4011" spans="7:8" x14ac:dyDescent="0.45">
      <c r="G4011" s="9">
        <v>40211</v>
      </c>
      <c r="H4011" s="8">
        <v>21.48</v>
      </c>
    </row>
    <row r="4012" spans="7:8" x14ac:dyDescent="0.45">
      <c r="G4012" s="9">
        <v>40210</v>
      </c>
      <c r="H4012" s="8">
        <v>22.59</v>
      </c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F726F-D068-4E53-BAFB-F0C9489307AE}">
  <dimension ref="A1:E1195"/>
  <sheetViews>
    <sheetView workbookViewId="0">
      <selection activeCell="B4" sqref="B4:E4"/>
    </sheetView>
  </sheetViews>
  <sheetFormatPr defaultRowHeight="14.25" x14ac:dyDescent="0.45"/>
  <sheetData>
    <row r="1" spans="1:5" x14ac:dyDescent="0.45">
      <c r="A1" t="s">
        <v>454</v>
      </c>
      <c r="B1" t="s">
        <v>455</v>
      </c>
    </row>
    <row r="2" spans="1:5" x14ac:dyDescent="0.45">
      <c r="A2" t="s">
        <v>456</v>
      </c>
    </row>
    <row r="4" spans="1:5" x14ac:dyDescent="0.45">
      <c r="A4" t="s">
        <v>461</v>
      </c>
      <c r="B4" t="s">
        <v>457</v>
      </c>
      <c r="C4" t="s">
        <v>458</v>
      </c>
      <c r="D4" t="s">
        <v>459</v>
      </c>
      <c r="E4" t="s">
        <v>460</v>
      </c>
    </row>
    <row r="5" spans="1:5" x14ac:dyDescent="0.45">
      <c r="A5">
        <v>202509</v>
      </c>
      <c r="B5">
        <v>3.39</v>
      </c>
      <c r="C5">
        <v>-1.84</v>
      </c>
      <c r="D5">
        <v>-1.05</v>
      </c>
      <c r="E5">
        <v>0.33</v>
      </c>
    </row>
    <row r="6" spans="1:5" x14ac:dyDescent="0.45">
      <c r="A6">
        <v>202508</v>
      </c>
      <c r="B6">
        <v>1.84</v>
      </c>
      <c r="C6">
        <v>3.87</v>
      </c>
      <c r="D6">
        <v>4.42</v>
      </c>
      <c r="E6">
        <v>0.38</v>
      </c>
    </row>
    <row r="7" spans="1:5" x14ac:dyDescent="0.45">
      <c r="A7">
        <v>202507</v>
      </c>
      <c r="B7">
        <v>1.98</v>
      </c>
      <c r="C7">
        <v>0.27</v>
      </c>
      <c r="D7">
        <v>-1.27</v>
      </c>
      <c r="E7">
        <v>0.34</v>
      </c>
    </row>
    <row r="8" spans="1:5" x14ac:dyDescent="0.45">
      <c r="A8">
        <v>202506</v>
      </c>
      <c r="B8">
        <v>4.8600000000000003</v>
      </c>
      <c r="C8">
        <v>0.83</v>
      </c>
      <c r="D8">
        <v>-1.6</v>
      </c>
      <c r="E8">
        <v>0.34</v>
      </c>
    </row>
    <row r="9" spans="1:5" x14ac:dyDescent="0.45">
      <c r="A9">
        <v>202505</v>
      </c>
      <c r="B9">
        <v>6.06</v>
      </c>
      <c r="C9">
        <v>0.7</v>
      </c>
      <c r="D9">
        <v>-2.88</v>
      </c>
      <c r="E9">
        <v>0.38</v>
      </c>
    </row>
    <row r="10" spans="1:5" x14ac:dyDescent="0.45">
      <c r="A10">
        <v>202504</v>
      </c>
      <c r="B10">
        <v>-0.84</v>
      </c>
      <c r="C10">
        <v>-0.59</v>
      </c>
      <c r="D10">
        <v>-3.4</v>
      </c>
      <c r="E10">
        <v>0.35</v>
      </c>
    </row>
    <row r="11" spans="1:5" x14ac:dyDescent="0.45">
      <c r="A11">
        <v>202503</v>
      </c>
      <c r="B11">
        <v>-6.39</v>
      </c>
      <c r="C11">
        <v>-2.76</v>
      </c>
      <c r="D11">
        <v>2.9</v>
      </c>
      <c r="E11">
        <v>0.34</v>
      </c>
    </row>
    <row r="12" spans="1:5" x14ac:dyDescent="0.45">
      <c r="A12">
        <v>202502</v>
      </c>
      <c r="B12">
        <v>-2.44</v>
      </c>
      <c r="C12">
        <v>-5.79</v>
      </c>
      <c r="D12">
        <v>4.91</v>
      </c>
      <c r="E12">
        <v>0.33</v>
      </c>
    </row>
    <row r="13" spans="1:5" x14ac:dyDescent="0.45">
      <c r="A13">
        <v>202501</v>
      </c>
      <c r="B13">
        <v>2.8</v>
      </c>
      <c r="C13">
        <v>-1.97</v>
      </c>
      <c r="D13">
        <v>1.63</v>
      </c>
      <c r="E13">
        <v>0.37</v>
      </c>
    </row>
    <row r="14" spans="1:5" x14ac:dyDescent="0.45">
      <c r="A14">
        <v>202412</v>
      </c>
      <c r="B14">
        <v>-3.17</v>
      </c>
      <c r="C14">
        <v>-2.71</v>
      </c>
      <c r="D14">
        <v>-3</v>
      </c>
      <c r="E14">
        <v>0.37</v>
      </c>
    </row>
    <row r="15" spans="1:5" x14ac:dyDescent="0.45">
      <c r="A15">
        <v>202411</v>
      </c>
      <c r="B15">
        <v>6.49</v>
      </c>
      <c r="C15">
        <v>4.46</v>
      </c>
      <c r="D15">
        <v>0.15</v>
      </c>
      <c r="E15">
        <v>0.4</v>
      </c>
    </row>
    <row r="16" spans="1:5" x14ac:dyDescent="0.45">
      <c r="A16">
        <v>202410</v>
      </c>
      <c r="B16">
        <v>-1</v>
      </c>
      <c r="C16">
        <v>-0.99</v>
      </c>
      <c r="D16">
        <v>0.86</v>
      </c>
      <c r="E16">
        <v>0.39</v>
      </c>
    </row>
    <row r="17" spans="1:5" x14ac:dyDescent="0.45">
      <c r="A17">
        <v>202409</v>
      </c>
      <c r="B17">
        <v>1.72</v>
      </c>
      <c r="C17">
        <v>-0.13</v>
      </c>
      <c r="D17">
        <v>-2.77</v>
      </c>
      <c r="E17">
        <v>0.4</v>
      </c>
    </row>
    <row r="18" spans="1:5" x14ac:dyDescent="0.45">
      <c r="A18">
        <v>202408</v>
      </c>
      <c r="B18">
        <v>1.6</v>
      </c>
      <c r="C18">
        <v>-3.49</v>
      </c>
      <c r="D18">
        <v>-1.1000000000000001</v>
      </c>
      <c r="E18">
        <v>0.48</v>
      </c>
    </row>
    <row r="19" spans="1:5" x14ac:dyDescent="0.45">
      <c r="A19">
        <v>202407</v>
      </c>
      <c r="B19">
        <v>1.22</v>
      </c>
      <c r="C19">
        <v>6.81</v>
      </c>
      <c r="D19">
        <v>5.62</v>
      </c>
      <c r="E19">
        <v>0.45</v>
      </c>
    </row>
    <row r="20" spans="1:5" x14ac:dyDescent="0.45">
      <c r="A20">
        <v>202406</v>
      </c>
      <c r="B20">
        <v>2.8</v>
      </c>
      <c r="C20">
        <v>-3</v>
      </c>
      <c r="D20">
        <v>-3.36</v>
      </c>
      <c r="E20">
        <v>0.41</v>
      </c>
    </row>
    <row r="21" spans="1:5" x14ac:dyDescent="0.45">
      <c r="A21">
        <v>202405</v>
      </c>
      <c r="B21">
        <v>4.33</v>
      </c>
      <c r="C21">
        <v>0.55000000000000004</v>
      </c>
      <c r="D21">
        <v>-1.31</v>
      </c>
      <c r="E21">
        <v>0.44</v>
      </c>
    </row>
    <row r="22" spans="1:5" x14ac:dyDescent="0.45">
      <c r="A22">
        <v>202404</v>
      </c>
      <c r="B22">
        <v>-4.6500000000000004</v>
      </c>
      <c r="C22">
        <v>-2.37</v>
      </c>
      <c r="D22">
        <v>-0.45</v>
      </c>
      <c r="E22">
        <v>0.47</v>
      </c>
    </row>
    <row r="23" spans="1:5" x14ac:dyDescent="0.45">
      <c r="A23">
        <v>202403</v>
      </c>
      <c r="B23">
        <v>2.84</v>
      </c>
      <c r="C23">
        <v>-2.5</v>
      </c>
      <c r="D23">
        <v>4.16</v>
      </c>
      <c r="E23">
        <v>0.43</v>
      </c>
    </row>
    <row r="24" spans="1:5" x14ac:dyDescent="0.45">
      <c r="A24">
        <v>202402</v>
      </c>
      <c r="B24">
        <v>5.07</v>
      </c>
      <c r="C24">
        <v>-0.24</v>
      </c>
      <c r="D24">
        <v>-3.43</v>
      </c>
      <c r="E24">
        <v>0.42</v>
      </c>
    </row>
    <row r="25" spans="1:5" x14ac:dyDescent="0.45">
      <c r="A25">
        <v>202401</v>
      </c>
      <c r="B25">
        <v>0.73</v>
      </c>
      <c r="C25">
        <v>-5.07</v>
      </c>
      <c r="D25">
        <v>-2.38</v>
      </c>
      <c r="E25">
        <v>0.47</v>
      </c>
    </row>
    <row r="26" spans="1:5" x14ac:dyDescent="0.45">
      <c r="A26">
        <v>202312</v>
      </c>
      <c r="B26">
        <v>4.8499999999999996</v>
      </c>
      <c r="C26">
        <v>6.3</v>
      </c>
      <c r="D26">
        <v>4.8899999999999997</v>
      </c>
      <c r="E26">
        <v>0.43</v>
      </c>
    </row>
    <row r="27" spans="1:5" x14ac:dyDescent="0.45">
      <c r="A27">
        <v>202311</v>
      </c>
      <c r="B27">
        <v>8.8800000000000008</v>
      </c>
      <c r="C27">
        <v>-0.1</v>
      </c>
      <c r="D27">
        <v>1.67</v>
      </c>
      <c r="E27">
        <v>0.44</v>
      </c>
    </row>
    <row r="28" spans="1:5" x14ac:dyDescent="0.45">
      <c r="A28">
        <v>202310</v>
      </c>
      <c r="B28">
        <v>-3.15</v>
      </c>
      <c r="C28">
        <v>-3.86</v>
      </c>
      <c r="D28">
        <v>0.2</v>
      </c>
      <c r="E28">
        <v>0.47</v>
      </c>
    </row>
    <row r="29" spans="1:5" x14ac:dyDescent="0.45">
      <c r="A29">
        <v>202309</v>
      </c>
      <c r="B29">
        <v>-5.23</v>
      </c>
      <c r="C29">
        <v>-2.5099999999999998</v>
      </c>
      <c r="D29">
        <v>1.49</v>
      </c>
      <c r="E29">
        <v>0.43</v>
      </c>
    </row>
    <row r="30" spans="1:5" x14ac:dyDescent="0.45">
      <c r="A30">
        <v>202308</v>
      </c>
      <c r="B30">
        <v>-2.36</v>
      </c>
      <c r="C30">
        <v>-3.14</v>
      </c>
      <c r="D30">
        <v>-1.1499999999999999</v>
      </c>
      <c r="E30">
        <v>0.45</v>
      </c>
    </row>
    <row r="31" spans="1:5" x14ac:dyDescent="0.45">
      <c r="A31">
        <v>202307</v>
      </c>
      <c r="B31">
        <v>3.21</v>
      </c>
      <c r="C31">
        <v>2.0499999999999998</v>
      </c>
      <c r="D31">
        <v>4.0599999999999996</v>
      </c>
      <c r="E31">
        <v>0.45</v>
      </c>
    </row>
    <row r="32" spans="1:5" x14ac:dyDescent="0.45">
      <c r="A32">
        <v>202306</v>
      </c>
      <c r="B32">
        <v>6.46</v>
      </c>
      <c r="C32">
        <v>1.49</v>
      </c>
      <c r="D32">
        <v>-0.13</v>
      </c>
      <c r="E32">
        <v>0.4</v>
      </c>
    </row>
    <row r="33" spans="1:5" x14ac:dyDescent="0.45">
      <c r="A33">
        <v>202305</v>
      </c>
      <c r="B33">
        <v>0.34</v>
      </c>
      <c r="C33">
        <v>1.6</v>
      </c>
      <c r="D33">
        <v>-7.79</v>
      </c>
      <c r="E33">
        <v>0.36</v>
      </c>
    </row>
    <row r="34" spans="1:5" x14ac:dyDescent="0.45">
      <c r="A34">
        <v>202304</v>
      </c>
      <c r="B34">
        <v>0.62</v>
      </c>
      <c r="C34">
        <v>-3.37</v>
      </c>
      <c r="D34">
        <v>-0.12</v>
      </c>
      <c r="E34">
        <v>0.35</v>
      </c>
    </row>
    <row r="35" spans="1:5" x14ac:dyDescent="0.45">
      <c r="A35">
        <v>202303</v>
      </c>
      <c r="B35">
        <v>2.48</v>
      </c>
      <c r="C35">
        <v>-5.48</v>
      </c>
      <c r="D35">
        <v>-9.0500000000000007</v>
      </c>
      <c r="E35">
        <v>0.36</v>
      </c>
    </row>
    <row r="36" spans="1:5" x14ac:dyDescent="0.45">
      <c r="A36">
        <v>202302</v>
      </c>
      <c r="B36">
        <v>-2.57</v>
      </c>
      <c r="C36">
        <v>1.05</v>
      </c>
      <c r="D36">
        <v>-0.8</v>
      </c>
      <c r="E36">
        <v>0.34</v>
      </c>
    </row>
    <row r="37" spans="1:5" x14ac:dyDescent="0.45">
      <c r="A37">
        <v>202301</v>
      </c>
      <c r="B37">
        <v>6.61</v>
      </c>
      <c r="C37">
        <v>5.01</v>
      </c>
      <c r="D37">
        <v>-3.94</v>
      </c>
      <c r="E37">
        <v>0.35</v>
      </c>
    </row>
    <row r="38" spans="1:5" x14ac:dyDescent="0.45">
      <c r="A38">
        <v>202212</v>
      </c>
      <c r="B38">
        <v>-6.38</v>
      </c>
      <c r="C38">
        <v>-0.76</v>
      </c>
      <c r="D38">
        <v>1.34</v>
      </c>
      <c r="E38">
        <v>0.33</v>
      </c>
    </row>
    <row r="39" spans="1:5" x14ac:dyDescent="0.45">
      <c r="A39">
        <v>202211</v>
      </c>
      <c r="B39">
        <v>4.6500000000000004</v>
      </c>
      <c r="C39">
        <v>-3.57</v>
      </c>
      <c r="D39">
        <v>1.48</v>
      </c>
      <c r="E39">
        <v>0.28999999999999998</v>
      </c>
    </row>
    <row r="40" spans="1:5" x14ac:dyDescent="0.45">
      <c r="A40">
        <v>202210</v>
      </c>
      <c r="B40">
        <v>7.85</v>
      </c>
      <c r="C40">
        <v>0.01</v>
      </c>
      <c r="D40">
        <v>7.97</v>
      </c>
      <c r="E40">
        <v>0.23</v>
      </c>
    </row>
    <row r="41" spans="1:5" x14ac:dyDescent="0.45">
      <c r="A41">
        <v>202209</v>
      </c>
      <c r="B41">
        <v>-9.34</v>
      </c>
      <c r="C41">
        <v>-0.76</v>
      </c>
      <c r="D41">
        <v>0.03</v>
      </c>
      <c r="E41">
        <v>0.19</v>
      </c>
    </row>
    <row r="42" spans="1:5" x14ac:dyDescent="0.45">
      <c r="A42">
        <v>202208</v>
      </c>
      <c r="B42">
        <v>-3.77</v>
      </c>
      <c r="C42">
        <v>1.41</v>
      </c>
      <c r="D42">
        <v>0.18</v>
      </c>
      <c r="E42">
        <v>0.19</v>
      </c>
    </row>
    <row r="43" spans="1:5" x14ac:dyDescent="0.45">
      <c r="A43">
        <v>202207</v>
      </c>
      <c r="B43">
        <v>9.57</v>
      </c>
      <c r="C43">
        <v>2.84</v>
      </c>
      <c r="D43">
        <v>-4.1500000000000004</v>
      </c>
      <c r="E43">
        <v>0.08</v>
      </c>
    </row>
    <row r="44" spans="1:5" x14ac:dyDescent="0.45">
      <c r="A44">
        <v>202206</v>
      </c>
      <c r="B44">
        <v>-8.4</v>
      </c>
      <c r="C44">
        <v>2.0699999999999998</v>
      </c>
      <c r="D44">
        <v>-6</v>
      </c>
      <c r="E44">
        <v>0.06</v>
      </c>
    </row>
    <row r="45" spans="1:5" x14ac:dyDescent="0.45">
      <c r="A45">
        <v>202205</v>
      </c>
      <c r="B45">
        <v>-0.34</v>
      </c>
      <c r="C45">
        <v>-1.84</v>
      </c>
      <c r="D45">
        <v>8.44</v>
      </c>
      <c r="E45">
        <v>0.03</v>
      </c>
    </row>
    <row r="46" spans="1:5" x14ac:dyDescent="0.45">
      <c r="A46">
        <v>202204</v>
      </c>
      <c r="B46">
        <v>-9.41</v>
      </c>
      <c r="C46">
        <v>-1.35</v>
      </c>
      <c r="D46">
        <v>6.18</v>
      </c>
      <c r="E46">
        <v>0</v>
      </c>
    </row>
    <row r="47" spans="1:5" x14ac:dyDescent="0.45">
      <c r="A47">
        <v>202203</v>
      </c>
      <c r="B47">
        <v>3.08</v>
      </c>
      <c r="C47">
        <v>-1.55</v>
      </c>
      <c r="D47">
        <v>-1.9</v>
      </c>
      <c r="E47">
        <v>0</v>
      </c>
    </row>
    <row r="48" spans="1:5" x14ac:dyDescent="0.45">
      <c r="A48">
        <v>202202</v>
      </c>
      <c r="B48">
        <v>-2.2799999999999998</v>
      </c>
      <c r="C48">
        <v>2.16</v>
      </c>
      <c r="D48">
        <v>3.06</v>
      </c>
      <c r="E48">
        <v>0</v>
      </c>
    </row>
    <row r="49" spans="1:5" x14ac:dyDescent="0.45">
      <c r="A49">
        <v>202201</v>
      </c>
      <c r="B49">
        <v>-6.16</v>
      </c>
      <c r="C49">
        <v>-5.93</v>
      </c>
      <c r="D49">
        <v>12.86</v>
      </c>
      <c r="E49">
        <v>0</v>
      </c>
    </row>
    <row r="50" spans="1:5" x14ac:dyDescent="0.45">
      <c r="A50">
        <v>202112</v>
      </c>
      <c r="B50">
        <v>3.23</v>
      </c>
      <c r="C50">
        <v>-1.63</v>
      </c>
      <c r="D50">
        <v>3.26</v>
      </c>
      <c r="E50">
        <v>0.01</v>
      </c>
    </row>
    <row r="51" spans="1:5" x14ac:dyDescent="0.45">
      <c r="A51">
        <v>202111</v>
      </c>
      <c r="B51">
        <v>-1.58</v>
      </c>
      <c r="C51">
        <v>-1.31</v>
      </c>
      <c r="D51">
        <v>-0.37</v>
      </c>
      <c r="E51">
        <v>0</v>
      </c>
    </row>
    <row r="52" spans="1:5" x14ac:dyDescent="0.45">
      <c r="A52">
        <v>202110</v>
      </c>
      <c r="B52">
        <v>6.63</v>
      </c>
      <c r="C52">
        <v>-2.27</v>
      </c>
      <c r="D52">
        <v>-0.53</v>
      </c>
      <c r="E52">
        <v>0</v>
      </c>
    </row>
    <row r="53" spans="1:5" x14ac:dyDescent="0.45">
      <c r="A53">
        <v>202109</v>
      </c>
      <c r="B53">
        <v>-4.4000000000000004</v>
      </c>
      <c r="C53">
        <v>0.66</v>
      </c>
      <c r="D53">
        <v>5.12</v>
      </c>
      <c r="E53">
        <v>0</v>
      </c>
    </row>
    <row r="54" spans="1:5" x14ac:dyDescent="0.45">
      <c r="A54">
        <v>202108</v>
      </c>
      <c r="B54">
        <v>2.94</v>
      </c>
      <c r="C54">
        <v>-0.32</v>
      </c>
      <c r="D54">
        <v>-0.23</v>
      </c>
      <c r="E54">
        <v>0</v>
      </c>
    </row>
    <row r="55" spans="1:5" x14ac:dyDescent="0.45">
      <c r="A55">
        <v>202107</v>
      </c>
      <c r="B55">
        <v>1.34</v>
      </c>
      <c r="C55">
        <v>-3.93</v>
      </c>
      <c r="D55">
        <v>-1.79</v>
      </c>
      <c r="E55">
        <v>0</v>
      </c>
    </row>
    <row r="56" spans="1:5" x14ac:dyDescent="0.45">
      <c r="A56">
        <v>202106</v>
      </c>
      <c r="B56">
        <v>2.74</v>
      </c>
      <c r="C56">
        <v>1.7</v>
      </c>
      <c r="D56">
        <v>-7.86</v>
      </c>
      <c r="E56">
        <v>0</v>
      </c>
    </row>
    <row r="57" spans="1:5" x14ac:dyDescent="0.45">
      <c r="A57">
        <v>202105</v>
      </c>
      <c r="B57">
        <v>0.3</v>
      </c>
      <c r="C57">
        <v>-0.2</v>
      </c>
      <c r="D57">
        <v>7.04</v>
      </c>
      <c r="E57">
        <v>0</v>
      </c>
    </row>
    <row r="58" spans="1:5" x14ac:dyDescent="0.45">
      <c r="A58">
        <v>202104</v>
      </c>
      <c r="B58">
        <v>4.95</v>
      </c>
      <c r="C58">
        <v>-3.19</v>
      </c>
      <c r="D58">
        <v>-1.02</v>
      </c>
      <c r="E58">
        <v>0</v>
      </c>
    </row>
    <row r="59" spans="1:5" x14ac:dyDescent="0.45">
      <c r="A59">
        <v>202103</v>
      </c>
      <c r="B59">
        <v>3.16</v>
      </c>
      <c r="C59">
        <v>-2.33</v>
      </c>
      <c r="D59">
        <v>7.35</v>
      </c>
      <c r="E59">
        <v>0</v>
      </c>
    </row>
    <row r="60" spans="1:5" x14ac:dyDescent="0.45">
      <c r="A60">
        <v>202102</v>
      </c>
      <c r="B60">
        <v>2.81</v>
      </c>
      <c r="C60">
        <v>2.02</v>
      </c>
      <c r="D60">
        <v>7.2</v>
      </c>
      <c r="E60">
        <v>0</v>
      </c>
    </row>
    <row r="61" spans="1:5" x14ac:dyDescent="0.45">
      <c r="A61">
        <v>202101</v>
      </c>
      <c r="B61">
        <v>-7.0000000000000007E-2</v>
      </c>
      <c r="C61">
        <v>7.14</v>
      </c>
      <c r="D61">
        <v>3.22</v>
      </c>
      <c r="E61">
        <v>0</v>
      </c>
    </row>
    <row r="62" spans="1:5" x14ac:dyDescent="0.45">
      <c r="A62">
        <v>202012</v>
      </c>
      <c r="B62">
        <v>4.63</v>
      </c>
      <c r="C62">
        <v>5.01</v>
      </c>
      <c r="D62">
        <v>-1.68</v>
      </c>
      <c r="E62">
        <v>0.01</v>
      </c>
    </row>
    <row r="63" spans="1:5" x14ac:dyDescent="0.45">
      <c r="A63">
        <v>202011</v>
      </c>
      <c r="B63">
        <v>12.45</v>
      </c>
      <c r="C63">
        <v>5.81</v>
      </c>
      <c r="D63">
        <v>2.09</v>
      </c>
      <c r="E63">
        <v>0.01</v>
      </c>
    </row>
    <row r="64" spans="1:5" x14ac:dyDescent="0.45">
      <c r="A64">
        <v>202010</v>
      </c>
      <c r="B64">
        <v>-2.08</v>
      </c>
      <c r="C64">
        <v>4.34</v>
      </c>
      <c r="D64">
        <v>4.25</v>
      </c>
      <c r="E64">
        <v>0.01</v>
      </c>
    </row>
    <row r="65" spans="1:5" x14ac:dyDescent="0.45">
      <c r="A65">
        <v>202009</v>
      </c>
      <c r="B65">
        <v>-3.64</v>
      </c>
      <c r="C65">
        <v>0.06</v>
      </c>
      <c r="D65">
        <v>-2.72</v>
      </c>
      <c r="E65">
        <v>0.01</v>
      </c>
    </row>
    <row r="66" spans="1:5" x14ac:dyDescent="0.45">
      <c r="A66">
        <v>202008</v>
      </c>
      <c r="B66">
        <v>7.62</v>
      </c>
      <c r="C66">
        <v>-0.2</v>
      </c>
      <c r="D66">
        <v>-3.02</v>
      </c>
      <c r="E66">
        <v>0.01</v>
      </c>
    </row>
    <row r="67" spans="1:5" x14ac:dyDescent="0.45">
      <c r="A67">
        <v>202007</v>
      </c>
      <c r="B67">
        <v>5.83</v>
      </c>
      <c r="C67">
        <v>-2.35</v>
      </c>
      <c r="D67">
        <v>-1.44</v>
      </c>
      <c r="E67">
        <v>0.01</v>
      </c>
    </row>
    <row r="68" spans="1:5" x14ac:dyDescent="0.45">
      <c r="A68">
        <v>202006</v>
      </c>
      <c r="B68">
        <v>2.4500000000000002</v>
      </c>
      <c r="C68">
        <v>2.67</v>
      </c>
      <c r="D68">
        <v>-2.17</v>
      </c>
      <c r="E68">
        <v>0.01</v>
      </c>
    </row>
    <row r="69" spans="1:5" x14ac:dyDescent="0.45">
      <c r="A69">
        <v>202005</v>
      </c>
      <c r="B69">
        <v>5.57</v>
      </c>
      <c r="C69">
        <v>2.4</v>
      </c>
      <c r="D69">
        <v>-5</v>
      </c>
      <c r="E69">
        <v>0.01</v>
      </c>
    </row>
    <row r="70" spans="1:5" x14ac:dyDescent="0.45">
      <c r="A70">
        <v>202004</v>
      </c>
      <c r="B70">
        <v>13.6</v>
      </c>
      <c r="C70">
        <v>2.5</v>
      </c>
      <c r="D70">
        <v>-1.34</v>
      </c>
      <c r="E70">
        <v>0</v>
      </c>
    </row>
    <row r="71" spans="1:5" x14ac:dyDescent="0.45">
      <c r="A71">
        <v>202003</v>
      </c>
      <c r="B71">
        <v>-13.37</v>
      </c>
      <c r="C71">
        <v>-4.6900000000000004</v>
      </c>
      <c r="D71">
        <v>-13.83</v>
      </c>
      <c r="E71">
        <v>0.12</v>
      </c>
    </row>
    <row r="72" spans="1:5" x14ac:dyDescent="0.45">
      <c r="A72">
        <v>202002</v>
      </c>
      <c r="B72">
        <v>-8.15</v>
      </c>
      <c r="C72">
        <v>1.08</v>
      </c>
      <c r="D72">
        <v>-3.82</v>
      </c>
      <c r="E72">
        <v>0.12</v>
      </c>
    </row>
    <row r="73" spans="1:5" x14ac:dyDescent="0.45">
      <c r="A73">
        <v>202001</v>
      </c>
      <c r="B73">
        <v>-0.11</v>
      </c>
      <c r="C73">
        <v>-3.1</v>
      </c>
      <c r="D73">
        <v>-6.22</v>
      </c>
      <c r="E73">
        <v>0.13</v>
      </c>
    </row>
    <row r="74" spans="1:5" x14ac:dyDescent="0.45">
      <c r="A74">
        <v>201912</v>
      </c>
      <c r="B74">
        <v>2.77</v>
      </c>
      <c r="C74">
        <v>0.76</v>
      </c>
      <c r="D74">
        <v>1.73</v>
      </c>
      <c r="E74">
        <v>0.14000000000000001</v>
      </c>
    </row>
    <row r="75" spans="1:5" x14ac:dyDescent="0.45">
      <c r="A75">
        <v>201911</v>
      </c>
      <c r="B75">
        <v>3.87</v>
      </c>
      <c r="C75">
        <v>0.72</v>
      </c>
      <c r="D75">
        <v>-2</v>
      </c>
      <c r="E75">
        <v>0.12</v>
      </c>
    </row>
    <row r="76" spans="1:5" x14ac:dyDescent="0.45">
      <c r="A76">
        <v>201910</v>
      </c>
      <c r="B76">
        <v>2.0699999999999998</v>
      </c>
      <c r="C76">
        <v>0.27</v>
      </c>
      <c r="D76">
        <v>-1.92</v>
      </c>
      <c r="E76">
        <v>0.15</v>
      </c>
    </row>
    <row r="77" spans="1:5" x14ac:dyDescent="0.45">
      <c r="A77">
        <v>201909</v>
      </c>
      <c r="B77">
        <v>1.41</v>
      </c>
      <c r="C77">
        <v>-0.97</v>
      </c>
      <c r="D77">
        <v>6.76</v>
      </c>
      <c r="E77">
        <v>0.18</v>
      </c>
    </row>
    <row r="78" spans="1:5" x14ac:dyDescent="0.45">
      <c r="A78">
        <v>201908</v>
      </c>
      <c r="B78">
        <v>-2.5499999999999998</v>
      </c>
      <c r="C78">
        <v>-2.39</v>
      </c>
      <c r="D78">
        <v>-4.7699999999999996</v>
      </c>
      <c r="E78">
        <v>0.16</v>
      </c>
    </row>
    <row r="79" spans="1:5" x14ac:dyDescent="0.45">
      <c r="A79">
        <v>201907</v>
      </c>
      <c r="B79">
        <v>1.23</v>
      </c>
      <c r="C79">
        <v>-1.96</v>
      </c>
      <c r="D79">
        <v>0.5</v>
      </c>
      <c r="E79">
        <v>0.19</v>
      </c>
    </row>
    <row r="80" spans="1:5" x14ac:dyDescent="0.45">
      <c r="A80">
        <v>201906</v>
      </c>
      <c r="B80">
        <v>6.92</v>
      </c>
      <c r="C80">
        <v>0.26</v>
      </c>
      <c r="D80">
        <v>-0.64</v>
      </c>
      <c r="E80">
        <v>0.18</v>
      </c>
    </row>
    <row r="81" spans="1:5" x14ac:dyDescent="0.45">
      <c r="A81">
        <v>201905</v>
      </c>
      <c r="B81">
        <v>-6.92</v>
      </c>
      <c r="C81">
        <v>-1.26</v>
      </c>
      <c r="D81">
        <v>-2.4500000000000002</v>
      </c>
      <c r="E81">
        <v>0.21</v>
      </c>
    </row>
    <row r="82" spans="1:5" x14ac:dyDescent="0.45">
      <c r="A82">
        <v>201904</v>
      </c>
      <c r="B82">
        <v>3.97</v>
      </c>
      <c r="C82">
        <v>-1.74</v>
      </c>
      <c r="D82">
        <v>2.13</v>
      </c>
      <c r="E82">
        <v>0.21</v>
      </c>
    </row>
    <row r="83" spans="1:5" x14ac:dyDescent="0.45">
      <c r="A83">
        <v>201903</v>
      </c>
      <c r="B83">
        <v>1.1000000000000001</v>
      </c>
      <c r="C83">
        <v>-3.03</v>
      </c>
      <c r="D83">
        <v>-4.1399999999999997</v>
      </c>
      <c r="E83">
        <v>0.19</v>
      </c>
    </row>
    <row r="84" spans="1:5" x14ac:dyDescent="0.45">
      <c r="A84">
        <v>201902</v>
      </c>
      <c r="B84">
        <v>3.42</v>
      </c>
      <c r="C84">
        <v>2.0499999999999998</v>
      </c>
      <c r="D84">
        <v>-2.66</v>
      </c>
      <c r="E84">
        <v>0.18</v>
      </c>
    </row>
    <row r="85" spans="1:5" x14ac:dyDescent="0.45">
      <c r="A85">
        <v>201901</v>
      </c>
      <c r="B85">
        <v>8.3699999999999992</v>
      </c>
      <c r="C85">
        <v>2.76</v>
      </c>
      <c r="D85">
        <v>-0.39</v>
      </c>
      <c r="E85">
        <v>0.21</v>
      </c>
    </row>
    <row r="86" spans="1:5" x14ac:dyDescent="0.45">
      <c r="A86">
        <v>201812</v>
      </c>
      <c r="B86">
        <v>-9.5500000000000007</v>
      </c>
      <c r="C86">
        <v>-2.31</v>
      </c>
      <c r="D86">
        <v>-1.92</v>
      </c>
      <c r="E86">
        <v>0.19</v>
      </c>
    </row>
    <row r="87" spans="1:5" x14ac:dyDescent="0.45">
      <c r="A87">
        <v>201811</v>
      </c>
      <c r="B87">
        <v>1.71</v>
      </c>
      <c r="C87">
        <v>-0.73</v>
      </c>
      <c r="D87">
        <v>0.36</v>
      </c>
      <c r="E87">
        <v>0.18</v>
      </c>
    </row>
    <row r="88" spans="1:5" x14ac:dyDescent="0.45">
      <c r="A88">
        <v>201810</v>
      </c>
      <c r="B88">
        <v>-7.65</v>
      </c>
      <c r="C88">
        <v>-4.7</v>
      </c>
      <c r="D88">
        <v>3.38</v>
      </c>
      <c r="E88">
        <v>0.19</v>
      </c>
    </row>
    <row r="89" spans="1:5" x14ac:dyDescent="0.45">
      <c r="A89">
        <v>201809</v>
      </c>
      <c r="B89">
        <v>0.06</v>
      </c>
      <c r="C89">
        <v>-2.29</v>
      </c>
      <c r="D89">
        <v>-1.62</v>
      </c>
      <c r="E89">
        <v>0.15</v>
      </c>
    </row>
    <row r="90" spans="1:5" x14ac:dyDescent="0.45">
      <c r="A90">
        <v>201808</v>
      </c>
      <c r="B90">
        <v>3.45</v>
      </c>
      <c r="C90">
        <v>1.1399999999999999</v>
      </c>
      <c r="D90">
        <v>-3.91</v>
      </c>
      <c r="E90">
        <v>0.16</v>
      </c>
    </row>
    <row r="91" spans="1:5" x14ac:dyDescent="0.45">
      <c r="A91">
        <v>201807</v>
      </c>
      <c r="B91">
        <v>3.2</v>
      </c>
      <c r="C91">
        <v>-2.23</v>
      </c>
      <c r="D91">
        <v>0.49</v>
      </c>
      <c r="E91">
        <v>0.16</v>
      </c>
    </row>
    <row r="92" spans="1:5" x14ac:dyDescent="0.45">
      <c r="A92">
        <v>201806</v>
      </c>
      <c r="B92">
        <v>0.49</v>
      </c>
      <c r="C92">
        <v>1.1100000000000001</v>
      </c>
      <c r="D92">
        <v>-2.33</v>
      </c>
      <c r="E92">
        <v>0.14000000000000001</v>
      </c>
    </row>
    <row r="93" spans="1:5" x14ac:dyDescent="0.45">
      <c r="A93">
        <v>201805</v>
      </c>
      <c r="B93">
        <v>2.66</v>
      </c>
      <c r="C93">
        <v>5.24</v>
      </c>
      <c r="D93">
        <v>-3.14</v>
      </c>
      <c r="E93">
        <v>0.14000000000000001</v>
      </c>
    </row>
    <row r="94" spans="1:5" x14ac:dyDescent="0.45">
      <c r="A94">
        <v>201804</v>
      </c>
      <c r="B94">
        <v>0.27</v>
      </c>
      <c r="C94">
        <v>1.0900000000000001</v>
      </c>
      <c r="D94">
        <v>0.53</v>
      </c>
      <c r="E94">
        <v>0.14000000000000001</v>
      </c>
    </row>
    <row r="95" spans="1:5" x14ac:dyDescent="0.45">
      <c r="A95">
        <v>201803</v>
      </c>
      <c r="B95">
        <v>-2.35</v>
      </c>
      <c r="C95">
        <v>4.05</v>
      </c>
      <c r="D95">
        <v>-0.21</v>
      </c>
      <c r="E95">
        <v>0.12</v>
      </c>
    </row>
    <row r="96" spans="1:5" x14ac:dyDescent="0.45">
      <c r="A96">
        <v>201802</v>
      </c>
      <c r="B96">
        <v>-3.64</v>
      </c>
      <c r="C96">
        <v>0.27</v>
      </c>
      <c r="D96">
        <v>-1.1000000000000001</v>
      </c>
      <c r="E96">
        <v>0.11</v>
      </c>
    </row>
    <row r="97" spans="1:5" x14ac:dyDescent="0.45">
      <c r="A97">
        <v>201801</v>
      </c>
      <c r="B97">
        <v>5.58</v>
      </c>
      <c r="C97">
        <v>-3.16</v>
      </c>
      <c r="D97">
        <v>-1.32</v>
      </c>
      <c r="E97">
        <v>0.11</v>
      </c>
    </row>
    <row r="98" spans="1:5" x14ac:dyDescent="0.45">
      <c r="A98">
        <v>201712</v>
      </c>
      <c r="B98">
        <v>1.06</v>
      </c>
      <c r="C98">
        <v>-1.32</v>
      </c>
      <c r="D98">
        <v>0.05</v>
      </c>
      <c r="E98">
        <v>0.09</v>
      </c>
    </row>
    <row r="99" spans="1:5" x14ac:dyDescent="0.45">
      <c r="A99">
        <v>201711</v>
      </c>
      <c r="B99">
        <v>3.12</v>
      </c>
      <c r="C99">
        <v>-0.6</v>
      </c>
      <c r="D99">
        <v>-0.09</v>
      </c>
      <c r="E99">
        <v>0.08</v>
      </c>
    </row>
    <row r="100" spans="1:5" x14ac:dyDescent="0.45">
      <c r="A100">
        <v>201710</v>
      </c>
      <c r="B100">
        <v>2.2599999999999998</v>
      </c>
      <c r="C100">
        <v>-1.93</v>
      </c>
      <c r="D100">
        <v>0.13</v>
      </c>
      <c r="E100">
        <v>0.09</v>
      </c>
    </row>
    <row r="101" spans="1:5" x14ac:dyDescent="0.45">
      <c r="A101">
        <v>201709</v>
      </c>
      <c r="B101">
        <v>2.4900000000000002</v>
      </c>
      <c r="C101">
        <v>4.45</v>
      </c>
      <c r="D101">
        <v>3.15</v>
      </c>
      <c r="E101">
        <v>0.09</v>
      </c>
    </row>
    <row r="102" spans="1:5" x14ac:dyDescent="0.45">
      <c r="A102">
        <v>201708</v>
      </c>
      <c r="B102">
        <v>0.18</v>
      </c>
      <c r="C102">
        <v>-1.67</v>
      </c>
      <c r="D102">
        <v>-2.13</v>
      </c>
      <c r="E102">
        <v>0.09</v>
      </c>
    </row>
    <row r="103" spans="1:5" x14ac:dyDescent="0.45">
      <c r="A103">
        <v>201707</v>
      </c>
      <c r="B103">
        <v>1.88</v>
      </c>
      <c r="C103">
        <v>-1.45</v>
      </c>
      <c r="D103">
        <v>-0.23</v>
      </c>
      <c r="E103">
        <v>7.0000000000000007E-2</v>
      </c>
    </row>
    <row r="104" spans="1:5" x14ac:dyDescent="0.45">
      <c r="A104">
        <v>201706</v>
      </c>
      <c r="B104">
        <v>0.79</v>
      </c>
      <c r="C104">
        <v>2.21</v>
      </c>
      <c r="D104">
        <v>1.5</v>
      </c>
      <c r="E104">
        <v>0.06</v>
      </c>
    </row>
    <row r="105" spans="1:5" x14ac:dyDescent="0.45">
      <c r="A105">
        <v>201705</v>
      </c>
      <c r="B105">
        <v>1.07</v>
      </c>
      <c r="C105">
        <v>-2.52</v>
      </c>
      <c r="D105">
        <v>-3.82</v>
      </c>
      <c r="E105">
        <v>0.06</v>
      </c>
    </row>
    <row r="106" spans="1:5" x14ac:dyDescent="0.45">
      <c r="A106">
        <v>201704</v>
      </c>
      <c r="B106">
        <v>1.08</v>
      </c>
      <c r="C106">
        <v>0.66</v>
      </c>
      <c r="D106">
        <v>-2.0499999999999998</v>
      </c>
      <c r="E106">
        <v>0.05</v>
      </c>
    </row>
    <row r="107" spans="1:5" x14ac:dyDescent="0.45">
      <c r="A107">
        <v>201703</v>
      </c>
      <c r="B107">
        <v>0.17</v>
      </c>
      <c r="C107">
        <v>1.1299999999999999</v>
      </c>
      <c r="D107">
        <v>-3.33</v>
      </c>
      <c r="E107">
        <v>0.03</v>
      </c>
    </row>
    <row r="108" spans="1:5" x14ac:dyDescent="0.45">
      <c r="A108">
        <v>201702</v>
      </c>
      <c r="B108">
        <v>3.55</v>
      </c>
      <c r="C108">
        <v>-2.15</v>
      </c>
      <c r="D108">
        <v>-1.5</v>
      </c>
      <c r="E108">
        <v>0.04</v>
      </c>
    </row>
    <row r="109" spans="1:5" x14ac:dyDescent="0.45">
      <c r="A109">
        <v>201701</v>
      </c>
      <c r="B109">
        <v>1.94</v>
      </c>
      <c r="C109">
        <v>-1.1599999999999999</v>
      </c>
      <c r="D109">
        <v>-2.76</v>
      </c>
      <c r="E109">
        <v>0.04</v>
      </c>
    </row>
    <row r="110" spans="1:5" x14ac:dyDescent="0.45">
      <c r="A110">
        <v>201612</v>
      </c>
      <c r="B110">
        <v>1.81</v>
      </c>
      <c r="C110">
        <v>0.14000000000000001</v>
      </c>
      <c r="D110">
        <v>3.47</v>
      </c>
      <c r="E110">
        <v>0.03</v>
      </c>
    </row>
    <row r="111" spans="1:5" x14ac:dyDescent="0.45">
      <c r="A111">
        <v>201611</v>
      </c>
      <c r="B111">
        <v>4.8600000000000003</v>
      </c>
      <c r="C111">
        <v>5.6</v>
      </c>
      <c r="D111">
        <v>8.2899999999999991</v>
      </c>
      <c r="E111">
        <v>0.01</v>
      </c>
    </row>
    <row r="112" spans="1:5" x14ac:dyDescent="0.45">
      <c r="A112">
        <v>201610</v>
      </c>
      <c r="B112">
        <v>-2.0099999999999998</v>
      </c>
      <c r="C112">
        <v>-4.3899999999999997</v>
      </c>
      <c r="D112">
        <v>4.1100000000000003</v>
      </c>
      <c r="E112">
        <v>0.02</v>
      </c>
    </row>
    <row r="113" spans="1:5" x14ac:dyDescent="0.45">
      <c r="A113">
        <v>201609</v>
      </c>
      <c r="B113">
        <v>0.27</v>
      </c>
      <c r="C113">
        <v>2.08</v>
      </c>
      <c r="D113">
        <v>-1.19</v>
      </c>
      <c r="E113">
        <v>0.02</v>
      </c>
    </row>
    <row r="114" spans="1:5" x14ac:dyDescent="0.45">
      <c r="A114">
        <v>201608</v>
      </c>
      <c r="B114">
        <v>0.49</v>
      </c>
      <c r="C114">
        <v>1.17</v>
      </c>
      <c r="D114">
        <v>3.17</v>
      </c>
      <c r="E114">
        <v>0.02</v>
      </c>
    </row>
    <row r="115" spans="1:5" x14ac:dyDescent="0.45">
      <c r="A115">
        <v>201607</v>
      </c>
      <c r="B115">
        <v>3.94</v>
      </c>
      <c r="C115">
        <v>2.4500000000000002</v>
      </c>
      <c r="D115">
        <v>-1.24</v>
      </c>
      <c r="E115">
        <v>0.02</v>
      </c>
    </row>
    <row r="116" spans="1:5" x14ac:dyDescent="0.45">
      <c r="A116">
        <v>201606</v>
      </c>
      <c r="B116">
        <v>-0.03</v>
      </c>
      <c r="C116">
        <v>0.6</v>
      </c>
      <c r="D116">
        <v>-1.49</v>
      </c>
      <c r="E116">
        <v>0.02</v>
      </c>
    </row>
    <row r="117" spans="1:5" x14ac:dyDescent="0.45">
      <c r="A117">
        <v>201605</v>
      </c>
      <c r="B117">
        <v>1.78</v>
      </c>
      <c r="C117">
        <v>-0.18</v>
      </c>
      <c r="D117">
        <v>-1.62</v>
      </c>
      <c r="E117">
        <v>0.01</v>
      </c>
    </row>
    <row r="118" spans="1:5" x14ac:dyDescent="0.45">
      <c r="A118">
        <v>201604</v>
      </c>
      <c r="B118">
        <v>0.92</v>
      </c>
      <c r="C118">
        <v>0.77</v>
      </c>
      <c r="D118">
        <v>3.22</v>
      </c>
      <c r="E118">
        <v>0.01</v>
      </c>
    </row>
    <row r="119" spans="1:5" x14ac:dyDescent="0.45">
      <c r="A119">
        <v>201603</v>
      </c>
      <c r="B119">
        <v>6.95</v>
      </c>
      <c r="C119">
        <v>0.75</v>
      </c>
      <c r="D119">
        <v>1.22</v>
      </c>
      <c r="E119">
        <v>0.02</v>
      </c>
    </row>
    <row r="120" spans="1:5" x14ac:dyDescent="0.45">
      <c r="A120">
        <v>201602</v>
      </c>
      <c r="B120">
        <v>-0.06</v>
      </c>
      <c r="C120">
        <v>0.73</v>
      </c>
      <c r="D120">
        <v>-0.61</v>
      </c>
      <c r="E120">
        <v>0.02</v>
      </c>
    </row>
    <row r="121" spans="1:5" x14ac:dyDescent="0.45">
      <c r="A121">
        <v>201601</v>
      </c>
      <c r="B121">
        <v>-5.74</v>
      </c>
      <c r="C121">
        <v>-3.4</v>
      </c>
      <c r="D121">
        <v>2.08</v>
      </c>
      <c r="E121">
        <v>0.01</v>
      </c>
    </row>
    <row r="122" spans="1:5" x14ac:dyDescent="0.45">
      <c r="A122">
        <v>201512</v>
      </c>
      <c r="B122">
        <v>-2.15</v>
      </c>
      <c r="C122">
        <v>-2.8</v>
      </c>
      <c r="D122">
        <v>-2.57</v>
      </c>
      <c r="E122">
        <v>0.01</v>
      </c>
    </row>
    <row r="123" spans="1:5" x14ac:dyDescent="0.45">
      <c r="A123">
        <v>201511</v>
      </c>
      <c r="B123">
        <v>0.56999999999999995</v>
      </c>
      <c r="C123">
        <v>3.58</v>
      </c>
      <c r="D123">
        <v>-0.43</v>
      </c>
      <c r="E123">
        <v>0</v>
      </c>
    </row>
    <row r="124" spans="1:5" x14ac:dyDescent="0.45">
      <c r="A124">
        <v>201510</v>
      </c>
      <c r="B124">
        <v>7.75</v>
      </c>
      <c r="C124">
        <v>-1.9</v>
      </c>
      <c r="D124">
        <v>-0.47</v>
      </c>
      <c r="E124">
        <v>0</v>
      </c>
    </row>
    <row r="125" spans="1:5" x14ac:dyDescent="0.45">
      <c r="A125">
        <v>201509</v>
      </c>
      <c r="B125">
        <v>-3.06</v>
      </c>
      <c r="C125">
        <v>-2.63</v>
      </c>
      <c r="D125">
        <v>0.55000000000000004</v>
      </c>
      <c r="E125">
        <v>0</v>
      </c>
    </row>
    <row r="126" spans="1:5" x14ac:dyDescent="0.45">
      <c r="A126">
        <v>201508</v>
      </c>
      <c r="B126">
        <v>-6.02</v>
      </c>
      <c r="C126">
        <v>0.37</v>
      </c>
      <c r="D126">
        <v>2.75</v>
      </c>
      <c r="E126">
        <v>0</v>
      </c>
    </row>
    <row r="127" spans="1:5" x14ac:dyDescent="0.45">
      <c r="A127">
        <v>201507</v>
      </c>
      <c r="B127">
        <v>1.57</v>
      </c>
      <c r="C127">
        <v>-4.17</v>
      </c>
      <c r="D127">
        <v>-4.16</v>
      </c>
      <c r="E127">
        <v>0</v>
      </c>
    </row>
    <row r="128" spans="1:5" x14ac:dyDescent="0.45">
      <c r="A128">
        <v>201506</v>
      </c>
      <c r="B128">
        <v>-1.52</v>
      </c>
      <c r="C128">
        <v>2.94</v>
      </c>
      <c r="D128">
        <v>-0.82</v>
      </c>
      <c r="E128">
        <v>0</v>
      </c>
    </row>
    <row r="129" spans="1:5" x14ac:dyDescent="0.45">
      <c r="A129">
        <v>201505</v>
      </c>
      <c r="B129">
        <v>1.37</v>
      </c>
      <c r="C129">
        <v>0.95</v>
      </c>
      <c r="D129">
        <v>-1.1100000000000001</v>
      </c>
      <c r="E129">
        <v>0</v>
      </c>
    </row>
    <row r="130" spans="1:5" x14ac:dyDescent="0.45">
      <c r="A130">
        <v>201504</v>
      </c>
      <c r="B130">
        <v>0.59</v>
      </c>
      <c r="C130">
        <v>-2.99</v>
      </c>
      <c r="D130">
        <v>1.8</v>
      </c>
      <c r="E130">
        <v>0</v>
      </c>
    </row>
    <row r="131" spans="1:5" x14ac:dyDescent="0.45">
      <c r="A131">
        <v>201503</v>
      </c>
      <c r="B131">
        <v>-1.1100000000000001</v>
      </c>
      <c r="C131">
        <v>3.05</v>
      </c>
      <c r="D131">
        <v>-0.38</v>
      </c>
      <c r="E131">
        <v>0</v>
      </c>
    </row>
    <row r="132" spans="1:5" x14ac:dyDescent="0.45">
      <c r="A132">
        <v>201502</v>
      </c>
      <c r="B132">
        <v>6.13</v>
      </c>
      <c r="C132">
        <v>0.61</v>
      </c>
      <c r="D132">
        <v>-1.79</v>
      </c>
      <c r="E132">
        <v>0</v>
      </c>
    </row>
    <row r="133" spans="1:5" x14ac:dyDescent="0.45">
      <c r="A133">
        <v>201501</v>
      </c>
      <c r="B133">
        <v>-3.1</v>
      </c>
      <c r="C133">
        <v>-0.59</v>
      </c>
      <c r="D133">
        <v>-3.45</v>
      </c>
      <c r="E133">
        <v>0</v>
      </c>
    </row>
    <row r="134" spans="1:5" x14ac:dyDescent="0.45">
      <c r="A134">
        <v>201412</v>
      </c>
      <c r="B134">
        <v>-0.05</v>
      </c>
      <c r="C134">
        <v>2.5299999999999998</v>
      </c>
      <c r="D134">
        <v>2.12</v>
      </c>
      <c r="E134">
        <v>0</v>
      </c>
    </row>
    <row r="135" spans="1:5" x14ac:dyDescent="0.45">
      <c r="A135">
        <v>201411</v>
      </c>
      <c r="B135">
        <v>2.56</v>
      </c>
      <c r="C135">
        <v>-2.0499999999999998</v>
      </c>
      <c r="D135">
        <v>-3.13</v>
      </c>
      <c r="E135">
        <v>0</v>
      </c>
    </row>
    <row r="136" spans="1:5" x14ac:dyDescent="0.45">
      <c r="A136">
        <v>201410</v>
      </c>
      <c r="B136">
        <v>2.5099999999999998</v>
      </c>
      <c r="C136">
        <v>4.05</v>
      </c>
      <c r="D136">
        <v>-1.63</v>
      </c>
      <c r="E136">
        <v>0</v>
      </c>
    </row>
    <row r="137" spans="1:5" x14ac:dyDescent="0.45">
      <c r="A137">
        <v>201409</v>
      </c>
      <c r="B137">
        <v>-1.96</v>
      </c>
      <c r="C137">
        <v>-3.59</v>
      </c>
      <c r="D137">
        <v>-1.47</v>
      </c>
      <c r="E137">
        <v>0</v>
      </c>
    </row>
    <row r="138" spans="1:5" x14ac:dyDescent="0.45">
      <c r="A138">
        <v>201408</v>
      </c>
      <c r="B138">
        <v>4.24</v>
      </c>
      <c r="C138">
        <v>0.41</v>
      </c>
      <c r="D138">
        <v>-0.56999999999999995</v>
      </c>
      <c r="E138">
        <v>0</v>
      </c>
    </row>
    <row r="139" spans="1:5" x14ac:dyDescent="0.45">
      <c r="A139">
        <v>201407</v>
      </c>
      <c r="B139">
        <v>-2.0299999999999998</v>
      </c>
      <c r="C139">
        <v>-4.18</v>
      </c>
      <c r="D139">
        <v>-0.08</v>
      </c>
      <c r="E139">
        <v>0</v>
      </c>
    </row>
    <row r="140" spans="1:5" x14ac:dyDescent="0.45">
      <c r="A140">
        <v>201406</v>
      </c>
      <c r="B140">
        <v>2.6</v>
      </c>
      <c r="C140">
        <v>3.05</v>
      </c>
      <c r="D140">
        <v>-0.71</v>
      </c>
      <c r="E140">
        <v>0</v>
      </c>
    </row>
    <row r="141" spans="1:5" x14ac:dyDescent="0.45">
      <c r="A141">
        <v>201405</v>
      </c>
      <c r="B141">
        <v>2.0499999999999998</v>
      </c>
      <c r="C141">
        <v>-1.85</v>
      </c>
      <c r="D141">
        <v>-0.1</v>
      </c>
      <c r="E141">
        <v>0</v>
      </c>
    </row>
    <row r="142" spans="1:5" x14ac:dyDescent="0.45">
      <c r="A142">
        <v>201404</v>
      </c>
      <c r="B142">
        <v>-0.18</v>
      </c>
      <c r="C142">
        <v>-4.18</v>
      </c>
      <c r="D142">
        <v>1.22</v>
      </c>
      <c r="E142">
        <v>0</v>
      </c>
    </row>
    <row r="143" spans="1:5" x14ac:dyDescent="0.45">
      <c r="A143">
        <v>201403</v>
      </c>
      <c r="B143">
        <v>0.43</v>
      </c>
      <c r="C143">
        <v>-1.86</v>
      </c>
      <c r="D143">
        <v>4.9000000000000004</v>
      </c>
      <c r="E143">
        <v>0</v>
      </c>
    </row>
    <row r="144" spans="1:5" x14ac:dyDescent="0.45">
      <c r="A144">
        <v>201402</v>
      </c>
      <c r="B144">
        <v>4.66</v>
      </c>
      <c r="C144">
        <v>0.36</v>
      </c>
      <c r="D144">
        <v>-0.35</v>
      </c>
      <c r="E144">
        <v>0</v>
      </c>
    </row>
    <row r="145" spans="1:5" x14ac:dyDescent="0.45">
      <c r="A145">
        <v>201401</v>
      </c>
      <c r="B145">
        <v>-3.32</v>
      </c>
      <c r="C145">
        <v>0.93</v>
      </c>
      <c r="D145">
        <v>-1.99</v>
      </c>
      <c r="E145">
        <v>0</v>
      </c>
    </row>
    <row r="146" spans="1:5" x14ac:dyDescent="0.45">
      <c r="A146">
        <v>201312</v>
      </c>
      <c r="B146">
        <v>2.81</v>
      </c>
      <c r="C146">
        <v>-0.44</v>
      </c>
      <c r="D146">
        <v>0</v>
      </c>
      <c r="E146">
        <v>0</v>
      </c>
    </row>
    <row r="147" spans="1:5" x14ac:dyDescent="0.45">
      <c r="A147">
        <v>201311</v>
      </c>
      <c r="B147">
        <v>3.11</v>
      </c>
      <c r="C147">
        <v>1.31</v>
      </c>
      <c r="D147">
        <v>0.19</v>
      </c>
      <c r="E147">
        <v>0</v>
      </c>
    </row>
    <row r="148" spans="1:5" x14ac:dyDescent="0.45">
      <c r="A148">
        <v>201310</v>
      </c>
      <c r="B148">
        <v>4.17</v>
      </c>
      <c r="C148">
        <v>-1.56</v>
      </c>
      <c r="D148">
        <v>1.22</v>
      </c>
      <c r="E148">
        <v>0</v>
      </c>
    </row>
    <row r="149" spans="1:5" x14ac:dyDescent="0.45">
      <c r="A149">
        <v>201309</v>
      </c>
      <c r="B149">
        <v>3.77</v>
      </c>
      <c r="C149">
        <v>2.89</v>
      </c>
      <c r="D149">
        <v>-1.18</v>
      </c>
      <c r="E149">
        <v>0</v>
      </c>
    </row>
    <row r="150" spans="1:5" x14ac:dyDescent="0.45">
      <c r="A150">
        <v>201308</v>
      </c>
      <c r="B150">
        <v>-2.71</v>
      </c>
      <c r="C150">
        <v>0.32</v>
      </c>
      <c r="D150">
        <v>-2.73</v>
      </c>
      <c r="E150">
        <v>0</v>
      </c>
    </row>
    <row r="151" spans="1:5" x14ac:dyDescent="0.45">
      <c r="A151">
        <v>201307</v>
      </c>
      <c r="B151">
        <v>5.65</v>
      </c>
      <c r="C151">
        <v>1.81</v>
      </c>
      <c r="D151">
        <v>0.57999999999999996</v>
      </c>
      <c r="E151">
        <v>0</v>
      </c>
    </row>
    <row r="152" spans="1:5" x14ac:dyDescent="0.45">
      <c r="A152">
        <v>201306</v>
      </c>
      <c r="B152">
        <v>-1.2</v>
      </c>
      <c r="C152">
        <v>1.31</v>
      </c>
      <c r="D152">
        <v>-0.05</v>
      </c>
      <c r="E152">
        <v>0</v>
      </c>
    </row>
    <row r="153" spans="1:5" x14ac:dyDescent="0.45">
      <c r="A153">
        <v>201305</v>
      </c>
      <c r="B153">
        <v>2.8</v>
      </c>
      <c r="C153">
        <v>1.7</v>
      </c>
      <c r="D153">
        <v>2.67</v>
      </c>
      <c r="E153">
        <v>0</v>
      </c>
    </row>
    <row r="154" spans="1:5" x14ac:dyDescent="0.45">
      <c r="A154">
        <v>201304</v>
      </c>
      <c r="B154">
        <v>1.56</v>
      </c>
      <c r="C154">
        <v>-2.37</v>
      </c>
      <c r="D154">
        <v>0.44</v>
      </c>
      <c r="E154">
        <v>0</v>
      </c>
    </row>
    <row r="155" spans="1:5" x14ac:dyDescent="0.45">
      <c r="A155">
        <v>201303</v>
      </c>
      <c r="B155">
        <v>4.04</v>
      </c>
      <c r="C155">
        <v>0.83</v>
      </c>
      <c r="D155">
        <v>-0.22</v>
      </c>
      <c r="E155">
        <v>0</v>
      </c>
    </row>
    <row r="156" spans="1:5" x14ac:dyDescent="0.45">
      <c r="A156">
        <v>201302</v>
      </c>
      <c r="B156">
        <v>1.28</v>
      </c>
      <c r="C156">
        <v>-0.3</v>
      </c>
      <c r="D156">
        <v>0.21</v>
      </c>
      <c r="E156">
        <v>0</v>
      </c>
    </row>
    <row r="157" spans="1:5" x14ac:dyDescent="0.45">
      <c r="A157">
        <v>201301</v>
      </c>
      <c r="B157">
        <v>5.57</v>
      </c>
      <c r="C157">
        <v>0.28999999999999998</v>
      </c>
      <c r="D157">
        <v>1.01</v>
      </c>
      <c r="E157">
        <v>0</v>
      </c>
    </row>
    <row r="158" spans="1:5" x14ac:dyDescent="0.45">
      <c r="A158">
        <v>201212</v>
      </c>
      <c r="B158">
        <v>1.18</v>
      </c>
      <c r="C158">
        <v>1.5</v>
      </c>
      <c r="D158">
        <v>3.48</v>
      </c>
      <c r="E158">
        <v>0.01</v>
      </c>
    </row>
    <row r="159" spans="1:5" x14ac:dyDescent="0.45">
      <c r="A159">
        <v>201211</v>
      </c>
      <c r="B159">
        <v>0.78</v>
      </c>
      <c r="C159">
        <v>0.6</v>
      </c>
      <c r="D159">
        <v>-0.86</v>
      </c>
      <c r="E159">
        <v>0.01</v>
      </c>
    </row>
    <row r="160" spans="1:5" x14ac:dyDescent="0.45">
      <c r="A160">
        <v>201210</v>
      </c>
      <c r="B160">
        <v>-1.76</v>
      </c>
      <c r="C160">
        <v>-1.0900000000000001</v>
      </c>
      <c r="D160">
        <v>3.52</v>
      </c>
      <c r="E160">
        <v>0.01</v>
      </c>
    </row>
    <row r="161" spans="1:5" x14ac:dyDescent="0.45">
      <c r="A161">
        <v>201209</v>
      </c>
      <c r="B161">
        <v>2.73</v>
      </c>
      <c r="C161">
        <v>0.45</v>
      </c>
      <c r="D161">
        <v>1.62</v>
      </c>
      <c r="E161">
        <v>0.01</v>
      </c>
    </row>
    <row r="162" spans="1:5" x14ac:dyDescent="0.45">
      <c r="A162">
        <v>201208</v>
      </c>
      <c r="B162">
        <v>2.54</v>
      </c>
      <c r="C162">
        <v>0.5</v>
      </c>
      <c r="D162">
        <v>1.23</v>
      </c>
      <c r="E162">
        <v>0.01</v>
      </c>
    </row>
    <row r="163" spans="1:5" x14ac:dyDescent="0.45">
      <c r="A163">
        <v>201207</v>
      </c>
      <c r="B163">
        <v>0.79</v>
      </c>
      <c r="C163">
        <v>-2.76</v>
      </c>
      <c r="D163">
        <v>-0.06</v>
      </c>
      <c r="E163">
        <v>0</v>
      </c>
    </row>
    <row r="164" spans="1:5" x14ac:dyDescent="0.45">
      <c r="A164">
        <v>201206</v>
      </c>
      <c r="B164">
        <v>3.89</v>
      </c>
      <c r="C164">
        <v>0.72</v>
      </c>
      <c r="D164">
        <v>0.55000000000000004</v>
      </c>
      <c r="E164">
        <v>0</v>
      </c>
    </row>
    <row r="165" spans="1:5" x14ac:dyDescent="0.45">
      <c r="A165">
        <v>201205</v>
      </c>
      <c r="B165">
        <v>-6.17</v>
      </c>
      <c r="C165">
        <v>0.12</v>
      </c>
      <c r="D165">
        <v>-0.95</v>
      </c>
      <c r="E165">
        <v>0.01</v>
      </c>
    </row>
    <row r="166" spans="1:5" x14ac:dyDescent="0.45">
      <c r="A166">
        <v>201204</v>
      </c>
      <c r="B166">
        <v>-0.85</v>
      </c>
      <c r="C166">
        <v>-0.37</v>
      </c>
      <c r="D166">
        <v>-0.77</v>
      </c>
      <c r="E166">
        <v>0</v>
      </c>
    </row>
    <row r="167" spans="1:5" x14ac:dyDescent="0.45">
      <c r="A167">
        <v>201203</v>
      </c>
      <c r="B167">
        <v>3.12</v>
      </c>
      <c r="C167">
        <v>-0.63</v>
      </c>
      <c r="D167">
        <v>1.19</v>
      </c>
      <c r="E167">
        <v>0</v>
      </c>
    </row>
    <row r="168" spans="1:5" x14ac:dyDescent="0.45">
      <c r="A168">
        <v>201202</v>
      </c>
      <c r="B168">
        <v>4.42</v>
      </c>
      <c r="C168">
        <v>-1.84</v>
      </c>
      <c r="D168">
        <v>0.42</v>
      </c>
      <c r="E168">
        <v>0</v>
      </c>
    </row>
    <row r="169" spans="1:5" x14ac:dyDescent="0.45">
      <c r="A169">
        <v>201201</v>
      </c>
      <c r="B169">
        <v>5.05</v>
      </c>
      <c r="C169">
        <v>2.0099999999999998</v>
      </c>
      <c r="D169">
        <v>-0.93</v>
      </c>
      <c r="E169">
        <v>0</v>
      </c>
    </row>
    <row r="170" spans="1:5" x14ac:dyDescent="0.45">
      <c r="A170">
        <v>201112</v>
      </c>
      <c r="B170">
        <v>0.75</v>
      </c>
      <c r="C170">
        <v>-0.56000000000000005</v>
      </c>
      <c r="D170">
        <v>1.54</v>
      </c>
      <c r="E170">
        <v>0</v>
      </c>
    </row>
    <row r="171" spans="1:5" x14ac:dyDescent="0.45">
      <c r="A171">
        <v>201111</v>
      </c>
      <c r="B171">
        <v>-0.27</v>
      </c>
      <c r="C171">
        <v>-0.18</v>
      </c>
      <c r="D171">
        <v>-0.52</v>
      </c>
      <c r="E171">
        <v>0</v>
      </c>
    </row>
    <row r="172" spans="1:5" x14ac:dyDescent="0.45">
      <c r="A172">
        <v>201110</v>
      </c>
      <c r="B172">
        <v>11.33</v>
      </c>
      <c r="C172">
        <v>3.05</v>
      </c>
      <c r="D172">
        <v>0.06</v>
      </c>
      <c r="E172">
        <v>0</v>
      </c>
    </row>
    <row r="173" spans="1:5" x14ac:dyDescent="0.45">
      <c r="A173">
        <v>201109</v>
      </c>
      <c r="B173">
        <v>-7.58</v>
      </c>
      <c r="C173">
        <v>-3.12</v>
      </c>
      <c r="D173">
        <v>-1.53</v>
      </c>
      <c r="E173">
        <v>0</v>
      </c>
    </row>
    <row r="174" spans="1:5" x14ac:dyDescent="0.45">
      <c r="A174">
        <v>201108</v>
      </c>
      <c r="B174">
        <v>-5.96</v>
      </c>
      <c r="C174">
        <v>-2.96</v>
      </c>
      <c r="D174">
        <v>-2.4300000000000002</v>
      </c>
      <c r="E174">
        <v>0.01</v>
      </c>
    </row>
    <row r="175" spans="1:5" x14ac:dyDescent="0.45">
      <c r="A175">
        <v>201107</v>
      </c>
      <c r="B175">
        <v>-2.35</v>
      </c>
      <c r="C175">
        <v>-1.17</v>
      </c>
      <c r="D175">
        <v>-0.91</v>
      </c>
      <c r="E175">
        <v>0</v>
      </c>
    </row>
    <row r="176" spans="1:5" x14ac:dyDescent="0.45">
      <c r="A176">
        <v>201106</v>
      </c>
      <c r="B176">
        <v>-1.74</v>
      </c>
      <c r="C176">
        <v>-0.27</v>
      </c>
      <c r="D176">
        <v>-0.2</v>
      </c>
      <c r="E176">
        <v>0</v>
      </c>
    </row>
    <row r="177" spans="1:5" x14ac:dyDescent="0.45">
      <c r="A177">
        <v>201105</v>
      </c>
      <c r="B177">
        <v>-1.27</v>
      </c>
      <c r="C177">
        <v>-0.73</v>
      </c>
      <c r="D177">
        <v>-1.85</v>
      </c>
      <c r="E177">
        <v>0</v>
      </c>
    </row>
    <row r="178" spans="1:5" x14ac:dyDescent="0.45">
      <c r="A178">
        <v>201104</v>
      </c>
      <c r="B178">
        <v>2.9</v>
      </c>
      <c r="C178">
        <v>-0.42</v>
      </c>
      <c r="D178">
        <v>-2.44</v>
      </c>
      <c r="E178">
        <v>0</v>
      </c>
    </row>
    <row r="179" spans="1:5" x14ac:dyDescent="0.45">
      <c r="A179">
        <v>201103</v>
      </c>
      <c r="B179">
        <v>0.45</v>
      </c>
      <c r="C179">
        <v>2.4900000000000002</v>
      </c>
      <c r="D179">
        <v>-1.84</v>
      </c>
      <c r="E179">
        <v>0.01</v>
      </c>
    </row>
    <row r="180" spans="1:5" x14ac:dyDescent="0.45">
      <c r="A180">
        <v>201102</v>
      </c>
      <c r="B180">
        <v>3.48</v>
      </c>
      <c r="C180">
        <v>1.5</v>
      </c>
      <c r="D180">
        <v>1.18</v>
      </c>
      <c r="E180">
        <v>0.01</v>
      </c>
    </row>
    <row r="181" spans="1:5" x14ac:dyDescent="0.45">
      <c r="A181">
        <v>201101</v>
      </c>
      <c r="B181">
        <v>1.98</v>
      </c>
      <c r="C181">
        <v>-2.29</v>
      </c>
      <c r="D181">
        <v>0.61</v>
      </c>
      <c r="E181">
        <v>0.01</v>
      </c>
    </row>
    <row r="182" spans="1:5" x14ac:dyDescent="0.45">
      <c r="A182">
        <v>201012</v>
      </c>
      <c r="B182">
        <v>6.82</v>
      </c>
      <c r="C182">
        <v>0.72</v>
      </c>
      <c r="D182">
        <v>3.56</v>
      </c>
      <c r="E182">
        <v>0.01</v>
      </c>
    </row>
    <row r="183" spans="1:5" x14ac:dyDescent="0.45">
      <c r="A183">
        <v>201011</v>
      </c>
      <c r="B183">
        <v>0.59</v>
      </c>
      <c r="C183">
        <v>3.67</v>
      </c>
      <c r="D183">
        <v>-0.9</v>
      </c>
      <c r="E183">
        <v>0.01</v>
      </c>
    </row>
    <row r="184" spans="1:5" x14ac:dyDescent="0.45">
      <c r="A184">
        <v>201010</v>
      </c>
      <c r="B184">
        <v>3.87</v>
      </c>
      <c r="C184">
        <v>1.08</v>
      </c>
      <c r="D184">
        <v>-2.46</v>
      </c>
      <c r="E184">
        <v>0.01</v>
      </c>
    </row>
    <row r="185" spans="1:5" x14ac:dyDescent="0.45">
      <c r="A185">
        <v>201009</v>
      </c>
      <c r="B185">
        <v>9.5500000000000007</v>
      </c>
      <c r="C185">
        <v>3.82</v>
      </c>
      <c r="D185">
        <v>-3.02</v>
      </c>
      <c r="E185">
        <v>0.01</v>
      </c>
    </row>
    <row r="186" spans="1:5" x14ac:dyDescent="0.45">
      <c r="A186">
        <v>201008</v>
      </c>
      <c r="B186">
        <v>-4.78</v>
      </c>
      <c r="C186">
        <v>-3.01</v>
      </c>
      <c r="D186">
        <v>-1.73</v>
      </c>
      <c r="E186">
        <v>0.01</v>
      </c>
    </row>
    <row r="187" spans="1:5" x14ac:dyDescent="0.45">
      <c r="A187">
        <v>201007</v>
      </c>
      <c r="B187">
        <v>6.92</v>
      </c>
      <c r="C187">
        <v>0.22</v>
      </c>
      <c r="D187">
        <v>-0.5</v>
      </c>
      <c r="E187">
        <v>0.01</v>
      </c>
    </row>
    <row r="188" spans="1:5" x14ac:dyDescent="0.45">
      <c r="A188">
        <v>201006</v>
      </c>
      <c r="B188">
        <v>-5.56</v>
      </c>
      <c r="C188">
        <v>-1.79</v>
      </c>
      <c r="D188">
        <v>-4.7300000000000004</v>
      </c>
      <c r="E188">
        <v>0.01</v>
      </c>
    </row>
    <row r="189" spans="1:5" x14ac:dyDescent="0.45">
      <c r="A189">
        <v>201005</v>
      </c>
      <c r="B189">
        <v>-7.9</v>
      </c>
      <c r="C189">
        <v>0.13</v>
      </c>
      <c r="D189">
        <v>-2.48</v>
      </c>
      <c r="E189">
        <v>0.01</v>
      </c>
    </row>
    <row r="190" spans="1:5" x14ac:dyDescent="0.45">
      <c r="A190">
        <v>201004</v>
      </c>
      <c r="B190">
        <v>1.99</v>
      </c>
      <c r="C190">
        <v>4.84</v>
      </c>
      <c r="D190">
        <v>2.96</v>
      </c>
      <c r="E190">
        <v>0.01</v>
      </c>
    </row>
    <row r="191" spans="1:5" x14ac:dyDescent="0.45">
      <c r="A191">
        <v>201003</v>
      </c>
      <c r="B191">
        <v>6.3</v>
      </c>
      <c r="C191">
        <v>1.46</v>
      </c>
      <c r="D191">
        <v>2.19</v>
      </c>
      <c r="E191">
        <v>0.01</v>
      </c>
    </row>
    <row r="192" spans="1:5" x14ac:dyDescent="0.45">
      <c r="A192">
        <v>201002</v>
      </c>
      <c r="B192">
        <v>3.39</v>
      </c>
      <c r="C192">
        <v>1.18</v>
      </c>
      <c r="D192">
        <v>3.18</v>
      </c>
      <c r="E192">
        <v>0</v>
      </c>
    </row>
    <row r="193" spans="1:5" x14ac:dyDescent="0.45">
      <c r="A193">
        <v>201001</v>
      </c>
      <c r="B193">
        <v>-3.35</v>
      </c>
      <c r="C193">
        <v>0.43</v>
      </c>
      <c r="D193">
        <v>0.33</v>
      </c>
      <c r="E193">
        <v>0</v>
      </c>
    </row>
    <row r="194" spans="1:5" x14ac:dyDescent="0.45">
      <c r="A194">
        <v>200912</v>
      </c>
      <c r="B194">
        <v>2.8</v>
      </c>
      <c r="C194">
        <v>6.01</v>
      </c>
      <c r="D194">
        <v>-0.11</v>
      </c>
      <c r="E194">
        <v>0.01</v>
      </c>
    </row>
    <row r="195" spans="1:5" x14ac:dyDescent="0.45">
      <c r="A195">
        <v>200911</v>
      </c>
      <c r="B195">
        <v>5.63</v>
      </c>
      <c r="C195">
        <v>-2.5</v>
      </c>
      <c r="D195">
        <v>-0.33</v>
      </c>
      <c r="E195">
        <v>0</v>
      </c>
    </row>
    <row r="196" spans="1:5" x14ac:dyDescent="0.45">
      <c r="A196">
        <v>200910</v>
      </c>
      <c r="B196">
        <v>-2.5299999999999998</v>
      </c>
      <c r="C196">
        <v>-4.26</v>
      </c>
      <c r="D196">
        <v>-4.17</v>
      </c>
      <c r="E196">
        <v>0</v>
      </c>
    </row>
    <row r="197" spans="1:5" x14ac:dyDescent="0.45">
      <c r="A197">
        <v>200909</v>
      </c>
      <c r="B197">
        <v>4.08</v>
      </c>
      <c r="C197">
        <v>2.4300000000000002</v>
      </c>
      <c r="D197">
        <v>1.1499999999999999</v>
      </c>
      <c r="E197">
        <v>0.01</v>
      </c>
    </row>
    <row r="198" spans="1:5" x14ac:dyDescent="0.45">
      <c r="A198">
        <v>200908</v>
      </c>
      <c r="B198">
        <v>3.33</v>
      </c>
      <c r="C198">
        <v>-1.1200000000000001</v>
      </c>
      <c r="D198">
        <v>7.6</v>
      </c>
      <c r="E198">
        <v>0.01</v>
      </c>
    </row>
    <row r="199" spans="1:5" x14ac:dyDescent="0.45">
      <c r="A199">
        <v>200907</v>
      </c>
      <c r="B199">
        <v>7.74</v>
      </c>
      <c r="C199">
        <v>1.75</v>
      </c>
      <c r="D199">
        <v>4.8899999999999997</v>
      </c>
      <c r="E199">
        <v>0.01</v>
      </c>
    </row>
    <row r="200" spans="1:5" x14ac:dyDescent="0.45">
      <c r="A200">
        <v>200906</v>
      </c>
      <c r="B200">
        <v>0.42</v>
      </c>
      <c r="C200">
        <v>2.58</v>
      </c>
      <c r="D200">
        <v>-2.76</v>
      </c>
      <c r="E200">
        <v>0.01</v>
      </c>
    </row>
    <row r="201" spans="1:5" x14ac:dyDescent="0.45">
      <c r="A201">
        <v>200905</v>
      </c>
      <c r="B201">
        <v>5.21</v>
      </c>
      <c r="C201">
        <v>-2.41</v>
      </c>
      <c r="D201">
        <v>0.41</v>
      </c>
      <c r="E201">
        <v>0</v>
      </c>
    </row>
    <row r="202" spans="1:5" x14ac:dyDescent="0.45">
      <c r="A202">
        <v>200904</v>
      </c>
      <c r="B202">
        <v>10.17</v>
      </c>
      <c r="C202">
        <v>5.4</v>
      </c>
      <c r="D202">
        <v>5.38</v>
      </c>
      <c r="E202">
        <v>0.01</v>
      </c>
    </row>
    <row r="203" spans="1:5" x14ac:dyDescent="0.45">
      <c r="A203">
        <v>200903</v>
      </c>
      <c r="B203">
        <v>9.01</v>
      </c>
      <c r="C203">
        <v>-0.1</v>
      </c>
      <c r="D203">
        <v>3.48</v>
      </c>
      <c r="E203">
        <v>0.02</v>
      </c>
    </row>
    <row r="204" spans="1:5" x14ac:dyDescent="0.45">
      <c r="A204">
        <v>200902</v>
      </c>
      <c r="B204">
        <v>-10.14</v>
      </c>
      <c r="C204">
        <v>0.14000000000000001</v>
      </c>
      <c r="D204">
        <v>-6.6</v>
      </c>
      <c r="E204">
        <v>0.01</v>
      </c>
    </row>
    <row r="205" spans="1:5" x14ac:dyDescent="0.45">
      <c r="A205">
        <v>200901</v>
      </c>
      <c r="B205">
        <v>-8.09</v>
      </c>
      <c r="C205">
        <v>0.04</v>
      </c>
      <c r="D205">
        <v>-11.02</v>
      </c>
      <c r="E205">
        <v>0</v>
      </c>
    </row>
    <row r="206" spans="1:5" x14ac:dyDescent="0.45">
      <c r="A206">
        <v>200812</v>
      </c>
      <c r="B206">
        <v>1.77</v>
      </c>
      <c r="C206">
        <v>3.52</v>
      </c>
      <c r="D206">
        <v>0.05</v>
      </c>
      <c r="E206">
        <v>0</v>
      </c>
    </row>
    <row r="207" spans="1:5" x14ac:dyDescent="0.45">
      <c r="A207">
        <v>200811</v>
      </c>
      <c r="B207">
        <v>-7.74</v>
      </c>
      <c r="C207">
        <v>-3.01</v>
      </c>
      <c r="D207">
        <v>-6.21</v>
      </c>
      <c r="E207">
        <v>0.03</v>
      </c>
    </row>
    <row r="208" spans="1:5" x14ac:dyDescent="0.45">
      <c r="A208">
        <v>200810</v>
      </c>
      <c r="B208">
        <v>-17.2</v>
      </c>
      <c r="C208">
        <v>-2.31</v>
      </c>
      <c r="D208">
        <v>-1.89</v>
      </c>
      <c r="E208">
        <v>0.08</v>
      </c>
    </row>
    <row r="209" spans="1:5" x14ac:dyDescent="0.45">
      <c r="A209">
        <v>200809</v>
      </c>
      <c r="B209">
        <v>-9.35</v>
      </c>
      <c r="C209">
        <v>-1.07</v>
      </c>
      <c r="D209">
        <v>5.66</v>
      </c>
      <c r="E209">
        <v>0.15</v>
      </c>
    </row>
    <row r="210" spans="1:5" x14ac:dyDescent="0.45">
      <c r="A210">
        <v>200808</v>
      </c>
      <c r="B210">
        <v>1.53</v>
      </c>
      <c r="C210">
        <v>3.4</v>
      </c>
      <c r="D210">
        <v>1.52</v>
      </c>
      <c r="E210">
        <v>0.13</v>
      </c>
    </row>
    <row r="211" spans="1:5" x14ac:dyDescent="0.45">
      <c r="A211">
        <v>200807</v>
      </c>
      <c r="B211">
        <v>-0.75</v>
      </c>
      <c r="C211">
        <v>2.6</v>
      </c>
      <c r="D211">
        <v>5.2</v>
      </c>
      <c r="E211">
        <v>0.15</v>
      </c>
    </row>
    <row r="212" spans="1:5" x14ac:dyDescent="0.45">
      <c r="A212">
        <v>200806</v>
      </c>
      <c r="B212">
        <v>-8.43</v>
      </c>
      <c r="C212">
        <v>1.1499999999999999</v>
      </c>
      <c r="D212">
        <v>-2.5099999999999998</v>
      </c>
      <c r="E212">
        <v>0.17</v>
      </c>
    </row>
    <row r="213" spans="1:5" x14ac:dyDescent="0.45">
      <c r="A213">
        <v>200805</v>
      </c>
      <c r="B213">
        <v>1.87</v>
      </c>
      <c r="C213">
        <v>2.97</v>
      </c>
      <c r="D213">
        <v>-1.5</v>
      </c>
      <c r="E213">
        <v>0.18</v>
      </c>
    </row>
    <row r="214" spans="1:5" x14ac:dyDescent="0.45">
      <c r="A214">
        <v>200804</v>
      </c>
      <c r="B214">
        <v>4.6100000000000003</v>
      </c>
      <c r="C214">
        <v>-1.69</v>
      </c>
      <c r="D214">
        <v>-0.96</v>
      </c>
      <c r="E214">
        <v>0.18</v>
      </c>
    </row>
    <row r="215" spans="1:5" x14ac:dyDescent="0.45">
      <c r="A215">
        <v>200803</v>
      </c>
      <c r="B215">
        <v>-0.94</v>
      </c>
      <c r="C215">
        <v>0.71</v>
      </c>
      <c r="D215">
        <v>0.31</v>
      </c>
      <c r="E215">
        <v>0.17</v>
      </c>
    </row>
    <row r="216" spans="1:5" x14ac:dyDescent="0.45">
      <c r="A216">
        <v>200802</v>
      </c>
      <c r="B216">
        <v>-3.09</v>
      </c>
      <c r="C216">
        <v>-0.48</v>
      </c>
      <c r="D216">
        <v>-0.72</v>
      </c>
      <c r="E216">
        <v>0.13</v>
      </c>
    </row>
    <row r="217" spans="1:5" x14ac:dyDescent="0.45">
      <c r="A217">
        <v>200801</v>
      </c>
      <c r="B217">
        <v>-6.33</v>
      </c>
      <c r="C217">
        <v>-1.02</v>
      </c>
      <c r="D217">
        <v>4</v>
      </c>
      <c r="E217">
        <v>0.21</v>
      </c>
    </row>
    <row r="218" spans="1:5" x14ac:dyDescent="0.45">
      <c r="A218">
        <v>200712</v>
      </c>
      <c r="B218">
        <v>-0.87</v>
      </c>
      <c r="C218">
        <v>0.11</v>
      </c>
      <c r="D218">
        <v>-0.51</v>
      </c>
      <c r="E218">
        <v>0.27</v>
      </c>
    </row>
    <row r="219" spans="1:5" x14ac:dyDescent="0.45">
      <c r="A219">
        <v>200711</v>
      </c>
      <c r="B219">
        <v>-4.8</v>
      </c>
      <c r="C219">
        <v>-2.81</v>
      </c>
      <c r="D219">
        <v>-1.0900000000000001</v>
      </c>
      <c r="E219">
        <v>0.34</v>
      </c>
    </row>
    <row r="220" spans="1:5" x14ac:dyDescent="0.45">
      <c r="A220">
        <v>200710</v>
      </c>
      <c r="B220">
        <v>1.79</v>
      </c>
      <c r="C220">
        <v>0.19</v>
      </c>
      <c r="D220">
        <v>-2.87</v>
      </c>
      <c r="E220">
        <v>0.32</v>
      </c>
    </row>
    <row r="221" spans="1:5" x14ac:dyDescent="0.45">
      <c r="A221">
        <v>200709</v>
      </c>
      <c r="B221">
        <v>3.22</v>
      </c>
      <c r="C221">
        <v>-2.25</v>
      </c>
      <c r="D221">
        <v>-2.17</v>
      </c>
      <c r="E221">
        <v>0.32</v>
      </c>
    </row>
    <row r="222" spans="1:5" x14ac:dyDescent="0.45">
      <c r="A222">
        <v>200708</v>
      </c>
      <c r="B222">
        <v>0.94</v>
      </c>
      <c r="C222">
        <v>-0.11</v>
      </c>
      <c r="D222">
        <v>-1.87</v>
      </c>
      <c r="E222">
        <v>0.42</v>
      </c>
    </row>
    <row r="223" spans="1:5" x14ac:dyDescent="0.45">
      <c r="A223">
        <v>200707</v>
      </c>
      <c r="B223">
        <v>-3.72</v>
      </c>
      <c r="C223">
        <v>-2.66</v>
      </c>
      <c r="D223">
        <v>-3.68</v>
      </c>
      <c r="E223">
        <v>0.4</v>
      </c>
    </row>
    <row r="224" spans="1:5" x14ac:dyDescent="0.45">
      <c r="A224">
        <v>200706</v>
      </c>
      <c r="B224">
        <v>-1.96</v>
      </c>
      <c r="C224">
        <v>0.73</v>
      </c>
      <c r="D224">
        <v>-1.05</v>
      </c>
      <c r="E224">
        <v>0.4</v>
      </c>
    </row>
    <row r="225" spans="1:5" x14ac:dyDescent="0.45">
      <c r="A225">
        <v>200705</v>
      </c>
      <c r="B225">
        <v>3.23</v>
      </c>
      <c r="C225">
        <v>0.16</v>
      </c>
      <c r="D225">
        <v>-0.59</v>
      </c>
      <c r="E225">
        <v>0.41</v>
      </c>
    </row>
    <row r="226" spans="1:5" x14ac:dyDescent="0.45">
      <c r="A226">
        <v>200704</v>
      </c>
      <c r="B226">
        <v>3.49</v>
      </c>
      <c r="C226">
        <v>-2.21</v>
      </c>
      <c r="D226">
        <v>-1.44</v>
      </c>
      <c r="E226">
        <v>0.44</v>
      </c>
    </row>
    <row r="227" spans="1:5" x14ac:dyDescent="0.45">
      <c r="A227">
        <v>200703</v>
      </c>
      <c r="B227">
        <v>0.71</v>
      </c>
      <c r="C227">
        <v>0.09</v>
      </c>
      <c r="D227">
        <v>-0.88</v>
      </c>
      <c r="E227">
        <v>0.43</v>
      </c>
    </row>
    <row r="228" spans="1:5" x14ac:dyDescent="0.45">
      <c r="A228">
        <v>200702</v>
      </c>
      <c r="B228">
        <v>-1.96</v>
      </c>
      <c r="C228">
        <v>1.23</v>
      </c>
      <c r="D228">
        <v>-0.08</v>
      </c>
      <c r="E228">
        <v>0.38</v>
      </c>
    </row>
    <row r="229" spans="1:5" x14ac:dyDescent="0.45">
      <c r="A229">
        <v>200701</v>
      </c>
      <c r="B229">
        <v>1.38</v>
      </c>
      <c r="C229">
        <v>0.09</v>
      </c>
      <c r="D229">
        <v>-0.68</v>
      </c>
      <c r="E229">
        <v>0.44</v>
      </c>
    </row>
    <row r="230" spans="1:5" x14ac:dyDescent="0.45">
      <c r="A230">
        <v>200612</v>
      </c>
      <c r="B230">
        <v>0.85</v>
      </c>
      <c r="C230">
        <v>-1.1599999999999999</v>
      </c>
      <c r="D230">
        <v>2.74</v>
      </c>
      <c r="E230">
        <v>0.4</v>
      </c>
    </row>
    <row r="231" spans="1:5" x14ac:dyDescent="0.45">
      <c r="A231">
        <v>200611</v>
      </c>
      <c r="B231">
        <v>1.7</v>
      </c>
      <c r="C231">
        <v>0.63</v>
      </c>
      <c r="D231">
        <v>0.04</v>
      </c>
      <c r="E231">
        <v>0.42</v>
      </c>
    </row>
    <row r="232" spans="1:5" x14ac:dyDescent="0.45">
      <c r="A232">
        <v>200610</v>
      </c>
      <c r="B232">
        <v>3.22</v>
      </c>
      <c r="C232">
        <v>1.77</v>
      </c>
      <c r="D232">
        <v>-0.33</v>
      </c>
      <c r="E232">
        <v>0.41</v>
      </c>
    </row>
    <row r="233" spans="1:5" x14ac:dyDescent="0.45">
      <c r="A233">
        <v>200609</v>
      </c>
      <c r="B233">
        <v>1.84</v>
      </c>
      <c r="C233">
        <v>-1.3</v>
      </c>
      <c r="D233">
        <v>0.06</v>
      </c>
      <c r="E233">
        <v>0.41</v>
      </c>
    </row>
    <row r="234" spans="1:5" x14ac:dyDescent="0.45">
      <c r="A234">
        <v>200608</v>
      </c>
      <c r="B234">
        <v>2.0299999999999998</v>
      </c>
      <c r="C234">
        <v>0.99</v>
      </c>
      <c r="D234">
        <v>-1.95</v>
      </c>
      <c r="E234">
        <v>0.42</v>
      </c>
    </row>
    <row r="235" spans="1:5" x14ac:dyDescent="0.45">
      <c r="A235">
        <v>200607</v>
      </c>
      <c r="B235">
        <v>-0.77</v>
      </c>
      <c r="C235">
        <v>-3.95</v>
      </c>
      <c r="D235">
        <v>2.62</v>
      </c>
      <c r="E235">
        <v>0.4</v>
      </c>
    </row>
    <row r="236" spans="1:5" x14ac:dyDescent="0.45">
      <c r="A236">
        <v>200606</v>
      </c>
      <c r="B236">
        <v>-0.35</v>
      </c>
      <c r="C236">
        <v>-0.35</v>
      </c>
      <c r="D236">
        <v>0.85</v>
      </c>
      <c r="E236">
        <v>0.4</v>
      </c>
    </row>
    <row r="237" spans="1:5" x14ac:dyDescent="0.45">
      <c r="A237">
        <v>200605</v>
      </c>
      <c r="B237">
        <v>-3.56</v>
      </c>
      <c r="C237">
        <v>-3.01</v>
      </c>
      <c r="D237">
        <v>2.38</v>
      </c>
      <c r="E237">
        <v>0.43</v>
      </c>
    </row>
    <row r="238" spans="1:5" x14ac:dyDescent="0.45">
      <c r="A238">
        <v>200604</v>
      </c>
      <c r="B238">
        <v>0.73</v>
      </c>
      <c r="C238">
        <v>-1.38</v>
      </c>
      <c r="D238">
        <v>2.2599999999999998</v>
      </c>
      <c r="E238">
        <v>0.36</v>
      </c>
    </row>
    <row r="239" spans="1:5" x14ac:dyDescent="0.45">
      <c r="A239">
        <v>200603</v>
      </c>
      <c r="B239">
        <v>1.47</v>
      </c>
      <c r="C239">
        <v>3.39</v>
      </c>
      <c r="D239">
        <v>0.61</v>
      </c>
      <c r="E239">
        <v>0.37</v>
      </c>
    </row>
    <row r="240" spans="1:5" x14ac:dyDescent="0.45">
      <c r="A240">
        <v>200602</v>
      </c>
      <c r="B240">
        <v>-0.3</v>
      </c>
      <c r="C240">
        <v>-0.41</v>
      </c>
      <c r="D240">
        <v>-0.31</v>
      </c>
      <c r="E240">
        <v>0.34</v>
      </c>
    </row>
    <row r="241" spans="1:5" x14ac:dyDescent="0.45">
      <c r="A241">
        <v>200601</v>
      </c>
      <c r="B241">
        <v>3.03</v>
      </c>
      <c r="C241">
        <v>5.46</v>
      </c>
      <c r="D241">
        <v>0.99</v>
      </c>
      <c r="E241">
        <v>0.35</v>
      </c>
    </row>
    <row r="242" spans="1:5" x14ac:dyDescent="0.45">
      <c r="A242">
        <v>200512</v>
      </c>
      <c r="B242">
        <v>-0.24</v>
      </c>
      <c r="C242">
        <v>-0.44</v>
      </c>
      <c r="D242">
        <v>0.15</v>
      </c>
      <c r="E242">
        <v>0.32</v>
      </c>
    </row>
    <row r="243" spans="1:5" x14ac:dyDescent="0.45">
      <c r="A243">
        <v>200511</v>
      </c>
      <c r="B243">
        <v>3.61</v>
      </c>
      <c r="C243">
        <v>1.05</v>
      </c>
      <c r="D243">
        <v>-1.19</v>
      </c>
      <c r="E243">
        <v>0.31</v>
      </c>
    </row>
    <row r="244" spans="1:5" x14ac:dyDescent="0.45">
      <c r="A244">
        <v>200510</v>
      </c>
      <c r="B244">
        <v>-2.04</v>
      </c>
      <c r="C244">
        <v>-1.3</v>
      </c>
      <c r="D244">
        <v>0.43</v>
      </c>
      <c r="E244">
        <v>0.27</v>
      </c>
    </row>
    <row r="245" spans="1:5" x14ac:dyDescent="0.45">
      <c r="A245">
        <v>200509</v>
      </c>
      <c r="B245">
        <v>0.48</v>
      </c>
      <c r="C245">
        <v>-0.62</v>
      </c>
      <c r="D245">
        <v>0.78</v>
      </c>
      <c r="E245">
        <v>0.28999999999999998</v>
      </c>
    </row>
    <row r="246" spans="1:5" x14ac:dyDescent="0.45">
      <c r="A246">
        <v>200508</v>
      </c>
      <c r="B246">
        <v>-1.2</v>
      </c>
      <c r="C246">
        <v>-1.07</v>
      </c>
      <c r="D246">
        <v>1.34</v>
      </c>
      <c r="E246">
        <v>0.3</v>
      </c>
    </row>
    <row r="247" spans="1:5" x14ac:dyDescent="0.45">
      <c r="A247">
        <v>200507</v>
      </c>
      <c r="B247">
        <v>3.92</v>
      </c>
      <c r="C247">
        <v>2.87</v>
      </c>
      <c r="D247">
        <v>-0.78</v>
      </c>
      <c r="E247">
        <v>0.24</v>
      </c>
    </row>
    <row r="248" spans="1:5" x14ac:dyDescent="0.45">
      <c r="A248">
        <v>200506</v>
      </c>
      <c r="B248">
        <v>0.57999999999999996</v>
      </c>
      <c r="C248">
        <v>2.56</v>
      </c>
      <c r="D248">
        <v>2.8</v>
      </c>
      <c r="E248">
        <v>0.23</v>
      </c>
    </row>
    <row r="249" spans="1:5" x14ac:dyDescent="0.45">
      <c r="A249">
        <v>200505</v>
      </c>
      <c r="B249">
        <v>3.65</v>
      </c>
      <c r="C249">
        <v>2.86</v>
      </c>
      <c r="D249">
        <v>-0.57999999999999996</v>
      </c>
      <c r="E249">
        <v>0.24</v>
      </c>
    </row>
    <row r="250" spans="1:5" x14ac:dyDescent="0.45">
      <c r="A250">
        <v>200504</v>
      </c>
      <c r="B250">
        <v>-2.61</v>
      </c>
      <c r="C250">
        <v>-3.93</v>
      </c>
      <c r="D250">
        <v>0.05</v>
      </c>
      <c r="E250">
        <v>0.21</v>
      </c>
    </row>
    <row r="251" spans="1:5" x14ac:dyDescent="0.45">
      <c r="A251">
        <v>200503</v>
      </c>
      <c r="B251">
        <v>-1.94</v>
      </c>
      <c r="C251">
        <v>-1.41</v>
      </c>
      <c r="D251">
        <v>2.0699999999999998</v>
      </c>
      <c r="E251">
        <v>0.21</v>
      </c>
    </row>
    <row r="252" spans="1:5" x14ac:dyDescent="0.45">
      <c r="A252">
        <v>200502</v>
      </c>
      <c r="B252">
        <v>1.88</v>
      </c>
      <c r="C252">
        <v>-0.56999999999999995</v>
      </c>
      <c r="D252">
        <v>1.41</v>
      </c>
      <c r="E252">
        <v>0.16</v>
      </c>
    </row>
    <row r="253" spans="1:5" x14ac:dyDescent="0.45">
      <c r="A253">
        <v>200501</v>
      </c>
      <c r="B253">
        <v>-2.75</v>
      </c>
      <c r="C253">
        <v>-1.66</v>
      </c>
      <c r="D253">
        <v>2.06</v>
      </c>
      <c r="E253">
        <v>0.16</v>
      </c>
    </row>
    <row r="254" spans="1:5" x14ac:dyDescent="0.45">
      <c r="A254">
        <v>200412</v>
      </c>
      <c r="B254">
        <v>3.42</v>
      </c>
      <c r="C254">
        <v>-0.03</v>
      </c>
      <c r="D254">
        <v>-0.23</v>
      </c>
      <c r="E254">
        <v>0.16</v>
      </c>
    </row>
    <row r="255" spans="1:5" x14ac:dyDescent="0.45">
      <c r="A255">
        <v>200411</v>
      </c>
      <c r="B255">
        <v>4.53</v>
      </c>
      <c r="C255">
        <v>3.74</v>
      </c>
      <c r="D255">
        <v>1.57</v>
      </c>
      <c r="E255">
        <v>0.15</v>
      </c>
    </row>
    <row r="256" spans="1:5" x14ac:dyDescent="0.45">
      <c r="A256">
        <v>200410</v>
      </c>
      <c r="B256">
        <v>1.42</v>
      </c>
      <c r="C256">
        <v>0.13</v>
      </c>
      <c r="D256">
        <v>-0.26</v>
      </c>
      <c r="E256">
        <v>0.11</v>
      </c>
    </row>
    <row r="257" spans="1:5" x14ac:dyDescent="0.45">
      <c r="A257">
        <v>200409</v>
      </c>
      <c r="B257">
        <v>1.6</v>
      </c>
      <c r="C257">
        <v>3.01</v>
      </c>
      <c r="D257">
        <v>-0.05</v>
      </c>
      <c r="E257">
        <v>0.11</v>
      </c>
    </row>
    <row r="258" spans="1:5" x14ac:dyDescent="0.45">
      <c r="A258">
        <v>200408</v>
      </c>
      <c r="B258">
        <v>7.0000000000000007E-2</v>
      </c>
      <c r="C258">
        <v>-1.52</v>
      </c>
      <c r="D258">
        <v>1.08</v>
      </c>
      <c r="E258">
        <v>0.11</v>
      </c>
    </row>
    <row r="259" spans="1:5" x14ac:dyDescent="0.45">
      <c r="A259">
        <v>200407</v>
      </c>
      <c r="B259">
        <v>-4.04</v>
      </c>
      <c r="C259">
        <v>-3.76</v>
      </c>
      <c r="D259">
        <v>3.22</v>
      </c>
      <c r="E259">
        <v>0.1</v>
      </c>
    </row>
    <row r="260" spans="1:5" x14ac:dyDescent="0.45">
      <c r="A260">
        <v>200406</v>
      </c>
      <c r="B260">
        <v>1.85</v>
      </c>
      <c r="C260">
        <v>2.25</v>
      </c>
      <c r="D260">
        <v>1.21</v>
      </c>
      <c r="E260">
        <v>0.08</v>
      </c>
    </row>
    <row r="261" spans="1:5" x14ac:dyDescent="0.45">
      <c r="A261">
        <v>200405</v>
      </c>
      <c r="B261">
        <v>1.18</v>
      </c>
      <c r="C261">
        <v>-0.23</v>
      </c>
      <c r="D261">
        <v>-0.18</v>
      </c>
      <c r="E261">
        <v>0.06</v>
      </c>
    </row>
    <row r="262" spans="1:5" x14ac:dyDescent="0.45">
      <c r="A262">
        <v>200404</v>
      </c>
      <c r="B262">
        <v>-1.81</v>
      </c>
      <c r="C262">
        <v>-1.73</v>
      </c>
      <c r="D262">
        <v>-3.23</v>
      </c>
      <c r="E262">
        <v>0.08</v>
      </c>
    </row>
    <row r="263" spans="1:5" x14ac:dyDescent="0.45">
      <c r="A263">
        <v>200403</v>
      </c>
      <c r="B263">
        <v>-1.32</v>
      </c>
      <c r="C263">
        <v>1.73</v>
      </c>
      <c r="D263">
        <v>0.23</v>
      </c>
      <c r="E263">
        <v>0.09</v>
      </c>
    </row>
    <row r="264" spans="1:5" x14ac:dyDescent="0.45">
      <c r="A264">
        <v>200402</v>
      </c>
      <c r="B264">
        <v>1.4</v>
      </c>
      <c r="C264">
        <v>-1.57</v>
      </c>
      <c r="D264">
        <v>0.95</v>
      </c>
      <c r="E264">
        <v>0.06</v>
      </c>
    </row>
    <row r="265" spans="1:5" x14ac:dyDescent="0.45">
      <c r="A265">
        <v>200401</v>
      </c>
      <c r="B265">
        <v>2.15</v>
      </c>
      <c r="C265">
        <v>2.54</v>
      </c>
      <c r="D265">
        <v>2.42</v>
      </c>
      <c r="E265">
        <v>7.0000000000000007E-2</v>
      </c>
    </row>
    <row r="266" spans="1:5" x14ac:dyDescent="0.45">
      <c r="A266">
        <v>200312</v>
      </c>
      <c r="B266">
        <v>4.29</v>
      </c>
      <c r="C266">
        <v>-2.68</v>
      </c>
      <c r="D266">
        <v>1.51</v>
      </c>
      <c r="E266">
        <v>0.08</v>
      </c>
    </row>
    <row r="267" spans="1:5" x14ac:dyDescent="0.45">
      <c r="A267">
        <v>200311</v>
      </c>
      <c r="B267">
        <v>1.35</v>
      </c>
      <c r="C267">
        <v>2.06</v>
      </c>
      <c r="D267">
        <v>1.72</v>
      </c>
      <c r="E267">
        <v>7.0000000000000007E-2</v>
      </c>
    </row>
    <row r="268" spans="1:5" x14ac:dyDescent="0.45">
      <c r="A268">
        <v>200310</v>
      </c>
      <c r="B268">
        <v>6.08</v>
      </c>
      <c r="C268">
        <v>2.59</v>
      </c>
      <c r="D268">
        <v>2.21</v>
      </c>
      <c r="E268">
        <v>7.0000000000000007E-2</v>
      </c>
    </row>
    <row r="269" spans="1:5" x14ac:dyDescent="0.45">
      <c r="A269">
        <v>200309</v>
      </c>
      <c r="B269">
        <v>-1.24</v>
      </c>
      <c r="C269">
        <v>0.85</v>
      </c>
      <c r="D269">
        <v>0.14000000000000001</v>
      </c>
      <c r="E269">
        <v>0.08</v>
      </c>
    </row>
    <row r="270" spans="1:5" x14ac:dyDescent="0.45">
      <c r="A270">
        <v>200308</v>
      </c>
      <c r="B270">
        <v>2.33</v>
      </c>
      <c r="C270">
        <v>2.44</v>
      </c>
      <c r="D270">
        <v>1.64</v>
      </c>
      <c r="E270">
        <v>7.0000000000000007E-2</v>
      </c>
    </row>
    <row r="271" spans="1:5" x14ac:dyDescent="0.45">
      <c r="A271">
        <v>200307</v>
      </c>
      <c r="B271">
        <v>2.33</v>
      </c>
      <c r="C271">
        <v>4.93</v>
      </c>
      <c r="D271">
        <v>-1.53</v>
      </c>
      <c r="E271">
        <v>7.0000000000000007E-2</v>
      </c>
    </row>
    <row r="272" spans="1:5" x14ac:dyDescent="0.45">
      <c r="A272">
        <v>200306</v>
      </c>
      <c r="B272">
        <v>1.42</v>
      </c>
      <c r="C272">
        <v>1.7</v>
      </c>
      <c r="D272">
        <v>0.14000000000000001</v>
      </c>
      <c r="E272">
        <v>0.1</v>
      </c>
    </row>
    <row r="273" spans="1:5" x14ac:dyDescent="0.45">
      <c r="A273">
        <v>200305</v>
      </c>
      <c r="B273">
        <v>6.05</v>
      </c>
      <c r="C273">
        <v>4.6100000000000003</v>
      </c>
      <c r="D273">
        <v>0.7</v>
      </c>
      <c r="E273">
        <v>0.09</v>
      </c>
    </row>
    <row r="274" spans="1:5" x14ac:dyDescent="0.45">
      <c r="A274">
        <v>200304</v>
      </c>
      <c r="B274">
        <v>8.18</v>
      </c>
      <c r="C274">
        <v>0.76</v>
      </c>
      <c r="D274">
        <v>1.22</v>
      </c>
      <c r="E274">
        <v>0.1</v>
      </c>
    </row>
    <row r="275" spans="1:5" x14ac:dyDescent="0.45">
      <c r="A275">
        <v>200303</v>
      </c>
      <c r="B275">
        <v>1.0900000000000001</v>
      </c>
      <c r="C275">
        <v>1.17</v>
      </c>
      <c r="D275">
        <v>-2.11</v>
      </c>
      <c r="E275">
        <v>0.1</v>
      </c>
    </row>
    <row r="276" spans="1:5" x14ac:dyDescent="0.45">
      <c r="A276">
        <v>200302</v>
      </c>
      <c r="B276">
        <v>-1.88</v>
      </c>
      <c r="C276">
        <v>-0.44</v>
      </c>
      <c r="D276">
        <v>-1.36</v>
      </c>
      <c r="E276">
        <v>0.09</v>
      </c>
    </row>
    <row r="277" spans="1:5" x14ac:dyDescent="0.45">
      <c r="A277">
        <v>200301</v>
      </c>
      <c r="B277">
        <v>-2.57</v>
      </c>
      <c r="C277">
        <v>1.34</v>
      </c>
      <c r="D277">
        <v>-0.79</v>
      </c>
      <c r="E277">
        <v>0.1</v>
      </c>
    </row>
    <row r="278" spans="1:5" x14ac:dyDescent="0.45">
      <c r="A278">
        <v>200212</v>
      </c>
      <c r="B278">
        <v>-5.76</v>
      </c>
      <c r="C278">
        <v>-0.04</v>
      </c>
      <c r="D278">
        <v>2.11</v>
      </c>
      <c r="E278">
        <v>0.11</v>
      </c>
    </row>
    <row r="279" spans="1:5" x14ac:dyDescent="0.45">
      <c r="A279">
        <v>200211</v>
      </c>
      <c r="B279">
        <v>5.96</v>
      </c>
      <c r="C279">
        <v>3.26</v>
      </c>
      <c r="D279">
        <v>-1.1599999999999999</v>
      </c>
      <c r="E279">
        <v>0.12</v>
      </c>
    </row>
    <row r="280" spans="1:5" x14ac:dyDescent="0.45">
      <c r="A280">
        <v>200210</v>
      </c>
      <c r="B280">
        <v>7.84</v>
      </c>
      <c r="C280">
        <v>-3.4</v>
      </c>
      <c r="D280">
        <v>-3.76</v>
      </c>
      <c r="E280">
        <v>0.14000000000000001</v>
      </c>
    </row>
    <row r="281" spans="1:5" x14ac:dyDescent="0.45">
      <c r="A281">
        <v>200209</v>
      </c>
      <c r="B281">
        <v>-10.34</v>
      </c>
      <c r="C281">
        <v>2.42</v>
      </c>
      <c r="D281">
        <v>1.26</v>
      </c>
      <c r="E281">
        <v>0.14000000000000001</v>
      </c>
    </row>
    <row r="282" spans="1:5" x14ac:dyDescent="0.45">
      <c r="A282">
        <v>200208</v>
      </c>
      <c r="B282">
        <v>0.5</v>
      </c>
      <c r="C282">
        <v>-2.8</v>
      </c>
      <c r="D282">
        <v>3.01</v>
      </c>
      <c r="E282">
        <v>0.14000000000000001</v>
      </c>
    </row>
    <row r="283" spans="1:5" x14ac:dyDescent="0.45">
      <c r="A283">
        <v>200207</v>
      </c>
      <c r="B283">
        <v>-8.19</v>
      </c>
      <c r="C283">
        <v>-5.25</v>
      </c>
      <c r="D283">
        <v>-3.51</v>
      </c>
      <c r="E283">
        <v>0.15</v>
      </c>
    </row>
    <row r="284" spans="1:5" x14ac:dyDescent="0.45">
      <c r="A284">
        <v>200206</v>
      </c>
      <c r="B284">
        <v>-7.23</v>
      </c>
      <c r="C284">
        <v>4.08</v>
      </c>
      <c r="D284">
        <v>0.37</v>
      </c>
      <c r="E284">
        <v>0.13</v>
      </c>
    </row>
    <row r="285" spans="1:5" x14ac:dyDescent="0.45">
      <c r="A285">
        <v>200205</v>
      </c>
      <c r="B285">
        <v>-1.36</v>
      </c>
      <c r="C285">
        <v>-3.27</v>
      </c>
      <c r="D285">
        <v>1.52</v>
      </c>
      <c r="E285">
        <v>0.14000000000000001</v>
      </c>
    </row>
    <row r="286" spans="1:5" x14ac:dyDescent="0.45">
      <c r="A286">
        <v>200204</v>
      </c>
      <c r="B286">
        <v>-5.21</v>
      </c>
      <c r="C286">
        <v>5.82</v>
      </c>
      <c r="D286">
        <v>4.01</v>
      </c>
      <c r="E286">
        <v>0.15</v>
      </c>
    </row>
    <row r="287" spans="1:5" x14ac:dyDescent="0.45">
      <c r="A287">
        <v>200203</v>
      </c>
      <c r="B287">
        <v>4.24</v>
      </c>
      <c r="C287">
        <v>4.09</v>
      </c>
      <c r="D287">
        <v>1.08</v>
      </c>
      <c r="E287">
        <v>0.13</v>
      </c>
    </row>
    <row r="288" spans="1:5" x14ac:dyDescent="0.45">
      <c r="A288">
        <v>200202</v>
      </c>
      <c r="B288">
        <v>-2.2999999999999998</v>
      </c>
      <c r="C288">
        <v>-1.08</v>
      </c>
      <c r="D288">
        <v>2.34</v>
      </c>
      <c r="E288">
        <v>0.13</v>
      </c>
    </row>
    <row r="289" spans="1:5" x14ac:dyDescent="0.45">
      <c r="A289">
        <v>200201</v>
      </c>
      <c r="B289">
        <v>-1.44</v>
      </c>
      <c r="C289">
        <v>1.17</v>
      </c>
      <c r="D289">
        <v>3.42</v>
      </c>
      <c r="E289">
        <v>0.14000000000000001</v>
      </c>
    </row>
    <row r="290" spans="1:5" x14ac:dyDescent="0.45">
      <c r="A290">
        <v>200112</v>
      </c>
      <c r="B290">
        <v>1.61</v>
      </c>
      <c r="C290">
        <v>4.72</v>
      </c>
      <c r="D290">
        <v>0.83</v>
      </c>
      <c r="E290">
        <v>0.15</v>
      </c>
    </row>
    <row r="291" spans="1:5" x14ac:dyDescent="0.45">
      <c r="A291">
        <v>200111</v>
      </c>
      <c r="B291">
        <v>7.53</v>
      </c>
      <c r="C291">
        <v>-0.56999999999999995</v>
      </c>
      <c r="D291">
        <v>2.17</v>
      </c>
      <c r="E291">
        <v>0.17</v>
      </c>
    </row>
    <row r="292" spans="1:5" x14ac:dyDescent="0.45">
      <c r="A292">
        <v>200110</v>
      </c>
      <c r="B292">
        <v>2.48</v>
      </c>
      <c r="C292">
        <v>7.49</v>
      </c>
      <c r="D292">
        <v>-7.31</v>
      </c>
      <c r="E292">
        <v>0.22</v>
      </c>
    </row>
    <row r="293" spans="1:5" x14ac:dyDescent="0.45">
      <c r="A293">
        <v>200109</v>
      </c>
      <c r="B293">
        <v>-9.24</v>
      </c>
      <c r="C293">
        <v>-6.23</v>
      </c>
      <c r="D293">
        <v>1.52</v>
      </c>
      <c r="E293">
        <v>0.28000000000000003</v>
      </c>
    </row>
    <row r="294" spans="1:5" x14ac:dyDescent="0.45">
      <c r="A294">
        <v>200108</v>
      </c>
      <c r="B294">
        <v>-6.4</v>
      </c>
      <c r="C294">
        <v>2.19</v>
      </c>
      <c r="D294">
        <v>2.86</v>
      </c>
      <c r="E294">
        <v>0.31</v>
      </c>
    </row>
    <row r="295" spans="1:5" x14ac:dyDescent="0.45">
      <c r="A295">
        <v>200107</v>
      </c>
      <c r="B295">
        <v>-2.13</v>
      </c>
      <c r="C295">
        <v>-4.05</v>
      </c>
      <c r="D295">
        <v>4.95</v>
      </c>
      <c r="E295">
        <v>0.3</v>
      </c>
    </row>
    <row r="296" spans="1:5" x14ac:dyDescent="0.45">
      <c r="A296">
        <v>200106</v>
      </c>
      <c r="B296">
        <v>-1.94</v>
      </c>
      <c r="C296">
        <v>6.35</v>
      </c>
      <c r="D296">
        <v>-1.26</v>
      </c>
      <c r="E296">
        <v>0.28000000000000003</v>
      </c>
    </row>
    <row r="297" spans="1:5" x14ac:dyDescent="0.45">
      <c r="A297">
        <v>200105</v>
      </c>
      <c r="B297">
        <v>0.68</v>
      </c>
      <c r="C297">
        <v>2.48</v>
      </c>
      <c r="D297">
        <v>3.38</v>
      </c>
      <c r="E297">
        <v>0.32</v>
      </c>
    </row>
    <row r="298" spans="1:5" x14ac:dyDescent="0.45">
      <c r="A298">
        <v>200104</v>
      </c>
      <c r="B298">
        <v>7.93</v>
      </c>
      <c r="C298">
        <v>0.5</v>
      </c>
      <c r="D298">
        <v>-4.6399999999999997</v>
      </c>
      <c r="E298">
        <v>0.39</v>
      </c>
    </row>
    <row r="299" spans="1:5" x14ac:dyDescent="0.45">
      <c r="A299">
        <v>200103</v>
      </c>
      <c r="B299">
        <v>-7.25</v>
      </c>
      <c r="C299">
        <v>0.26</v>
      </c>
      <c r="D299">
        <v>6.47</v>
      </c>
      <c r="E299">
        <v>0.42</v>
      </c>
    </row>
    <row r="300" spans="1:5" x14ac:dyDescent="0.45">
      <c r="A300">
        <v>200102</v>
      </c>
      <c r="B300">
        <v>-10.029999999999999</v>
      </c>
      <c r="C300">
        <v>-0.65</v>
      </c>
      <c r="D300">
        <v>12.23</v>
      </c>
      <c r="E300">
        <v>0.38</v>
      </c>
    </row>
    <row r="301" spans="1:5" x14ac:dyDescent="0.45">
      <c r="A301">
        <v>200101</v>
      </c>
      <c r="B301">
        <v>3.25</v>
      </c>
      <c r="C301">
        <v>6.41</v>
      </c>
      <c r="D301">
        <v>-5.05</v>
      </c>
      <c r="E301">
        <v>0.54</v>
      </c>
    </row>
    <row r="302" spans="1:5" x14ac:dyDescent="0.45">
      <c r="A302">
        <v>200012</v>
      </c>
      <c r="B302">
        <v>1.18</v>
      </c>
      <c r="C302">
        <v>0.82</v>
      </c>
      <c r="D302">
        <v>7.55</v>
      </c>
      <c r="E302">
        <v>0.5</v>
      </c>
    </row>
    <row r="303" spans="1:5" x14ac:dyDescent="0.45">
      <c r="A303">
        <v>200011</v>
      </c>
      <c r="B303">
        <v>-10.7</v>
      </c>
      <c r="C303">
        <v>-3.08</v>
      </c>
      <c r="D303">
        <v>12.24</v>
      </c>
      <c r="E303">
        <v>0.51</v>
      </c>
    </row>
    <row r="304" spans="1:5" x14ac:dyDescent="0.45">
      <c r="A304">
        <v>200010</v>
      </c>
      <c r="B304">
        <v>-2.78</v>
      </c>
      <c r="C304">
        <v>-3.85</v>
      </c>
      <c r="D304">
        <v>5.58</v>
      </c>
      <c r="E304">
        <v>0.56000000000000005</v>
      </c>
    </row>
    <row r="305" spans="1:5" x14ac:dyDescent="0.45">
      <c r="A305">
        <v>200009</v>
      </c>
      <c r="B305">
        <v>-5.44</v>
      </c>
      <c r="C305">
        <v>-1.74</v>
      </c>
      <c r="D305">
        <v>7.24</v>
      </c>
      <c r="E305">
        <v>0.51</v>
      </c>
    </row>
    <row r="306" spans="1:5" x14ac:dyDescent="0.45">
      <c r="A306">
        <v>200008</v>
      </c>
      <c r="B306">
        <v>7.03</v>
      </c>
      <c r="C306">
        <v>-0.5</v>
      </c>
      <c r="D306">
        <v>-1.37</v>
      </c>
      <c r="E306">
        <v>0.5</v>
      </c>
    </row>
    <row r="307" spans="1:5" x14ac:dyDescent="0.45">
      <c r="A307">
        <v>200007</v>
      </c>
      <c r="B307">
        <v>-2.48</v>
      </c>
      <c r="C307">
        <v>-2.84</v>
      </c>
      <c r="D307">
        <v>8.06</v>
      </c>
      <c r="E307">
        <v>0.48</v>
      </c>
    </row>
    <row r="308" spans="1:5" x14ac:dyDescent="0.45">
      <c r="A308">
        <v>200006</v>
      </c>
      <c r="B308">
        <v>4.68</v>
      </c>
      <c r="C308">
        <v>12.71</v>
      </c>
      <c r="D308">
        <v>-8.0399999999999991</v>
      </c>
      <c r="E308">
        <v>0.4</v>
      </c>
    </row>
    <row r="309" spans="1:5" x14ac:dyDescent="0.45">
      <c r="A309">
        <v>200005</v>
      </c>
      <c r="B309">
        <v>-4.3899999999999997</v>
      </c>
      <c r="C309">
        <v>-6.08</v>
      </c>
      <c r="D309">
        <v>4.59</v>
      </c>
      <c r="E309">
        <v>0.5</v>
      </c>
    </row>
    <row r="310" spans="1:5" x14ac:dyDescent="0.45">
      <c r="A310">
        <v>200004</v>
      </c>
      <c r="B310">
        <v>-6.39</v>
      </c>
      <c r="C310">
        <v>-6</v>
      </c>
      <c r="D310">
        <v>6.45</v>
      </c>
      <c r="E310">
        <v>0.46</v>
      </c>
    </row>
    <row r="311" spans="1:5" x14ac:dyDescent="0.45">
      <c r="A311">
        <v>200003</v>
      </c>
      <c r="B311">
        <v>5.21</v>
      </c>
      <c r="C311">
        <v>-17.41</v>
      </c>
      <c r="D311">
        <v>8.5</v>
      </c>
      <c r="E311">
        <v>0.47</v>
      </c>
    </row>
    <row r="312" spans="1:5" x14ac:dyDescent="0.45">
      <c r="A312">
        <v>200002</v>
      </c>
      <c r="B312">
        <v>2.46</v>
      </c>
      <c r="C312">
        <v>21.25</v>
      </c>
      <c r="D312">
        <v>-9.77</v>
      </c>
      <c r="E312">
        <v>0.43</v>
      </c>
    </row>
    <row r="313" spans="1:5" x14ac:dyDescent="0.45">
      <c r="A313">
        <v>200001</v>
      </c>
      <c r="B313">
        <v>-4.74</v>
      </c>
      <c r="C313">
        <v>5.16</v>
      </c>
      <c r="D313">
        <v>-1.1200000000000001</v>
      </c>
      <c r="E313">
        <v>0.41</v>
      </c>
    </row>
    <row r="314" spans="1:5" x14ac:dyDescent="0.45">
      <c r="A314">
        <v>199912</v>
      </c>
      <c r="B314">
        <v>7.66</v>
      </c>
      <c r="C314">
        <v>6.56</v>
      </c>
      <c r="D314">
        <v>-7.66</v>
      </c>
      <c r="E314">
        <v>0.44</v>
      </c>
    </row>
    <row r="315" spans="1:5" x14ac:dyDescent="0.45">
      <c r="A315">
        <v>199911</v>
      </c>
      <c r="B315">
        <v>3.41</v>
      </c>
      <c r="C315">
        <v>6.87</v>
      </c>
      <c r="D315">
        <v>-5.65</v>
      </c>
      <c r="E315">
        <v>0.36</v>
      </c>
    </row>
    <row r="316" spans="1:5" x14ac:dyDescent="0.45">
      <c r="A316">
        <v>199910</v>
      </c>
      <c r="B316">
        <v>6.09</v>
      </c>
      <c r="C316">
        <v>-6.94</v>
      </c>
      <c r="D316">
        <v>-2.88</v>
      </c>
      <c r="E316">
        <v>0.39</v>
      </c>
    </row>
    <row r="317" spans="1:5" x14ac:dyDescent="0.45">
      <c r="A317">
        <v>199909</v>
      </c>
      <c r="B317">
        <v>-2.77</v>
      </c>
      <c r="C317">
        <v>3.12</v>
      </c>
      <c r="D317">
        <v>-2.9</v>
      </c>
      <c r="E317">
        <v>0.39</v>
      </c>
    </row>
    <row r="318" spans="1:5" x14ac:dyDescent="0.45">
      <c r="A318">
        <v>199908</v>
      </c>
      <c r="B318">
        <v>-1.37</v>
      </c>
      <c r="C318">
        <v>-0.95</v>
      </c>
      <c r="D318">
        <v>-1.93</v>
      </c>
      <c r="E318">
        <v>0.39</v>
      </c>
    </row>
    <row r="319" spans="1:5" x14ac:dyDescent="0.45">
      <c r="A319">
        <v>199907</v>
      </c>
      <c r="B319">
        <v>-3.49</v>
      </c>
      <c r="C319">
        <v>2.48</v>
      </c>
      <c r="D319">
        <v>-0.18</v>
      </c>
      <c r="E319">
        <v>0.38</v>
      </c>
    </row>
    <row r="320" spans="1:5" x14ac:dyDescent="0.45">
      <c r="A320">
        <v>199906</v>
      </c>
      <c r="B320">
        <v>4.7699999999999996</v>
      </c>
      <c r="C320">
        <v>3.23</v>
      </c>
      <c r="D320">
        <v>-3.22</v>
      </c>
      <c r="E320">
        <v>0.4</v>
      </c>
    </row>
    <row r="321" spans="1:5" x14ac:dyDescent="0.45">
      <c r="A321">
        <v>199905</v>
      </c>
      <c r="B321">
        <v>-2.46</v>
      </c>
      <c r="C321">
        <v>3.32</v>
      </c>
      <c r="D321">
        <v>2.4900000000000002</v>
      </c>
      <c r="E321">
        <v>0.34</v>
      </c>
    </row>
    <row r="322" spans="1:5" x14ac:dyDescent="0.45">
      <c r="A322">
        <v>199904</v>
      </c>
      <c r="B322">
        <v>4.34</v>
      </c>
      <c r="C322">
        <v>3.89</v>
      </c>
      <c r="D322">
        <v>2.4</v>
      </c>
      <c r="E322">
        <v>0.37</v>
      </c>
    </row>
    <row r="323" spans="1:5" x14ac:dyDescent="0.45">
      <c r="A323">
        <v>199903</v>
      </c>
      <c r="B323">
        <v>3.48</v>
      </c>
      <c r="C323">
        <v>-3.84</v>
      </c>
      <c r="D323">
        <v>-2.61</v>
      </c>
      <c r="E323">
        <v>0.43</v>
      </c>
    </row>
    <row r="324" spans="1:5" x14ac:dyDescent="0.45">
      <c r="A324">
        <v>199902</v>
      </c>
      <c r="B324">
        <v>-4.08</v>
      </c>
      <c r="C324">
        <v>-6.02</v>
      </c>
      <c r="D324">
        <v>1.95</v>
      </c>
      <c r="E324">
        <v>0.35</v>
      </c>
    </row>
    <row r="325" spans="1:5" x14ac:dyDescent="0.45">
      <c r="A325">
        <v>199901</v>
      </c>
      <c r="B325">
        <v>3.48</v>
      </c>
      <c r="C325">
        <v>0.67</v>
      </c>
      <c r="D325">
        <v>-4.46</v>
      </c>
      <c r="E325">
        <v>0.35</v>
      </c>
    </row>
    <row r="326" spans="1:5" x14ac:dyDescent="0.45">
      <c r="A326">
        <v>199812</v>
      </c>
      <c r="B326">
        <v>6.15</v>
      </c>
      <c r="C326">
        <v>-0.46</v>
      </c>
      <c r="D326">
        <v>-4.25</v>
      </c>
      <c r="E326">
        <v>0.38</v>
      </c>
    </row>
    <row r="327" spans="1:5" x14ac:dyDescent="0.45">
      <c r="A327">
        <v>199811</v>
      </c>
      <c r="B327">
        <v>6.07</v>
      </c>
      <c r="C327">
        <v>1.26</v>
      </c>
      <c r="D327">
        <v>-3.24</v>
      </c>
      <c r="E327">
        <v>0.31</v>
      </c>
    </row>
    <row r="328" spans="1:5" x14ac:dyDescent="0.45">
      <c r="A328">
        <v>199810</v>
      </c>
      <c r="B328">
        <v>6.98</v>
      </c>
      <c r="C328">
        <v>-2.98</v>
      </c>
      <c r="D328">
        <v>-2.33</v>
      </c>
      <c r="E328">
        <v>0.32</v>
      </c>
    </row>
    <row r="329" spans="1:5" x14ac:dyDescent="0.45">
      <c r="A329">
        <v>199809</v>
      </c>
      <c r="B329">
        <v>6.19</v>
      </c>
      <c r="C329">
        <v>-0.02</v>
      </c>
      <c r="D329">
        <v>-3.51</v>
      </c>
      <c r="E329">
        <v>0.46</v>
      </c>
    </row>
    <row r="330" spans="1:5" x14ac:dyDescent="0.45">
      <c r="A330">
        <v>199808</v>
      </c>
      <c r="B330">
        <v>-16.05</v>
      </c>
      <c r="C330">
        <v>-5.47</v>
      </c>
      <c r="D330">
        <v>3.57</v>
      </c>
      <c r="E330">
        <v>0.43</v>
      </c>
    </row>
    <row r="331" spans="1:5" x14ac:dyDescent="0.45">
      <c r="A331">
        <v>199807</v>
      </c>
      <c r="B331">
        <v>-2.42</v>
      </c>
      <c r="C331">
        <v>-4.83</v>
      </c>
      <c r="D331">
        <v>-1.83</v>
      </c>
      <c r="E331">
        <v>0.4</v>
      </c>
    </row>
    <row r="332" spans="1:5" x14ac:dyDescent="0.45">
      <c r="A332">
        <v>199806</v>
      </c>
      <c r="B332">
        <v>3.19</v>
      </c>
      <c r="C332">
        <v>-3.17</v>
      </c>
      <c r="D332">
        <v>-2.0299999999999998</v>
      </c>
      <c r="E332">
        <v>0.41</v>
      </c>
    </row>
    <row r="333" spans="1:5" x14ac:dyDescent="0.45">
      <c r="A333">
        <v>199805</v>
      </c>
      <c r="B333">
        <v>-3.07</v>
      </c>
      <c r="C333">
        <v>-3.4</v>
      </c>
      <c r="D333">
        <v>3.41</v>
      </c>
      <c r="E333">
        <v>0.4</v>
      </c>
    </row>
    <row r="334" spans="1:5" x14ac:dyDescent="0.45">
      <c r="A334">
        <v>199804</v>
      </c>
      <c r="B334">
        <v>0.74</v>
      </c>
      <c r="C334">
        <v>0.06</v>
      </c>
      <c r="D334">
        <v>1.03</v>
      </c>
      <c r="E334">
        <v>0.43</v>
      </c>
    </row>
    <row r="335" spans="1:5" x14ac:dyDescent="0.45">
      <c r="A335">
        <v>199803</v>
      </c>
      <c r="B335">
        <v>4.76</v>
      </c>
      <c r="C335">
        <v>-1.19</v>
      </c>
      <c r="D335">
        <v>1.38</v>
      </c>
      <c r="E335">
        <v>0.39</v>
      </c>
    </row>
    <row r="336" spans="1:5" x14ac:dyDescent="0.45">
      <c r="A336">
        <v>199802</v>
      </c>
      <c r="B336">
        <v>7.03</v>
      </c>
      <c r="C336">
        <v>0.13</v>
      </c>
      <c r="D336">
        <v>-0.93</v>
      </c>
      <c r="E336">
        <v>0.39</v>
      </c>
    </row>
    <row r="337" spans="1:5" x14ac:dyDescent="0.45">
      <c r="A337">
        <v>199801</v>
      </c>
      <c r="B337">
        <v>0.15</v>
      </c>
      <c r="C337">
        <v>-1.01</v>
      </c>
      <c r="D337">
        <v>-1.68</v>
      </c>
      <c r="E337">
        <v>0.43</v>
      </c>
    </row>
    <row r="338" spans="1:5" x14ac:dyDescent="0.45">
      <c r="A338">
        <v>199712</v>
      </c>
      <c r="B338">
        <v>1.33</v>
      </c>
      <c r="C338">
        <v>-2.48</v>
      </c>
      <c r="D338">
        <v>3.74</v>
      </c>
      <c r="E338">
        <v>0.48</v>
      </c>
    </row>
    <row r="339" spans="1:5" x14ac:dyDescent="0.45">
      <c r="A339">
        <v>199711</v>
      </c>
      <c r="B339">
        <v>2.99</v>
      </c>
      <c r="C339">
        <v>-5.1100000000000003</v>
      </c>
      <c r="D339">
        <v>1.22</v>
      </c>
      <c r="E339">
        <v>0.39</v>
      </c>
    </row>
    <row r="340" spans="1:5" x14ac:dyDescent="0.45">
      <c r="A340">
        <v>199710</v>
      </c>
      <c r="B340">
        <v>-3.8</v>
      </c>
      <c r="C340">
        <v>-0.71</v>
      </c>
      <c r="D340">
        <v>2.33</v>
      </c>
      <c r="E340">
        <v>0.42</v>
      </c>
    </row>
    <row r="341" spans="1:5" x14ac:dyDescent="0.45">
      <c r="A341">
        <v>199709</v>
      </c>
      <c r="B341">
        <v>5.34</v>
      </c>
      <c r="C341">
        <v>2.54</v>
      </c>
      <c r="D341">
        <v>0.24</v>
      </c>
      <c r="E341">
        <v>0.44</v>
      </c>
    </row>
    <row r="342" spans="1:5" x14ac:dyDescent="0.45">
      <c r="A342">
        <v>199708</v>
      </c>
      <c r="B342">
        <v>-4.0999999999999996</v>
      </c>
      <c r="C342">
        <v>7.15</v>
      </c>
      <c r="D342">
        <v>1.1299999999999999</v>
      </c>
      <c r="E342">
        <v>0.41</v>
      </c>
    </row>
    <row r="343" spans="1:5" x14ac:dyDescent="0.45">
      <c r="A343">
        <v>199707</v>
      </c>
      <c r="B343">
        <v>7.31</v>
      </c>
      <c r="C343">
        <v>-2.73</v>
      </c>
      <c r="D343">
        <v>0.13</v>
      </c>
      <c r="E343">
        <v>0.43</v>
      </c>
    </row>
    <row r="344" spans="1:5" x14ac:dyDescent="0.45">
      <c r="A344">
        <v>199706</v>
      </c>
      <c r="B344">
        <v>4.0999999999999996</v>
      </c>
      <c r="C344">
        <v>1.21</v>
      </c>
      <c r="D344">
        <v>1.44</v>
      </c>
      <c r="E344">
        <v>0.37</v>
      </c>
    </row>
    <row r="345" spans="1:5" x14ac:dyDescent="0.45">
      <c r="A345">
        <v>199705</v>
      </c>
      <c r="B345">
        <v>6.73</v>
      </c>
      <c r="C345">
        <v>5.12</v>
      </c>
      <c r="D345">
        <v>-4.1100000000000003</v>
      </c>
      <c r="E345">
        <v>0.49</v>
      </c>
    </row>
    <row r="346" spans="1:5" x14ac:dyDescent="0.45">
      <c r="A346">
        <v>199704</v>
      </c>
      <c r="B346">
        <v>4.04</v>
      </c>
      <c r="C346">
        <v>-5.74</v>
      </c>
      <c r="D346">
        <v>0</v>
      </c>
      <c r="E346">
        <v>0.43</v>
      </c>
    </row>
    <row r="347" spans="1:5" x14ac:dyDescent="0.45">
      <c r="A347">
        <v>199703</v>
      </c>
      <c r="B347">
        <v>-5.0199999999999996</v>
      </c>
      <c r="C347">
        <v>-0.33</v>
      </c>
      <c r="D347">
        <v>3.39</v>
      </c>
      <c r="E347">
        <v>0.43</v>
      </c>
    </row>
    <row r="348" spans="1:5" x14ac:dyDescent="0.45">
      <c r="A348">
        <v>199702</v>
      </c>
      <c r="B348">
        <v>-0.48</v>
      </c>
      <c r="C348">
        <v>-3.16</v>
      </c>
      <c r="D348">
        <v>5.61</v>
      </c>
      <c r="E348">
        <v>0.39</v>
      </c>
    </row>
    <row r="349" spans="1:5" x14ac:dyDescent="0.45">
      <c r="A349">
        <v>199701</v>
      </c>
      <c r="B349">
        <v>4.96</v>
      </c>
      <c r="C349">
        <v>-1.93</v>
      </c>
      <c r="D349">
        <v>-1.44</v>
      </c>
      <c r="E349">
        <v>0.45</v>
      </c>
    </row>
    <row r="350" spans="1:5" x14ac:dyDescent="0.45">
      <c r="A350">
        <v>199612</v>
      </c>
      <c r="B350">
        <v>-1.7</v>
      </c>
      <c r="C350">
        <v>3.12</v>
      </c>
      <c r="D350">
        <v>1.28</v>
      </c>
      <c r="E350">
        <v>0.46</v>
      </c>
    </row>
    <row r="351" spans="1:5" x14ac:dyDescent="0.45">
      <c r="A351">
        <v>199611</v>
      </c>
      <c r="B351">
        <v>6.25</v>
      </c>
      <c r="C351">
        <v>-4.04</v>
      </c>
      <c r="D351">
        <v>1.4</v>
      </c>
      <c r="E351">
        <v>0.41</v>
      </c>
    </row>
    <row r="352" spans="1:5" x14ac:dyDescent="0.45">
      <c r="A352">
        <v>199610</v>
      </c>
      <c r="B352">
        <v>0.87</v>
      </c>
      <c r="C352">
        <v>-4.3899999999999997</v>
      </c>
      <c r="D352">
        <v>4.88</v>
      </c>
      <c r="E352">
        <v>0.42</v>
      </c>
    </row>
    <row r="353" spans="1:5" x14ac:dyDescent="0.45">
      <c r="A353">
        <v>199609</v>
      </c>
      <c r="B353">
        <v>5.01</v>
      </c>
      <c r="C353">
        <v>-1.02</v>
      </c>
      <c r="D353">
        <v>-2.74</v>
      </c>
      <c r="E353">
        <v>0.44</v>
      </c>
    </row>
    <row r="354" spans="1:5" x14ac:dyDescent="0.45">
      <c r="A354">
        <v>199608</v>
      </c>
      <c r="B354">
        <v>2.77</v>
      </c>
      <c r="C354">
        <v>2.4500000000000002</v>
      </c>
      <c r="D354">
        <v>-0.82</v>
      </c>
      <c r="E354">
        <v>0.41</v>
      </c>
    </row>
    <row r="355" spans="1:5" x14ac:dyDescent="0.45">
      <c r="A355">
        <v>199607</v>
      </c>
      <c r="B355">
        <v>-5.96</v>
      </c>
      <c r="C355">
        <v>-4.3</v>
      </c>
      <c r="D355">
        <v>5.19</v>
      </c>
      <c r="E355">
        <v>0.45</v>
      </c>
    </row>
    <row r="356" spans="1:5" x14ac:dyDescent="0.45">
      <c r="A356">
        <v>199606</v>
      </c>
      <c r="B356">
        <v>-1.1299999999999999</v>
      </c>
      <c r="C356">
        <v>-4</v>
      </c>
      <c r="D356">
        <v>2.33</v>
      </c>
      <c r="E356">
        <v>0.4</v>
      </c>
    </row>
    <row r="357" spans="1:5" x14ac:dyDescent="0.45">
      <c r="A357">
        <v>199605</v>
      </c>
      <c r="B357">
        <v>2.36</v>
      </c>
      <c r="C357">
        <v>3.2</v>
      </c>
      <c r="D357">
        <v>-0.9</v>
      </c>
      <c r="E357">
        <v>0.42</v>
      </c>
    </row>
    <row r="358" spans="1:5" x14ac:dyDescent="0.45">
      <c r="A358">
        <v>199604</v>
      </c>
      <c r="B358">
        <v>2.06</v>
      </c>
      <c r="C358">
        <v>5.2</v>
      </c>
      <c r="D358">
        <v>-3.97</v>
      </c>
      <c r="E358">
        <v>0.46</v>
      </c>
    </row>
    <row r="359" spans="1:5" x14ac:dyDescent="0.45">
      <c r="A359">
        <v>199603</v>
      </c>
      <c r="B359">
        <v>0.74</v>
      </c>
      <c r="C359">
        <v>1.43</v>
      </c>
      <c r="D359">
        <v>0.42</v>
      </c>
      <c r="E359">
        <v>0.39</v>
      </c>
    </row>
    <row r="360" spans="1:5" x14ac:dyDescent="0.45">
      <c r="A360">
        <v>199602</v>
      </c>
      <c r="B360">
        <v>1.33</v>
      </c>
      <c r="C360">
        <v>1.79</v>
      </c>
      <c r="D360">
        <v>-1.05</v>
      </c>
      <c r="E360">
        <v>0.39</v>
      </c>
    </row>
    <row r="361" spans="1:5" x14ac:dyDescent="0.45">
      <c r="A361">
        <v>199601</v>
      </c>
      <c r="B361">
        <v>2.2599999999999998</v>
      </c>
      <c r="C361">
        <v>-2.83</v>
      </c>
      <c r="D361">
        <v>0.46</v>
      </c>
      <c r="E361">
        <v>0.43</v>
      </c>
    </row>
    <row r="362" spans="1:5" x14ac:dyDescent="0.45">
      <c r="A362">
        <v>199512</v>
      </c>
      <c r="B362">
        <v>1.04</v>
      </c>
      <c r="C362">
        <v>0.66</v>
      </c>
      <c r="D362">
        <v>0.24</v>
      </c>
      <c r="E362">
        <v>0.49</v>
      </c>
    </row>
    <row r="363" spans="1:5" x14ac:dyDescent="0.45">
      <c r="A363">
        <v>199511</v>
      </c>
      <c r="B363">
        <v>3.96</v>
      </c>
      <c r="C363">
        <v>-1.1200000000000001</v>
      </c>
      <c r="D363">
        <v>0.52</v>
      </c>
      <c r="E363">
        <v>0.42</v>
      </c>
    </row>
    <row r="364" spans="1:5" x14ac:dyDescent="0.45">
      <c r="A364">
        <v>199510</v>
      </c>
      <c r="B364">
        <v>-1.51</v>
      </c>
      <c r="C364">
        <v>-3.8</v>
      </c>
      <c r="D364">
        <v>-0.49</v>
      </c>
      <c r="E364">
        <v>0.47</v>
      </c>
    </row>
    <row r="365" spans="1:5" x14ac:dyDescent="0.45">
      <c r="A365">
        <v>199509</v>
      </c>
      <c r="B365">
        <v>3.36</v>
      </c>
      <c r="C365">
        <v>-2.16</v>
      </c>
      <c r="D365">
        <v>-0.11</v>
      </c>
      <c r="E365">
        <v>0.43</v>
      </c>
    </row>
    <row r="366" spans="1:5" x14ac:dyDescent="0.45">
      <c r="A366">
        <v>199508</v>
      </c>
      <c r="B366">
        <v>0.55000000000000004</v>
      </c>
      <c r="C366">
        <v>1.31</v>
      </c>
      <c r="D366">
        <v>2.68</v>
      </c>
      <c r="E366">
        <v>0.47</v>
      </c>
    </row>
    <row r="367" spans="1:5" x14ac:dyDescent="0.45">
      <c r="A367">
        <v>199507</v>
      </c>
      <c r="B367">
        <v>3.71</v>
      </c>
      <c r="C367">
        <v>2.09</v>
      </c>
      <c r="D367">
        <v>-1.58</v>
      </c>
      <c r="E367">
        <v>0.45</v>
      </c>
    </row>
    <row r="368" spans="1:5" x14ac:dyDescent="0.45">
      <c r="A368">
        <v>199506</v>
      </c>
      <c r="B368">
        <v>2.72</v>
      </c>
      <c r="C368">
        <v>3.17</v>
      </c>
      <c r="D368">
        <v>-2.54</v>
      </c>
      <c r="E368">
        <v>0.47</v>
      </c>
    </row>
    <row r="369" spans="1:5" x14ac:dyDescent="0.45">
      <c r="A369">
        <v>199505</v>
      </c>
      <c r="B369">
        <v>2.9</v>
      </c>
      <c r="C369">
        <v>-2.5299999999999998</v>
      </c>
      <c r="D369">
        <v>2.2799999999999998</v>
      </c>
      <c r="E369">
        <v>0.54</v>
      </c>
    </row>
    <row r="370" spans="1:5" x14ac:dyDescent="0.45">
      <c r="A370">
        <v>199504</v>
      </c>
      <c r="B370">
        <v>2.11</v>
      </c>
      <c r="C370">
        <v>-0.51</v>
      </c>
      <c r="D370">
        <v>1.67</v>
      </c>
      <c r="E370">
        <v>0.44</v>
      </c>
    </row>
    <row r="371" spans="1:5" x14ac:dyDescent="0.45">
      <c r="A371">
        <v>199503</v>
      </c>
      <c r="B371">
        <v>2.19</v>
      </c>
      <c r="C371">
        <v>-0.2</v>
      </c>
      <c r="D371">
        <v>-2.13</v>
      </c>
      <c r="E371">
        <v>0.46</v>
      </c>
    </row>
    <row r="372" spans="1:5" x14ac:dyDescent="0.45">
      <c r="A372">
        <v>199502</v>
      </c>
      <c r="B372">
        <v>3.63</v>
      </c>
      <c r="C372">
        <v>-0.61</v>
      </c>
      <c r="D372">
        <v>0.99</v>
      </c>
      <c r="E372">
        <v>0.4</v>
      </c>
    </row>
    <row r="373" spans="1:5" x14ac:dyDescent="0.45">
      <c r="A373">
        <v>199501</v>
      </c>
      <c r="B373">
        <v>1.8</v>
      </c>
      <c r="C373">
        <v>-3.51</v>
      </c>
      <c r="D373">
        <v>2.59</v>
      </c>
      <c r="E373">
        <v>0.42</v>
      </c>
    </row>
    <row r="374" spans="1:5" x14ac:dyDescent="0.45">
      <c r="A374">
        <v>199412</v>
      </c>
      <c r="B374">
        <v>0.86</v>
      </c>
      <c r="C374">
        <v>0.17</v>
      </c>
      <c r="D374">
        <v>-0.09</v>
      </c>
      <c r="E374">
        <v>0.44</v>
      </c>
    </row>
    <row r="375" spans="1:5" x14ac:dyDescent="0.45">
      <c r="A375">
        <v>199411</v>
      </c>
      <c r="B375">
        <v>-4.03</v>
      </c>
      <c r="C375">
        <v>0.28000000000000003</v>
      </c>
      <c r="D375">
        <v>-0.73</v>
      </c>
      <c r="E375">
        <v>0.37</v>
      </c>
    </row>
    <row r="376" spans="1:5" x14ac:dyDescent="0.45">
      <c r="A376">
        <v>199410</v>
      </c>
      <c r="B376">
        <v>1.35</v>
      </c>
      <c r="C376">
        <v>-2.16</v>
      </c>
      <c r="D376">
        <v>-1.66</v>
      </c>
      <c r="E376">
        <v>0.38</v>
      </c>
    </row>
    <row r="377" spans="1:5" x14ac:dyDescent="0.45">
      <c r="A377">
        <v>199409</v>
      </c>
      <c r="B377">
        <v>-2.2799999999999998</v>
      </c>
      <c r="C377">
        <v>3.04</v>
      </c>
      <c r="D377">
        <v>-1.81</v>
      </c>
      <c r="E377">
        <v>0.37</v>
      </c>
    </row>
    <row r="378" spans="1:5" x14ac:dyDescent="0.45">
      <c r="A378">
        <v>199408</v>
      </c>
      <c r="B378">
        <v>4.0199999999999996</v>
      </c>
      <c r="C378">
        <v>1.5</v>
      </c>
      <c r="D378">
        <v>-2.5499999999999998</v>
      </c>
      <c r="E378">
        <v>0.37</v>
      </c>
    </row>
    <row r="379" spans="1:5" x14ac:dyDescent="0.45">
      <c r="A379">
        <v>199407</v>
      </c>
      <c r="B379">
        <v>2.82</v>
      </c>
      <c r="C379">
        <v>-1.81</v>
      </c>
      <c r="D379">
        <v>0.61</v>
      </c>
      <c r="E379">
        <v>0.28000000000000003</v>
      </c>
    </row>
    <row r="380" spans="1:5" x14ac:dyDescent="0.45">
      <c r="A380">
        <v>199406</v>
      </c>
      <c r="B380">
        <v>-3.04</v>
      </c>
      <c r="C380">
        <v>-0.43</v>
      </c>
      <c r="D380">
        <v>1.77</v>
      </c>
      <c r="E380">
        <v>0.31</v>
      </c>
    </row>
    <row r="381" spans="1:5" x14ac:dyDescent="0.45">
      <c r="A381">
        <v>199405</v>
      </c>
      <c r="B381">
        <v>0.57999999999999996</v>
      </c>
      <c r="C381">
        <v>-2.09</v>
      </c>
      <c r="D381">
        <v>0.6</v>
      </c>
      <c r="E381">
        <v>0.32</v>
      </c>
    </row>
    <row r="382" spans="1:5" x14ac:dyDescent="0.45">
      <c r="A382">
        <v>199404</v>
      </c>
      <c r="B382">
        <v>0.68</v>
      </c>
      <c r="C382">
        <v>-0.93</v>
      </c>
      <c r="D382">
        <v>1.66</v>
      </c>
      <c r="E382">
        <v>0.27</v>
      </c>
    </row>
    <row r="383" spans="1:5" x14ac:dyDescent="0.45">
      <c r="A383">
        <v>199403</v>
      </c>
      <c r="B383">
        <v>-4.79</v>
      </c>
      <c r="C383">
        <v>-1.08</v>
      </c>
      <c r="D383">
        <v>1.67</v>
      </c>
      <c r="E383">
        <v>0.27</v>
      </c>
    </row>
    <row r="384" spans="1:5" x14ac:dyDescent="0.45">
      <c r="A384">
        <v>199402</v>
      </c>
      <c r="B384">
        <v>-2.5499999999999998</v>
      </c>
      <c r="C384">
        <v>2.76</v>
      </c>
      <c r="D384">
        <v>-1.52</v>
      </c>
      <c r="E384">
        <v>0.21</v>
      </c>
    </row>
    <row r="385" spans="1:5" x14ac:dyDescent="0.45">
      <c r="A385">
        <v>199401</v>
      </c>
      <c r="B385">
        <v>2.87</v>
      </c>
      <c r="C385">
        <v>0.33</v>
      </c>
      <c r="D385">
        <v>1.1000000000000001</v>
      </c>
      <c r="E385">
        <v>0.25</v>
      </c>
    </row>
    <row r="386" spans="1:5" x14ac:dyDescent="0.45">
      <c r="A386">
        <v>199312</v>
      </c>
      <c r="B386">
        <v>1.65</v>
      </c>
      <c r="C386">
        <v>1.19</v>
      </c>
      <c r="D386">
        <v>0.25</v>
      </c>
      <c r="E386">
        <v>0.23</v>
      </c>
    </row>
    <row r="387" spans="1:5" x14ac:dyDescent="0.45">
      <c r="A387">
        <v>199311</v>
      </c>
      <c r="B387">
        <v>-1.87</v>
      </c>
      <c r="C387">
        <v>-1.27</v>
      </c>
      <c r="D387">
        <v>-0.78</v>
      </c>
      <c r="E387">
        <v>0.25</v>
      </c>
    </row>
    <row r="388" spans="1:5" x14ac:dyDescent="0.45">
      <c r="A388">
        <v>199310</v>
      </c>
      <c r="B388">
        <v>1.42</v>
      </c>
      <c r="C388">
        <v>1.99</v>
      </c>
      <c r="D388">
        <v>-2.78</v>
      </c>
      <c r="E388">
        <v>0.22</v>
      </c>
    </row>
    <row r="389" spans="1:5" x14ac:dyDescent="0.45">
      <c r="A389">
        <v>199309</v>
      </c>
      <c r="B389">
        <v>-0.12</v>
      </c>
      <c r="C389">
        <v>3.09</v>
      </c>
      <c r="D389">
        <v>-0.24</v>
      </c>
      <c r="E389">
        <v>0.26</v>
      </c>
    </row>
    <row r="390" spans="1:5" x14ac:dyDescent="0.45">
      <c r="A390">
        <v>199308</v>
      </c>
      <c r="B390">
        <v>3.72</v>
      </c>
      <c r="C390">
        <v>0.11</v>
      </c>
      <c r="D390">
        <v>0.18</v>
      </c>
      <c r="E390">
        <v>0.25</v>
      </c>
    </row>
    <row r="391" spans="1:5" x14ac:dyDescent="0.45">
      <c r="A391">
        <v>199307</v>
      </c>
      <c r="B391">
        <v>-0.34</v>
      </c>
      <c r="C391">
        <v>0.96</v>
      </c>
      <c r="D391">
        <v>2.87</v>
      </c>
      <c r="E391">
        <v>0.24</v>
      </c>
    </row>
    <row r="392" spans="1:5" x14ac:dyDescent="0.45">
      <c r="A392">
        <v>199306</v>
      </c>
      <c r="B392">
        <v>0.3</v>
      </c>
      <c r="C392">
        <v>-0.3</v>
      </c>
      <c r="D392">
        <v>2.64</v>
      </c>
      <c r="E392">
        <v>0.25</v>
      </c>
    </row>
    <row r="393" spans="1:5" x14ac:dyDescent="0.45">
      <c r="A393">
        <v>199305</v>
      </c>
      <c r="B393">
        <v>2.89</v>
      </c>
      <c r="C393">
        <v>2.06</v>
      </c>
      <c r="D393">
        <v>-3.46</v>
      </c>
      <c r="E393">
        <v>0.22</v>
      </c>
    </row>
    <row r="394" spans="1:5" x14ac:dyDescent="0.45">
      <c r="A394">
        <v>199304</v>
      </c>
      <c r="B394">
        <v>-3.05</v>
      </c>
      <c r="C394">
        <v>-0.62</v>
      </c>
      <c r="D394">
        <v>2.5499999999999998</v>
      </c>
      <c r="E394">
        <v>0.24</v>
      </c>
    </row>
    <row r="395" spans="1:5" x14ac:dyDescent="0.45">
      <c r="A395">
        <v>199303</v>
      </c>
      <c r="B395">
        <v>2.3199999999999998</v>
      </c>
      <c r="C395">
        <v>0.28999999999999998</v>
      </c>
      <c r="D395">
        <v>1.26</v>
      </c>
      <c r="E395">
        <v>0.25</v>
      </c>
    </row>
    <row r="396" spans="1:5" x14ac:dyDescent="0.45">
      <c r="A396">
        <v>199302</v>
      </c>
      <c r="B396">
        <v>0.12</v>
      </c>
      <c r="C396">
        <v>-3.39</v>
      </c>
      <c r="D396">
        <v>6.48</v>
      </c>
      <c r="E396">
        <v>0.22</v>
      </c>
    </row>
    <row r="397" spans="1:5" x14ac:dyDescent="0.45">
      <c r="A397">
        <v>199301</v>
      </c>
      <c r="B397">
        <v>0.93</v>
      </c>
      <c r="C397">
        <v>1.89</v>
      </c>
      <c r="D397">
        <v>5.9</v>
      </c>
      <c r="E397">
        <v>0.23</v>
      </c>
    </row>
    <row r="398" spans="1:5" x14ac:dyDescent="0.45">
      <c r="A398">
        <v>199212</v>
      </c>
      <c r="B398">
        <v>1.53</v>
      </c>
      <c r="C398">
        <v>1.65</v>
      </c>
      <c r="D398">
        <v>2.64</v>
      </c>
      <c r="E398">
        <v>0.28000000000000003</v>
      </c>
    </row>
    <row r="399" spans="1:5" x14ac:dyDescent="0.45">
      <c r="A399">
        <v>199211</v>
      </c>
      <c r="B399">
        <v>4.1399999999999997</v>
      </c>
      <c r="C399">
        <v>3.68</v>
      </c>
      <c r="D399">
        <v>-1.52</v>
      </c>
      <c r="E399">
        <v>0.23</v>
      </c>
    </row>
    <row r="400" spans="1:5" x14ac:dyDescent="0.45">
      <c r="A400">
        <v>199210</v>
      </c>
      <c r="B400">
        <v>1.02</v>
      </c>
      <c r="C400">
        <v>2.11</v>
      </c>
      <c r="D400">
        <v>-1.98</v>
      </c>
      <c r="E400">
        <v>0.23</v>
      </c>
    </row>
    <row r="401" spans="1:5" x14ac:dyDescent="0.45">
      <c r="A401">
        <v>199209</v>
      </c>
      <c r="B401">
        <v>1.19</v>
      </c>
      <c r="C401">
        <v>0.55000000000000004</v>
      </c>
      <c r="D401">
        <v>-0.19</v>
      </c>
      <c r="E401">
        <v>0.26</v>
      </c>
    </row>
    <row r="402" spans="1:5" x14ac:dyDescent="0.45">
      <c r="A402">
        <v>199208</v>
      </c>
      <c r="B402">
        <v>-2.38</v>
      </c>
      <c r="C402">
        <v>-0.1</v>
      </c>
      <c r="D402">
        <v>-1.0900000000000001</v>
      </c>
      <c r="E402">
        <v>0.26</v>
      </c>
    </row>
    <row r="403" spans="1:5" x14ac:dyDescent="0.45">
      <c r="A403">
        <v>199207</v>
      </c>
      <c r="B403">
        <v>3.78</v>
      </c>
      <c r="C403">
        <v>-0.45</v>
      </c>
      <c r="D403">
        <v>-0.51</v>
      </c>
      <c r="E403">
        <v>0.31</v>
      </c>
    </row>
    <row r="404" spans="1:5" x14ac:dyDescent="0.45">
      <c r="A404">
        <v>199206</v>
      </c>
      <c r="B404">
        <v>-2.33</v>
      </c>
      <c r="C404">
        <v>-3.1</v>
      </c>
      <c r="D404">
        <v>3.24</v>
      </c>
      <c r="E404">
        <v>0.32</v>
      </c>
    </row>
    <row r="405" spans="1:5" x14ac:dyDescent="0.45">
      <c r="A405">
        <v>199205</v>
      </c>
      <c r="B405">
        <v>0.3</v>
      </c>
      <c r="C405">
        <v>0.41</v>
      </c>
      <c r="D405">
        <v>1.1100000000000001</v>
      </c>
      <c r="E405">
        <v>0.28000000000000003</v>
      </c>
    </row>
    <row r="406" spans="1:5" x14ac:dyDescent="0.45">
      <c r="A406">
        <v>199204</v>
      </c>
      <c r="B406">
        <v>1.0900000000000001</v>
      </c>
      <c r="C406">
        <v>-6.12</v>
      </c>
      <c r="D406">
        <v>4.3600000000000003</v>
      </c>
      <c r="E406">
        <v>0.32</v>
      </c>
    </row>
    <row r="407" spans="1:5" x14ac:dyDescent="0.45">
      <c r="A407">
        <v>199203</v>
      </c>
      <c r="B407">
        <v>-2.65</v>
      </c>
      <c r="C407">
        <v>-0.97</v>
      </c>
      <c r="D407">
        <v>3.49</v>
      </c>
      <c r="E407">
        <v>0.34</v>
      </c>
    </row>
    <row r="408" spans="1:5" x14ac:dyDescent="0.45">
      <c r="A408">
        <v>199202</v>
      </c>
      <c r="B408">
        <v>1.08</v>
      </c>
      <c r="C408">
        <v>0.83</v>
      </c>
      <c r="D408">
        <v>6.51</v>
      </c>
      <c r="E408">
        <v>0.28000000000000003</v>
      </c>
    </row>
    <row r="409" spans="1:5" x14ac:dyDescent="0.45">
      <c r="A409">
        <v>199201</v>
      </c>
      <c r="B409">
        <v>-0.59</v>
      </c>
      <c r="C409">
        <v>8.48</v>
      </c>
      <c r="D409">
        <v>4.67</v>
      </c>
      <c r="E409">
        <v>0.34</v>
      </c>
    </row>
    <row r="410" spans="1:5" x14ac:dyDescent="0.45">
      <c r="A410">
        <v>199112</v>
      </c>
      <c r="B410">
        <v>10.85</v>
      </c>
      <c r="C410">
        <v>-2.2599999999999998</v>
      </c>
      <c r="D410">
        <v>-4.2300000000000004</v>
      </c>
      <c r="E410">
        <v>0.38</v>
      </c>
    </row>
    <row r="411" spans="1:5" x14ac:dyDescent="0.45">
      <c r="A411">
        <v>199111</v>
      </c>
      <c r="B411">
        <v>-4.2</v>
      </c>
      <c r="C411">
        <v>-0.51</v>
      </c>
      <c r="D411">
        <v>-1.77</v>
      </c>
      <c r="E411">
        <v>0.39</v>
      </c>
    </row>
    <row r="412" spans="1:5" x14ac:dyDescent="0.45">
      <c r="A412">
        <v>199110</v>
      </c>
      <c r="B412">
        <v>1.29</v>
      </c>
      <c r="C412">
        <v>0.77</v>
      </c>
      <c r="D412">
        <v>-0.43</v>
      </c>
      <c r="E412">
        <v>0.42</v>
      </c>
    </row>
    <row r="413" spans="1:5" x14ac:dyDescent="0.45">
      <c r="A413">
        <v>199109</v>
      </c>
      <c r="B413">
        <v>-1.59</v>
      </c>
      <c r="C413">
        <v>1.68</v>
      </c>
      <c r="D413">
        <v>-1.23</v>
      </c>
      <c r="E413">
        <v>0.46</v>
      </c>
    </row>
    <row r="414" spans="1:5" x14ac:dyDescent="0.45">
      <c r="A414">
        <v>199108</v>
      </c>
      <c r="B414">
        <v>2.3199999999999998</v>
      </c>
      <c r="C414">
        <v>1.58</v>
      </c>
      <c r="D414">
        <v>-0.79</v>
      </c>
      <c r="E414">
        <v>0.46</v>
      </c>
    </row>
    <row r="415" spans="1:5" x14ac:dyDescent="0.45">
      <c r="A415">
        <v>199107</v>
      </c>
      <c r="B415">
        <v>4.24</v>
      </c>
      <c r="C415">
        <v>-0.97</v>
      </c>
      <c r="D415">
        <v>-1.3</v>
      </c>
      <c r="E415">
        <v>0.49</v>
      </c>
    </row>
    <row r="416" spans="1:5" x14ac:dyDescent="0.45">
      <c r="A416">
        <v>199106</v>
      </c>
      <c r="B416">
        <v>-4.9400000000000004</v>
      </c>
      <c r="C416">
        <v>0.18</v>
      </c>
      <c r="D416">
        <v>1.08</v>
      </c>
      <c r="E416">
        <v>0.42</v>
      </c>
    </row>
    <row r="417" spans="1:5" x14ac:dyDescent="0.45">
      <c r="A417">
        <v>199105</v>
      </c>
      <c r="B417">
        <v>3.66</v>
      </c>
      <c r="C417">
        <v>-0.39</v>
      </c>
      <c r="D417">
        <v>-0.52</v>
      </c>
      <c r="E417">
        <v>0.47</v>
      </c>
    </row>
    <row r="418" spans="1:5" x14ac:dyDescent="0.45">
      <c r="A418">
        <v>199104</v>
      </c>
      <c r="B418">
        <v>-0.28000000000000003</v>
      </c>
      <c r="C418">
        <v>0.5</v>
      </c>
      <c r="D418">
        <v>1.49</v>
      </c>
      <c r="E418">
        <v>0.53</v>
      </c>
    </row>
    <row r="419" spans="1:5" x14ac:dyDescent="0.45">
      <c r="A419">
        <v>199103</v>
      </c>
      <c r="B419">
        <v>2.66</v>
      </c>
      <c r="C419">
        <v>3.88</v>
      </c>
      <c r="D419">
        <v>-1.3</v>
      </c>
      <c r="E419">
        <v>0.44</v>
      </c>
    </row>
    <row r="420" spans="1:5" x14ac:dyDescent="0.45">
      <c r="A420">
        <v>199102</v>
      </c>
      <c r="B420">
        <v>7.19</v>
      </c>
      <c r="C420">
        <v>4.01</v>
      </c>
      <c r="D420">
        <v>-0.62</v>
      </c>
      <c r="E420">
        <v>0.48</v>
      </c>
    </row>
    <row r="421" spans="1:5" x14ac:dyDescent="0.45">
      <c r="A421">
        <v>199101</v>
      </c>
      <c r="B421">
        <v>4.6900000000000004</v>
      </c>
      <c r="C421">
        <v>3.78</v>
      </c>
      <c r="D421">
        <v>-1.48</v>
      </c>
      <c r="E421">
        <v>0.52</v>
      </c>
    </row>
    <row r="422" spans="1:5" x14ac:dyDescent="0.45">
      <c r="A422">
        <v>199012</v>
      </c>
      <c r="B422">
        <v>2.46</v>
      </c>
      <c r="C422">
        <v>0.79</v>
      </c>
      <c r="D422">
        <v>-1.57</v>
      </c>
      <c r="E422">
        <v>0.6</v>
      </c>
    </row>
    <row r="423" spans="1:5" x14ac:dyDescent="0.45">
      <c r="A423">
        <v>199011</v>
      </c>
      <c r="B423">
        <v>6.35</v>
      </c>
      <c r="C423">
        <v>0.42</v>
      </c>
      <c r="D423">
        <v>-2.97</v>
      </c>
      <c r="E423">
        <v>0.56999999999999995</v>
      </c>
    </row>
    <row r="424" spans="1:5" x14ac:dyDescent="0.45">
      <c r="A424">
        <v>199010</v>
      </c>
      <c r="B424">
        <v>-1.92</v>
      </c>
      <c r="C424">
        <v>-5.52</v>
      </c>
      <c r="D424">
        <v>0.08</v>
      </c>
      <c r="E424">
        <v>0.68</v>
      </c>
    </row>
    <row r="425" spans="1:5" x14ac:dyDescent="0.45">
      <c r="A425">
        <v>199009</v>
      </c>
      <c r="B425">
        <v>-6.11</v>
      </c>
      <c r="C425">
        <v>-3.64</v>
      </c>
      <c r="D425">
        <v>0.59</v>
      </c>
      <c r="E425">
        <v>0.6</v>
      </c>
    </row>
    <row r="426" spans="1:5" x14ac:dyDescent="0.45">
      <c r="A426">
        <v>199008</v>
      </c>
      <c r="B426">
        <v>-10.119999999999999</v>
      </c>
      <c r="C426">
        <v>-3.5</v>
      </c>
      <c r="D426">
        <v>1.56</v>
      </c>
      <c r="E426">
        <v>0.66</v>
      </c>
    </row>
    <row r="427" spans="1:5" x14ac:dyDescent="0.45">
      <c r="A427">
        <v>199007</v>
      </c>
      <c r="B427">
        <v>-1.9</v>
      </c>
      <c r="C427">
        <v>-3.08</v>
      </c>
      <c r="D427">
        <v>-0.06</v>
      </c>
      <c r="E427">
        <v>0.68</v>
      </c>
    </row>
    <row r="428" spans="1:5" x14ac:dyDescent="0.45">
      <c r="A428">
        <v>199006</v>
      </c>
      <c r="B428">
        <v>-1.0900000000000001</v>
      </c>
      <c r="C428">
        <v>1.35</v>
      </c>
      <c r="D428">
        <v>-2</v>
      </c>
      <c r="E428">
        <v>0.63</v>
      </c>
    </row>
    <row r="429" spans="1:5" x14ac:dyDescent="0.45">
      <c r="A429">
        <v>199005</v>
      </c>
      <c r="B429">
        <v>8.43</v>
      </c>
      <c r="C429">
        <v>-2.56</v>
      </c>
      <c r="D429">
        <v>-3.89</v>
      </c>
      <c r="E429">
        <v>0.68</v>
      </c>
    </row>
    <row r="430" spans="1:5" x14ac:dyDescent="0.45">
      <c r="A430">
        <v>199004</v>
      </c>
      <c r="B430">
        <v>-3.36</v>
      </c>
      <c r="C430">
        <v>-0.47</v>
      </c>
      <c r="D430">
        <v>-2.57</v>
      </c>
      <c r="E430">
        <v>0.69</v>
      </c>
    </row>
    <row r="431" spans="1:5" x14ac:dyDescent="0.45">
      <c r="A431">
        <v>199003</v>
      </c>
      <c r="B431">
        <v>1.83</v>
      </c>
      <c r="C431">
        <v>1.47</v>
      </c>
      <c r="D431">
        <v>-2.9</v>
      </c>
      <c r="E431">
        <v>0.64</v>
      </c>
    </row>
    <row r="432" spans="1:5" x14ac:dyDescent="0.45">
      <c r="A432">
        <v>199002</v>
      </c>
      <c r="B432">
        <v>1.1200000000000001</v>
      </c>
      <c r="C432">
        <v>0.97</v>
      </c>
      <c r="D432">
        <v>0.65</v>
      </c>
      <c r="E432">
        <v>0.56999999999999995</v>
      </c>
    </row>
    <row r="433" spans="1:5" x14ac:dyDescent="0.45">
      <c r="A433">
        <v>199001</v>
      </c>
      <c r="B433">
        <v>-7.8</v>
      </c>
      <c r="C433">
        <v>-1.1399999999999999</v>
      </c>
      <c r="D433">
        <v>0.83</v>
      </c>
      <c r="E433">
        <v>0.56999999999999995</v>
      </c>
    </row>
    <row r="434" spans="1:5" x14ac:dyDescent="0.45">
      <c r="A434">
        <v>198912</v>
      </c>
      <c r="B434">
        <v>1.18</v>
      </c>
      <c r="C434">
        <v>-2.37</v>
      </c>
      <c r="D434">
        <v>0.15</v>
      </c>
      <c r="E434">
        <v>0.61</v>
      </c>
    </row>
    <row r="435" spans="1:5" x14ac:dyDescent="0.45">
      <c r="A435">
        <v>198911</v>
      </c>
      <c r="B435">
        <v>1.04</v>
      </c>
      <c r="C435">
        <v>-1.19</v>
      </c>
      <c r="D435">
        <v>-1.1299999999999999</v>
      </c>
      <c r="E435">
        <v>0.69</v>
      </c>
    </row>
    <row r="436" spans="1:5" x14ac:dyDescent="0.45">
      <c r="A436">
        <v>198910</v>
      </c>
      <c r="B436">
        <v>-3.65</v>
      </c>
      <c r="C436">
        <v>-3.24</v>
      </c>
      <c r="D436">
        <v>-1.1599999999999999</v>
      </c>
      <c r="E436">
        <v>0.68</v>
      </c>
    </row>
    <row r="437" spans="1:5" x14ac:dyDescent="0.45">
      <c r="A437">
        <v>198909</v>
      </c>
      <c r="B437">
        <v>-0.76</v>
      </c>
      <c r="C437">
        <v>0.3</v>
      </c>
      <c r="D437">
        <v>-1.27</v>
      </c>
      <c r="E437">
        <v>0.65</v>
      </c>
    </row>
    <row r="438" spans="1:5" x14ac:dyDescent="0.45">
      <c r="A438">
        <v>198908</v>
      </c>
      <c r="B438">
        <v>1.43</v>
      </c>
      <c r="C438">
        <v>0.56999999999999995</v>
      </c>
      <c r="D438">
        <v>0.62</v>
      </c>
      <c r="E438">
        <v>0.74</v>
      </c>
    </row>
    <row r="439" spans="1:5" x14ac:dyDescent="0.45">
      <c r="A439">
        <v>198907</v>
      </c>
      <c r="B439">
        <v>7.18</v>
      </c>
      <c r="C439">
        <v>-4.1100000000000003</v>
      </c>
      <c r="D439">
        <v>-2.8</v>
      </c>
      <c r="E439">
        <v>0.7</v>
      </c>
    </row>
    <row r="440" spans="1:5" x14ac:dyDescent="0.45">
      <c r="A440">
        <v>198906</v>
      </c>
      <c r="B440">
        <v>-1.33</v>
      </c>
      <c r="C440">
        <v>-0.97</v>
      </c>
      <c r="D440">
        <v>2.21</v>
      </c>
      <c r="E440">
        <v>0.71</v>
      </c>
    </row>
    <row r="441" spans="1:5" x14ac:dyDescent="0.45">
      <c r="A441">
        <v>198905</v>
      </c>
      <c r="B441">
        <v>3.28</v>
      </c>
      <c r="C441">
        <v>-0.09</v>
      </c>
      <c r="D441">
        <v>-0.9</v>
      </c>
      <c r="E441">
        <v>0.79</v>
      </c>
    </row>
    <row r="442" spans="1:5" x14ac:dyDescent="0.45">
      <c r="A442">
        <v>198904</v>
      </c>
      <c r="B442">
        <v>4.3499999999999996</v>
      </c>
      <c r="C442">
        <v>-0.67</v>
      </c>
      <c r="D442">
        <v>-1.48</v>
      </c>
      <c r="E442">
        <v>0.67</v>
      </c>
    </row>
    <row r="443" spans="1:5" x14ac:dyDescent="0.45">
      <c r="A443">
        <v>198903</v>
      </c>
      <c r="B443">
        <v>1.57</v>
      </c>
      <c r="C443">
        <v>0.67</v>
      </c>
      <c r="D443">
        <v>0.47</v>
      </c>
      <c r="E443">
        <v>0.67</v>
      </c>
    </row>
    <row r="444" spans="1:5" x14ac:dyDescent="0.45">
      <c r="A444">
        <v>198902</v>
      </c>
      <c r="B444">
        <v>-2.23</v>
      </c>
      <c r="C444">
        <v>2.81</v>
      </c>
      <c r="D444">
        <v>0.99</v>
      </c>
      <c r="E444">
        <v>0.61</v>
      </c>
    </row>
    <row r="445" spans="1:5" x14ac:dyDescent="0.45">
      <c r="A445">
        <v>198901</v>
      </c>
      <c r="B445">
        <v>6.07</v>
      </c>
      <c r="C445">
        <v>-2.19</v>
      </c>
      <c r="D445">
        <v>0.61</v>
      </c>
      <c r="E445">
        <v>0.55000000000000004</v>
      </c>
    </row>
    <row r="446" spans="1:5" x14ac:dyDescent="0.45">
      <c r="A446">
        <v>198812</v>
      </c>
      <c r="B446">
        <v>1.48</v>
      </c>
      <c r="C446">
        <v>1.89</v>
      </c>
      <c r="D446">
        <v>-1.83</v>
      </c>
      <c r="E446">
        <v>0.63</v>
      </c>
    </row>
    <row r="447" spans="1:5" x14ac:dyDescent="0.45">
      <c r="A447">
        <v>198811</v>
      </c>
      <c r="B447">
        <v>-2.27</v>
      </c>
      <c r="C447">
        <v>-1.64</v>
      </c>
      <c r="D447">
        <v>1.47</v>
      </c>
      <c r="E447">
        <v>0.56999999999999995</v>
      </c>
    </row>
    <row r="448" spans="1:5" x14ac:dyDescent="0.45">
      <c r="A448">
        <v>198810</v>
      </c>
      <c r="B448">
        <v>1.1599999999999999</v>
      </c>
      <c r="C448">
        <v>-2.92</v>
      </c>
      <c r="D448">
        <v>2.0299999999999998</v>
      </c>
      <c r="E448">
        <v>0.61</v>
      </c>
    </row>
    <row r="449" spans="1:5" x14ac:dyDescent="0.45">
      <c r="A449">
        <v>198809</v>
      </c>
      <c r="B449">
        <v>3.31</v>
      </c>
      <c r="C449">
        <v>-1.34</v>
      </c>
      <c r="D449">
        <v>-0.75</v>
      </c>
      <c r="E449">
        <v>0.62</v>
      </c>
    </row>
    <row r="450" spans="1:5" x14ac:dyDescent="0.45">
      <c r="A450">
        <v>198808</v>
      </c>
      <c r="B450">
        <v>-3.31</v>
      </c>
      <c r="C450">
        <v>7.0000000000000007E-2</v>
      </c>
      <c r="D450">
        <v>2.14</v>
      </c>
      <c r="E450">
        <v>0.59</v>
      </c>
    </row>
    <row r="451" spans="1:5" x14ac:dyDescent="0.45">
      <c r="A451">
        <v>198807</v>
      </c>
      <c r="B451">
        <v>-1.25</v>
      </c>
      <c r="C451">
        <v>-0.23</v>
      </c>
      <c r="D451">
        <v>2.1800000000000002</v>
      </c>
      <c r="E451">
        <v>0.51</v>
      </c>
    </row>
    <row r="452" spans="1:5" x14ac:dyDescent="0.45">
      <c r="A452">
        <v>198806</v>
      </c>
      <c r="B452">
        <v>4.78</v>
      </c>
      <c r="C452">
        <v>2.02</v>
      </c>
      <c r="D452">
        <v>-1.35</v>
      </c>
      <c r="E452">
        <v>0.49</v>
      </c>
    </row>
    <row r="453" spans="1:5" x14ac:dyDescent="0.45">
      <c r="A453">
        <v>198805</v>
      </c>
      <c r="B453">
        <v>-0.27</v>
      </c>
      <c r="C453">
        <v>-2.54</v>
      </c>
      <c r="D453">
        <v>2.44</v>
      </c>
      <c r="E453">
        <v>0.51</v>
      </c>
    </row>
    <row r="454" spans="1:5" x14ac:dyDescent="0.45">
      <c r="A454">
        <v>198804</v>
      </c>
      <c r="B454">
        <v>0.56999999999999995</v>
      </c>
      <c r="C454">
        <v>0.91</v>
      </c>
      <c r="D454">
        <v>1.51</v>
      </c>
      <c r="E454">
        <v>0.46</v>
      </c>
    </row>
    <row r="455" spans="1:5" x14ac:dyDescent="0.45">
      <c r="A455">
        <v>198803</v>
      </c>
      <c r="B455">
        <v>-2.2599999999999998</v>
      </c>
      <c r="C455">
        <v>6.01</v>
      </c>
      <c r="D455">
        <v>0.86</v>
      </c>
      <c r="E455">
        <v>0.44</v>
      </c>
    </row>
    <row r="456" spans="1:5" x14ac:dyDescent="0.45">
      <c r="A456">
        <v>198802</v>
      </c>
      <c r="B456">
        <v>4.7699999999999996</v>
      </c>
      <c r="C456">
        <v>3.33</v>
      </c>
      <c r="D456">
        <v>-1.53</v>
      </c>
      <c r="E456">
        <v>0.46</v>
      </c>
    </row>
    <row r="457" spans="1:5" x14ac:dyDescent="0.45">
      <c r="A457">
        <v>198801</v>
      </c>
      <c r="B457">
        <v>4.21</v>
      </c>
      <c r="C457">
        <v>-0.75</v>
      </c>
      <c r="D457">
        <v>4.93</v>
      </c>
      <c r="E457">
        <v>0.28999999999999998</v>
      </c>
    </row>
    <row r="458" spans="1:5" x14ac:dyDescent="0.45">
      <c r="A458">
        <v>198712</v>
      </c>
      <c r="B458">
        <v>6.82</v>
      </c>
      <c r="C458">
        <v>0.03</v>
      </c>
      <c r="D458">
        <v>-4.42</v>
      </c>
      <c r="E458">
        <v>0.39</v>
      </c>
    </row>
    <row r="459" spans="1:5" x14ac:dyDescent="0.45">
      <c r="A459">
        <v>198711</v>
      </c>
      <c r="B459">
        <v>-7.76</v>
      </c>
      <c r="C459">
        <v>2.68</v>
      </c>
      <c r="D459">
        <v>3.14</v>
      </c>
      <c r="E459">
        <v>0.35</v>
      </c>
    </row>
    <row r="460" spans="1:5" x14ac:dyDescent="0.45">
      <c r="A460">
        <v>198710</v>
      </c>
      <c r="B460">
        <v>-23.19</v>
      </c>
      <c r="C460">
        <v>-8.27</v>
      </c>
      <c r="D460">
        <v>4.18</v>
      </c>
      <c r="E460">
        <v>0.6</v>
      </c>
    </row>
    <row r="461" spans="1:5" x14ac:dyDescent="0.45">
      <c r="A461">
        <v>198709</v>
      </c>
      <c r="B461">
        <v>-2.58</v>
      </c>
      <c r="C461">
        <v>0.57999999999999996</v>
      </c>
      <c r="D461">
        <v>0.26</v>
      </c>
      <c r="E461">
        <v>0.45</v>
      </c>
    </row>
    <row r="462" spans="1:5" x14ac:dyDescent="0.45">
      <c r="A462">
        <v>198708</v>
      </c>
      <c r="B462">
        <v>3.52</v>
      </c>
      <c r="C462">
        <v>-0.85</v>
      </c>
      <c r="D462">
        <v>-0.98</v>
      </c>
      <c r="E462">
        <v>0.47</v>
      </c>
    </row>
    <row r="463" spans="1:5" x14ac:dyDescent="0.45">
      <c r="A463">
        <v>198707</v>
      </c>
      <c r="B463">
        <v>3.84</v>
      </c>
      <c r="C463">
        <v>-0.56999999999999995</v>
      </c>
      <c r="D463">
        <v>0.94</v>
      </c>
      <c r="E463">
        <v>0.46</v>
      </c>
    </row>
    <row r="464" spans="1:5" x14ac:dyDescent="0.45">
      <c r="A464">
        <v>198706</v>
      </c>
      <c r="B464">
        <v>3.91</v>
      </c>
      <c r="C464">
        <v>-2.0299999999999998</v>
      </c>
      <c r="D464">
        <v>1.1299999999999999</v>
      </c>
      <c r="E464">
        <v>0.48</v>
      </c>
    </row>
    <row r="465" spans="1:5" x14ac:dyDescent="0.45">
      <c r="A465">
        <v>198705</v>
      </c>
      <c r="B465">
        <v>0.11</v>
      </c>
      <c r="C465">
        <v>-0.53</v>
      </c>
      <c r="D465">
        <v>0.22</v>
      </c>
      <c r="E465">
        <v>0.38</v>
      </c>
    </row>
    <row r="466" spans="1:5" x14ac:dyDescent="0.45">
      <c r="A466">
        <v>198704</v>
      </c>
      <c r="B466">
        <v>-2.09</v>
      </c>
      <c r="C466">
        <v>-1.72</v>
      </c>
      <c r="D466">
        <v>-0.36</v>
      </c>
      <c r="E466">
        <v>0.44</v>
      </c>
    </row>
    <row r="467" spans="1:5" x14ac:dyDescent="0.45">
      <c r="A467">
        <v>198703</v>
      </c>
      <c r="B467">
        <v>1.63</v>
      </c>
      <c r="C467">
        <v>0.5</v>
      </c>
      <c r="D467">
        <v>1.66</v>
      </c>
      <c r="E467">
        <v>0.47</v>
      </c>
    </row>
    <row r="468" spans="1:5" x14ac:dyDescent="0.45">
      <c r="A468">
        <v>198702</v>
      </c>
      <c r="B468">
        <v>4.38</v>
      </c>
      <c r="C468">
        <v>3.45</v>
      </c>
      <c r="D468">
        <v>-5.86</v>
      </c>
      <c r="E468">
        <v>0.43</v>
      </c>
    </row>
    <row r="469" spans="1:5" x14ac:dyDescent="0.45">
      <c r="A469">
        <v>198701</v>
      </c>
      <c r="B469">
        <v>12.45</v>
      </c>
      <c r="C469">
        <v>-1.89</v>
      </c>
      <c r="D469">
        <v>-3.18</v>
      </c>
      <c r="E469">
        <v>0.42</v>
      </c>
    </row>
    <row r="470" spans="1:5" x14ac:dyDescent="0.45">
      <c r="A470">
        <v>198612</v>
      </c>
      <c r="B470">
        <v>-3.26</v>
      </c>
      <c r="C470">
        <v>0.19</v>
      </c>
      <c r="D470">
        <v>0.36</v>
      </c>
      <c r="E470">
        <v>0.49</v>
      </c>
    </row>
    <row r="471" spans="1:5" x14ac:dyDescent="0.45">
      <c r="A471">
        <v>198611</v>
      </c>
      <c r="B471">
        <v>1.17</v>
      </c>
      <c r="C471">
        <v>-1.87</v>
      </c>
      <c r="D471">
        <v>-0.02</v>
      </c>
      <c r="E471">
        <v>0.39</v>
      </c>
    </row>
    <row r="472" spans="1:5" x14ac:dyDescent="0.45">
      <c r="A472">
        <v>198610</v>
      </c>
      <c r="B472">
        <v>4.6399999999999997</v>
      </c>
      <c r="C472">
        <v>-2.5299999999999998</v>
      </c>
      <c r="D472">
        <v>-1.42</v>
      </c>
      <c r="E472">
        <v>0.46</v>
      </c>
    </row>
    <row r="473" spans="1:5" x14ac:dyDescent="0.45">
      <c r="A473">
        <v>198609</v>
      </c>
      <c r="B473">
        <v>-8.59</v>
      </c>
      <c r="C473">
        <v>2.4</v>
      </c>
      <c r="D473">
        <v>3.23</v>
      </c>
      <c r="E473">
        <v>0.45</v>
      </c>
    </row>
    <row r="474" spans="1:5" x14ac:dyDescent="0.45">
      <c r="A474">
        <v>198608</v>
      </c>
      <c r="B474">
        <v>6.07</v>
      </c>
      <c r="C474">
        <v>-4.16</v>
      </c>
      <c r="D474">
        <v>3.54</v>
      </c>
      <c r="E474">
        <v>0.46</v>
      </c>
    </row>
    <row r="475" spans="1:5" x14ac:dyDescent="0.45">
      <c r="A475">
        <v>198607</v>
      </c>
      <c r="B475">
        <v>-6.43</v>
      </c>
      <c r="C475">
        <v>-3.43</v>
      </c>
      <c r="D475">
        <v>4.66</v>
      </c>
      <c r="E475">
        <v>0.52</v>
      </c>
    </row>
    <row r="476" spans="1:5" x14ac:dyDescent="0.45">
      <c r="A476">
        <v>198606</v>
      </c>
      <c r="B476">
        <v>1.06</v>
      </c>
      <c r="C476">
        <v>-0.93</v>
      </c>
      <c r="D476">
        <v>1.2</v>
      </c>
      <c r="E476">
        <v>0.52</v>
      </c>
    </row>
    <row r="477" spans="1:5" x14ac:dyDescent="0.45">
      <c r="A477">
        <v>198605</v>
      </c>
      <c r="B477">
        <v>4.62</v>
      </c>
      <c r="C477">
        <v>-1.36</v>
      </c>
      <c r="D477">
        <v>-0.14000000000000001</v>
      </c>
      <c r="E477">
        <v>0.49</v>
      </c>
    </row>
    <row r="478" spans="1:5" x14ac:dyDescent="0.45">
      <c r="A478">
        <v>198604</v>
      </c>
      <c r="B478">
        <v>-1.28</v>
      </c>
      <c r="C478">
        <v>2.76</v>
      </c>
      <c r="D478">
        <v>-2.81</v>
      </c>
      <c r="E478">
        <v>0.52</v>
      </c>
    </row>
    <row r="479" spans="1:5" x14ac:dyDescent="0.45">
      <c r="A479">
        <v>198603</v>
      </c>
      <c r="B479">
        <v>4.91</v>
      </c>
      <c r="C479">
        <v>-0.54</v>
      </c>
      <c r="D479">
        <v>-0.39</v>
      </c>
      <c r="E479">
        <v>0.6</v>
      </c>
    </row>
    <row r="480" spans="1:5" x14ac:dyDescent="0.45">
      <c r="A480">
        <v>198602</v>
      </c>
      <c r="B480">
        <v>7.14</v>
      </c>
      <c r="C480">
        <v>-0.56999999999999995</v>
      </c>
      <c r="D480">
        <v>-0.63</v>
      </c>
      <c r="E480">
        <v>0.53</v>
      </c>
    </row>
    <row r="481" spans="1:5" x14ac:dyDescent="0.45">
      <c r="A481">
        <v>198601</v>
      </c>
      <c r="B481">
        <v>0.65</v>
      </c>
      <c r="C481">
        <v>1.1499999999999999</v>
      </c>
      <c r="D481">
        <v>0.46</v>
      </c>
      <c r="E481">
        <v>0.56000000000000005</v>
      </c>
    </row>
    <row r="482" spans="1:5" x14ac:dyDescent="0.45">
      <c r="A482">
        <v>198512</v>
      </c>
      <c r="B482">
        <v>3.88</v>
      </c>
      <c r="C482">
        <v>-0.53</v>
      </c>
      <c r="D482">
        <v>-1.46</v>
      </c>
      <c r="E482">
        <v>0.65</v>
      </c>
    </row>
    <row r="483" spans="1:5" x14ac:dyDescent="0.45">
      <c r="A483">
        <v>198511</v>
      </c>
      <c r="B483">
        <v>6.46</v>
      </c>
      <c r="C483">
        <v>0.19</v>
      </c>
      <c r="D483">
        <v>-2.91</v>
      </c>
      <c r="E483">
        <v>0.61</v>
      </c>
    </row>
    <row r="484" spans="1:5" x14ac:dyDescent="0.45">
      <c r="A484">
        <v>198510</v>
      </c>
      <c r="B484">
        <v>4</v>
      </c>
      <c r="C484">
        <v>-1.5</v>
      </c>
      <c r="D484">
        <v>0.77</v>
      </c>
      <c r="E484">
        <v>0.65</v>
      </c>
    </row>
    <row r="485" spans="1:5" x14ac:dyDescent="0.45">
      <c r="A485">
        <v>198509</v>
      </c>
      <c r="B485">
        <v>-4.51</v>
      </c>
      <c r="C485">
        <v>-1.62</v>
      </c>
      <c r="D485">
        <v>1.21</v>
      </c>
      <c r="E485">
        <v>0.6</v>
      </c>
    </row>
    <row r="486" spans="1:5" x14ac:dyDescent="0.45">
      <c r="A486">
        <v>198508</v>
      </c>
      <c r="B486">
        <v>-1.01</v>
      </c>
      <c r="C486">
        <v>-0.3</v>
      </c>
      <c r="D486">
        <v>2.34</v>
      </c>
      <c r="E486">
        <v>0.55000000000000004</v>
      </c>
    </row>
    <row r="487" spans="1:5" x14ac:dyDescent="0.45">
      <c r="A487">
        <v>198507</v>
      </c>
      <c r="B487">
        <v>-0.72</v>
      </c>
      <c r="C487">
        <v>2.83</v>
      </c>
      <c r="D487">
        <v>-1.62</v>
      </c>
      <c r="E487">
        <v>0.62</v>
      </c>
    </row>
    <row r="488" spans="1:5" x14ac:dyDescent="0.45">
      <c r="A488">
        <v>198506</v>
      </c>
      <c r="B488">
        <v>1.27</v>
      </c>
      <c r="C488">
        <v>0.48</v>
      </c>
      <c r="D488">
        <v>0.38</v>
      </c>
      <c r="E488">
        <v>0.55000000000000004</v>
      </c>
    </row>
    <row r="489" spans="1:5" x14ac:dyDescent="0.45">
      <c r="A489">
        <v>198505</v>
      </c>
      <c r="B489">
        <v>5.07</v>
      </c>
      <c r="C489">
        <v>-2.2999999999999998</v>
      </c>
      <c r="D489">
        <v>-0.98</v>
      </c>
      <c r="E489">
        <v>0.66</v>
      </c>
    </row>
    <row r="490" spans="1:5" x14ac:dyDescent="0.45">
      <c r="A490">
        <v>198504</v>
      </c>
      <c r="B490">
        <v>-0.96</v>
      </c>
      <c r="C490">
        <v>0.09</v>
      </c>
      <c r="D490">
        <v>3.6</v>
      </c>
      <c r="E490">
        <v>0.72</v>
      </c>
    </row>
    <row r="491" spans="1:5" x14ac:dyDescent="0.45">
      <c r="A491">
        <v>198503</v>
      </c>
      <c r="B491">
        <v>-0.83</v>
      </c>
      <c r="C491">
        <v>-1.07</v>
      </c>
      <c r="D491">
        <v>4.01</v>
      </c>
      <c r="E491">
        <v>0.62</v>
      </c>
    </row>
    <row r="492" spans="1:5" x14ac:dyDescent="0.45">
      <c r="A492">
        <v>198502</v>
      </c>
      <c r="B492">
        <v>1.22</v>
      </c>
      <c r="C492">
        <v>0.63</v>
      </c>
      <c r="D492">
        <v>-0.36</v>
      </c>
      <c r="E492">
        <v>0.57999999999999996</v>
      </c>
    </row>
    <row r="493" spans="1:5" x14ac:dyDescent="0.45">
      <c r="A493">
        <v>198501</v>
      </c>
      <c r="B493">
        <v>7.97</v>
      </c>
      <c r="C493">
        <v>3.28</v>
      </c>
      <c r="D493">
        <v>-5.2</v>
      </c>
      <c r="E493">
        <v>0.65</v>
      </c>
    </row>
    <row r="494" spans="1:5" x14ac:dyDescent="0.45">
      <c r="A494">
        <v>198412</v>
      </c>
      <c r="B494">
        <v>1.85</v>
      </c>
      <c r="C494">
        <v>-0.48</v>
      </c>
      <c r="D494">
        <v>-0.03</v>
      </c>
      <c r="E494">
        <v>0.64</v>
      </c>
    </row>
    <row r="495" spans="1:5" x14ac:dyDescent="0.45">
      <c r="A495">
        <v>198411</v>
      </c>
      <c r="B495">
        <v>-1.77</v>
      </c>
      <c r="C495">
        <v>-0.72</v>
      </c>
      <c r="D495">
        <v>3.87</v>
      </c>
      <c r="E495">
        <v>0.73</v>
      </c>
    </row>
    <row r="496" spans="1:5" x14ac:dyDescent="0.45">
      <c r="A496">
        <v>198410</v>
      </c>
      <c r="B496">
        <v>-0.84</v>
      </c>
      <c r="C496">
        <v>-1.1100000000000001</v>
      </c>
      <c r="D496">
        <v>0.59</v>
      </c>
      <c r="E496">
        <v>1</v>
      </c>
    </row>
    <row r="497" spans="1:5" x14ac:dyDescent="0.45">
      <c r="A497">
        <v>198409</v>
      </c>
      <c r="B497">
        <v>-0.8</v>
      </c>
      <c r="C497">
        <v>0.15</v>
      </c>
      <c r="D497">
        <v>5.25</v>
      </c>
      <c r="E497">
        <v>0.86</v>
      </c>
    </row>
    <row r="498" spans="1:5" x14ac:dyDescent="0.45">
      <c r="A498">
        <v>198408</v>
      </c>
      <c r="B498">
        <v>10.27</v>
      </c>
      <c r="C498">
        <v>-0.27</v>
      </c>
      <c r="D498">
        <v>-1.74</v>
      </c>
      <c r="E498">
        <v>0.83</v>
      </c>
    </row>
    <row r="499" spans="1:5" x14ac:dyDescent="0.45">
      <c r="A499">
        <v>198407</v>
      </c>
      <c r="B499">
        <v>-2.72</v>
      </c>
      <c r="C499">
        <v>-2.2000000000000002</v>
      </c>
      <c r="D499">
        <v>0.39</v>
      </c>
      <c r="E499">
        <v>0.82</v>
      </c>
    </row>
    <row r="500" spans="1:5" x14ac:dyDescent="0.45">
      <c r="A500">
        <v>198406</v>
      </c>
      <c r="B500">
        <v>1.81</v>
      </c>
      <c r="C500">
        <v>-0.24</v>
      </c>
      <c r="D500">
        <v>-2.75</v>
      </c>
      <c r="E500">
        <v>0.75</v>
      </c>
    </row>
    <row r="501" spans="1:5" x14ac:dyDescent="0.45">
      <c r="A501">
        <v>198405</v>
      </c>
      <c r="B501">
        <v>-5.98</v>
      </c>
      <c r="C501">
        <v>7.0000000000000007E-2</v>
      </c>
      <c r="D501">
        <v>0.26</v>
      </c>
      <c r="E501">
        <v>0.78</v>
      </c>
    </row>
    <row r="502" spans="1:5" x14ac:dyDescent="0.45">
      <c r="A502">
        <v>198404</v>
      </c>
      <c r="B502">
        <v>-0.51</v>
      </c>
      <c r="C502">
        <v>-1.1599999999999999</v>
      </c>
      <c r="D502">
        <v>1.19</v>
      </c>
      <c r="E502">
        <v>0.81</v>
      </c>
    </row>
    <row r="503" spans="1:5" x14ac:dyDescent="0.45">
      <c r="A503">
        <v>198403</v>
      </c>
      <c r="B503">
        <v>0.65</v>
      </c>
      <c r="C503">
        <v>0.1</v>
      </c>
      <c r="D503">
        <v>0.53</v>
      </c>
      <c r="E503">
        <v>0.73</v>
      </c>
    </row>
    <row r="504" spans="1:5" x14ac:dyDescent="0.45">
      <c r="A504">
        <v>198402</v>
      </c>
      <c r="B504">
        <v>-4.7699999999999996</v>
      </c>
      <c r="C504">
        <v>-1.68</v>
      </c>
      <c r="D504">
        <v>3.41</v>
      </c>
      <c r="E504">
        <v>0.71</v>
      </c>
    </row>
    <row r="505" spans="1:5" x14ac:dyDescent="0.45">
      <c r="A505">
        <v>198401</v>
      </c>
      <c r="B505">
        <v>-1.92</v>
      </c>
      <c r="C505">
        <v>-0.35</v>
      </c>
      <c r="D505">
        <v>7.48</v>
      </c>
      <c r="E505">
        <v>0.76</v>
      </c>
    </row>
    <row r="506" spans="1:5" x14ac:dyDescent="0.45">
      <c r="A506">
        <v>198312</v>
      </c>
      <c r="B506">
        <v>-1.77</v>
      </c>
      <c r="C506">
        <v>-0.25</v>
      </c>
      <c r="D506">
        <v>1.75</v>
      </c>
      <c r="E506">
        <v>0.73</v>
      </c>
    </row>
    <row r="507" spans="1:5" x14ac:dyDescent="0.45">
      <c r="A507">
        <v>198311</v>
      </c>
      <c r="B507">
        <v>2.17</v>
      </c>
      <c r="C507">
        <v>2.02</v>
      </c>
      <c r="D507">
        <v>-0.73</v>
      </c>
      <c r="E507">
        <v>0.7</v>
      </c>
    </row>
    <row r="508" spans="1:5" x14ac:dyDescent="0.45">
      <c r="A508">
        <v>198310</v>
      </c>
      <c r="B508">
        <v>-3.43</v>
      </c>
      <c r="C508">
        <v>-3.55</v>
      </c>
      <c r="D508">
        <v>4.96</v>
      </c>
      <c r="E508">
        <v>0.76</v>
      </c>
    </row>
    <row r="509" spans="1:5" x14ac:dyDescent="0.45">
      <c r="A509">
        <v>198309</v>
      </c>
      <c r="B509">
        <v>0.92</v>
      </c>
      <c r="C509">
        <v>0.61</v>
      </c>
      <c r="D509">
        <v>0.99</v>
      </c>
      <c r="E509">
        <v>0.76</v>
      </c>
    </row>
    <row r="510" spans="1:5" x14ac:dyDescent="0.45">
      <c r="A510">
        <v>198308</v>
      </c>
      <c r="B510">
        <v>-0.5</v>
      </c>
      <c r="C510">
        <v>-4.29</v>
      </c>
      <c r="D510">
        <v>5.59</v>
      </c>
      <c r="E510">
        <v>0.76</v>
      </c>
    </row>
    <row r="511" spans="1:5" x14ac:dyDescent="0.45">
      <c r="A511">
        <v>198307</v>
      </c>
      <c r="B511">
        <v>-4.0599999999999996</v>
      </c>
      <c r="C511">
        <v>1.5</v>
      </c>
      <c r="D511">
        <v>5.54</v>
      </c>
      <c r="E511">
        <v>0.74</v>
      </c>
    </row>
    <row r="512" spans="1:5" x14ac:dyDescent="0.45">
      <c r="A512">
        <v>198306</v>
      </c>
      <c r="B512">
        <v>3.07</v>
      </c>
      <c r="C512">
        <v>0.93</v>
      </c>
      <c r="D512">
        <v>-3.89</v>
      </c>
      <c r="E512">
        <v>0.67</v>
      </c>
    </row>
    <row r="513" spans="1:5" x14ac:dyDescent="0.45">
      <c r="A513">
        <v>198305</v>
      </c>
      <c r="B513">
        <v>0.51</v>
      </c>
      <c r="C513">
        <v>6.2</v>
      </c>
      <c r="D513">
        <v>-1.4</v>
      </c>
      <c r="E513">
        <v>0.69</v>
      </c>
    </row>
    <row r="514" spans="1:5" x14ac:dyDescent="0.45">
      <c r="A514">
        <v>198304</v>
      </c>
      <c r="B514">
        <v>6.66</v>
      </c>
      <c r="C514">
        <v>0.46</v>
      </c>
      <c r="D514">
        <v>0.43</v>
      </c>
      <c r="E514">
        <v>0.71</v>
      </c>
    </row>
    <row r="515" spans="1:5" x14ac:dyDescent="0.45">
      <c r="A515">
        <v>198303</v>
      </c>
      <c r="B515">
        <v>2.81</v>
      </c>
      <c r="C515">
        <v>1.75</v>
      </c>
      <c r="D515">
        <v>2.06</v>
      </c>
      <c r="E515">
        <v>0.63</v>
      </c>
    </row>
    <row r="516" spans="1:5" x14ac:dyDescent="0.45">
      <c r="A516">
        <v>198302</v>
      </c>
      <c r="B516">
        <v>2.59</v>
      </c>
      <c r="C516">
        <v>3.18</v>
      </c>
      <c r="D516">
        <v>0.66</v>
      </c>
      <c r="E516">
        <v>0.62</v>
      </c>
    </row>
    <row r="517" spans="1:5" x14ac:dyDescent="0.45">
      <c r="A517">
        <v>198301</v>
      </c>
      <c r="B517">
        <v>3.59</v>
      </c>
      <c r="C517">
        <v>2.82</v>
      </c>
      <c r="D517">
        <v>-0.72</v>
      </c>
      <c r="E517">
        <v>0.69</v>
      </c>
    </row>
    <row r="518" spans="1:5" x14ac:dyDescent="0.45">
      <c r="A518">
        <v>198212</v>
      </c>
      <c r="B518">
        <v>0.56000000000000005</v>
      </c>
      <c r="C518">
        <v>-0.31</v>
      </c>
      <c r="D518">
        <v>-0.06</v>
      </c>
      <c r="E518">
        <v>0.67</v>
      </c>
    </row>
    <row r="519" spans="1:5" x14ac:dyDescent="0.45">
      <c r="A519">
        <v>198211</v>
      </c>
      <c r="B519">
        <v>4.68</v>
      </c>
      <c r="C519">
        <v>4.63</v>
      </c>
      <c r="D519">
        <v>-1.8</v>
      </c>
      <c r="E519">
        <v>0.63</v>
      </c>
    </row>
    <row r="520" spans="1:5" x14ac:dyDescent="0.45">
      <c r="A520">
        <v>198210</v>
      </c>
      <c r="B520">
        <v>11.3</v>
      </c>
      <c r="C520">
        <v>2.38</v>
      </c>
      <c r="D520">
        <v>-3.62</v>
      </c>
      <c r="E520">
        <v>0.59</v>
      </c>
    </row>
    <row r="521" spans="1:5" x14ac:dyDescent="0.45">
      <c r="A521">
        <v>198209</v>
      </c>
      <c r="B521">
        <v>1.31</v>
      </c>
      <c r="C521">
        <v>2.87</v>
      </c>
      <c r="D521">
        <v>0.23</v>
      </c>
      <c r="E521">
        <v>0.51</v>
      </c>
    </row>
    <row r="522" spans="1:5" x14ac:dyDescent="0.45">
      <c r="A522">
        <v>198208</v>
      </c>
      <c r="B522">
        <v>11.23</v>
      </c>
      <c r="C522">
        <v>-4.28</v>
      </c>
      <c r="D522">
        <v>1.0900000000000001</v>
      </c>
      <c r="E522">
        <v>0.76</v>
      </c>
    </row>
    <row r="523" spans="1:5" x14ac:dyDescent="0.45">
      <c r="A523">
        <v>198207</v>
      </c>
      <c r="B523">
        <v>-3.2</v>
      </c>
      <c r="C523">
        <v>0.91</v>
      </c>
      <c r="D523">
        <v>7.0000000000000007E-2</v>
      </c>
      <c r="E523">
        <v>1.05</v>
      </c>
    </row>
    <row r="524" spans="1:5" x14ac:dyDescent="0.45">
      <c r="A524">
        <v>198206</v>
      </c>
      <c r="B524">
        <v>-3.08</v>
      </c>
      <c r="C524">
        <v>-0.43</v>
      </c>
      <c r="D524">
        <v>1.56</v>
      </c>
      <c r="E524">
        <v>0.96</v>
      </c>
    </row>
    <row r="525" spans="1:5" x14ac:dyDescent="0.45">
      <c r="A525">
        <v>198205</v>
      </c>
      <c r="B525">
        <v>-3.93</v>
      </c>
      <c r="C525">
        <v>0.17</v>
      </c>
      <c r="D525">
        <v>1.78</v>
      </c>
      <c r="E525">
        <v>1.06</v>
      </c>
    </row>
    <row r="526" spans="1:5" x14ac:dyDescent="0.45">
      <c r="A526">
        <v>198204</v>
      </c>
      <c r="B526">
        <v>3.24</v>
      </c>
      <c r="C526">
        <v>1.64</v>
      </c>
      <c r="D526">
        <v>-3.08</v>
      </c>
      <c r="E526">
        <v>1.1299999999999999</v>
      </c>
    </row>
    <row r="527" spans="1:5" x14ac:dyDescent="0.45">
      <c r="A527">
        <v>198203</v>
      </c>
      <c r="B527">
        <v>-1.82</v>
      </c>
      <c r="C527">
        <v>-0.19</v>
      </c>
      <c r="D527">
        <v>3.76</v>
      </c>
      <c r="E527">
        <v>0.98</v>
      </c>
    </row>
    <row r="528" spans="1:5" x14ac:dyDescent="0.45">
      <c r="A528">
        <v>198202</v>
      </c>
      <c r="B528">
        <v>-5.86</v>
      </c>
      <c r="C528">
        <v>0.46</v>
      </c>
      <c r="D528">
        <v>6.09</v>
      </c>
      <c r="E528">
        <v>0.92</v>
      </c>
    </row>
    <row r="529" spans="1:5" x14ac:dyDescent="0.45">
      <c r="A529">
        <v>198201</v>
      </c>
      <c r="B529">
        <v>-3.23</v>
      </c>
      <c r="C529">
        <v>-1.25</v>
      </c>
      <c r="D529">
        <v>3.19</v>
      </c>
      <c r="E529">
        <v>0.8</v>
      </c>
    </row>
    <row r="530" spans="1:5" x14ac:dyDescent="0.45">
      <c r="A530">
        <v>198112</v>
      </c>
      <c r="B530">
        <v>-3.63</v>
      </c>
      <c r="C530">
        <v>1.18</v>
      </c>
      <c r="D530">
        <v>0.79</v>
      </c>
      <c r="E530">
        <v>0.87</v>
      </c>
    </row>
    <row r="531" spans="1:5" x14ac:dyDescent="0.45">
      <c r="A531">
        <v>198111</v>
      </c>
      <c r="B531">
        <v>3.4</v>
      </c>
      <c r="C531">
        <v>-1.0900000000000001</v>
      </c>
      <c r="D531">
        <v>1.91</v>
      </c>
      <c r="E531">
        <v>1.07</v>
      </c>
    </row>
    <row r="532" spans="1:5" x14ac:dyDescent="0.45">
      <c r="A532">
        <v>198110</v>
      </c>
      <c r="B532">
        <v>4.92</v>
      </c>
      <c r="C532">
        <v>2.13</v>
      </c>
      <c r="D532">
        <v>-4.09</v>
      </c>
      <c r="E532">
        <v>1.21</v>
      </c>
    </row>
    <row r="533" spans="1:5" x14ac:dyDescent="0.45">
      <c r="A533">
        <v>198109</v>
      </c>
      <c r="B533">
        <v>-7.19</v>
      </c>
      <c r="C533">
        <v>-2.68</v>
      </c>
      <c r="D533">
        <v>5.1100000000000003</v>
      </c>
      <c r="E533">
        <v>1.24</v>
      </c>
    </row>
    <row r="534" spans="1:5" x14ac:dyDescent="0.45">
      <c r="A534">
        <v>198108</v>
      </c>
      <c r="B534">
        <v>-7.02</v>
      </c>
      <c r="C534">
        <v>-1.95</v>
      </c>
      <c r="D534">
        <v>4.71</v>
      </c>
      <c r="E534">
        <v>1.28</v>
      </c>
    </row>
    <row r="535" spans="1:5" x14ac:dyDescent="0.45">
      <c r="A535">
        <v>198107</v>
      </c>
      <c r="B535">
        <v>-1.55</v>
      </c>
      <c r="C535">
        <v>-2.0699999999999998</v>
      </c>
      <c r="D535">
        <v>-0.61</v>
      </c>
      <c r="E535">
        <v>1.24</v>
      </c>
    </row>
    <row r="536" spans="1:5" x14ac:dyDescent="0.45">
      <c r="A536">
        <v>198106</v>
      </c>
      <c r="B536">
        <v>-2.34</v>
      </c>
      <c r="C536">
        <v>-0.83</v>
      </c>
      <c r="D536">
        <v>5.14</v>
      </c>
      <c r="E536">
        <v>1.35</v>
      </c>
    </row>
    <row r="537" spans="1:5" x14ac:dyDescent="0.45">
      <c r="A537">
        <v>198105</v>
      </c>
      <c r="B537">
        <v>0.13</v>
      </c>
      <c r="C537">
        <v>1.94</v>
      </c>
      <c r="D537">
        <v>-0.43</v>
      </c>
      <c r="E537">
        <v>1.1499999999999999</v>
      </c>
    </row>
    <row r="538" spans="1:5" x14ac:dyDescent="0.45">
      <c r="A538">
        <v>198104</v>
      </c>
      <c r="B538">
        <v>-2.16</v>
      </c>
      <c r="C538">
        <v>4.5</v>
      </c>
      <c r="D538">
        <v>2.2799999999999998</v>
      </c>
      <c r="E538">
        <v>1.08</v>
      </c>
    </row>
    <row r="539" spans="1:5" x14ac:dyDescent="0.45">
      <c r="A539">
        <v>198103</v>
      </c>
      <c r="B539">
        <v>3.67</v>
      </c>
      <c r="C539">
        <v>3.34</v>
      </c>
      <c r="D539">
        <v>0.61</v>
      </c>
      <c r="E539">
        <v>1.21</v>
      </c>
    </row>
    <row r="540" spans="1:5" x14ac:dyDescent="0.45">
      <c r="A540">
        <v>198102</v>
      </c>
      <c r="B540">
        <v>0.61</v>
      </c>
      <c r="C540">
        <v>-0.47</v>
      </c>
      <c r="D540">
        <v>0.97</v>
      </c>
      <c r="E540">
        <v>1.07</v>
      </c>
    </row>
    <row r="541" spans="1:5" x14ac:dyDescent="0.45">
      <c r="A541">
        <v>198101</v>
      </c>
      <c r="B541">
        <v>-5.0599999999999996</v>
      </c>
      <c r="C541">
        <v>2.91</v>
      </c>
      <c r="D541">
        <v>6.74</v>
      </c>
      <c r="E541">
        <v>1.04</v>
      </c>
    </row>
    <row r="542" spans="1:5" x14ac:dyDescent="0.45">
      <c r="A542">
        <v>198012</v>
      </c>
      <c r="B542">
        <v>-4.46</v>
      </c>
      <c r="C542">
        <v>-0.28000000000000003</v>
      </c>
      <c r="D542">
        <v>2.8</v>
      </c>
      <c r="E542">
        <v>1.31</v>
      </c>
    </row>
    <row r="543" spans="1:5" x14ac:dyDescent="0.45">
      <c r="A543">
        <v>198011</v>
      </c>
      <c r="B543">
        <v>9.6</v>
      </c>
      <c r="C543">
        <v>-3.27</v>
      </c>
      <c r="D543">
        <v>-8.11</v>
      </c>
      <c r="E543">
        <v>0.96</v>
      </c>
    </row>
    <row r="544" spans="1:5" x14ac:dyDescent="0.45">
      <c r="A544">
        <v>198010</v>
      </c>
      <c r="B544">
        <v>1.04</v>
      </c>
      <c r="C544">
        <v>2.39</v>
      </c>
      <c r="D544">
        <v>-2.93</v>
      </c>
      <c r="E544">
        <v>0.95</v>
      </c>
    </row>
    <row r="545" spans="1:5" x14ac:dyDescent="0.45">
      <c r="A545">
        <v>198009</v>
      </c>
      <c r="B545">
        <v>2.19</v>
      </c>
      <c r="C545">
        <v>0.96</v>
      </c>
      <c r="D545">
        <v>-4.6100000000000003</v>
      </c>
      <c r="E545">
        <v>0.75</v>
      </c>
    </row>
    <row r="546" spans="1:5" x14ac:dyDescent="0.45">
      <c r="A546">
        <v>198008</v>
      </c>
      <c r="B546">
        <v>1.75</v>
      </c>
      <c r="C546">
        <v>3.9</v>
      </c>
      <c r="D546">
        <v>-2.46</v>
      </c>
      <c r="E546">
        <v>0.64</v>
      </c>
    </row>
    <row r="547" spans="1:5" x14ac:dyDescent="0.45">
      <c r="A547">
        <v>198007</v>
      </c>
      <c r="B547">
        <v>6.51</v>
      </c>
      <c r="C547">
        <v>4.0999999999999996</v>
      </c>
      <c r="D547">
        <v>-6.29</v>
      </c>
      <c r="E547">
        <v>0.53</v>
      </c>
    </row>
    <row r="548" spans="1:5" x14ac:dyDescent="0.45">
      <c r="A548">
        <v>198006</v>
      </c>
      <c r="B548">
        <v>2.98</v>
      </c>
      <c r="C548">
        <v>1.66</v>
      </c>
      <c r="D548">
        <v>-0.8</v>
      </c>
      <c r="E548">
        <v>0.61</v>
      </c>
    </row>
    <row r="549" spans="1:5" x14ac:dyDescent="0.45">
      <c r="A549">
        <v>198005</v>
      </c>
      <c r="B549">
        <v>5.26</v>
      </c>
      <c r="C549">
        <v>2.0499999999999998</v>
      </c>
      <c r="D549">
        <v>0.38</v>
      </c>
      <c r="E549">
        <v>0.81</v>
      </c>
    </row>
    <row r="550" spans="1:5" x14ac:dyDescent="0.45">
      <c r="A550">
        <v>198004</v>
      </c>
      <c r="B550">
        <v>3.95</v>
      </c>
      <c r="C550">
        <v>1.05</v>
      </c>
      <c r="D550">
        <v>1.03</v>
      </c>
      <c r="E550">
        <v>1.26</v>
      </c>
    </row>
    <row r="551" spans="1:5" x14ac:dyDescent="0.45">
      <c r="A551">
        <v>198003</v>
      </c>
      <c r="B551">
        <v>-12.9</v>
      </c>
      <c r="C551">
        <v>-6.7</v>
      </c>
      <c r="D551">
        <v>-0.96</v>
      </c>
      <c r="E551">
        <v>1.21</v>
      </c>
    </row>
    <row r="552" spans="1:5" x14ac:dyDescent="0.45">
      <c r="A552">
        <v>198002</v>
      </c>
      <c r="B552">
        <v>-1.23</v>
      </c>
      <c r="C552">
        <v>-1.86</v>
      </c>
      <c r="D552">
        <v>0.59</v>
      </c>
      <c r="E552">
        <v>0.89</v>
      </c>
    </row>
    <row r="553" spans="1:5" x14ac:dyDescent="0.45">
      <c r="A553">
        <v>198001</v>
      </c>
      <c r="B553">
        <v>5.5</v>
      </c>
      <c r="C553">
        <v>1.62</v>
      </c>
      <c r="D553">
        <v>1.85</v>
      </c>
      <c r="E553">
        <v>0.8</v>
      </c>
    </row>
    <row r="554" spans="1:5" x14ac:dyDescent="0.45">
      <c r="A554">
        <v>197912</v>
      </c>
      <c r="B554">
        <v>1.78</v>
      </c>
      <c r="C554">
        <v>4.13</v>
      </c>
      <c r="D554">
        <v>-2.13</v>
      </c>
      <c r="E554">
        <v>0.95</v>
      </c>
    </row>
    <row r="555" spans="1:5" x14ac:dyDescent="0.45">
      <c r="A555">
        <v>197911</v>
      </c>
      <c r="B555">
        <v>5.22</v>
      </c>
      <c r="C555">
        <v>2.81</v>
      </c>
      <c r="D555">
        <v>-3.21</v>
      </c>
      <c r="E555">
        <v>0.99</v>
      </c>
    </row>
    <row r="556" spans="1:5" x14ac:dyDescent="0.45">
      <c r="A556">
        <v>197910</v>
      </c>
      <c r="B556">
        <v>-8.1</v>
      </c>
      <c r="C556">
        <v>-3.38</v>
      </c>
      <c r="D556">
        <v>-1.83</v>
      </c>
      <c r="E556">
        <v>0.87</v>
      </c>
    </row>
    <row r="557" spans="1:5" x14ac:dyDescent="0.45">
      <c r="A557">
        <v>197909</v>
      </c>
      <c r="B557">
        <v>-0.83</v>
      </c>
      <c r="C557">
        <v>-0.26</v>
      </c>
      <c r="D557">
        <v>-0.94</v>
      </c>
      <c r="E557">
        <v>0.83</v>
      </c>
    </row>
    <row r="558" spans="1:5" x14ac:dyDescent="0.45">
      <c r="A558">
        <v>197908</v>
      </c>
      <c r="B558">
        <v>5.54</v>
      </c>
      <c r="C558">
        <v>1.98</v>
      </c>
      <c r="D558">
        <v>-1.58</v>
      </c>
      <c r="E558">
        <v>0.77</v>
      </c>
    </row>
    <row r="559" spans="1:5" x14ac:dyDescent="0.45">
      <c r="A559">
        <v>197907</v>
      </c>
      <c r="B559">
        <v>0.83</v>
      </c>
      <c r="C559">
        <v>1.28</v>
      </c>
      <c r="D559">
        <v>1.79</v>
      </c>
      <c r="E559">
        <v>0.77</v>
      </c>
    </row>
    <row r="560" spans="1:5" x14ac:dyDescent="0.45">
      <c r="A560">
        <v>197906</v>
      </c>
      <c r="B560">
        <v>3.84</v>
      </c>
      <c r="C560">
        <v>1.1299999999999999</v>
      </c>
      <c r="D560">
        <v>1.42</v>
      </c>
      <c r="E560">
        <v>0.81</v>
      </c>
    </row>
    <row r="561" spans="1:5" x14ac:dyDescent="0.45">
      <c r="A561">
        <v>197905</v>
      </c>
      <c r="B561">
        <v>-2.2000000000000002</v>
      </c>
      <c r="C561">
        <v>0.21</v>
      </c>
      <c r="D561">
        <v>1.32</v>
      </c>
      <c r="E561">
        <v>0.82</v>
      </c>
    </row>
    <row r="562" spans="1:5" x14ac:dyDescent="0.45">
      <c r="A562">
        <v>197904</v>
      </c>
      <c r="B562">
        <v>-7.0000000000000007E-2</v>
      </c>
      <c r="C562">
        <v>2.17</v>
      </c>
      <c r="D562">
        <v>1.1200000000000001</v>
      </c>
      <c r="E562">
        <v>0.8</v>
      </c>
    </row>
    <row r="563" spans="1:5" x14ac:dyDescent="0.45">
      <c r="A563">
        <v>197903</v>
      </c>
      <c r="B563">
        <v>5.67</v>
      </c>
      <c r="C563">
        <v>3.2</v>
      </c>
      <c r="D563">
        <v>-0.68</v>
      </c>
      <c r="E563">
        <v>0.81</v>
      </c>
    </row>
    <row r="564" spans="1:5" x14ac:dyDescent="0.45">
      <c r="A564">
        <v>197902</v>
      </c>
      <c r="B564">
        <v>-3.56</v>
      </c>
      <c r="C564">
        <v>0.44</v>
      </c>
      <c r="D564">
        <v>1.17</v>
      </c>
      <c r="E564">
        <v>0.73</v>
      </c>
    </row>
    <row r="565" spans="1:5" x14ac:dyDescent="0.45">
      <c r="A565">
        <v>197901</v>
      </c>
      <c r="B565">
        <v>4.22</v>
      </c>
      <c r="C565">
        <v>3.55</v>
      </c>
      <c r="D565">
        <v>2.19</v>
      </c>
      <c r="E565">
        <v>0.77</v>
      </c>
    </row>
    <row r="566" spans="1:5" x14ac:dyDescent="0.45">
      <c r="A566">
        <v>197812</v>
      </c>
      <c r="B566">
        <v>0.87</v>
      </c>
      <c r="C566">
        <v>1.19</v>
      </c>
      <c r="D566">
        <v>-2.14</v>
      </c>
      <c r="E566">
        <v>0.78</v>
      </c>
    </row>
    <row r="567" spans="1:5" x14ac:dyDescent="0.45">
      <c r="A567">
        <v>197811</v>
      </c>
      <c r="B567">
        <v>2.71</v>
      </c>
      <c r="C567">
        <v>3.06</v>
      </c>
      <c r="D567">
        <v>-2.08</v>
      </c>
      <c r="E567">
        <v>0.7</v>
      </c>
    </row>
    <row r="568" spans="1:5" x14ac:dyDescent="0.45">
      <c r="A568">
        <v>197810</v>
      </c>
      <c r="B568">
        <v>-11.9</v>
      </c>
      <c r="C568">
        <v>-9.89</v>
      </c>
      <c r="D568">
        <v>1.26</v>
      </c>
      <c r="E568">
        <v>0.68</v>
      </c>
    </row>
    <row r="569" spans="1:5" x14ac:dyDescent="0.45">
      <c r="A569">
        <v>197809</v>
      </c>
      <c r="B569">
        <v>-1.44</v>
      </c>
      <c r="C569">
        <v>-0.49</v>
      </c>
      <c r="D569">
        <v>1.88</v>
      </c>
      <c r="E569">
        <v>0.62</v>
      </c>
    </row>
    <row r="570" spans="1:5" x14ac:dyDescent="0.45">
      <c r="A570">
        <v>197808</v>
      </c>
      <c r="B570">
        <v>3.78</v>
      </c>
      <c r="C570">
        <v>5.0599999999999996</v>
      </c>
      <c r="D570">
        <v>-0.66</v>
      </c>
      <c r="E570">
        <v>0.56000000000000005</v>
      </c>
    </row>
    <row r="571" spans="1:5" x14ac:dyDescent="0.45">
      <c r="A571">
        <v>197807</v>
      </c>
      <c r="B571">
        <v>5.12</v>
      </c>
      <c r="C571">
        <v>0.28999999999999998</v>
      </c>
      <c r="D571">
        <v>-1</v>
      </c>
      <c r="E571">
        <v>0.56000000000000005</v>
      </c>
    </row>
    <row r="572" spans="1:5" x14ac:dyDescent="0.45">
      <c r="A572">
        <v>197806</v>
      </c>
      <c r="B572">
        <v>-1.69</v>
      </c>
      <c r="C572">
        <v>1.74</v>
      </c>
      <c r="D572">
        <v>0.6</v>
      </c>
      <c r="E572">
        <v>0.54</v>
      </c>
    </row>
    <row r="573" spans="1:5" x14ac:dyDescent="0.45">
      <c r="A573">
        <v>197805</v>
      </c>
      <c r="B573">
        <v>1.76</v>
      </c>
      <c r="C573">
        <v>4.53</v>
      </c>
      <c r="D573">
        <v>-0.55000000000000004</v>
      </c>
      <c r="E573">
        <v>0.51</v>
      </c>
    </row>
    <row r="574" spans="1:5" x14ac:dyDescent="0.45">
      <c r="A574">
        <v>197804</v>
      </c>
      <c r="B574">
        <v>7.87</v>
      </c>
      <c r="C574">
        <v>0.36</v>
      </c>
      <c r="D574">
        <v>-3.54</v>
      </c>
      <c r="E574">
        <v>0.54</v>
      </c>
    </row>
    <row r="575" spans="1:5" x14ac:dyDescent="0.45">
      <c r="A575">
        <v>197803</v>
      </c>
      <c r="B575">
        <v>2.85</v>
      </c>
      <c r="C575">
        <v>3.44</v>
      </c>
      <c r="D575">
        <v>1.1499999999999999</v>
      </c>
      <c r="E575">
        <v>0.53</v>
      </c>
    </row>
    <row r="576" spans="1:5" x14ac:dyDescent="0.45">
      <c r="A576">
        <v>197802</v>
      </c>
      <c r="B576">
        <v>-1.39</v>
      </c>
      <c r="C576">
        <v>3.59</v>
      </c>
      <c r="D576">
        <v>0.81</v>
      </c>
      <c r="E576">
        <v>0.46</v>
      </c>
    </row>
    <row r="577" spans="1:5" x14ac:dyDescent="0.45">
      <c r="A577">
        <v>197801</v>
      </c>
      <c r="B577">
        <v>-6</v>
      </c>
      <c r="C577">
        <v>2.2799999999999998</v>
      </c>
      <c r="D577">
        <v>3.38</v>
      </c>
      <c r="E577">
        <v>0.49</v>
      </c>
    </row>
    <row r="578" spans="1:5" x14ac:dyDescent="0.45">
      <c r="A578">
        <v>197712</v>
      </c>
      <c r="B578">
        <v>0.27</v>
      </c>
      <c r="C578">
        <v>1.36</v>
      </c>
      <c r="D578">
        <v>-0.28999999999999998</v>
      </c>
      <c r="E578">
        <v>0.49</v>
      </c>
    </row>
    <row r="579" spans="1:5" x14ac:dyDescent="0.45">
      <c r="A579">
        <v>197711</v>
      </c>
      <c r="B579">
        <v>4</v>
      </c>
      <c r="C579">
        <v>3.68</v>
      </c>
      <c r="D579">
        <v>0.23</v>
      </c>
      <c r="E579">
        <v>0.5</v>
      </c>
    </row>
    <row r="580" spans="1:5" x14ac:dyDescent="0.45">
      <c r="A580">
        <v>197710</v>
      </c>
      <c r="B580">
        <v>-4.3899999999999997</v>
      </c>
      <c r="C580">
        <v>1.19</v>
      </c>
      <c r="D580">
        <v>1.62</v>
      </c>
      <c r="E580">
        <v>0.49</v>
      </c>
    </row>
    <row r="581" spans="1:5" x14ac:dyDescent="0.45">
      <c r="A581">
        <v>197709</v>
      </c>
      <c r="B581">
        <v>-0.27</v>
      </c>
      <c r="C581">
        <v>1.5</v>
      </c>
      <c r="D581">
        <v>-0.26</v>
      </c>
      <c r="E581">
        <v>0.43</v>
      </c>
    </row>
    <row r="582" spans="1:5" x14ac:dyDescent="0.45">
      <c r="A582">
        <v>197708</v>
      </c>
      <c r="B582">
        <v>-1.76</v>
      </c>
      <c r="C582">
        <v>1.55</v>
      </c>
      <c r="D582">
        <v>-2.77</v>
      </c>
      <c r="E582">
        <v>0.44</v>
      </c>
    </row>
    <row r="583" spans="1:5" x14ac:dyDescent="0.45">
      <c r="A583">
        <v>197707</v>
      </c>
      <c r="B583">
        <v>-1.69</v>
      </c>
      <c r="C583">
        <v>2.09</v>
      </c>
      <c r="D583">
        <v>-0.6</v>
      </c>
      <c r="E583">
        <v>0.42</v>
      </c>
    </row>
    <row r="584" spans="1:5" x14ac:dyDescent="0.45">
      <c r="A584">
        <v>197706</v>
      </c>
      <c r="B584">
        <v>4.72</v>
      </c>
      <c r="C584">
        <v>2.0699999999999998</v>
      </c>
      <c r="D584">
        <v>-0.62</v>
      </c>
      <c r="E584">
        <v>0.4</v>
      </c>
    </row>
    <row r="585" spans="1:5" x14ac:dyDescent="0.45">
      <c r="A585">
        <v>197705</v>
      </c>
      <c r="B585">
        <v>-1.47</v>
      </c>
      <c r="C585">
        <v>1.25</v>
      </c>
      <c r="D585">
        <v>0.81</v>
      </c>
      <c r="E585">
        <v>0.37</v>
      </c>
    </row>
    <row r="586" spans="1:5" x14ac:dyDescent="0.45">
      <c r="A586">
        <v>197704</v>
      </c>
      <c r="B586">
        <v>0.15</v>
      </c>
      <c r="C586">
        <v>-0.13</v>
      </c>
      <c r="D586">
        <v>3.38</v>
      </c>
      <c r="E586">
        <v>0.38</v>
      </c>
    </row>
    <row r="587" spans="1:5" x14ac:dyDescent="0.45">
      <c r="A587">
        <v>197703</v>
      </c>
      <c r="B587">
        <v>-1.35</v>
      </c>
      <c r="C587">
        <v>0.99</v>
      </c>
      <c r="D587">
        <v>1.0900000000000001</v>
      </c>
      <c r="E587">
        <v>0.38</v>
      </c>
    </row>
    <row r="588" spans="1:5" x14ac:dyDescent="0.45">
      <c r="A588">
        <v>197702</v>
      </c>
      <c r="B588">
        <v>-1.94</v>
      </c>
      <c r="C588">
        <v>1.03</v>
      </c>
      <c r="D588">
        <v>0.45</v>
      </c>
      <c r="E588">
        <v>0.35</v>
      </c>
    </row>
    <row r="589" spans="1:5" x14ac:dyDescent="0.45">
      <c r="A589">
        <v>197701</v>
      </c>
      <c r="B589">
        <v>-4.03</v>
      </c>
      <c r="C589">
        <v>4.75</v>
      </c>
      <c r="D589">
        <v>4.32</v>
      </c>
      <c r="E589">
        <v>0.36</v>
      </c>
    </row>
    <row r="590" spans="1:5" x14ac:dyDescent="0.45">
      <c r="A590">
        <v>197612</v>
      </c>
      <c r="B590">
        <v>5.65</v>
      </c>
      <c r="C590">
        <v>3.03</v>
      </c>
      <c r="D590">
        <v>2.23</v>
      </c>
      <c r="E590">
        <v>0.4</v>
      </c>
    </row>
    <row r="591" spans="1:5" x14ac:dyDescent="0.45">
      <c r="A591">
        <v>197611</v>
      </c>
      <c r="B591">
        <v>0.36</v>
      </c>
      <c r="C591">
        <v>2.34</v>
      </c>
      <c r="D591">
        <v>1.53</v>
      </c>
      <c r="E591">
        <v>0.4</v>
      </c>
    </row>
    <row r="592" spans="1:5" x14ac:dyDescent="0.45">
      <c r="A592">
        <v>197610</v>
      </c>
      <c r="B592">
        <v>-2.42</v>
      </c>
      <c r="C592">
        <v>0.14000000000000001</v>
      </c>
      <c r="D592">
        <v>-0.17</v>
      </c>
      <c r="E592">
        <v>0.41</v>
      </c>
    </row>
    <row r="593" spans="1:5" x14ac:dyDescent="0.45">
      <c r="A593">
        <v>197609</v>
      </c>
      <c r="B593">
        <v>2.06</v>
      </c>
      <c r="C593">
        <v>0.08</v>
      </c>
      <c r="D593">
        <v>-0.31</v>
      </c>
      <c r="E593">
        <v>0.44</v>
      </c>
    </row>
    <row r="594" spans="1:5" x14ac:dyDescent="0.45">
      <c r="A594">
        <v>197608</v>
      </c>
      <c r="B594">
        <v>-0.56999999999999995</v>
      </c>
      <c r="C594">
        <v>-2.0499999999999998</v>
      </c>
      <c r="D594">
        <v>0.79</v>
      </c>
      <c r="E594">
        <v>0.42</v>
      </c>
    </row>
    <row r="595" spans="1:5" x14ac:dyDescent="0.45">
      <c r="A595">
        <v>197607</v>
      </c>
      <c r="B595">
        <v>-1.06</v>
      </c>
      <c r="C595">
        <v>0.28000000000000003</v>
      </c>
      <c r="D595">
        <v>1.74</v>
      </c>
      <c r="E595">
        <v>0.47</v>
      </c>
    </row>
    <row r="596" spans="1:5" x14ac:dyDescent="0.45">
      <c r="A596">
        <v>197606</v>
      </c>
      <c r="B596">
        <v>4.0599999999999996</v>
      </c>
      <c r="C596">
        <v>-1.32</v>
      </c>
      <c r="D596">
        <v>0.73</v>
      </c>
      <c r="E596">
        <v>0.43</v>
      </c>
    </row>
    <row r="597" spans="1:5" x14ac:dyDescent="0.45">
      <c r="A597">
        <v>197605</v>
      </c>
      <c r="B597">
        <v>-1.34</v>
      </c>
      <c r="C597">
        <v>-1.19</v>
      </c>
      <c r="D597">
        <v>-1.29</v>
      </c>
      <c r="E597">
        <v>0.37</v>
      </c>
    </row>
    <row r="598" spans="1:5" x14ac:dyDescent="0.45">
      <c r="A598">
        <v>197604</v>
      </c>
      <c r="B598">
        <v>-1.49</v>
      </c>
      <c r="C598">
        <v>-0.08</v>
      </c>
      <c r="D598">
        <v>-0.16</v>
      </c>
      <c r="E598">
        <v>0.42</v>
      </c>
    </row>
    <row r="599" spans="1:5" x14ac:dyDescent="0.45">
      <c r="A599">
        <v>197603</v>
      </c>
      <c r="B599">
        <v>2.3199999999999998</v>
      </c>
      <c r="C599">
        <v>-1.17</v>
      </c>
      <c r="D599">
        <v>-0.11</v>
      </c>
      <c r="E599">
        <v>0.4</v>
      </c>
    </row>
    <row r="600" spans="1:5" x14ac:dyDescent="0.45">
      <c r="A600">
        <v>197602</v>
      </c>
      <c r="B600">
        <v>0.31</v>
      </c>
      <c r="C600">
        <v>6.97</v>
      </c>
      <c r="D600">
        <v>5.71</v>
      </c>
      <c r="E600">
        <v>0.34</v>
      </c>
    </row>
    <row r="601" spans="1:5" x14ac:dyDescent="0.45">
      <c r="A601">
        <v>197601</v>
      </c>
      <c r="B601">
        <v>12.15</v>
      </c>
      <c r="C601">
        <v>4.87</v>
      </c>
      <c r="D601">
        <v>8.6300000000000008</v>
      </c>
      <c r="E601">
        <v>0.47</v>
      </c>
    </row>
    <row r="602" spans="1:5" x14ac:dyDescent="0.45">
      <c r="A602">
        <v>197512</v>
      </c>
      <c r="B602">
        <v>-1.6</v>
      </c>
      <c r="C602">
        <v>-0.87</v>
      </c>
      <c r="D602">
        <v>1.7</v>
      </c>
      <c r="E602">
        <v>0.48</v>
      </c>
    </row>
    <row r="603" spans="1:5" x14ac:dyDescent="0.45">
      <c r="A603">
        <v>197511</v>
      </c>
      <c r="B603">
        <v>2.65</v>
      </c>
      <c r="C603">
        <v>-1.22</v>
      </c>
      <c r="D603">
        <v>2.0299999999999998</v>
      </c>
      <c r="E603">
        <v>0.41</v>
      </c>
    </row>
    <row r="604" spans="1:5" x14ac:dyDescent="0.45">
      <c r="A604">
        <v>197510</v>
      </c>
      <c r="B604">
        <v>5.32</v>
      </c>
      <c r="C604">
        <v>-4.08</v>
      </c>
      <c r="D604">
        <v>0.35</v>
      </c>
      <c r="E604">
        <v>0.56000000000000005</v>
      </c>
    </row>
    <row r="605" spans="1:5" x14ac:dyDescent="0.45">
      <c r="A605">
        <v>197509</v>
      </c>
      <c r="B605">
        <v>-4.26</v>
      </c>
      <c r="C605">
        <v>-0.16</v>
      </c>
      <c r="D605">
        <v>0.33</v>
      </c>
      <c r="E605">
        <v>0.53</v>
      </c>
    </row>
    <row r="606" spans="1:5" x14ac:dyDescent="0.45">
      <c r="A606">
        <v>197508</v>
      </c>
      <c r="B606">
        <v>-2.84</v>
      </c>
      <c r="C606">
        <v>-3.17</v>
      </c>
      <c r="D606">
        <v>-0.91</v>
      </c>
      <c r="E606">
        <v>0.48</v>
      </c>
    </row>
    <row r="607" spans="1:5" x14ac:dyDescent="0.45">
      <c r="A607">
        <v>197507</v>
      </c>
      <c r="B607">
        <v>-6.6</v>
      </c>
      <c r="C607">
        <v>2.66</v>
      </c>
      <c r="D607">
        <v>1.76</v>
      </c>
      <c r="E607">
        <v>0.48</v>
      </c>
    </row>
    <row r="608" spans="1:5" x14ac:dyDescent="0.45">
      <c r="A608">
        <v>197506</v>
      </c>
      <c r="B608">
        <v>4.87</v>
      </c>
      <c r="C608">
        <v>0.81</v>
      </c>
      <c r="D608">
        <v>1.35</v>
      </c>
      <c r="E608">
        <v>0.41</v>
      </c>
    </row>
    <row r="609" spans="1:5" x14ac:dyDescent="0.45">
      <c r="A609">
        <v>197505</v>
      </c>
      <c r="B609">
        <v>5.2</v>
      </c>
      <c r="C609">
        <v>3.93</v>
      </c>
      <c r="D609">
        <v>-4.05</v>
      </c>
      <c r="E609">
        <v>0.44</v>
      </c>
    </row>
    <row r="610" spans="1:5" x14ac:dyDescent="0.45">
      <c r="A610">
        <v>197504</v>
      </c>
      <c r="B610">
        <v>4.22</v>
      </c>
      <c r="C610">
        <v>-0.64</v>
      </c>
      <c r="D610">
        <v>-1.1299999999999999</v>
      </c>
      <c r="E610">
        <v>0.44</v>
      </c>
    </row>
    <row r="611" spans="1:5" x14ac:dyDescent="0.45">
      <c r="A611">
        <v>197503</v>
      </c>
      <c r="B611">
        <v>2.66</v>
      </c>
      <c r="C611">
        <v>3.75</v>
      </c>
      <c r="D611">
        <v>2.42</v>
      </c>
      <c r="E611">
        <v>0.41</v>
      </c>
    </row>
    <row r="612" spans="1:5" x14ac:dyDescent="0.45">
      <c r="A612">
        <v>197502</v>
      </c>
      <c r="B612">
        <v>5.56</v>
      </c>
      <c r="C612">
        <v>0.12</v>
      </c>
      <c r="D612">
        <v>-4.47</v>
      </c>
      <c r="E612">
        <v>0.43</v>
      </c>
    </row>
    <row r="613" spans="1:5" x14ac:dyDescent="0.45">
      <c r="A613">
        <v>197501</v>
      </c>
      <c r="B613">
        <v>13.67</v>
      </c>
      <c r="C613">
        <v>11.06</v>
      </c>
      <c r="D613">
        <v>8.26</v>
      </c>
      <c r="E613">
        <v>0.57999999999999996</v>
      </c>
    </row>
    <row r="614" spans="1:5" x14ac:dyDescent="0.45">
      <c r="A614">
        <v>197412</v>
      </c>
      <c r="B614">
        <v>-3.44</v>
      </c>
      <c r="C614">
        <v>-4.74</v>
      </c>
      <c r="D614">
        <v>0.12</v>
      </c>
      <c r="E614">
        <v>0.7</v>
      </c>
    </row>
    <row r="615" spans="1:5" x14ac:dyDescent="0.45">
      <c r="A615">
        <v>197411</v>
      </c>
      <c r="B615">
        <v>-4.53</v>
      </c>
      <c r="C615">
        <v>-1.17</v>
      </c>
      <c r="D615">
        <v>-0.25</v>
      </c>
      <c r="E615">
        <v>0.54</v>
      </c>
    </row>
    <row r="616" spans="1:5" x14ac:dyDescent="0.45">
      <c r="A616">
        <v>197410</v>
      </c>
      <c r="B616">
        <v>16.11</v>
      </c>
      <c r="C616">
        <v>-3.43</v>
      </c>
      <c r="D616">
        <v>-9.91</v>
      </c>
      <c r="E616">
        <v>0.51</v>
      </c>
    </row>
    <row r="617" spans="1:5" x14ac:dyDescent="0.45">
      <c r="A617">
        <v>197409</v>
      </c>
      <c r="B617">
        <v>-11.79</v>
      </c>
      <c r="C617">
        <v>0.27</v>
      </c>
      <c r="D617">
        <v>5.43</v>
      </c>
      <c r="E617">
        <v>0.81</v>
      </c>
    </row>
    <row r="618" spans="1:5" x14ac:dyDescent="0.45">
      <c r="A618">
        <v>197408</v>
      </c>
      <c r="B618">
        <v>-9.39</v>
      </c>
      <c r="C618">
        <v>-0.69</v>
      </c>
      <c r="D618">
        <v>2.61</v>
      </c>
      <c r="E618">
        <v>0.6</v>
      </c>
    </row>
    <row r="619" spans="1:5" x14ac:dyDescent="0.45">
      <c r="A619">
        <v>197407</v>
      </c>
      <c r="B619">
        <v>-8.06</v>
      </c>
      <c r="C619">
        <v>0.78</v>
      </c>
      <c r="D619">
        <v>5.16</v>
      </c>
      <c r="E619">
        <v>0.7</v>
      </c>
    </row>
    <row r="620" spans="1:5" x14ac:dyDescent="0.45">
      <c r="A620">
        <v>197406</v>
      </c>
      <c r="B620">
        <v>-2.84</v>
      </c>
      <c r="C620">
        <v>-0.24</v>
      </c>
      <c r="D620">
        <v>0.83</v>
      </c>
      <c r="E620">
        <v>0.6</v>
      </c>
    </row>
    <row r="621" spans="1:5" x14ac:dyDescent="0.45">
      <c r="A621">
        <v>197405</v>
      </c>
      <c r="B621">
        <v>-4.7</v>
      </c>
      <c r="C621">
        <v>-2.93</v>
      </c>
      <c r="D621">
        <v>-2.08</v>
      </c>
      <c r="E621">
        <v>0.75</v>
      </c>
    </row>
    <row r="622" spans="1:5" x14ac:dyDescent="0.45">
      <c r="A622">
        <v>197404</v>
      </c>
      <c r="B622">
        <v>-5.28</v>
      </c>
      <c r="C622">
        <v>-0.68</v>
      </c>
      <c r="D622">
        <v>0.92</v>
      </c>
      <c r="E622">
        <v>0.75</v>
      </c>
    </row>
    <row r="623" spans="1:5" x14ac:dyDescent="0.45">
      <c r="A623">
        <v>197403</v>
      </c>
      <c r="B623">
        <v>-2.82</v>
      </c>
      <c r="C623">
        <v>2.5</v>
      </c>
      <c r="D623">
        <v>-0.14000000000000001</v>
      </c>
      <c r="E623">
        <v>0.56000000000000005</v>
      </c>
    </row>
    <row r="624" spans="1:5" x14ac:dyDescent="0.45">
      <c r="A624">
        <v>197402</v>
      </c>
      <c r="B624">
        <v>-0.46</v>
      </c>
      <c r="C624">
        <v>0</v>
      </c>
      <c r="D624">
        <v>2.4700000000000002</v>
      </c>
      <c r="E624">
        <v>0.57999999999999996</v>
      </c>
    </row>
    <row r="625" spans="1:5" x14ac:dyDescent="0.45">
      <c r="A625">
        <v>197401</v>
      </c>
      <c r="B625">
        <v>-0.16</v>
      </c>
      <c r="C625">
        <v>9.68</v>
      </c>
      <c r="D625">
        <v>5.95</v>
      </c>
      <c r="E625">
        <v>0.63</v>
      </c>
    </row>
    <row r="626" spans="1:5" x14ac:dyDescent="0.45">
      <c r="A626">
        <v>197312</v>
      </c>
      <c r="B626">
        <v>0.59</v>
      </c>
      <c r="C626">
        <v>-5.4</v>
      </c>
      <c r="D626">
        <v>4.01</v>
      </c>
      <c r="E626">
        <v>0.64</v>
      </c>
    </row>
    <row r="627" spans="1:5" x14ac:dyDescent="0.45">
      <c r="A627">
        <v>197311</v>
      </c>
      <c r="B627">
        <v>-12.78</v>
      </c>
      <c r="C627">
        <v>-7.72</v>
      </c>
      <c r="D627">
        <v>4.09</v>
      </c>
      <c r="E627">
        <v>0.56000000000000005</v>
      </c>
    </row>
    <row r="628" spans="1:5" x14ac:dyDescent="0.45">
      <c r="A628">
        <v>197310</v>
      </c>
      <c r="B628">
        <v>-0.83</v>
      </c>
      <c r="C628">
        <v>-0.21</v>
      </c>
      <c r="D628">
        <v>1.66</v>
      </c>
      <c r="E628">
        <v>0.65</v>
      </c>
    </row>
    <row r="629" spans="1:5" x14ac:dyDescent="0.45">
      <c r="A629">
        <v>197309</v>
      </c>
      <c r="B629">
        <v>4.74</v>
      </c>
      <c r="C629">
        <v>2.93</v>
      </c>
      <c r="D629">
        <v>2.2200000000000002</v>
      </c>
      <c r="E629">
        <v>0.68</v>
      </c>
    </row>
    <row r="630" spans="1:5" x14ac:dyDescent="0.45">
      <c r="A630">
        <v>197308</v>
      </c>
      <c r="B630">
        <v>-3.82</v>
      </c>
      <c r="C630">
        <v>-2</v>
      </c>
      <c r="D630">
        <v>1.03</v>
      </c>
      <c r="E630">
        <v>0.7</v>
      </c>
    </row>
    <row r="631" spans="1:5" x14ac:dyDescent="0.45">
      <c r="A631">
        <v>197307</v>
      </c>
      <c r="B631">
        <v>5.04</v>
      </c>
      <c r="C631">
        <v>7.92</v>
      </c>
      <c r="D631">
        <v>-5.26</v>
      </c>
      <c r="E631">
        <v>0.64</v>
      </c>
    </row>
    <row r="632" spans="1:5" x14ac:dyDescent="0.45">
      <c r="A632">
        <v>197306</v>
      </c>
      <c r="B632">
        <v>-1.57</v>
      </c>
      <c r="C632">
        <v>-2.84</v>
      </c>
      <c r="D632">
        <v>1.1399999999999999</v>
      </c>
      <c r="E632">
        <v>0.51</v>
      </c>
    </row>
    <row r="633" spans="1:5" x14ac:dyDescent="0.45">
      <c r="A633">
        <v>197305</v>
      </c>
      <c r="B633">
        <v>-2.97</v>
      </c>
      <c r="C633">
        <v>-6.27</v>
      </c>
      <c r="D633">
        <v>0.38</v>
      </c>
      <c r="E633">
        <v>0.51</v>
      </c>
    </row>
    <row r="634" spans="1:5" x14ac:dyDescent="0.45">
      <c r="A634">
        <v>197304</v>
      </c>
      <c r="B634">
        <v>-5.68</v>
      </c>
      <c r="C634">
        <v>-3.84</v>
      </c>
      <c r="D634">
        <v>5.39</v>
      </c>
      <c r="E634">
        <v>0.52</v>
      </c>
    </row>
    <row r="635" spans="1:5" x14ac:dyDescent="0.45">
      <c r="A635">
        <v>197303</v>
      </c>
      <c r="B635">
        <v>-1.3</v>
      </c>
      <c r="C635">
        <v>-2.78</v>
      </c>
      <c r="D635">
        <v>2.57</v>
      </c>
      <c r="E635">
        <v>0.46</v>
      </c>
    </row>
    <row r="636" spans="1:5" x14ac:dyDescent="0.45">
      <c r="A636">
        <v>197302</v>
      </c>
      <c r="B636">
        <v>-4.8499999999999996</v>
      </c>
      <c r="C636">
        <v>-3.89</v>
      </c>
      <c r="D636">
        <v>1.64</v>
      </c>
      <c r="E636">
        <v>0.42</v>
      </c>
    </row>
    <row r="637" spans="1:5" x14ac:dyDescent="0.45">
      <c r="A637">
        <v>197301</v>
      </c>
      <c r="B637">
        <v>-3.27</v>
      </c>
      <c r="C637">
        <v>-3.49</v>
      </c>
      <c r="D637">
        <v>2.7</v>
      </c>
      <c r="E637">
        <v>0.44</v>
      </c>
    </row>
    <row r="638" spans="1:5" x14ac:dyDescent="0.45">
      <c r="A638">
        <v>197212</v>
      </c>
      <c r="B638">
        <v>0.62</v>
      </c>
      <c r="C638">
        <v>-1.95</v>
      </c>
      <c r="D638">
        <v>-2.1800000000000002</v>
      </c>
      <c r="E638">
        <v>0.37</v>
      </c>
    </row>
    <row r="639" spans="1:5" x14ac:dyDescent="0.45">
      <c r="A639">
        <v>197211</v>
      </c>
      <c r="B639">
        <v>4.5999999999999996</v>
      </c>
      <c r="C639">
        <v>-1.18</v>
      </c>
      <c r="D639">
        <v>4.88</v>
      </c>
      <c r="E639">
        <v>0.37</v>
      </c>
    </row>
    <row r="640" spans="1:5" x14ac:dyDescent="0.45">
      <c r="A640">
        <v>197210</v>
      </c>
      <c r="B640">
        <v>0.52</v>
      </c>
      <c r="C640">
        <v>-2.73</v>
      </c>
      <c r="D640">
        <v>1.22</v>
      </c>
      <c r="E640">
        <v>0.4</v>
      </c>
    </row>
    <row r="641" spans="1:5" x14ac:dyDescent="0.45">
      <c r="A641">
        <v>197209</v>
      </c>
      <c r="B641">
        <v>-1.1399999999999999</v>
      </c>
      <c r="C641">
        <v>-2.66</v>
      </c>
      <c r="D641">
        <v>0.49</v>
      </c>
      <c r="E641">
        <v>0.34</v>
      </c>
    </row>
    <row r="642" spans="1:5" x14ac:dyDescent="0.45">
      <c r="A642">
        <v>197208</v>
      </c>
      <c r="B642">
        <v>3.27</v>
      </c>
      <c r="C642">
        <v>-3.99</v>
      </c>
      <c r="D642">
        <v>4.5599999999999996</v>
      </c>
      <c r="E642">
        <v>0.28999999999999998</v>
      </c>
    </row>
    <row r="643" spans="1:5" x14ac:dyDescent="0.45">
      <c r="A643">
        <v>197207</v>
      </c>
      <c r="B643">
        <v>-0.8</v>
      </c>
      <c r="C643">
        <v>-2.9</v>
      </c>
      <c r="D643">
        <v>0.6</v>
      </c>
      <c r="E643">
        <v>0.31</v>
      </c>
    </row>
    <row r="644" spans="1:5" x14ac:dyDescent="0.45">
      <c r="A644">
        <v>197206</v>
      </c>
      <c r="B644">
        <v>-2.4300000000000002</v>
      </c>
      <c r="C644">
        <v>0.28000000000000003</v>
      </c>
      <c r="D644">
        <v>-2.46</v>
      </c>
      <c r="E644">
        <v>0.28999999999999998</v>
      </c>
    </row>
    <row r="645" spans="1:5" x14ac:dyDescent="0.45">
      <c r="A645">
        <v>197205</v>
      </c>
      <c r="B645">
        <v>1.29</v>
      </c>
      <c r="C645">
        <v>-2.71</v>
      </c>
      <c r="D645">
        <v>-2.72</v>
      </c>
      <c r="E645">
        <v>0.3</v>
      </c>
    </row>
    <row r="646" spans="1:5" x14ac:dyDescent="0.45">
      <c r="A646">
        <v>197204</v>
      </c>
      <c r="B646">
        <v>0.28999999999999998</v>
      </c>
      <c r="C646">
        <v>0.16</v>
      </c>
      <c r="D646">
        <v>0.03</v>
      </c>
      <c r="E646">
        <v>0.28999999999999998</v>
      </c>
    </row>
    <row r="647" spans="1:5" x14ac:dyDescent="0.45">
      <c r="A647">
        <v>197203</v>
      </c>
      <c r="B647">
        <v>0.62</v>
      </c>
      <c r="C647">
        <v>-0.28999999999999998</v>
      </c>
      <c r="D647">
        <v>-1.61</v>
      </c>
      <c r="E647">
        <v>0.27</v>
      </c>
    </row>
    <row r="648" spans="1:5" x14ac:dyDescent="0.45">
      <c r="A648">
        <v>197202</v>
      </c>
      <c r="B648">
        <v>2.87</v>
      </c>
      <c r="C648">
        <v>1.32</v>
      </c>
      <c r="D648">
        <v>-2.83</v>
      </c>
      <c r="E648">
        <v>0.25</v>
      </c>
    </row>
    <row r="649" spans="1:5" x14ac:dyDescent="0.45">
      <c r="A649">
        <v>197201</v>
      </c>
      <c r="B649">
        <v>2.4700000000000002</v>
      </c>
      <c r="C649">
        <v>5.84</v>
      </c>
      <c r="D649">
        <v>2.12</v>
      </c>
      <c r="E649">
        <v>0.28999999999999998</v>
      </c>
    </row>
    <row r="650" spans="1:5" x14ac:dyDescent="0.45">
      <c r="A650">
        <v>197112</v>
      </c>
      <c r="B650">
        <v>8.7100000000000009</v>
      </c>
      <c r="C650">
        <v>3.29</v>
      </c>
      <c r="D650">
        <v>-0.38</v>
      </c>
      <c r="E650">
        <v>0.37</v>
      </c>
    </row>
    <row r="651" spans="1:5" x14ac:dyDescent="0.45">
      <c r="A651">
        <v>197111</v>
      </c>
      <c r="B651">
        <v>-0.46</v>
      </c>
      <c r="C651">
        <v>-2.77</v>
      </c>
      <c r="D651">
        <v>-1.67</v>
      </c>
      <c r="E651">
        <v>0.37</v>
      </c>
    </row>
    <row r="652" spans="1:5" x14ac:dyDescent="0.45">
      <c r="A652">
        <v>197110</v>
      </c>
      <c r="B652">
        <v>-4.42</v>
      </c>
      <c r="C652">
        <v>-1.75</v>
      </c>
      <c r="D652">
        <v>-0.51</v>
      </c>
      <c r="E652">
        <v>0.37</v>
      </c>
    </row>
    <row r="653" spans="1:5" x14ac:dyDescent="0.45">
      <c r="A653">
        <v>197109</v>
      </c>
      <c r="B653">
        <v>-0.86</v>
      </c>
      <c r="C653">
        <v>0.5</v>
      </c>
      <c r="D653">
        <v>-2.9</v>
      </c>
      <c r="E653">
        <v>0.37</v>
      </c>
    </row>
    <row r="654" spans="1:5" x14ac:dyDescent="0.45">
      <c r="A654">
        <v>197108</v>
      </c>
      <c r="B654">
        <v>3.79</v>
      </c>
      <c r="C654">
        <v>-0.22</v>
      </c>
      <c r="D654">
        <v>2.64</v>
      </c>
      <c r="E654">
        <v>0.47</v>
      </c>
    </row>
    <row r="655" spans="1:5" x14ac:dyDescent="0.45">
      <c r="A655">
        <v>197107</v>
      </c>
      <c r="B655">
        <v>-4.49</v>
      </c>
      <c r="C655">
        <v>-1.51</v>
      </c>
      <c r="D655">
        <v>-0.02</v>
      </c>
      <c r="E655">
        <v>0.4</v>
      </c>
    </row>
    <row r="656" spans="1:5" x14ac:dyDescent="0.45">
      <c r="A656">
        <v>197106</v>
      </c>
      <c r="B656">
        <v>-0.09</v>
      </c>
      <c r="C656">
        <v>-1.53</v>
      </c>
      <c r="D656">
        <v>-1.97</v>
      </c>
      <c r="E656">
        <v>0.37</v>
      </c>
    </row>
    <row r="657" spans="1:5" x14ac:dyDescent="0.45">
      <c r="A657">
        <v>197105</v>
      </c>
      <c r="B657">
        <v>-3.99</v>
      </c>
      <c r="C657">
        <v>-1.04</v>
      </c>
      <c r="D657">
        <v>-1.33</v>
      </c>
      <c r="E657">
        <v>0.28999999999999998</v>
      </c>
    </row>
    <row r="658" spans="1:5" x14ac:dyDescent="0.45">
      <c r="A658">
        <v>197104</v>
      </c>
      <c r="B658">
        <v>3.15</v>
      </c>
      <c r="C658">
        <v>-0.49</v>
      </c>
      <c r="D658">
        <v>0.86</v>
      </c>
      <c r="E658">
        <v>0.28000000000000003</v>
      </c>
    </row>
    <row r="659" spans="1:5" x14ac:dyDescent="0.45">
      <c r="A659">
        <v>197103</v>
      </c>
      <c r="B659">
        <v>4.12</v>
      </c>
      <c r="C659">
        <v>2.6</v>
      </c>
      <c r="D659">
        <v>-3.95</v>
      </c>
      <c r="E659">
        <v>0.3</v>
      </c>
    </row>
    <row r="660" spans="1:5" x14ac:dyDescent="0.45">
      <c r="A660">
        <v>197102</v>
      </c>
      <c r="B660">
        <v>1.41</v>
      </c>
      <c r="C660">
        <v>1.86</v>
      </c>
      <c r="D660">
        <v>-1.24</v>
      </c>
      <c r="E660">
        <v>0.33</v>
      </c>
    </row>
    <row r="661" spans="1:5" x14ac:dyDescent="0.45">
      <c r="A661">
        <v>197101</v>
      </c>
      <c r="B661">
        <v>4.83</v>
      </c>
      <c r="C661">
        <v>7.28</v>
      </c>
      <c r="D661">
        <v>1.55</v>
      </c>
      <c r="E661">
        <v>0.38</v>
      </c>
    </row>
    <row r="662" spans="1:5" x14ac:dyDescent="0.45">
      <c r="A662">
        <v>197012</v>
      </c>
      <c r="B662">
        <v>5.74</v>
      </c>
      <c r="C662">
        <v>2.82</v>
      </c>
      <c r="D662">
        <v>1.04</v>
      </c>
      <c r="E662">
        <v>0.42</v>
      </c>
    </row>
    <row r="663" spans="1:5" x14ac:dyDescent="0.45">
      <c r="A663">
        <v>197011</v>
      </c>
      <c r="B663">
        <v>4.62</v>
      </c>
      <c r="C663">
        <v>-3.97</v>
      </c>
      <c r="D663">
        <v>1.58</v>
      </c>
      <c r="E663">
        <v>0.46</v>
      </c>
    </row>
    <row r="664" spans="1:5" x14ac:dyDescent="0.45">
      <c r="A664">
        <v>197010</v>
      </c>
      <c r="B664">
        <v>-2.27</v>
      </c>
      <c r="C664">
        <v>-4.17</v>
      </c>
      <c r="D664">
        <v>0.21</v>
      </c>
      <c r="E664">
        <v>0.46</v>
      </c>
    </row>
    <row r="665" spans="1:5" x14ac:dyDescent="0.45">
      <c r="A665">
        <v>197009</v>
      </c>
      <c r="B665">
        <v>4.18</v>
      </c>
      <c r="C665">
        <v>8.61</v>
      </c>
      <c r="D665">
        <v>-5.41</v>
      </c>
      <c r="E665">
        <v>0.54</v>
      </c>
    </row>
    <row r="666" spans="1:5" x14ac:dyDescent="0.45">
      <c r="A666">
        <v>197008</v>
      </c>
      <c r="B666">
        <v>4.5</v>
      </c>
      <c r="C666">
        <v>1.48</v>
      </c>
      <c r="D666">
        <v>1.41</v>
      </c>
      <c r="E666">
        <v>0.53</v>
      </c>
    </row>
    <row r="667" spans="1:5" x14ac:dyDescent="0.45">
      <c r="A667">
        <v>197007</v>
      </c>
      <c r="B667">
        <v>6.92</v>
      </c>
      <c r="C667">
        <v>-0.55000000000000004</v>
      </c>
      <c r="D667">
        <v>0.93</v>
      </c>
      <c r="E667">
        <v>0.52</v>
      </c>
    </row>
    <row r="668" spans="1:5" x14ac:dyDescent="0.45">
      <c r="A668">
        <v>197006</v>
      </c>
      <c r="B668">
        <v>-5.8</v>
      </c>
      <c r="C668">
        <v>-2.08</v>
      </c>
      <c r="D668">
        <v>0.44</v>
      </c>
      <c r="E668">
        <v>0.57999999999999996</v>
      </c>
    </row>
    <row r="669" spans="1:5" x14ac:dyDescent="0.45">
      <c r="A669">
        <v>197005</v>
      </c>
      <c r="B669">
        <v>-6.9</v>
      </c>
      <c r="C669">
        <v>-4.6100000000000003</v>
      </c>
      <c r="D669">
        <v>3.32</v>
      </c>
      <c r="E669">
        <v>0.53</v>
      </c>
    </row>
    <row r="670" spans="1:5" x14ac:dyDescent="0.45">
      <c r="A670">
        <v>197004</v>
      </c>
      <c r="B670">
        <v>-10.99</v>
      </c>
      <c r="C670">
        <v>-6.14</v>
      </c>
      <c r="D670">
        <v>6.14</v>
      </c>
      <c r="E670">
        <v>0.5</v>
      </c>
    </row>
    <row r="671" spans="1:5" x14ac:dyDescent="0.45">
      <c r="A671">
        <v>197003</v>
      </c>
      <c r="B671">
        <v>-1.06</v>
      </c>
      <c r="C671">
        <v>-2.31</v>
      </c>
      <c r="D671">
        <v>4.08</v>
      </c>
      <c r="E671">
        <v>0.56999999999999995</v>
      </c>
    </row>
    <row r="672" spans="1:5" x14ac:dyDescent="0.45">
      <c r="A672">
        <v>197002</v>
      </c>
      <c r="B672">
        <v>5.14</v>
      </c>
      <c r="C672">
        <v>-2.39</v>
      </c>
      <c r="D672">
        <v>3.69</v>
      </c>
      <c r="E672">
        <v>0.62</v>
      </c>
    </row>
    <row r="673" spans="1:5" x14ac:dyDescent="0.45">
      <c r="A673">
        <v>197001</v>
      </c>
      <c r="B673">
        <v>-8.1</v>
      </c>
      <c r="C673">
        <v>2.91</v>
      </c>
      <c r="D673">
        <v>3.17</v>
      </c>
      <c r="E673">
        <v>0.6</v>
      </c>
    </row>
    <row r="674" spans="1:5" x14ac:dyDescent="0.45">
      <c r="A674">
        <v>196912</v>
      </c>
      <c r="B674">
        <v>-2.63</v>
      </c>
      <c r="C674">
        <v>-3.68</v>
      </c>
      <c r="D674">
        <v>-2.88</v>
      </c>
      <c r="E674">
        <v>0.64</v>
      </c>
    </row>
    <row r="675" spans="1:5" x14ac:dyDescent="0.45">
      <c r="A675">
        <v>196911</v>
      </c>
      <c r="B675">
        <v>-3.8</v>
      </c>
      <c r="C675">
        <v>-2.5499999999999998</v>
      </c>
      <c r="D675">
        <v>-1.25</v>
      </c>
      <c r="E675">
        <v>0.52</v>
      </c>
    </row>
    <row r="676" spans="1:5" x14ac:dyDescent="0.45">
      <c r="A676">
        <v>196910</v>
      </c>
      <c r="B676">
        <v>5.0599999999999996</v>
      </c>
      <c r="C676">
        <v>3.92</v>
      </c>
      <c r="D676">
        <v>-3.12</v>
      </c>
      <c r="E676">
        <v>0.6</v>
      </c>
    </row>
    <row r="677" spans="1:5" x14ac:dyDescent="0.45">
      <c r="A677">
        <v>196909</v>
      </c>
      <c r="B677">
        <v>-2.97</v>
      </c>
      <c r="C677">
        <v>1.23</v>
      </c>
      <c r="D677">
        <v>-3.22</v>
      </c>
      <c r="E677">
        <v>0.62</v>
      </c>
    </row>
    <row r="678" spans="1:5" x14ac:dyDescent="0.45">
      <c r="A678">
        <v>196908</v>
      </c>
      <c r="B678">
        <v>4.6900000000000004</v>
      </c>
      <c r="C678">
        <v>0.81</v>
      </c>
      <c r="D678">
        <v>-3.75</v>
      </c>
      <c r="E678">
        <v>0.5</v>
      </c>
    </row>
    <row r="679" spans="1:5" x14ac:dyDescent="0.45">
      <c r="A679">
        <v>196907</v>
      </c>
      <c r="B679">
        <v>-7</v>
      </c>
      <c r="C679">
        <v>-3.24</v>
      </c>
      <c r="D679">
        <v>1.18</v>
      </c>
      <c r="E679">
        <v>0.53</v>
      </c>
    </row>
    <row r="680" spans="1:5" x14ac:dyDescent="0.45">
      <c r="A680">
        <v>196906</v>
      </c>
      <c r="B680">
        <v>-7.19</v>
      </c>
      <c r="C680">
        <v>-5.34</v>
      </c>
      <c r="D680">
        <v>-1.1000000000000001</v>
      </c>
      <c r="E680">
        <v>0.51</v>
      </c>
    </row>
    <row r="681" spans="1:5" x14ac:dyDescent="0.45">
      <c r="A681">
        <v>196905</v>
      </c>
      <c r="B681">
        <v>-0.09</v>
      </c>
      <c r="C681">
        <v>-0.32</v>
      </c>
      <c r="D681">
        <v>0.62</v>
      </c>
      <c r="E681">
        <v>0.48</v>
      </c>
    </row>
    <row r="682" spans="1:5" x14ac:dyDescent="0.45">
      <c r="A682">
        <v>196904</v>
      </c>
      <c r="B682">
        <v>1.46</v>
      </c>
      <c r="C682">
        <v>-0.81</v>
      </c>
      <c r="D682">
        <v>0.02</v>
      </c>
      <c r="E682">
        <v>0.53</v>
      </c>
    </row>
    <row r="683" spans="1:5" x14ac:dyDescent="0.45">
      <c r="A683">
        <v>196903</v>
      </c>
      <c r="B683">
        <v>2.66</v>
      </c>
      <c r="C683">
        <v>-0.3</v>
      </c>
      <c r="D683">
        <v>-0.42</v>
      </c>
      <c r="E683">
        <v>0.46</v>
      </c>
    </row>
    <row r="684" spans="1:5" x14ac:dyDescent="0.45">
      <c r="A684">
        <v>196902</v>
      </c>
      <c r="B684">
        <v>-5.86</v>
      </c>
      <c r="C684">
        <v>-3.96</v>
      </c>
      <c r="D684">
        <v>0.89</v>
      </c>
      <c r="E684">
        <v>0.46</v>
      </c>
    </row>
    <row r="685" spans="1:5" x14ac:dyDescent="0.45">
      <c r="A685">
        <v>196901</v>
      </c>
      <c r="B685">
        <v>-1.25</v>
      </c>
      <c r="C685">
        <v>-0.63</v>
      </c>
      <c r="D685">
        <v>1.66</v>
      </c>
      <c r="E685">
        <v>0.53</v>
      </c>
    </row>
    <row r="686" spans="1:5" x14ac:dyDescent="0.45">
      <c r="A686">
        <v>196812</v>
      </c>
      <c r="B686">
        <v>-3.93</v>
      </c>
      <c r="C686">
        <v>3.36</v>
      </c>
      <c r="D686">
        <v>0.04</v>
      </c>
      <c r="E686">
        <v>0.43</v>
      </c>
    </row>
    <row r="687" spans="1:5" x14ac:dyDescent="0.45">
      <c r="A687">
        <v>196811</v>
      </c>
      <c r="B687">
        <v>5.43</v>
      </c>
      <c r="C687">
        <v>2.34</v>
      </c>
      <c r="D687">
        <v>-0.96</v>
      </c>
      <c r="E687">
        <v>0.42</v>
      </c>
    </row>
    <row r="688" spans="1:5" x14ac:dyDescent="0.45">
      <c r="A688">
        <v>196810</v>
      </c>
      <c r="B688">
        <v>0.43</v>
      </c>
      <c r="C688">
        <v>-0.5</v>
      </c>
      <c r="D688">
        <v>2.82</v>
      </c>
      <c r="E688">
        <v>0.44</v>
      </c>
    </row>
    <row r="689" spans="1:5" x14ac:dyDescent="0.45">
      <c r="A689">
        <v>196809</v>
      </c>
      <c r="B689">
        <v>4.05</v>
      </c>
      <c r="C689">
        <v>2.74</v>
      </c>
      <c r="D689">
        <v>0.3</v>
      </c>
      <c r="E689">
        <v>0.43</v>
      </c>
    </row>
    <row r="690" spans="1:5" x14ac:dyDescent="0.45">
      <c r="A690">
        <v>196808</v>
      </c>
      <c r="B690">
        <v>1.35</v>
      </c>
      <c r="C690">
        <v>2.42</v>
      </c>
      <c r="D690">
        <v>0.99</v>
      </c>
      <c r="E690">
        <v>0.42</v>
      </c>
    </row>
    <row r="691" spans="1:5" x14ac:dyDescent="0.45">
      <c r="A691">
        <v>196807</v>
      </c>
      <c r="B691">
        <v>-2.69</v>
      </c>
      <c r="C691">
        <v>-1.28</v>
      </c>
      <c r="D691">
        <v>5.31</v>
      </c>
      <c r="E691">
        <v>0.48</v>
      </c>
    </row>
    <row r="692" spans="1:5" x14ac:dyDescent="0.45">
      <c r="A692">
        <v>196806</v>
      </c>
      <c r="B692">
        <v>0.7</v>
      </c>
      <c r="C692">
        <v>-0.19</v>
      </c>
      <c r="D692">
        <v>0.66</v>
      </c>
      <c r="E692">
        <v>0.43</v>
      </c>
    </row>
    <row r="693" spans="1:5" x14ac:dyDescent="0.45">
      <c r="A693">
        <v>196805</v>
      </c>
      <c r="B693">
        <v>2.2799999999999998</v>
      </c>
      <c r="C693">
        <v>6.29</v>
      </c>
      <c r="D693">
        <v>0.82</v>
      </c>
      <c r="E693">
        <v>0.45</v>
      </c>
    </row>
    <row r="694" spans="1:5" x14ac:dyDescent="0.45">
      <c r="A694">
        <v>196804</v>
      </c>
      <c r="B694">
        <v>9.02</v>
      </c>
      <c r="C694">
        <v>5.66</v>
      </c>
      <c r="D694">
        <v>-1.1000000000000001</v>
      </c>
      <c r="E694">
        <v>0.43</v>
      </c>
    </row>
    <row r="695" spans="1:5" x14ac:dyDescent="0.45">
      <c r="A695">
        <v>196803</v>
      </c>
      <c r="B695">
        <v>0.21</v>
      </c>
      <c r="C695">
        <v>-1.3</v>
      </c>
      <c r="D695">
        <v>-0.63</v>
      </c>
      <c r="E695">
        <v>0.38</v>
      </c>
    </row>
    <row r="696" spans="1:5" x14ac:dyDescent="0.45">
      <c r="A696">
        <v>196802</v>
      </c>
      <c r="B696">
        <v>-3.74</v>
      </c>
      <c r="C696">
        <v>-2.94</v>
      </c>
      <c r="D696">
        <v>1.23</v>
      </c>
      <c r="E696">
        <v>0.39</v>
      </c>
    </row>
    <row r="697" spans="1:5" x14ac:dyDescent="0.45">
      <c r="A697">
        <v>196801</v>
      </c>
      <c r="B697">
        <v>-4.03</v>
      </c>
      <c r="C697">
        <v>3.99</v>
      </c>
      <c r="D697">
        <v>4.8499999999999996</v>
      </c>
      <c r="E697">
        <v>0.4</v>
      </c>
    </row>
    <row r="698" spans="1:5" x14ac:dyDescent="0.45">
      <c r="A698">
        <v>196712</v>
      </c>
      <c r="B698">
        <v>3.05</v>
      </c>
      <c r="C698">
        <v>5.62</v>
      </c>
      <c r="D698">
        <v>-0.54</v>
      </c>
      <c r="E698">
        <v>0.33</v>
      </c>
    </row>
    <row r="699" spans="1:5" x14ac:dyDescent="0.45">
      <c r="A699">
        <v>196711</v>
      </c>
      <c r="B699">
        <v>0.37</v>
      </c>
      <c r="C699">
        <v>0.18</v>
      </c>
      <c r="D699">
        <v>-1.71</v>
      </c>
      <c r="E699">
        <v>0.36</v>
      </c>
    </row>
    <row r="700" spans="1:5" x14ac:dyDescent="0.45">
      <c r="A700">
        <v>196710</v>
      </c>
      <c r="B700">
        <v>-3.08</v>
      </c>
      <c r="C700">
        <v>1.47</v>
      </c>
      <c r="D700">
        <v>-3.29</v>
      </c>
      <c r="E700">
        <v>0.39</v>
      </c>
    </row>
    <row r="701" spans="1:5" x14ac:dyDescent="0.45">
      <c r="A701">
        <v>196709</v>
      </c>
      <c r="B701">
        <v>3.1</v>
      </c>
      <c r="C701">
        <v>3.04</v>
      </c>
      <c r="D701">
        <v>-2.4700000000000002</v>
      </c>
      <c r="E701">
        <v>0.32</v>
      </c>
    </row>
    <row r="702" spans="1:5" x14ac:dyDescent="0.45">
      <c r="A702">
        <v>196708</v>
      </c>
      <c r="B702">
        <v>-0.9</v>
      </c>
      <c r="C702">
        <v>0.43</v>
      </c>
      <c r="D702">
        <v>1.43</v>
      </c>
      <c r="E702">
        <v>0.31</v>
      </c>
    </row>
    <row r="703" spans="1:5" x14ac:dyDescent="0.45">
      <c r="A703">
        <v>196707</v>
      </c>
      <c r="B703">
        <v>4.58</v>
      </c>
      <c r="C703">
        <v>3.17</v>
      </c>
      <c r="D703">
        <v>2.75</v>
      </c>
      <c r="E703">
        <v>0.32</v>
      </c>
    </row>
    <row r="704" spans="1:5" x14ac:dyDescent="0.45">
      <c r="A704">
        <v>196706</v>
      </c>
      <c r="B704">
        <v>2.42</v>
      </c>
      <c r="C704">
        <v>5.85</v>
      </c>
      <c r="D704">
        <v>0.8</v>
      </c>
      <c r="E704">
        <v>0.27</v>
      </c>
    </row>
    <row r="705" spans="1:5" x14ac:dyDescent="0.45">
      <c r="A705">
        <v>196705</v>
      </c>
      <c r="B705">
        <v>-4.32</v>
      </c>
      <c r="C705">
        <v>2.11</v>
      </c>
      <c r="D705">
        <v>0.8</v>
      </c>
      <c r="E705">
        <v>0.33</v>
      </c>
    </row>
    <row r="706" spans="1:5" x14ac:dyDescent="0.45">
      <c r="A706">
        <v>196704</v>
      </c>
      <c r="B706">
        <v>3.89</v>
      </c>
      <c r="C706">
        <v>0.47</v>
      </c>
      <c r="D706">
        <v>-2.29</v>
      </c>
      <c r="E706">
        <v>0.32</v>
      </c>
    </row>
    <row r="707" spans="1:5" x14ac:dyDescent="0.45">
      <c r="A707">
        <v>196703</v>
      </c>
      <c r="B707">
        <v>3.99</v>
      </c>
      <c r="C707">
        <v>1.47</v>
      </c>
      <c r="D707">
        <v>0.47</v>
      </c>
      <c r="E707">
        <v>0.39</v>
      </c>
    </row>
    <row r="708" spans="1:5" x14ac:dyDescent="0.45">
      <c r="A708">
        <v>196702</v>
      </c>
      <c r="B708">
        <v>0.77</v>
      </c>
      <c r="C708">
        <v>3.32</v>
      </c>
      <c r="D708">
        <v>-2.2599999999999998</v>
      </c>
      <c r="E708">
        <v>0.36</v>
      </c>
    </row>
    <row r="709" spans="1:5" x14ac:dyDescent="0.45">
      <c r="A709">
        <v>196701</v>
      </c>
      <c r="B709">
        <v>8.15</v>
      </c>
      <c r="C709">
        <v>8.1</v>
      </c>
      <c r="D709">
        <v>2.36</v>
      </c>
      <c r="E709">
        <v>0.43</v>
      </c>
    </row>
    <row r="710" spans="1:5" x14ac:dyDescent="0.45">
      <c r="A710">
        <v>196612</v>
      </c>
      <c r="B710">
        <v>0.13</v>
      </c>
      <c r="C710">
        <v>1.93</v>
      </c>
      <c r="D710">
        <v>-0.95</v>
      </c>
      <c r="E710">
        <v>0.4</v>
      </c>
    </row>
    <row r="711" spans="1:5" x14ac:dyDescent="0.45">
      <c r="A711">
        <v>196611</v>
      </c>
      <c r="B711">
        <v>1.38</v>
      </c>
      <c r="C711">
        <v>4.07</v>
      </c>
      <c r="D711">
        <v>-4.63</v>
      </c>
      <c r="E711">
        <v>0.4</v>
      </c>
    </row>
    <row r="712" spans="1:5" x14ac:dyDescent="0.45">
      <c r="A712">
        <v>196610</v>
      </c>
      <c r="B712">
        <v>3.86</v>
      </c>
      <c r="C712">
        <v>-6.6</v>
      </c>
      <c r="D712">
        <v>2.74</v>
      </c>
      <c r="E712">
        <v>0.45</v>
      </c>
    </row>
    <row r="713" spans="1:5" x14ac:dyDescent="0.45">
      <c r="A713">
        <v>196609</v>
      </c>
      <c r="B713">
        <v>-1.06</v>
      </c>
      <c r="C713">
        <v>-1.01</v>
      </c>
      <c r="D713">
        <v>0.48</v>
      </c>
      <c r="E713">
        <v>0.4</v>
      </c>
    </row>
    <row r="714" spans="1:5" x14ac:dyDescent="0.45">
      <c r="A714">
        <v>196608</v>
      </c>
      <c r="B714">
        <v>-7.94</v>
      </c>
      <c r="C714">
        <v>-3.26</v>
      </c>
      <c r="D714">
        <v>0.5</v>
      </c>
      <c r="E714">
        <v>0.41</v>
      </c>
    </row>
    <row r="715" spans="1:5" x14ac:dyDescent="0.45">
      <c r="A715">
        <v>196607</v>
      </c>
      <c r="B715">
        <v>-1.63</v>
      </c>
      <c r="C715">
        <v>-0.35</v>
      </c>
      <c r="D715">
        <v>0.91</v>
      </c>
      <c r="E715">
        <v>0.35</v>
      </c>
    </row>
    <row r="716" spans="1:5" x14ac:dyDescent="0.45">
      <c r="A716">
        <v>196606</v>
      </c>
      <c r="B716">
        <v>-1.44</v>
      </c>
      <c r="C716">
        <v>1.02</v>
      </c>
      <c r="D716">
        <v>0.49</v>
      </c>
      <c r="E716">
        <v>0.38</v>
      </c>
    </row>
    <row r="717" spans="1:5" x14ac:dyDescent="0.45">
      <c r="A717">
        <v>196605</v>
      </c>
      <c r="B717">
        <v>-5.67</v>
      </c>
      <c r="C717">
        <v>-4.5999999999999996</v>
      </c>
      <c r="D717">
        <v>-1.6</v>
      </c>
      <c r="E717">
        <v>0.41</v>
      </c>
    </row>
    <row r="718" spans="1:5" x14ac:dyDescent="0.45">
      <c r="A718">
        <v>196604</v>
      </c>
      <c r="B718">
        <v>2.13</v>
      </c>
      <c r="C718">
        <v>3.44</v>
      </c>
      <c r="D718">
        <v>-0.36</v>
      </c>
      <c r="E718">
        <v>0.34</v>
      </c>
    </row>
    <row r="719" spans="1:5" x14ac:dyDescent="0.45">
      <c r="A719">
        <v>196603</v>
      </c>
      <c r="B719">
        <v>-2.5099999999999998</v>
      </c>
      <c r="C719">
        <v>0.86</v>
      </c>
      <c r="D719">
        <v>-2.13</v>
      </c>
      <c r="E719">
        <v>0.38</v>
      </c>
    </row>
    <row r="720" spans="1:5" x14ac:dyDescent="0.45">
      <c r="A720">
        <v>196602</v>
      </c>
      <c r="B720">
        <v>-1.21</v>
      </c>
      <c r="C720">
        <v>4.4400000000000004</v>
      </c>
      <c r="D720">
        <v>0.38</v>
      </c>
      <c r="E720">
        <v>0.35</v>
      </c>
    </row>
    <row r="721" spans="1:5" x14ac:dyDescent="0.45">
      <c r="A721">
        <v>196601</v>
      </c>
      <c r="B721">
        <v>0.72</v>
      </c>
      <c r="C721">
        <v>4.0199999999999996</v>
      </c>
      <c r="D721">
        <v>3.27</v>
      </c>
      <c r="E721">
        <v>0.38</v>
      </c>
    </row>
    <row r="722" spans="1:5" x14ac:dyDescent="0.45">
      <c r="A722">
        <v>196512</v>
      </c>
      <c r="B722">
        <v>1.01</v>
      </c>
      <c r="C722">
        <v>2.0699999999999998</v>
      </c>
      <c r="D722">
        <v>2.15</v>
      </c>
      <c r="E722">
        <v>0.33</v>
      </c>
    </row>
    <row r="723" spans="1:5" x14ac:dyDescent="0.45">
      <c r="A723">
        <v>196511</v>
      </c>
      <c r="B723">
        <v>-0.03</v>
      </c>
      <c r="C723">
        <v>4.6900000000000004</v>
      </c>
      <c r="D723">
        <v>0.16</v>
      </c>
      <c r="E723">
        <v>0.35</v>
      </c>
    </row>
    <row r="724" spans="1:5" x14ac:dyDescent="0.45">
      <c r="A724">
        <v>196510</v>
      </c>
      <c r="B724">
        <v>2.6</v>
      </c>
      <c r="C724">
        <v>2.52</v>
      </c>
      <c r="D724">
        <v>1.55</v>
      </c>
      <c r="E724">
        <v>0.31</v>
      </c>
    </row>
    <row r="725" spans="1:5" x14ac:dyDescent="0.45">
      <c r="A725">
        <v>196509</v>
      </c>
      <c r="B725">
        <v>2.86</v>
      </c>
      <c r="C725">
        <v>0.63</v>
      </c>
      <c r="D725">
        <v>-0.14000000000000001</v>
      </c>
      <c r="E725">
        <v>0.31</v>
      </c>
    </row>
    <row r="726" spans="1:5" x14ac:dyDescent="0.45">
      <c r="A726">
        <v>196508</v>
      </c>
      <c r="B726">
        <v>2.73</v>
      </c>
      <c r="C726">
        <v>2.85</v>
      </c>
      <c r="D726">
        <v>-0.98</v>
      </c>
      <c r="E726">
        <v>0.33</v>
      </c>
    </row>
    <row r="727" spans="1:5" x14ac:dyDescent="0.45">
      <c r="A727">
        <v>196507</v>
      </c>
      <c r="B727">
        <v>1.44</v>
      </c>
      <c r="C727">
        <v>0.86</v>
      </c>
      <c r="D727">
        <v>2.19</v>
      </c>
      <c r="E727">
        <v>0.31</v>
      </c>
    </row>
    <row r="728" spans="1:5" x14ac:dyDescent="0.45">
      <c r="A728">
        <v>196506</v>
      </c>
      <c r="B728">
        <v>-5.51</v>
      </c>
      <c r="C728">
        <v>-4.07</v>
      </c>
      <c r="D728">
        <v>0.23</v>
      </c>
      <c r="E728">
        <v>0.35</v>
      </c>
    </row>
    <row r="729" spans="1:5" x14ac:dyDescent="0.45">
      <c r="A729">
        <v>196505</v>
      </c>
      <c r="B729">
        <v>-0.78</v>
      </c>
      <c r="C729">
        <v>0.02</v>
      </c>
      <c r="D729">
        <v>-1.55</v>
      </c>
      <c r="E729">
        <v>0.31</v>
      </c>
    </row>
    <row r="730" spans="1:5" x14ac:dyDescent="0.45">
      <c r="A730">
        <v>196504</v>
      </c>
      <c r="B730">
        <v>3.11</v>
      </c>
      <c r="C730">
        <v>1.1399999999999999</v>
      </c>
      <c r="D730">
        <v>0.73</v>
      </c>
      <c r="E730">
        <v>0.31</v>
      </c>
    </row>
    <row r="731" spans="1:5" x14ac:dyDescent="0.45">
      <c r="A731">
        <v>196503</v>
      </c>
      <c r="B731">
        <v>-1.34</v>
      </c>
      <c r="C731">
        <v>1.79</v>
      </c>
      <c r="D731">
        <v>1.1499999999999999</v>
      </c>
      <c r="E731">
        <v>0.36</v>
      </c>
    </row>
    <row r="732" spans="1:5" x14ac:dyDescent="0.45">
      <c r="A732">
        <v>196502</v>
      </c>
      <c r="B732">
        <v>0.44</v>
      </c>
      <c r="C732">
        <v>3.31</v>
      </c>
      <c r="D732">
        <v>0.22</v>
      </c>
      <c r="E732">
        <v>0.3</v>
      </c>
    </row>
    <row r="733" spans="1:5" x14ac:dyDescent="0.45">
      <c r="A733">
        <v>196501</v>
      </c>
      <c r="B733">
        <v>3.54</v>
      </c>
      <c r="C733">
        <v>2.57</v>
      </c>
      <c r="D733">
        <v>0.36</v>
      </c>
      <c r="E733">
        <v>0.28000000000000003</v>
      </c>
    </row>
    <row r="734" spans="1:5" x14ac:dyDescent="0.45">
      <c r="A734">
        <v>196412</v>
      </c>
      <c r="B734">
        <v>0.04</v>
      </c>
      <c r="C734">
        <v>-0.24</v>
      </c>
      <c r="D734">
        <v>-2.4300000000000002</v>
      </c>
      <c r="E734">
        <v>0.31</v>
      </c>
    </row>
    <row r="735" spans="1:5" x14ac:dyDescent="0.45">
      <c r="A735">
        <v>196411</v>
      </c>
      <c r="B735">
        <v>-0.01</v>
      </c>
      <c r="C735">
        <v>0.62</v>
      </c>
      <c r="D735">
        <v>-2.04</v>
      </c>
      <c r="E735">
        <v>0.28999999999999998</v>
      </c>
    </row>
    <row r="736" spans="1:5" x14ac:dyDescent="0.45">
      <c r="A736">
        <v>196410</v>
      </c>
      <c r="B736">
        <v>0.6</v>
      </c>
      <c r="C736">
        <v>0.48</v>
      </c>
      <c r="D736">
        <v>1.08</v>
      </c>
      <c r="E736">
        <v>0.28999999999999998</v>
      </c>
    </row>
    <row r="737" spans="1:5" x14ac:dyDescent="0.45">
      <c r="A737">
        <v>196409</v>
      </c>
      <c r="B737">
        <v>2.69</v>
      </c>
      <c r="C737">
        <v>-0.63</v>
      </c>
      <c r="D737">
        <v>1.72</v>
      </c>
      <c r="E737">
        <v>0.28000000000000003</v>
      </c>
    </row>
    <row r="738" spans="1:5" x14ac:dyDescent="0.45">
      <c r="A738">
        <v>196408</v>
      </c>
      <c r="B738">
        <v>-1.44</v>
      </c>
      <c r="C738">
        <v>0.01</v>
      </c>
      <c r="D738">
        <v>7.0000000000000007E-2</v>
      </c>
      <c r="E738">
        <v>0.28000000000000003</v>
      </c>
    </row>
    <row r="739" spans="1:5" x14ac:dyDescent="0.45">
      <c r="A739">
        <v>196407</v>
      </c>
      <c r="B739">
        <v>1.74</v>
      </c>
      <c r="C739">
        <v>0.19</v>
      </c>
      <c r="D739">
        <v>0.79</v>
      </c>
      <c r="E739">
        <v>0.3</v>
      </c>
    </row>
    <row r="740" spans="1:5" x14ac:dyDescent="0.45">
      <c r="A740">
        <v>196406</v>
      </c>
      <c r="B740">
        <v>1.27</v>
      </c>
      <c r="C740">
        <v>-0.23</v>
      </c>
      <c r="D740">
        <v>0.68</v>
      </c>
      <c r="E740">
        <v>0.3</v>
      </c>
    </row>
    <row r="741" spans="1:5" x14ac:dyDescent="0.45">
      <c r="A741">
        <v>196405</v>
      </c>
      <c r="B741">
        <v>1.41</v>
      </c>
      <c r="C741">
        <v>-0.84</v>
      </c>
      <c r="D741">
        <v>1.81</v>
      </c>
      <c r="E741">
        <v>0.26</v>
      </c>
    </row>
    <row r="742" spans="1:5" x14ac:dyDescent="0.45">
      <c r="A742">
        <v>196404</v>
      </c>
      <c r="B742">
        <v>0.1</v>
      </c>
      <c r="C742">
        <v>-1.35</v>
      </c>
      <c r="D742">
        <v>-0.54</v>
      </c>
      <c r="E742">
        <v>0.28999999999999998</v>
      </c>
    </row>
    <row r="743" spans="1:5" x14ac:dyDescent="0.45">
      <c r="A743">
        <v>196403</v>
      </c>
      <c r="B743">
        <v>1.41</v>
      </c>
      <c r="C743">
        <v>0.95</v>
      </c>
      <c r="D743">
        <v>3.29</v>
      </c>
      <c r="E743">
        <v>0.31</v>
      </c>
    </row>
    <row r="744" spans="1:5" x14ac:dyDescent="0.45">
      <c r="A744">
        <v>196402</v>
      </c>
      <c r="B744">
        <v>1.55</v>
      </c>
      <c r="C744">
        <v>0.12</v>
      </c>
      <c r="D744">
        <v>2.81</v>
      </c>
      <c r="E744">
        <v>0.26</v>
      </c>
    </row>
    <row r="745" spans="1:5" x14ac:dyDescent="0.45">
      <c r="A745">
        <v>196401</v>
      </c>
      <c r="B745">
        <v>2.2400000000000002</v>
      </c>
      <c r="C745">
        <v>-0.24</v>
      </c>
      <c r="D745">
        <v>1.63</v>
      </c>
      <c r="E745">
        <v>0.3</v>
      </c>
    </row>
    <row r="746" spans="1:5" x14ac:dyDescent="0.45">
      <c r="A746">
        <v>196312</v>
      </c>
      <c r="B746">
        <v>1.83</v>
      </c>
      <c r="C746">
        <v>-1.96</v>
      </c>
      <c r="D746">
        <v>-0.21</v>
      </c>
      <c r="E746">
        <v>0.28999999999999998</v>
      </c>
    </row>
    <row r="747" spans="1:5" x14ac:dyDescent="0.45">
      <c r="A747">
        <v>196311</v>
      </c>
      <c r="B747">
        <v>-0.86</v>
      </c>
      <c r="C747">
        <v>-1.1599999999999999</v>
      </c>
      <c r="D747">
        <v>1.73</v>
      </c>
      <c r="E747">
        <v>0.27</v>
      </c>
    </row>
    <row r="748" spans="1:5" x14ac:dyDescent="0.45">
      <c r="A748">
        <v>196310</v>
      </c>
      <c r="B748">
        <v>2.54</v>
      </c>
      <c r="C748">
        <v>-0.56999999999999995</v>
      </c>
      <c r="D748">
        <v>-0.04</v>
      </c>
      <c r="E748">
        <v>0.28999999999999998</v>
      </c>
    </row>
    <row r="749" spans="1:5" x14ac:dyDescent="0.45">
      <c r="A749">
        <v>196309</v>
      </c>
      <c r="B749">
        <v>-1.57</v>
      </c>
      <c r="C749">
        <v>-0.25</v>
      </c>
      <c r="D749">
        <v>0</v>
      </c>
      <c r="E749">
        <v>0.27</v>
      </c>
    </row>
    <row r="750" spans="1:5" x14ac:dyDescent="0.45">
      <c r="A750">
        <v>196308</v>
      </c>
      <c r="B750">
        <v>5.08</v>
      </c>
      <c r="C750">
        <v>-0.95</v>
      </c>
      <c r="D750">
        <v>1.7</v>
      </c>
      <c r="E750">
        <v>0.25</v>
      </c>
    </row>
    <row r="751" spans="1:5" x14ac:dyDescent="0.45">
      <c r="A751">
        <v>196307</v>
      </c>
      <c r="B751">
        <v>-0.39</v>
      </c>
      <c r="C751">
        <v>-0.56999999999999995</v>
      </c>
      <c r="D751">
        <v>-0.81</v>
      </c>
      <c r="E751">
        <v>0.27</v>
      </c>
    </row>
    <row r="752" spans="1:5" x14ac:dyDescent="0.45">
      <c r="A752">
        <v>196306</v>
      </c>
      <c r="B752">
        <v>-2</v>
      </c>
      <c r="C752">
        <v>-0.32</v>
      </c>
      <c r="D752">
        <v>0.65</v>
      </c>
      <c r="E752">
        <v>0.23</v>
      </c>
    </row>
    <row r="753" spans="1:5" x14ac:dyDescent="0.45">
      <c r="A753">
        <v>196305</v>
      </c>
      <c r="B753">
        <v>1.76</v>
      </c>
      <c r="C753">
        <v>1.08</v>
      </c>
      <c r="D753">
        <v>2.5499999999999998</v>
      </c>
      <c r="E753">
        <v>0.24</v>
      </c>
    </row>
    <row r="754" spans="1:5" x14ac:dyDescent="0.45">
      <c r="A754">
        <v>196304</v>
      </c>
      <c r="B754">
        <v>4.51</v>
      </c>
      <c r="C754">
        <v>-1.26</v>
      </c>
      <c r="D754">
        <v>1</v>
      </c>
      <c r="E754">
        <v>0.25</v>
      </c>
    </row>
    <row r="755" spans="1:5" x14ac:dyDescent="0.45">
      <c r="A755">
        <v>196303</v>
      </c>
      <c r="B755">
        <v>3.08</v>
      </c>
      <c r="C755">
        <v>-2.58</v>
      </c>
      <c r="D755">
        <v>2.1</v>
      </c>
      <c r="E755">
        <v>0.23</v>
      </c>
    </row>
    <row r="756" spans="1:5" x14ac:dyDescent="0.45">
      <c r="A756">
        <v>196302</v>
      </c>
      <c r="B756">
        <v>-2.4</v>
      </c>
      <c r="C756">
        <v>0.46</v>
      </c>
      <c r="D756">
        <v>2.15</v>
      </c>
      <c r="E756">
        <v>0.23</v>
      </c>
    </row>
    <row r="757" spans="1:5" x14ac:dyDescent="0.45">
      <c r="A757">
        <v>196301</v>
      </c>
      <c r="B757">
        <v>4.9400000000000004</v>
      </c>
      <c r="C757">
        <v>3.01</v>
      </c>
      <c r="D757">
        <v>2.2400000000000002</v>
      </c>
      <c r="E757">
        <v>0.25</v>
      </c>
    </row>
    <row r="758" spans="1:5" x14ac:dyDescent="0.45">
      <c r="A758">
        <v>196212</v>
      </c>
      <c r="B758">
        <v>1.01</v>
      </c>
      <c r="C758">
        <v>-3.76</v>
      </c>
      <c r="D758">
        <v>0.32</v>
      </c>
      <c r="E758">
        <v>0.23</v>
      </c>
    </row>
    <row r="759" spans="1:5" x14ac:dyDescent="0.45">
      <c r="A759">
        <v>196211</v>
      </c>
      <c r="B759">
        <v>10.89</v>
      </c>
      <c r="C759">
        <v>2.5</v>
      </c>
      <c r="D759">
        <v>0.85</v>
      </c>
      <c r="E759">
        <v>0.2</v>
      </c>
    </row>
    <row r="760" spans="1:5" x14ac:dyDescent="0.45">
      <c r="A760">
        <v>196210</v>
      </c>
      <c r="B760">
        <v>-0.05</v>
      </c>
      <c r="C760">
        <v>-3.95</v>
      </c>
      <c r="D760">
        <v>1.3</v>
      </c>
      <c r="E760">
        <v>0.26</v>
      </c>
    </row>
    <row r="761" spans="1:5" x14ac:dyDescent="0.45">
      <c r="A761">
        <v>196209</v>
      </c>
      <c r="B761">
        <v>-5.22</v>
      </c>
      <c r="C761">
        <v>-2.4</v>
      </c>
      <c r="D761">
        <v>1.33</v>
      </c>
      <c r="E761">
        <v>0.21</v>
      </c>
    </row>
    <row r="762" spans="1:5" x14ac:dyDescent="0.45">
      <c r="A762">
        <v>196208</v>
      </c>
      <c r="B762">
        <v>2.13</v>
      </c>
      <c r="C762">
        <v>1.22</v>
      </c>
      <c r="D762">
        <v>-1.1200000000000001</v>
      </c>
      <c r="E762">
        <v>0.23</v>
      </c>
    </row>
    <row r="763" spans="1:5" x14ac:dyDescent="0.45">
      <c r="A763">
        <v>196207</v>
      </c>
      <c r="B763">
        <v>6.27</v>
      </c>
      <c r="C763">
        <v>1.52</v>
      </c>
      <c r="D763">
        <v>-3.37</v>
      </c>
      <c r="E763">
        <v>0.27</v>
      </c>
    </row>
    <row r="764" spans="1:5" x14ac:dyDescent="0.45">
      <c r="A764">
        <v>196206</v>
      </c>
      <c r="B764">
        <v>-8.5</v>
      </c>
      <c r="C764">
        <v>-0.46</v>
      </c>
      <c r="D764">
        <v>2.42</v>
      </c>
      <c r="E764">
        <v>0.2</v>
      </c>
    </row>
    <row r="765" spans="1:5" x14ac:dyDescent="0.45">
      <c r="A765">
        <v>196205</v>
      </c>
      <c r="B765">
        <v>-8.66</v>
      </c>
      <c r="C765">
        <v>-3.14</v>
      </c>
      <c r="D765">
        <v>2.73</v>
      </c>
      <c r="E765">
        <v>0.24</v>
      </c>
    </row>
    <row r="766" spans="1:5" x14ac:dyDescent="0.45">
      <c r="A766">
        <v>196204</v>
      </c>
      <c r="B766">
        <v>-6.59</v>
      </c>
      <c r="C766">
        <v>-0.85</v>
      </c>
      <c r="D766">
        <v>0.14000000000000001</v>
      </c>
      <c r="E766">
        <v>0.22</v>
      </c>
    </row>
    <row r="767" spans="1:5" x14ac:dyDescent="0.45">
      <c r="A767">
        <v>196203</v>
      </c>
      <c r="B767">
        <v>-0.68</v>
      </c>
      <c r="C767">
        <v>0.66</v>
      </c>
      <c r="D767">
        <v>-1.58</v>
      </c>
      <c r="E767">
        <v>0.2</v>
      </c>
    </row>
    <row r="768" spans="1:5" x14ac:dyDescent="0.45">
      <c r="A768">
        <v>196202</v>
      </c>
      <c r="B768">
        <v>1.81</v>
      </c>
      <c r="C768">
        <v>-1.1499999999999999</v>
      </c>
      <c r="D768">
        <v>0.82</v>
      </c>
      <c r="E768">
        <v>0.2</v>
      </c>
    </row>
    <row r="769" spans="1:5" x14ac:dyDescent="0.45">
      <c r="A769">
        <v>196201</v>
      </c>
      <c r="B769">
        <v>-3.87</v>
      </c>
      <c r="C769">
        <v>1.74</v>
      </c>
      <c r="D769">
        <v>5.1100000000000003</v>
      </c>
      <c r="E769">
        <v>0.24</v>
      </c>
    </row>
    <row r="770" spans="1:5" x14ac:dyDescent="0.45">
      <c r="A770">
        <v>196112</v>
      </c>
      <c r="B770">
        <v>-0.17</v>
      </c>
      <c r="C770">
        <v>-0.87</v>
      </c>
      <c r="D770">
        <v>1.76</v>
      </c>
      <c r="E770">
        <v>0.19</v>
      </c>
    </row>
    <row r="771" spans="1:5" x14ac:dyDescent="0.45">
      <c r="A771">
        <v>196111</v>
      </c>
      <c r="B771">
        <v>4.45</v>
      </c>
      <c r="C771">
        <v>1.26</v>
      </c>
      <c r="D771">
        <v>-1.22</v>
      </c>
      <c r="E771">
        <v>0.15</v>
      </c>
    </row>
    <row r="772" spans="1:5" x14ac:dyDescent="0.45">
      <c r="A772">
        <v>196110</v>
      </c>
      <c r="B772">
        <v>2.58</v>
      </c>
      <c r="C772">
        <v>-1.61</v>
      </c>
      <c r="D772">
        <v>0.18</v>
      </c>
      <c r="E772">
        <v>0.19</v>
      </c>
    </row>
    <row r="773" spans="1:5" x14ac:dyDescent="0.45">
      <c r="A773">
        <v>196109</v>
      </c>
      <c r="B773">
        <v>-2.15</v>
      </c>
      <c r="C773">
        <v>-1.07</v>
      </c>
      <c r="D773">
        <v>-0.61</v>
      </c>
      <c r="E773">
        <v>0.17</v>
      </c>
    </row>
    <row r="774" spans="1:5" x14ac:dyDescent="0.45">
      <c r="A774">
        <v>196108</v>
      </c>
      <c r="B774">
        <v>2.57</v>
      </c>
      <c r="C774">
        <v>-1.71</v>
      </c>
      <c r="D774">
        <v>-0.3</v>
      </c>
      <c r="E774">
        <v>0.14000000000000001</v>
      </c>
    </row>
    <row r="775" spans="1:5" x14ac:dyDescent="0.45">
      <c r="A775">
        <v>196107</v>
      </c>
      <c r="B775">
        <v>2.83</v>
      </c>
      <c r="C775">
        <v>-1.94</v>
      </c>
      <c r="D775">
        <v>-0.08</v>
      </c>
      <c r="E775">
        <v>0.18</v>
      </c>
    </row>
    <row r="776" spans="1:5" x14ac:dyDescent="0.45">
      <c r="A776">
        <v>196106</v>
      </c>
      <c r="B776">
        <v>-3.08</v>
      </c>
      <c r="C776">
        <v>-2.4900000000000002</v>
      </c>
      <c r="D776">
        <v>-0.09</v>
      </c>
      <c r="E776">
        <v>0.2</v>
      </c>
    </row>
    <row r="777" spans="1:5" x14ac:dyDescent="0.45">
      <c r="A777">
        <v>196105</v>
      </c>
      <c r="B777">
        <v>2.4</v>
      </c>
      <c r="C777">
        <v>1.97</v>
      </c>
      <c r="D777">
        <v>0.38</v>
      </c>
      <c r="E777">
        <v>0.18</v>
      </c>
    </row>
    <row r="778" spans="1:5" x14ac:dyDescent="0.45">
      <c r="A778">
        <v>196104</v>
      </c>
      <c r="B778">
        <v>0.28999999999999998</v>
      </c>
      <c r="C778">
        <v>7.0000000000000007E-2</v>
      </c>
      <c r="D778">
        <v>2.13</v>
      </c>
      <c r="E778">
        <v>0.17</v>
      </c>
    </row>
    <row r="779" spans="1:5" x14ac:dyDescent="0.45">
      <c r="A779">
        <v>196103</v>
      </c>
      <c r="B779">
        <v>2.89</v>
      </c>
      <c r="C779">
        <v>3.22</v>
      </c>
      <c r="D779">
        <v>-0.82</v>
      </c>
      <c r="E779">
        <v>0.2</v>
      </c>
    </row>
    <row r="780" spans="1:5" x14ac:dyDescent="0.45">
      <c r="A780">
        <v>196102</v>
      </c>
      <c r="B780">
        <v>3.57</v>
      </c>
      <c r="C780">
        <v>3.89</v>
      </c>
      <c r="D780">
        <v>-0.57999999999999996</v>
      </c>
      <c r="E780">
        <v>0.14000000000000001</v>
      </c>
    </row>
    <row r="781" spans="1:5" x14ac:dyDescent="0.45">
      <c r="A781">
        <v>196101</v>
      </c>
      <c r="B781">
        <v>6.2</v>
      </c>
      <c r="C781">
        <v>0.6</v>
      </c>
      <c r="D781">
        <v>3.65</v>
      </c>
      <c r="E781">
        <v>0.19</v>
      </c>
    </row>
    <row r="782" spans="1:5" x14ac:dyDescent="0.45">
      <c r="A782">
        <v>196012</v>
      </c>
      <c r="B782">
        <v>4.7300000000000004</v>
      </c>
      <c r="C782">
        <v>-1.58</v>
      </c>
      <c r="D782">
        <v>-0.77</v>
      </c>
      <c r="E782">
        <v>0.16</v>
      </c>
    </row>
    <row r="783" spans="1:5" x14ac:dyDescent="0.45">
      <c r="A783">
        <v>196011</v>
      </c>
      <c r="B783">
        <v>4.6900000000000004</v>
      </c>
      <c r="C783">
        <v>0.38</v>
      </c>
      <c r="D783">
        <v>-2.39</v>
      </c>
      <c r="E783">
        <v>0.13</v>
      </c>
    </row>
    <row r="784" spans="1:5" x14ac:dyDescent="0.45">
      <c r="A784">
        <v>196010</v>
      </c>
      <c r="B784">
        <v>-0.71</v>
      </c>
      <c r="C784">
        <v>-4.09</v>
      </c>
      <c r="D784">
        <v>2.83</v>
      </c>
      <c r="E784">
        <v>0.22</v>
      </c>
    </row>
    <row r="785" spans="1:5" x14ac:dyDescent="0.45">
      <c r="A785">
        <v>196009</v>
      </c>
      <c r="B785">
        <v>-6</v>
      </c>
      <c r="C785">
        <v>-1.1200000000000001</v>
      </c>
      <c r="D785">
        <v>1.68</v>
      </c>
      <c r="E785">
        <v>0.16</v>
      </c>
    </row>
    <row r="786" spans="1:5" x14ac:dyDescent="0.45">
      <c r="A786">
        <v>196008</v>
      </c>
      <c r="B786">
        <v>3</v>
      </c>
      <c r="C786">
        <v>0.69</v>
      </c>
      <c r="D786">
        <v>-0.18</v>
      </c>
      <c r="E786">
        <v>0.17</v>
      </c>
    </row>
    <row r="787" spans="1:5" x14ac:dyDescent="0.45">
      <c r="A787">
        <v>196007</v>
      </c>
      <c r="B787">
        <v>-2.37</v>
      </c>
      <c r="C787">
        <v>-0.52</v>
      </c>
      <c r="D787">
        <v>2.1</v>
      </c>
      <c r="E787">
        <v>0.13</v>
      </c>
    </row>
    <row r="788" spans="1:5" x14ac:dyDescent="0.45">
      <c r="A788">
        <v>196006</v>
      </c>
      <c r="B788">
        <v>2.08</v>
      </c>
      <c r="C788">
        <v>-0.28000000000000003</v>
      </c>
      <c r="D788">
        <v>-0.27</v>
      </c>
      <c r="E788">
        <v>0.24</v>
      </c>
    </row>
    <row r="789" spans="1:5" x14ac:dyDescent="0.45">
      <c r="A789">
        <v>196005</v>
      </c>
      <c r="B789">
        <v>3.12</v>
      </c>
      <c r="C789">
        <v>1.29</v>
      </c>
      <c r="D789">
        <v>-3.73</v>
      </c>
      <c r="E789">
        <v>0.27</v>
      </c>
    </row>
    <row r="790" spans="1:5" x14ac:dyDescent="0.45">
      <c r="A790">
        <v>196004</v>
      </c>
      <c r="B790">
        <v>-1.71</v>
      </c>
      <c r="C790">
        <v>0.22</v>
      </c>
      <c r="D790">
        <v>-2.14</v>
      </c>
      <c r="E790">
        <v>0.19</v>
      </c>
    </row>
    <row r="791" spans="1:5" x14ac:dyDescent="0.45">
      <c r="A791">
        <v>196003</v>
      </c>
      <c r="B791">
        <v>-1.63</v>
      </c>
      <c r="C791">
        <v>-0.55000000000000004</v>
      </c>
      <c r="D791">
        <v>-2.75</v>
      </c>
      <c r="E791">
        <v>0.35</v>
      </c>
    </row>
    <row r="792" spans="1:5" x14ac:dyDescent="0.45">
      <c r="A792">
        <v>196002</v>
      </c>
      <c r="B792">
        <v>1.1599999999999999</v>
      </c>
      <c r="C792">
        <v>0.6</v>
      </c>
      <c r="D792">
        <v>-1.97</v>
      </c>
      <c r="E792">
        <v>0.28999999999999998</v>
      </c>
    </row>
    <row r="793" spans="1:5" x14ac:dyDescent="0.45">
      <c r="A793">
        <v>196001</v>
      </c>
      <c r="B793">
        <v>-6.98</v>
      </c>
      <c r="C793">
        <v>2.12</v>
      </c>
      <c r="D793">
        <v>2.65</v>
      </c>
      <c r="E793">
        <v>0.33</v>
      </c>
    </row>
    <row r="794" spans="1:5" x14ac:dyDescent="0.45">
      <c r="A794">
        <v>195912</v>
      </c>
      <c r="B794">
        <v>2.46</v>
      </c>
      <c r="C794">
        <v>-0.63</v>
      </c>
      <c r="D794">
        <v>-0.01</v>
      </c>
      <c r="E794">
        <v>0.34</v>
      </c>
    </row>
    <row r="795" spans="1:5" x14ac:dyDescent="0.45">
      <c r="A795">
        <v>195911</v>
      </c>
      <c r="B795">
        <v>1.6</v>
      </c>
      <c r="C795">
        <v>1.26</v>
      </c>
      <c r="D795">
        <v>-3.22</v>
      </c>
      <c r="E795">
        <v>0.26</v>
      </c>
    </row>
    <row r="796" spans="1:5" x14ac:dyDescent="0.45">
      <c r="A796">
        <v>195910</v>
      </c>
      <c r="B796">
        <v>1.28</v>
      </c>
      <c r="C796">
        <v>1.52</v>
      </c>
      <c r="D796">
        <v>-2.1</v>
      </c>
      <c r="E796">
        <v>0.3</v>
      </c>
    </row>
    <row r="797" spans="1:5" x14ac:dyDescent="0.45">
      <c r="A797">
        <v>195909</v>
      </c>
      <c r="B797">
        <v>-4.8099999999999996</v>
      </c>
      <c r="C797">
        <v>-0.15</v>
      </c>
      <c r="D797">
        <v>0.53</v>
      </c>
      <c r="E797">
        <v>0.31</v>
      </c>
    </row>
    <row r="798" spans="1:5" x14ac:dyDescent="0.45">
      <c r="A798">
        <v>195908</v>
      </c>
      <c r="B798">
        <v>-1.38</v>
      </c>
      <c r="C798">
        <v>-0.78</v>
      </c>
      <c r="D798">
        <v>0.44</v>
      </c>
      <c r="E798">
        <v>0.19</v>
      </c>
    </row>
    <row r="799" spans="1:5" x14ac:dyDescent="0.45">
      <c r="A799">
        <v>195907</v>
      </c>
      <c r="B799">
        <v>3.18</v>
      </c>
      <c r="C799">
        <v>-0.35</v>
      </c>
      <c r="D799">
        <v>0.27</v>
      </c>
      <c r="E799">
        <v>0.25</v>
      </c>
    </row>
    <row r="800" spans="1:5" x14ac:dyDescent="0.45">
      <c r="A800">
        <v>195906</v>
      </c>
      <c r="B800">
        <v>-0.24</v>
      </c>
      <c r="C800">
        <v>0.67</v>
      </c>
      <c r="D800">
        <v>1.32</v>
      </c>
      <c r="E800">
        <v>0.24</v>
      </c>
    </row>
    <row r="801" spans="1:5" x14ac:dyDescent="0.45">
      <c r="A801">
        <v>195905</v>
      </c>
      <c r="B801">
        <v>1.73</v>
      </c>
      <c r="C801">
        <v>-2.1</v>
      </c>
      <c r="D801">
        <v>1.8</v>
      </c>
      <c r="E801">
        <v>0.22</v>
      </c>
    </row>
    <row r="802" spans="1:5" x14ac:dyDescent="0.45">
      <c r="A802">
        <v>195904</v>
      </c>
      <c r="B802">
        <v>3.66</v>
      </c>
      <c r="C802">
        <v>-0.68</v>
      </c>
      <c r="D802">
        <v>-1.24</v>
      </c>
      <c r="E802">
        <v>0.2</v>
      </c>
    </row>
    <row r="803" spans="1:5" x14ac:dyDescent="0.45">
      <c r="A803">
        <v>195903</v>
      </c>
      <c r="B803">
        <v>0.28000000000000003</v>
      </c>
      <c r="C803">
        <v>1.45</v>
      </c>
      <c r="D803">
        <v>-0.34</v>
      </c>
      <c r="E803">
        <v>0.22</v>
      </c>
    </row>
    <row r="804" spans="1:5" x14ac:dyDescent="0.45">
      <c r="A804">
        <v>195902</v>
      </c>
      <c r="B804">
        <v>0.95</v>
      </c>
      <c r="C804">
        <v>1.48</v>
      </c>
      <c r="D804">
        <v>1.1499999999999999</v>
      </c>
      <c r="E804">
        <v>0.19</v>
      </c>
    </row>
    <row r="805" spans="1:5" x14ac:dyDescent="0.45">
      <c r="A805">
        <v>195901</v>
      </c>
      <c r="B805">
        <v>0.71</v>
      </c>
      <c r="C805">
        <v>3.02</v>
      </c>
      <c r="D805">
        <v>2.92</v>
      </c>
      <c r="E805">
        <v>0.21</v>
      </c>
    </row>
    <row r="806" spans="1:5" x14ac:dyDescent="0.45">
      <c r="A806">
        <v>195812</v>
      </c>
      <c r="B806">
        <v>5.16</v>
      </c>
      <c r="C806">
        <v>-2.02</v>
      </c>
      <c r="D806">
        <v>0.06</v>
      </c>
      <c r="E806">
        <v>0.22</v>
      </c>
    </row>
    <row r="807" spans="1:5" x14ac:dyDescent="0.45">
      <c r="A807">
        <v>195811</v>
      </c>
      <c r="B807">
        <v>3.01</v>
      </c>
      <c r="C807">
        <v>2.0499999999999998</v>
      </c>
      <c r="D807">
        <v>-1.17</v>
      </c>
      <c r="E807">
        <v>0.11</v>
      </c>
    </row>
    <row r="808" spans="1:5" x14ac:dyDescent="0.45">
      <c r="A808">
        <v>195810</v>
      </c>
      <c r="B808">
        <v>2.5299999999999998</v>
      </c>
      <c r="C808">
        <v>1.05</v>
      </c>
      <c r="D808">
        <v>-1.1299999999999999</v>
      </c>
      <c r="E808">
        <v>0.18</v>
      </c>
    </row>
    <row r="809" spans="1:5" x14ac:dyDescent="0.45">
      <c r="A809">
        <v>195809</v>
      </c>
      <c r="B809">
        <v>4.66</v>
      </c>
      <c r="C809">
        <v>0.08</v>
      </c>
      <c r="D809">
        <v>2.8</v>
      </c>
      <c r="E809">
        <v>0.19</v>
      </c>
    </row>
    <row r="810" spans="1:5" x14ac:dyDescent="0.45">
      <c r="A810">
        <v>195808</v>
      </c>
      <c r="B810">
        <v>1.9</v>
      </c>
      <c r="C810">
        <v>1.1499999999999999</v>
      </c>
      <c r="D810">
        <v>0.33</v>
      </c>
      <c r="E810">
        <v>0.04</v>
      </c>
    </row>
    <row r="811" spans="1:5" x14ac:dyDescent="0.45">
      <c r="A811">
        <v>195807</v>
      </c>
      <c r="B811">
        <v>4.3899999999999997</v>
      </c>
      <c r="C811">
        <v>0.47</v>
      </c>
      <c r="D811">
        <v>3.07</v>
      </c>
      <c r="E811">
        <v>7.0000000000000007E-2</v>
      </c>
    </row>
    <row r="812" spans="1:5" x14ac:dyDescent="0.45">
      <c r="A812">
        <v>195806</v>
      </c>
      <c r="B812">
        <v>2.93</v>
      </c>
      <c r="C812">
        <v>-0.14000000000000001</v>
      </c>
      <c r="D812">
        <v>0.31</v>
      </c>
      <c r="E812">
        <v>0.03</v>
      </c>
    </row>
    <row r="813" spans="1:5" x14ac:dyDescent="0.45">
      <c r="A813">
        <v>195805</v>
      </c>
      <c r="B813">
        <v>2.3199999999999998</v>
      </c>
      <c r="C813">
        <v>2.16</v>
      </c>
      <c r="D813">
        <v>-0.2</v>
      </c>
      <c r="E813">
        <v>0.11</v>
      </c>
    </row>
    <row r="814" spans="1:5" x14ac:dyDescent="0.45">
      <c r="A814">
        <v>195804</v>
      </c>
      <c r="B814">
        <v>3.09</v>
      </c>
      <c r="C814">
        <v>-0.69</v>
      </c>
      <c r="D814">
        <v>1.64</v>
      </c>
      <c r="E814">
        <v>0.08</v>
      </c>
    </row>
    <row r="815" spans="1:5" x14ac:dyDescent="0.45">
      <c r="A815">
        <v>195803</v>
      </c>
      <c r="B815">
        <v>3.27</v>
      </c>
      <c r="C815">
        <v>0.69</v>
      </c>
      <c r="D815">
        <v>-1.03</v>
      </c>
      <c r="E815">
        <v>0.09</v>
      </c>
    </row>
    <row r="816" spans="1:5" x14ac:dyDescent="0.45">
      <c r="A816">
        <v>195802</v>
      </c>
      <c r="B816">
        <v>-1.53</v>
      </c>
      <c r="C816">
        <v>0.75</v>
      </c>
      <c r="D816">
        <v>0.23</v>
      </c>
      <c r="E816">
        <v>0.12</v>
      </c>
    </row>
    <row r="817" spans="1:5" x14ac:dyDescent="0.45">
      <c r="A817">
        <v>195801</v>
      </c>
      <c r="B817">
        <v>4.6500000000000004</v>
      </c>
      <c r="C817">
        <v>4.29</v>
      </c>
      <c r="D817">
        <v>4.34</v>
      </c>
      <c r="E817">
        <v>0.28000000000000003</v>
      </c>
    </row>
    <row r="818" spans="1:5" x14ac:dyDescent="0.45">
      <c r="A818">
        <v>195712</v>
      </c>
      <c r="B818">
        <v>-3.9</v>
      </c>
      <c r="C818">
        <v>-0.91</v>
      </c>
      <c r="D818">
        <v>-1.76</v>
      </c>
      <c r="E818">
        <v>0.24</v>
      </c>
    </row>
    <row r="819" spans="1:5" x14ac:dyDescent="0.45">
      <c r="A819">
        <v>195711</v>
      </c>
      <c r="B819">
        <v>2.31</v>
      </c>
      <c r="C819">
        <v>0.4</v>
      </c>
      <c r="D819">
        <v>-2.91</v>
      </c>
      <c r="E819">
        <v>0.28000000000000003</v>
      </c>
    </row>
    <row r="820" spans="1:5" x14ac:dyDescent="0.45">
      <c r="A820">
        <v>195710</v>
      </c>
      <c r="B820">
        <v>-4.32</v>
      </c>
      <c r="C820">
        <v>-2.46</v>
      </c>
      <c r="D820">
        <v>-1.88</v>
      </c>
      <c r="E820">
        <v>0.28999999999999998</v>
      </c>
    </row>
    <row r="821" spans="1:5" x14ac:dyDescent="0.45">
      <c r="A821">
        <v>195709</v>
      </c>
      <c r="B821">
        <v>-5.99</v>
      </c>
      <c r="C821">
        <v>0.06</v>
      </c>
      <c r="D821">
        <v>0.95</v>
      </c>
      <c r="E821">
        <v>0.26</v>
      </c>
    </row>
    <row r="822" spans="1:5" x14ac:dyDescent="0.45">
      <c r="A822">
        <v>195708</v>
      </c>
      <c r="B822">
        <v>-5.12</v>
      </c>
      <c r="C822">
        <v>0.06</v>
      </c>
      <c r="D822">
        <v>-0.45</v>
      </c>
      <c r="E822">
        <v>0.25</v>
      </c>
    </row>
    <row r="823" spans="1:5" x14ac:dyDescent="0.45">
      <c r="A823">
        <v>195707</v>
      </c>
      <c r="B823">
        <v>0.66</v>
      </c>
      <c r="C823">
        <v>-0.8</v>
      </c>
      <c r="D823">
        <v>0.48</v>
      </c>
      <c r="E823">
        <v>0.3</v>
      </c>
    </row>
    <row r="824" spans="1:5" x14ac:dyDescent="0.45">
      <c r="A824">
        <v>195706</v>
      </c>
      <c r="B824">
        <v>-0.75</v>
      </c>
      <c r="C824">
        <v>0.59</v>
      </c>
      <c r="D824">
        <v>-0.03</v>
      </c>
      <c r="E824">
        <v>0.24</v>
      </c>
    </row>
    <row r="825" spans="1:5" x14ac:dyDescent="0.45">
      <c r="A825">
        <v>195705</v>
      </c>
      <c r="B825">
        <v>3.46</v>
      </c>
      <c r="C825">
        <v>-1.08</v>
      </c>
      <c r="D825">
        <v>-2.0099999999999998</v>
      </c>
      <c r="E825">
        <v>0.26</v>
      </c>
    </row>
    <row r="826" spans="1:5" x14ac:dyDescent="0.45">
      <c r="A826">
        <v>195704</v>
      </c>
      <c r="B826">
        <v>4.26</v>
      </c>
      <c r="C826">
        <v>-1.57</v>
      </c>
      <c r="D826">
        <v>-1.47</v>
      </c>
      <c r="E826">
        <v>0.25</v>
      </c>
    </row>
    <row r="827" spans="1:5" x14ac:dyDescent="0.45">
      <c r="A827">
        <v>195703</v>
      </c>
      <c r="B827">
        <v>2.13</v>
      </c>
      <c r="C827">
        <v>0.33</v>
      </c>
      <c r="D827">
        <v>-0.53</v>
      </c>
      <c r="E827">
        <v>0.23</v>
      </c>
    </row>
    <row r="828" spans="1:5" x14ac:dyDescent="0.45">
      <c r="A828">
        <v>195702</v>
      </c>
      <c r="B828">
        <v>-2.0699999999999998</v>
      </c>
      <c r="C828">
        <v>-0.75</v>
      </c>
      <c r="D828">
        <v>-0.66</v>
      </c>
      <c r="E828">
        <v>0.24</v>
      </c>
    </row>
    <row r="829" spans="1:5" x14ac:dyDescent="0.45">
      <c r="A829">
        <v>195701</v>
      </c>
      <c r="B829">
        <v>-3.57</v>
      </c>
      <c r="C829">
        <v>3.38</v>
      </c>
      <c r="D829">
        <v>2.83</v>
      </c>
      <c r="E829">
        <v>0.27</v>
      </c>
    </row>
    <row r="830" spans="1:5" x14ac:dyDescent="0.45">
      <c r="A830">
        <v>195612</v>
      </c>
      <c r="B830">
        <v>3.16</v>
      </c>
      <c r="C830">
        <v>-0.02</v>
      </c>
      <c r="D830">
        <v>-2.15</v>
      </c>
      <c r="E830">
        <v>0.24</v>
      </c>
    </row>
    <row r="831" spans="1:5" x14ac:dyDescent="0.45">
      <c r="A831">
        <v>195611</v>
      </c>
      <c r="B831">
        <v>0.35</v>
      </c>
      <c r="C831">
        <v>-0.21</v>
      </c>
      <c r="D831">
        <v>1.76</v>
      </c>
      <c r="E831">
        <v>0.2</v>
      </c>
    </row>
    <row r="832" spans="1:5" x14ac:dyDescent="0.45">
      <c r="A832">
        <v>195610</v>
      </c>
      <c r="B832">
        <v>0.52</v>
      </c>
      <c r="C832">
        <v>-0.12</v>
      </c>
      <c r="D832">
        <v>-7.0000000000000007E-2</v>
      </c>
      <c r="E832">
        <v>0.25</v>
      </c>
    </row>
    <row r="833" spans="1:5" x14ac:dyDescent="0.45">
      <c r="A833">
        <v>195609</v>
      </c>
      <c r="B833">
        <v>-5.14</v>
      </c>
      <c r="C833">
        <v>1.6</v>
      </c>
      <c r="D833">
        <v>1.75</v>
      </c>
      <c r="E833">
        <v>0.18</v>
      </c>
    </row>
    <row r="834" spans="1:5" x14ac:dyDescent="0.45">
      <c r="A834">
        <v>195608</v>
      </c>
      <c r="B834">
        <v>-3.19</v>
      </c>
      <c r="C834">
        <v>1.89</v>
      </c>
      <c r="D834">
        <v>-0.73</v>
      </c>
      <c r="E834">
        <v>0.17</v>
      </c>
    </row>
    <row r="835" spans="1:5" x14ac:dyDescent="0.45">
      <c r="A835">
        <v>195607</v>
      </c>
      <c r="B835">
        <v>4.84</v>
      </c>
      <c r="C835">
        <v>-1.69</v>
      </c>
      <c r="D835">
        <v>-7.0000000000000007E-2</v>
      </c>
      <c r="E835">
        <v>0.22</v>
      </c>
    </row>
    <row r="836" spans="1:5" x14ac:dyDescent="0.45">
      <c r="A836">
        <v>195606</v>
      </c>
      <c r="B836">
        <v>3.47</v>
      </c>
      <c r="C836">
        <v>-1.53</v>
      </c>
      <c r="D836">
        <v>-1.1000000000000001</v>
      </c>
      <c r="E836">
        <v>0.2</v>
      </c>
    </row>
    <row r="837" spans="1:5" x14ac:dyDescent="0.45">
      <c r="A837">
        <v>195605</v>
      </c>
      <c r="B837">
        <v>-5.22</v>
      </c>
      <c r="C837">
        <v>1.5</v>
      </c>
      <c r="D837">
        <v>-1.32</v>
      </c>
      <c r="E837">
        <v>0.23</v>
      </c>
    </row>
    <row r="838" spans="1:5" x14ac:dyDescent="0.45">
      <c r="A838">
        <v>195604</v>
      </c>
      <c r="B838">
        <v>0.28000000000000003</v>
      </c>
      <c r="C838">
        <v>-0.03</v>
      </c>
      <c r="D838">
        <v>-0.16</v>
      </c>
      <c r="E838">
        <v>0.19</v>
      </c>
    </row>
    <row r="839" spans="1:5" x14ac:dyDescent="0.45">
      <c r="A839">
        <v>195603</v>
      </c>
      <c r="B839">
        <v>6.64</v>
      </c>
      <c r="C839">
        <v>-2.13</v>
      </c>
      <c r="D839">
        <v>-0.49</v>
      </c>
      <c r="E839">
        <v>0.15</v>
      </c>
    </row>
    <row r="840" spans="1:5" x14ac:dyDescent="0.45">
      <c r="A840">
        <v>195602</v>
      </c>
      <c r="B840">
        <v>3.78</v>
      </c>
      <c r="C840">
        <v>-0.97</v>
      </c>
      <c r="D840">
        <v>-0.46</v>
      </c>
      <c r="E840">
        <v>0.19</v>
      </c>
    </row>
    <row r="841" spans="1:5" x14ac:dyDescent="0.45">
      <c r="A841">
        <v>195601</v>
      </c>
      <c r="B841">
        <v>-3.03</v>
      </c>
      <c r="C841">
        <v>0.5</v>
      </c>
      <c r="D841">
        <v>0.82</v>
      </c>
      <c r="E841">
        <v>0.22</v>
      </c>
    </row>
    <row r="842" spans="1:5" x14ac:dyDescent="0.45">
      <c r="A842">
        <v>195512</v>
      </c>
      <c r="B842">
        <v>1.49</v>
      </c>
      <c r="C842">
        <v>1.98</v>
      </c>
      <c r="D842">
        <v>-2.11</v>
      </c>
      <c r="E842">
        <v>0.18</v>
      </c>
    </row>
    <row r="843" spans="1:5" x14ac:dyDescent="0.45">
      <c r="A843">
        <v>195511</v>
      </c>
      <c r="B843">
        <v>7.04</v>
      </c>
      <c r="C843">
        <v>-2.2000000000000002</v>
      </c>
      <c r="D843">
        <v>0.33</v>
      </c>
      <c r="E843">
        <v>0.17</v>
      </c>
    </row>
    <row r="844" spans="1:5" x14ac:dyDescent="0.45">
      <c r="A844">
        <v>195510</v>
      </c>
      <c r="B844">
        <v>-2.67</v>
      </c>
      <c r="C844">
        <v>1.46</v>
      </c>
      <c r="D844">
        <v>-0.11</v>
      </c>
      <c r="E844">
        <v>0.18</v>
      </c>
    </row>
    <row r="845" spans="1:5" x14ac:dyDescent="0.45">
      <c r="A845">
        <v>195509</v>
      </c>
      <c r="B845">
        <v>-0.37</v>
      </c>
      <c r="C845">
        <v>0.3</v>
      </c>
      <c r="D845">
        <v>-1.01</v>
      </c>
      <c r="E845">
        <v>0.16</v>
      </c>
    </row>
    <row r="846" spans="1:5" x14ac:dyDescent="0.45">
      <c r="A846">
        <v>195508</v>
      </c>
      <c r="B846">
        <v>0.22</v>
      </c>
      <c r="C846">
        <v>-0.46</v>
      </c>
      <c r="D846">
        <v>0.75</v>
      </c>
      <c r="E846">
        <v>0.16</v>
      </c>
    </row>
    <row r="847" spans="1:5" x14ac:dyDescent="0.45">
      <c r="A847">
        <v>195507</v>
      </c>
      <c r="B847">
        <v>1.89</v>
      </c>
      <c r="C847">
        <v>-1.2</v>
      </c>
      <c r="D847">
        <v>0.39</v>
      </c>
      <c r="E847">
        <v>0.1</v>
      </c>
    </row>
    <row r="848" spans="1:5" x14ac:dyDescent="0.45">
      <c r="A848">
        <v>195506</v>
      </c>
      <c r="B848">
        <v>6.55</v>
      </c>
      <c r="C848">
        <v>-4.6100000000000003</v>
      </c>
      <c r="D848">
        <v>1.85</v>
      </c>
      <c r="E848">
        <v>0.1</v>
      </c>
    </row>
    <row r="849" spans="1:5" x14ac:dyDescent="0.45">
      <c r="A849">
        <v>195505</v>
      </c>
      <c r="B849">
        <v>0.94</v>
      </c>
      <c r="C849">
        <v>-0.25</v>
      </c>
      <c r="D849">
        <v>-0.96</v>
      </c>
      <c r="E849">
        <v>0.14000000000000001</v>
      </c>
    </row>
    <row r="850" spans="1:5" x14ac:dyDescent="0.45">
      <c r="A850">
        <v>195504</v>
      </c>
      <c r="B850">
        <v>3.11</v>
      </c>
      <c r="C850">
        <v>-1.75</v>
      </c>
      <c r="D850">
        <v>0.75</v>
      </c>
      <c r="E850">
        <v>0.1</v>
      </c>
    </row>
    <row r="851" spans="1:5" x14ac:dyDescent="0.45">
      <c r="A851">
        <v>195503</v>
      </c>
      <c r="B851">
        <v>-0.15</v>
      </c>
      <c r="C851">
        <v>-0.65</v>
      </c>
      <c r="D851">
        <v>1.93</v>
      </c>
      <c r="E851">
        <v>0.1</v>
      </c>
    </row>
    <row r="852" spans="1:5" x14ac:dyDescent="0.45">
      <c r="A852">
        <v>195502</v>
      </c>
      <c r="B852">
        <v>3.02</v>
      </c>
      <c r="C852">
        <v>1.55</v>
      </c>
      <c r="D852">
        <v>0.61</v>
      </c>
      <c r="E852">
        <v>0.09</v>
      </c>
    </row>
    <row r="853" spans="1:5" x14ac:dyDescent="0.45">
      <c r="A853">
        <v>195501</v>
      </c>
      <c r="B853">
        <v>0.6</v>
      </c>
      <c r="C853">
        <v>0.24</v>
      </c>
      <c r="D853">
        <v>2.1</v>
      </c>
      <c r="E853">
        <v>0.08</v>
      </c>
    </row>
    <row r="854" spans="1:5" x14ac:dyDescent="0.45">
      <c r="A854">
        <v>195412</v>
      </c>
      <c r="B854">
        <v>5.49</v>
      </c>
      <c r="C854">
        <v>2.1800000000000002</v>
      </c>
      <c r="D854">
        <v>5.68</v>
      </c>
      <c r="E854">
        <v>0.08</v>
      </c>
    </row>
    <row r="855" spans="1:5" x14ac:dyDescent="0.45">
      <c r="A855">
        <v>195411</v>
      </c>
      <c r="B855">
        <v>9.41</v>
      </c>
      <c r="C855">
        <v>-2.65</v>
      </c>
      <c r="D855">
        <v>4.45</v>
      </c>
      <c r="E855">
        <v>0.06</v>
      </c>
    </row>
    <row r="856" spans="1:5" x14ac:dyDescent="0.45">
      <c r="A856">
        <v>195410</v>
      </c>
      <c r="B856">
        <v>-1.67</v>
      </c>
      <c r="C856">
        <v>0.61</v>
      </c>
      <c r="D856">
        <v>0.64</v>
      </c>
      <c r="E856">
        <v>7.0000000000000007E-2</v>
      </c>
    </row>
    <row r="857" spans="1:5" x14ac:dyDescent="0.45">
      <c r="A857">
        <v>195409</v>
      </c>
      <c r="B857">
        <v>6.4</v>
      </c>
      <c r="C857">
        <v>-2.56</v>
      </c>
      <c r="D857">
        <v>0.68</v>
      </c>
      <c r="E857">
        <v>0.09</v>
      </c>
    </row>
    <row r="858" spans="1:5" x14ac:dyDescent="0.45">
      <c r="A858">
        <v>195408</v>
      </c>
      <c r="B858">
        <v>-2.35</v>
      </c>
      <c r="C858">
        <v>2.68</v>
      </c>
      <c r="D858">
        <v>-1.42</v>
      </c>
      <c r="E858">
        <v>0.05</v>
      </c>
    </row>
    <row r="859" spans="1:5" x14ac:dyDescent="0.45">
      <c r="A859">
        <v>195407</v>
      </c>
      <c r="B859">
        <v>5</v>
      </c>
      <c r="C859">
        <v>1.05</v>
      </c>
      <c r="D859">
        <v>4.1399999999999997</v>
      </c>
      <c r="E859">
        <v>0.05</v>
      </c>
    </row>
    <row r="860" spans="1:5" x14ac:dyDescent="0.45">
      <c r="A860">
        <v>195406</v>
      </c>
      <c r="B860">
        <v>1.08</v>
      </c>
      <c r="C860">
        <v>0.38</v>
      </c>
      <c r="D860">
        <v>0.02</v>
      </c>
      <c r="E860">
        <v>0.06</v>
      </c>
    </row>
    <row r="861" spans="1:5" x14ac:dyDescent="0.45">
      <c r="A861">
        <v>195405</v>
      </c>
      <c r="B861">
        <v>3.1</v>
      </c>
      <c r="C861">
        <v>0.39</v>
      </c>
      <c r="D861">
        <v>2.4500000000000002</v>
      </c>
      <c r="E861">
        <v>0.05</v>
      </c>
    </row>
    <row r="862" spans="1:5" x14ac:dyDescent="0.45">
      <c r="A862">
        <v>195404</v>
      </c>
      <c r="B862">
        <v>4.2699999999999996</v>
      </c>
      <c r="C862">
        <v>-3.47</v>
      </c>
      <c r="D862">
        <v>-0.37</v>
      </c>
      <c r="E862">
        <v>0.09</v>
      </c>
    </row>
    <row r="863" spans="1:5" x14ac:dyDescent="0.45">
      <c r="A863">
        <v>195403</v>
      </c>
      <c r="B863">
        <v>3.66</v>
      </c>
      <c r="C863">
        <v>-0.5</v>
      </c>
      <c r="D863">
        <v>-1.45</v>
      </c>
      <c r="E863">
        <v>0.08</v>
      </c>
    </row>
    <row r="864" spans="1:5" x14ac:dyDescent="0.45">
      <c r="A864">
        <v>195402</v>
      </c>
      <c r="B864">
        <v>1.67</v>
      </c>
      <c r="C864">
        <v>-0.18</v>
      </c>
      <c r="D864">
        <v>-0.27</v>
      </c>
      <c r="E864">
        <v>7.0000000000000007E-2</v>
      </c>
    </row>
    <row r="865" spans="1:5" x14ac:dyDescent="0.45">
      <c r="A865">
        <v>195401</v>
      </c>
      <c r="B865">
        <v>5.13</v>
      </c>
      <c r="C865">
        <v>0.5</v>
      </c>
      <c r="D865">
        <v>3.45</v>
      </c>
      <c r="E865">
        <v>0.11</v>
      </c>
    </row>
    <row r="866" spans="1:5" x14ac:dyDescent="0.45">
      <c r="A866">
        <v>195312</v>
      </c>
      <c r="B866">
        <v>0.02</v>
      </c>
      <c r="C866">
        <v>-0.85</v>
      </c>
      <c r="D866">
        <v>-2.83</v>
      </c>
      <c r="E866">
        <v>0.13</v>
      </c>
    </row>
    <row r="867" spans="1:5" x14ac:dyDescent="0.45">
      <c r="A867">
        <v>195311</v>
      </c>
      <c r="B867">
        <v>2.84</v>
      </c>
      <c r="C867">
        <v>-1.3</v>
      </c>
      <c r="D867">
        <v>-0.15</v>
      </c>
      <c r="E867">
        <v>0.08</v>
      </c>
    </row>
    <row r="868" spans="1:5" x14ac:dyDescent="0.45">
      <c r="A868">
        <v>195310</v>
      </c>
      <c r="B868">
        <v>4.5999999999999996</v>
      </c>
      <c r="C868">
        <v>-1.36</v>
      </c>
      <c r="D868">
        <v>-0.19</v>
      </c>
      <c r="E868">
        <v>0.13</v>
      </c>
    </row>
    <row r="869" spans="1:5" x14ac:dyDescent="0.45">
      <c r="A869">
        <v>195309</v>
      </c>
      <c r="B869">
        <v>0.21</v>
      </c>
      <c r="C869">
        <v>-0.85</v>
      </c>
      <c r="D869">
        <v>-2.44</v>
      </c>
      <c r="E869">
        <v>0.16</v>
      </c>
    </row>
    <row r="870" spans="1:5" x14ac:dyDescent="0.45">
      <c r="A870">
        <v>195308</v>
      </c>
      <c r="B870">
        <v>-4.5599999999999996</v>
      </c>
      <c r="C870">
        <v>0.37</v>
      </c>
      <c r="D870">
        <v>-3.52</v>
      </c>
      <c r="E870">
        <v>0.17</v>
      </c>
    </row>
    <row r="871" spans="1:5" x14ac:dyDescent="0.45">
      <c r="A871">
        <v>195307</v>
      </c>
      <c r="B871">
        <v>2.4</v>
      </c>
      <c r="C871">
        <v>-1.04</v>
      </c>
      <c r="D871">
        <v>-0.25</v>
      </c>
      <c r="E871">
        <v>0.15</v>
      </c>
    </row>
    <row r="872" spans="1:5" x14ac:dyDescent="0.45">
      <c r="A872">
        <v>195306</v>
      </c>
      <c r="B872">
        <v>-1.89</v>
      </c>
      <c r="C872">
        <v>-1.89</v>
      </c>
      <c r="D872">
        <v>-0.5</v>
      </c>
      <c r="E872">
        <v>0.18</v>
      </c>
    </row>
    <row r="873" spans="1:5" x14ac:dyDescent="0.45">
      <c r="A873">
        <v>195305</v>
      </c>
      <c r="B873">
        <v>0.51</v>
      </c>
      <c r="C873">
        <v>-0.05</v>
      </c>
      <c r="D873">
        <v>0.25</v>
      </c>
      <c r="E873">
        <v>0.17</v>
      </c>
    </row>
    <row r="874" spans="1:5" x14ac:dyDescent="0.45">
      <c r="A874">
        <v>195304</v>
      </c>
      <c r="B874">
        <v>-2.83</v>
      </c>
      <c r="C874">
        <v>0.26</v>
      </c>
      <c r="D874">
        <v>1.55</v>
      </c>
      <c r="E874">
        <v>0.16</v>
      </c>
    </row>
    <row r="875" spans="1:5" x14ac:dyDescent="0.45">
      <c r="A875">
        <v>195303</v>
      </c>
      <c r="B875">
        <v>-1.44</v>
      </c>
      <c r="C875">
        <v>-0.21</v>
      </c>
      <c r="D875">
        <v>-0.84</v>
      </c>
      <c r="E875">
        <v>0.18</v>
      </c>
    </row>
    <row r="876" spans="1:5" x14ac:dyDescent="0.45">
      <c r="A876">
        <v>195302</v>
      </c>
      <c r="B876">
        <v>-0.27</v>
      </c>
      <c r="C876">
        <v>2.2200000000000002</v>
      </c>
      <c r="D876">
        <v>-0.05</v>
      </c>
      <c r="E876">
        <v>0.14000000000000001</v>
      </c>
    </row>
    <row r="877" spans="1:5" x14ac:dyDescent="0.45">
      <c r="A877">
        <v>195301</v>
      </c>
      <c r="B877">
        <v>-0.34</v>
      </c>
      <c r="C877">
        <v>3.54</v>
      </c>
      <c r="D877">
        <v>1.28</v>
      </c>
      <c r="E877">
        <v>0.16</v>
      </c>
    </row>
    <row r="878" spans="1:5" x14ac:dyDescent="0.45">
      <c r="A878">
        <v>195212</v>
      </c>
      <c r="B878">
        <v>2.93</v>
      </c>
      <c r="C878">
        <v>-1.51</v>
      </c>
      <c r="D878">
        <v>0.19</v>
      </c>
      <c r="E878">
        <v>0.16</v>
      </c>
    </row>
    <row r="879" spans="1:5" x14ac:dyDescent="0.45">
      <c r="A879">
        <v>195211</v>
      </c>
      <c r="B879">
        <v>5.96</v>
      </c>
      <c r="C879">
        <v>-0.72</v>
      </c>
      <c r="D879">
        <v>1.02</v>
      </c>
      <c r="E879">
        <v>0.1</v>
      </c>
    </row>
    <row r="880" spans="1:5" x14ac:dyDescent="0.45">
      <c r="A880">
        <v>195210</v>
      </c>
      <c r="B880">
        <v>-0.66</v>
      </c>
      <c r="C880">
        <v>-1.03</v>
      </c>
      <c r="D880">
        <v>-0.55000000000000004</v>
      </c>
      <c r="E880">
        <v>0.14000000000000001</v>
      </c>
    </row>
    <row r="881" spans="1:5" x14ac:dyDescent="0.45">
      <c r="A881">
        <v>195209</v>
      </c>
      <c r="B881">
        <v>-2.04</v>
      </c>
      <c r="C881">
        <v>1.0900000000000001</v>
      </c>
      <c r="D881">
        <v>-1.42</v>
      </c>
      <c r="E881">
        <v>0.16</v>
      </c>
    </row>
    <row r="882" spans="1:5" x14ac:dyDescent="0.45">
      <c r="A882">
        <v>195208</v>
      </c>
      <c r="B882">
        <v>-0.77</v>
      </c>
      <c r="C882">
        <v>1.1499999999999999</v>
      </c>
      <c r="D882">
        <v>0.09</v>
      </c>
      <c r="E882">
        <v>0.15</v>
      </c>
    </row>
    <row r="883" spans="1:5" x14ac:dyDescent="0.45">
      <c r="A883">
        <v>195207</v>
      </c>
      <c r="B883">
        <v>0.91</v>
      </c>
      <c r="C883">
        <v>-0.41</v>
      </c>
      <c r="D883">
        <v>-0.32</v>
      </c>
      <c r="E883">
        <v>0.15</v>
      </c>
    </row>
    <row r="884" spans="1:5" x14ac:dyDescent="0.45">
      <c r="A884">
        <v>195206</v>
      </c>
      <c r="B884">
        <v>3.84</v>
      </c>
      <c r="C884">
        <v>-1.63</v>
      </c>
      <c r="D884">
        <v>1.24</v>
      </c>
      <c r="E884">
        <v>0.15</v>
      </c>
    </row>
    <row r="885" spans="1:5" x14ac:dyDescent="0.45">
      <c r="A885">
        <v>195205</v>
      </c>
      <c r="B885">
        <v>3.2</v>
      </c>
      <c r="C885">
        <v>-1</v>
      </c>
      <c r="D885">
        <v>0.02</v>
      </c>
      <c r="E885">
        <v>0.13</v>
      </c>
    </row>
    <row r="886" spans="1:5" x14ac:dyDescent="0.45">
      <c r="A886">
        <v>195204</v>
      </c>
      <c r="B886">
        <v>-4.97</v>
      </c>
      <c r="C886">
        <v>0.49</v>
      </c>
      <c r="D886">
        <v>-0.03</v>
      </c>
      <c r="E886">
        <v>0.12</v>
      </c>
    </row>
    <row r="887" spans="1:5" x14ac:dyDescent="0.45">
      <c r="A887">
        <v>195203</v>
      </c>
      <c r="B887">
        <v>4.4400000000000004</v>
      </c>
      <c r="C887">
        <v>-2.97</v>
      </c>
      <c r="D887">
        <v>2.23</v>
      </c>
      <c r="E887">
        <v>0.11</v>
      </c>
    </row>
    <row r="888" spans="1:5" x14ac:dyDescent="0.45">
      <c r="A888">
        <v>195202</v>
      </c>
      <c r="B888">
        <v>-2.64</v>
      </c>
      <c r="C888">
        <v>0.85</v>
      </c>
      <c r="D888">
        <v>-0.62</v>
      </c>
      <c r="E888">
        <v>0.12</v>
      </c>
    </row>
    <row r="889" spans="1:5" x14ac:dyDescent="0.45">
      <c r="A889">
        <v>195201</v>
      </c>
      <c r="B889">
        <v>1.45</v>
      </c>
      <c r="C889">
        <v>-0.65</v>
      </c>
      <c r="D889">
        <v>1.48</v>
      </c>
      <c r="E889">
        <v>0.15</v>
      </c>
    </row>
    <row r="890" spans="1:5" x14ac:dyDescent="0.45">
      <c r="A890">
        <v>195112</v>
      </c>
      <c r="B890">
        <v>3.33</v>
      </c>
      <c r="C890">
        <v>-2.2400000000000002</v>
      </c>
      <c r="D890">
        <v>-1.55</v>
      </c>
      <c r="E890">
        <v>0.12</v>
      </c>
    </row>
    <row r="891" spans="1:5" x14ac:dyDescent="0.45">
      <c r="A891">
        <v>195111</v>
      </c>
      <c r="B891">
        <v>0.57999999999999996</v>
      </c>
      <c r="C891">
        <v>-0.33</v>
      </c>
      <c r="D891">
        <v>-0.08</v>
      </c>
      <c r="E891">
        <v>0.11</v>
      </c>
    </row>
    <row r="892" spans="1:5" x14ac:dyDescent="0.45">
      <c r="A892">
        <v>195110</v>
      </c>
      <c r="B892">
        <v>-2.5299999999999998</v>
      </c>
      <c r="C892">
        <v>-0.23</v>
      </c>
      <c r="D892">
        <v>0.18</v>
      </c>
      <c r="E892">
        <v>0.16</v>
      </c>
    </row>
    <row r="893" spans="1:5" x14ac:dyDescent="0.45">
      <c r="A893">
        <v>195109</v>
      </c>
      <c r="B893">
        <v>0.7</v>
      </c>
      <c r="C893">
        <v>1.86</v>
      </c>
      <c r="D893">
        <v>0.62</v>
      </c>
      <c r="E893">
        <v>0.12</v>
      </c>
    </row>
    <row r="894" spans="1:5" x14ac:dyDescent="0.45">
      <c r="A894">
        <v>195108</v>
      </c>
      <c r="B894">
        <v>4.29</v>
      </c>
      <c r="C894">
        <v>0.95</v>
      </c>
      <c r="D894">
        <v>-0.17</v>
      </c>
      <c r="E894">
        <v>0.13</v>
      </c>
    </row>
    <row r="895" spans="1:5" x14ac:dyDescent="0.45">
      <c r="A895">
        <v>195107</v>
      </c>
      <c r="B895">
        <v>6.95</v>
      </c>
      <c r="C895">
        <v>-2.0499999999999998</v>
      </c>
      <c r="D895">
        <v>2</v>
      </c>
      <c r="E895">
        <v>0.13</v>
      </c>
    </row>
    <row r="896" spans="1:5" x14ac:dyDescent="0.45">
      <c r="A896">
        <v>195106</v>
      </c>
      <c r="B896">
        <v>-2.63</v>
      </c>
      <c r="C896">
        <v>-1.96</v>
      </c>
      <c r="D896">
        <v>-3.98</v>
      </c>
      <c r="E896">
        <v>0.12</v>
      </c>
    </row>
    <row r="897" spans="1:5" x14ac:dyDescent="0.45">
      <c r="A897">
        <v>195105</v>
      </c>
      <c r="B897">
        <v>-2.36</v>
      </c>
      <c r="C897">
        <v>-0.08</v>
      </c>
      <c r="D897">
        <v>-1.42</v>
      </c>
      <c r="E897">
        <v>0.12</v>
      </c>
    </row>
    <row r="898" spans="1:5" x14ac:dyDescent="0.45">
      <c r="A898">
        <v>195104</v>
      </c>
      <c r="B898">
        <v>4.8600000000000003</v>
      </c>
      <c r="C898">
        <v>-1.48</v>
      </c>
      <c r="D898">
        <v>3.26</v>
      </c>
      <c r="E898">
        <v>0.13</v>
      </c>
    </row>
    <row r="899" spans="1:5" x14ac:dyDescent="0.45">
      <c r="A899">
        <v>195103</v>
      </c>
      <c r="B899">
        <v>-2.16</v>
      </c>
      <c r="C899">
        <v>-0.66</v>
      </c>
      <c r="D899">
        <v>-4.26</v>
      </c>
      <c r="E899">
        <v>0.11</v>
      </c>
    </row>
    <row r="900" spans="1:5" x14ac:dyDescent="0.45">
      <c r="A900">
        <v>195102</v>
      </c>
      <c r="B900">
        <v>1.4</v>
      </c>
      <c r="C900">
        <v>0.14000000000000001</v>
      </c>
      <c r="D900">
        <v>-2.79</v>
      </c>
      <c r="E900">
        <v>0.1</v>
      </c>
    </row>
    <row r="901" spans="1:5" x14ac:dyDescent="0.45">
      <c r="A901">
        <v>195101</v>
      </c>
      <c r="B901">
        <v>5.7</v>
      </c>
      <c r="C901">
        <v>1.67</v>
      </c>
      <c r="D901">
        <v>3.79</v>
      </c>
      <c r="E901">
        <v>0.13</v>
      </c>
    </row>
    <row r="902" spans="1:5" x14ac:dyDescent="0.45">
      <c r="A902">
        <v>195012</v>
      </c>
      <c r="B902">
        <v>5.57</v>
      </c>
      <c r="C902">
        <v>1.53</v>
      </c>
      <c r="D902">
        <v>7.27</v>
      </c>
      <c r="E902">
        <v>0.11</v>
      </c>
    </row>
    <row r="903" spans="1:5" x14ac:dyDescent="0.45">
      <c r="A903">
        <v>195011</v>
      </c>
      <c r="B903">
        <v>2.74</v>
      </c>
      <c r="C903">
        <v>-0.89</v>
      </c>
      <c r="D903">
        <v>3.19</v>
      </c>
      <c r="E903">
        <v>0.11</v>
      </c>
    </row>
    <row r="904" spans="1:5" x14ac:dyDescent="0.45">
      <c r="A904">
        <v>195010</v>
      </c>
      <c r="B904">
        <v>-0.19</v>
      </c>
      <c r="C904">
        <v>-0.66</v>
      </c>
      <c r="D904">
        <v>1.36</v>
      </c>
      <c r="E904">
        <v>0.12</v>
      </c>
    </row>
    <row r="905" spans="1:5" x14ac:dyDescent="0.45">
      <c r="A905">
        <v>195009</v>
      </c>
      <c r="B905">
        <v>4.82</v>
      </c>
      <c r="C905">
        <v>0.59</v>
      </c>
      <c r="D905">
        <v>-1.1000000000000001</v>
      </c>
      <c r="E905">
        <v>0.1</v>
      </c>
    </row>
    <row r="906" spans="1:5" x14ac:dyDescent="0.45">
      <c r="A906">
        <v>195008</v>
      </c>
      <c r="B906">
        <v>4.8600000000000003</v>
      </c>
      <c r="C906">
        <v>0.74</v>
      </c>
      <c r="D906">
        <v>-1.37</v>
      </c>
      <c r="E906">
        <v>0.1</v>
      </c>
    </row>
    <row r="907" spans="1:5" x14ac:dyDescent="0.45">
      <c r="A907">
        <v>195007</v>
      </c>
      <c r="B907">
        <v>1.37</v>
      </c>
      <c r="C907">
        <v>0.54</v>
      </c>
      <c r="D907">
        <v>13.69</v>
      </c>
      <c r="E907">
        <v>0.1</v>
      </c>
    </row>
    <row r="908" spans="1:5" x14ac:dyDescent="0.45">
      <c r="A908">
        <v>195006</v>
      </c>
      <c r="B908">
        <v>-5.96</v>
      </c>
      <c r="C908">
        <v>-2.41</v>
      </c>
      <c r="D908">
        <v>-0.79</v>
      </c>
      <c r="E908">
        <v>0.1</v>
      </c>
    </row>
    <row r="909" spans="1:5" x14ac:dyDescent="0.45">
      <c r="A909">
        <v>195005</v>
      </c>
      <c r="B909">
        <v>4.32</v>
      </c>
      <c r="C909">
        <v>-2.13</v>
      </c>
      <c r="D909">
        <v>0.47</v>
      </c>
      <c r="E909">
        <v>0.1</v>
      </c>
    </row>
    <row r="910" spans="1:5" x14ac:dyDescent="0.45">
      <c r="A910">
        <v>195004</v>
      </c>
      <c r="B910">
        <v>3.94</v>
      </c>
      <c r="C910">
        <v>2</v>
      </c>
      <c r="D910">
        <v>1.33</v>
      </c>
      <c r="E910">
        <v>0.09</v>
      </c>
    </row>
    <row r="911" spans="1:5" x14ac:dyDescent="0.45">
      <c r="A911">
        <v>195003</v>
      </c>
      <c r="B911">
        <v>1.26</v>
      </c>
      <c r="C911">
        <v>-1.43</v>
      </c>
      <c r="D911">
        <v>-2.78</v>
      </c>
      <c r="E911">
        <v>0.1</v>
      </c>
    </row>
    <row r="912" spans="1:5" x14ac:dyDescent="0.45">
      <c r="A912">
        <v>195002</v>
      </c>
      <c r="B912">
        <v>1.48</v>
      </c>
      <c r="C912">
        <v>0.02</v>
      </c>
      <c r="D912">
        <v>-0.79</v>
      </c>
      <c r="E912">
        <v>0.09</v>
      </c>
    </row>
    <row r="913" spans="1:5" x14ac:dyDescent="0.45">
      <c r="A913">
        <v>195001</v>
      </c>
      <c r="B913">
        <v>1.7</v>
      </c>
      <c r="C913">
        <v>3.34</v>
      </c>
      <c r="D913">
        <v>0.15</v>
      </c>
      <c r="E913">
        <v>0.09</v>
      </c>
    </row>
    <row r="914" spans="1:5" x14ac:dyDescent="0.45">
      <c r="A914">
        <v>194912</v>
      </c>
      <c r="B914">
        <v>5.14</v>
      </c>
      <c r="C914">
        <v>2.08</v>
      </c>
      <c r="D914">
        <v>1.73</v>
      </c>
      <c r="E914">
        <v>0.09</v>
      </c>
    </row>
    <row r="915" spans="1:5" x14ac:dyDescent="0.45">
      <c r="A915">
        <v>194911</v>
      </c>
      <c r="B915">
        <v>1.81</v>
      </c>
      <c r="C915">
        <v>-0.94</v>
      </c>
      <c r="D915">
        <v>-0.9</v>
      </c>
      <c r="E915">
        <v>0.08</v>
      </c>
    </row>
    <row r="916" spans="1:5" x14ac:dyDescent="0.45">
      <c r="A916">
        <v>194910</v>
      </c>
      <c r="B916">
        <v>3.14</v>
      </c>
      <c r="C916">
        <v>1.03</v>
      </c>
      <c r="D916">
        <v>-0.49</v>
      </c>
      <c r="E916">
        <v>0.09</v>
      </c>
    </row>
    <row r="917" spans="1:5" x14ac:dyDescent="0.45">
      <c r="A917">
        <v>194909</v>
      </c>
      <c r="B917">
        <v>3.09</v>
      </c>
      <c r="C917">
        <v>1.05</v>
      </c>
      <c r="D917">
        <v>0.23</v>
      </c>
      <c r="E917">
        <v>0.09</v>
      </c>
    </row>
    <row r="918" spans="1:5" x14ac:dyDescent="0.45">
      <c r="A918">
        <v>194908</v>
      </c>
      <c r="B918">
        <v>2.59</v>
      </c>
      <c r="C918">
        <v>0.14000000000000001</v>
      </c>
      <c r="D918">
        <v>-0.59</v>
      </c>
      <c r="E918">
        <v>0.09</v>
      </c>
    </row>
    <row r="919" spans="1:5" x14ac:dyDescent="0.45">
      <c r="A919">
        <v>194907</v>
      </c>
      <c r="B919">
        <v>5.54</v>
      </c>
      <c r="C919">
        <v>0.55000000000000004</v>
      </c>
      <c r="D919">
        <v>0.39</v>
      </c>
      <c r="E919">
        <v>0.09</v>
      </c>
    </row>
    <row r="920" spans="1:5" x14ac:dyDescent="0.45">
      <c r="A920">
        <v>194906</v>
      </c>
      <c r="B920">
        <v>0.1</v>
      </c>
      <c r="C920">
        <v>-0.86</v>
      </c>
      <c r="D920">
        <v>-1.65</v>
      </c>
      <c r="E920">
        <v>0.1</v>
      </c>
    </row>
    <row r="921" spans="1:5" x14ac:dyDescent="0.45">
      <c r="A921">
        <v>194905</v>
      </c>
      <c r="B921">
        <v>-2.98</v>
      </c>
      <c r="C921">
        <v>-0.78</v>
      </c>
      <c r="D921">
        <v>-2.39</v>
      </c>
      <c r="E921">
        <v>0.1</v>
      </c>
    </row>
    <row r="922" spans="1:5" x14ac:dyDescent="0.45">
      <c r="A922">
        <v>194904</v>
      </c>
      <c r="B922">
        <v>-1.87</v>
      </c>
      <c r="C922">
        <v>-0.92</v>
      </c>
      <c r="D922">
        <v>-1.1200000000000001</v>
      </c>
      <c r="E922">
        <v>0.09</v>
      </c>
    </row>
    <row r="923" spans="1:5" x14ac:dyDescent="0.45">
      <c r="A923">
        <v>194903</v>
      </c>
      <c r="B923">
        <v>4.05</v>
      </c>
      <c r="C923">
        <v>2.48</v>
      </c>
      <c r="D923">
        <v>1.31</v>
      </c>
      <c r="E923">
        <v>0.1</v>
      </c>
    </row>
    <row r="924" spans="1:5" x14ac:dyDescent="0.45">
      <c r="A924">
        <v>194902</v>
      </c>
      <c r="B924">
        <v>-2.93</v>
      </c>
      <c r="C924">
        <v>-1.87</v>
      </c>
      <c r="D924">
        <v>-0.89</v>
      </c>
      <c r="E924">
        <v>0.09</v>
      </c>
    </row>
    <row r="925" spans="1:5" x14ac:dyDescent="0.45">
      <c r="A925">
        <v>194901</v>
      </c>
      <c r="B925">
        <v>0.23</v>
      </c>
      <c r="C925">
        <v>1.71</v>
      </c>
      <c r="D925">
        <v>1.25</v>
      </c>
      <c r="E925">
        <v>0.1</v>
      </c>
    </row>
    <row r="926" spans="1:5" x14ac:dyDescent="0.45">
      <c r="A926">
        <v>194812</v>
      </c>
      <c r="B926">
        <v>3.26</v>
      </c>
      <c r="C926">
        <v>-2.85</v>
      </c>
      <c r="D926">
        <v>-1.95</v>
      </c>
      <c r="E926">
        <v>0.04</v>
      </c>
    </row>
    <row r="927" spans="1:5" x14ac:dyDescent="0.45">
      <c r="A927">
        <v>194811</v>
      </c>
      <c r="B927">
        <v>-9.34</v>
      </c>
      <c r="C927">
        <v>-0.61</v>
      </c>
      <c r="D927">
        <v>-4.1500000000000004</v>
      </c>
      <c r="E927">
        <v>0.04</v>
      </c>
    </row>
    <row r="928" spans="1:5" x14ac:dyDescent="0.45">
      <c r="A928">
        <v>194810</v>
      </c>
      <c r="B928">
        <v>5.96</v>
      </c>
      <c r="C928">
        <v>-1.48</v>
      </c>
      <c r="D928">
        <v>0.57999999999999996</v>
      </c>
      <c r="E928">
        <v>0.04</v>
      </c>
    </row>
    <row r="929" spans="1:5" x14ac:dyDescent="0.45">
      <c r="A929">
        <v>194809</v>
      </c>
      <c r="B929">
        <v>-2.99</v>
      </c>
      <c r="C929">
        <v>-1.27</v>
      </c>
      <c r="D929">
        <v>-1.77</v>
      </c>
      <c r="E929">
        <v>0.04</v>
      </c>
    </row>
    <row r="930" spans="1:5" x14ac:dyDescent="0.45">
      <c r="A930">
        <v>194808</v>
      </c>
      <c r="B930">
        <v>0.24</v>
      </c>
      <c r="C930">
        <v>-1.1299999999999999</v>
      </c>
      <c r="D930">
        <v>0.28999999999999998</v>
      </c>
      <c r="E930">
        <v>0.09</v>
      </c>
    </row>
    <row r="931" spans="1:5" x14ac:dyDescent="0.45">
      <c r="A931">
        <v>194807</v>
      </c>
      <c r="B931">
        <v>-5.08</v>
      </c>
      <c r="C931">
        <v>-0.38</v>
      </c>
      <c r="D931">
        <v>0.11</v>
      </c>
      <c r="E931">
        <v>0.08</v>
      </c>
    </row>
    <row r="932" spans="1:5" x14ac:dyDescent="0.45">
      <c r="A932">
        <v>194806</v>
      </c>
      <c r="B932">
        <v>-0.11</v>
      </c>
      <c r="C932">
        <v>-1.78</v>
      </c>
      <c r="D932">
        <v>2.84</v>
      </c>
      <c r="E932">
        <v>0.09</v>
      </c>
    </row>
    <row r="933" spans="1:5" x14ac:dyDescent="0.45">
      <c r="A933">
        <v>194805</v>
      </c>
      <c r="B933">
        <v>7.32</v>
      </c>
      <c r="C933">
        <v>0.87</v>
      </c>
      <c r="D933">
        <v>-1.27</v>
      </c>
      <c r="E933">
        <v>0.08</v>
      </c>
    </row>
    <row r="934" spans="1:5" x14ac:dyDescent="0.45">
      <c r="A934">
        <v>194804</v>
      </c>
      <c r="B934">
        <v>3.65</v>
      </c>
      <c r="C934">
        <v>-1.64</v>
      </c>
      <c r="D934">
        <v>4.12</v>
      </c>
      <c r="E934">
        <v>0.08</v>
      </c>
    </row>
    <row r="935" spans="1:5" x14ac:dyDescent="0.45">
      <c r="A935">
        <v>194803</v>
      </c>
      <c r="B935">
        <v>8.11</v>
      </c>
      <c r="C935">
        <v>0.12</v>
      </c>
      <c r="D935">
        <v>4.5199999999999996</v>
      </c>
      <c r="E935">
        <v>0.09</v>
      </c>
    </row>
    <row r="936" spans="1:5" x14ac:dyDescent="0.45">
      <c r="A936">
        <v>194802</v>
      </c>
      <c r="B936">
        <v>-4.38</v>
      </c>
      <c r="C936">
        <v>-1.7</v>
      </c>
      <c r="D936">
        <v>0.05</v>
      </c>
      <c r="E936">
        <v>7.0000000000000007E-2</v>
      </c>
    </row>
    <row r="937" spans="1:5" x14ac:dyDescent="0.45">
      <c r="A937">
        <v>194801</v>
      </c>
      <c r="B937">
        <v>-3.93</v>
      </c>
      <c r="C937">
        <v>2.52</v>
      </c>
      <c r="D937">
        <v>1.38</v>
      </c>
      <c r="E937">
        <v>7.0000000000000007E-2</v>
      </c>
    </row>
    <row r="938" spans="1:5" x14ac:dyDescent="0.45">
      <c r="A938">
        <v>194712</v>
      </c>
      <c r="B938">
        <v>3.01</v>
      </c>
      <c r="C938">
        <v>-2.4700000000000002</v>
      </c>
      <c r="D938">
        <v>3.74</v>
      </c>
      <c r="E938">
        <v>0.08</v>
      </c>
    </row>
    <row r="939" spans="1:5" x14ac:dyDescent="0.45">
      <c r="A939">
        <v>194711</v>
      </c>
      <c r="B939">
        <v>-1.99</v>
      </c>
      <c r="C939">
        <v>-1.69</v>
      </c>
      <c r="D939">
        <v>1.07</v>
      </c>
      <c r="E939">
        <v>0.06</v>
      </c>
    </row>
    <row r="940" spans="1:5" x14ac:dyDescent="0.45">
      <c r="A940">
        <v>194710</v>
      </c>
      <c r="B940">
        <v>2.4700000000000002</v>
      </c>
      <c r="C940">
        <v>0.52</v>
      </c>
      <c r="D940">
        <v>0.11</v>
      </c>
      <c r="E940">
        <v>0.06</v>
      </c>
    </row>
    <row r="941" spans="1:5" x14ac:dyDescent="0.45">
      <c r="A941">
        <v>194709</v>
      </c>
      <c r="B941">
        <v>-0.54</v>
      </c>
      <c r="C941">
        <v>1.62</v>
      </c>
      <c r="D941">
        <v>1.36</v>
      </c>
      <c r="E941">
        <v>0.06</v>
      </c>
    </row>
    <row r="942" spans="1:5" x14ac:dyDescent="0.45">
      <c r="A942">
        <v>194708</v>
      </c>
      <c r="B942">
        <v>-1.74</v>
      </c>
      <c r="C942">
        <v>0.33</v>
      </c>
      <c r="D942">
        <v>0.14000000000000001</v>
      </c>
      <c r="E942">
        <v>0.03</v>
      </c>
    </row>
    <row r="943" spans="1:5" x14ac:dyDescent="0.45">
      <c r="A943">
        <v>194707</v>
      </c>
      <c r="B943">
        <v>4.13</v>
      </c>
      <c r="C943">
        <v>1.47</v>
      </c>
      <c r="D943">
        <v>2.76</v>
      </c>
      <c r="E943">
        <v>0.03</v>
      </c>
    </row>
    <row r="944" spans="1:5" x14ac:dyDescent="0.45">
      <c r="A944">
        <v>194706</v>
      </c>
      <c r="B944">
        <v>5.3</v>
      </c>
      <c r="C944">
        <v>-0.33</v>
      </c>
      <c r="D944">
        <v>-0.64</v>
      </c>
      <c r="E944">
        <v>0.03</v>
      </c>
    </row>
    <row r="945" spans="1:5" x14ac:dyDescent="0.45">
      <c r="A945">
        <v>194705</v>
      </c>
      <c r="B945">
        <v>-0.96</v>
      </c>
      <c r="C945">
        <v>-3.27</v>
      </c>
      <c r="D945">
        <v>0.32</v>
      </c>
      <c r="E945">
        <v>0.03</v>
      </c>
    </row>
    <row r="946" spans="1:5" x14ac:dyDescent="0.45">
      <c r="A946">
        <v>194704</v>
      </c>
      <c r="B946">
        <v>-4.8</v>
      </c>
      <c r="C946">
        <v>-3.97</v>
      </c>
      <c r="D946">
        <v>0.85</v>
      </c>
      <c r="E946">
        <v>0.03</v>
      </c>
    </row>
    <row r="947" spans="1:5" x14ac:dyDescent="0.45">
      <c r="A947">
        <v>194703</v>
      </c>
      <c r="B947">
        <v>-1.68</v>
      </c>
      <c r="C947">
        <v>-1.6</v>
      </c>
      <c r="D947">
        <v>0.61</v>
      </c>
      <c r="E947">
        <v>0.03</v>
      </c>
    </row>
    <row r="948" spans="1:5" x14ac:dyDescent="0.45">
      <c r="A948">
        <v>194702</v>
      </c>
      <c r="B948">
        <v>-1.0900000000000001</v>
      </c>
      <c r="C948">
        <v>0.7</v>
      </c>
      <c r="D948">
        <v>0.14000000000000001</v>
      </c>
      <c r="E948">
        <v>0.03</v>
      </c>
    </row>
    <row r="949" spans="1:5" x14ac:dyDescent="0.45">
      <c r="A949">
        <v>194701</v>
      </c>
      <c r="B949">
        <v>1.25</v>
      </c>
      <c r="C949">
        <v>2.2000000000000002</v>
      </c>
      <c r="D949">
        <v>-0.74</v>
      </c>
      <c r="E949">
        <v>0.03</v>
      </c>
    </row>
    <row r="950" spans="1:5" x14ac:dyDescent="0.45">
      <c r="A950">
        <v>194612</v>
      </c>
      <c r="B950">
        <v>4.97</v>
      </c>
      <c r="C950">
        <v>0</v>
      </c>
      <c r="D950">
        <v>-1.41</v>
      </c>
      <c r="E950">
        <v>0.03</v>
      </c>
    </row>
    <row r="951" spans="1:5" x14ac:dyDescent="0.45">
      <c r="A951">
        <v>194611</v>
      </c>
      <c r="B951">
        <v>-0.02</v>
      </c>
      <c r="C951">
        <v>-0.37</v>
      </c>
      <c r="D951">
        <v>1.53</v>
      </c>
      <c r="E951">
        <v>0.03</v>
      </c>
    </row>
    <row r="952" spans="1:5" x14ac:dyDescent="0.45">
      <c r="A952">
        <v>194610</v>
      </c>
      <c r="B952">
        <v>-1.44</v>
      </c>
      <c r="C952">
        <v>0.17</v>
      </c>
      <c r="D952">
        <v>3.45</v>
      </c>
      <c r="E952">
        <v>0.03</v>
      </c>
    </row>
    <row r="953" spans="1:5" x14ac:dyDescent="0.45">
      <c r="A953">
        <v>194609</v>
      </c>
      <c r="B953">
        <v>-10.18</v>
      </c>
      <c r="C953">
        <v>-4.43</v>
      </c>
      <c r="D953">
        <v>-1.97</v>
      </c>
      <c r="E953">
        <v>0.03</v>
      </c>
    </row>
    <row r="954" spans="1:5" x14ac:dyDescent="0.45">
      <c r="A954">
        <v>194608</v>
      </c>
      <c r="B954">
        <v>-6.46</v>
      </c>
      <c r="C954">
        <v>-1.8</v>
      </c>
      <c r="D954">
        <v>0.6</v>
      </c>
      <c r="E954">
        <v>0.03</v>
      </c>
    </row>
    <row r="955" spans="1:5" x14ac:dyDescent="0.45">
      <c r="A955">
        <v>194607</v>
      </c>
      <c r="B955">
        <v>-2.69</v>
      </c>
      <c r="C955">
        <v>-1.91</v>
      </c>
      <c r="D955">
        <v>0.05</v>
      </c>
      <c r="E955">
        <v>0.03</v>
      </c>
    </row>
    <row r="956" spans="1:5" x14ac:dyDescent="0.45">
      <c r="A956">
        <v>194606</v>
      </c>
      <c r="B956">
        <v>-3.89</v>
      </c>
      <c r="C956">
        <v>-1.55</v>
      </c>
      <c r="D956">
        <v>-0.53</v>
      </c>
      <c r="E956">
        <v>0.03</v>
      </c>
    </row>
    <row r="957" spans="1:5" x14ac:dyDescent="0.45">
      <c r="A957">
        <v>194605</v>
      </c>
      <c r="B957">
        <v>3.94</v>
      </c>
      <c r="C957">
        <v>1.48</v>
      </c>
      <c r="D957">
        <v>1.1000000000000001</v>
      </c>
      <c r="E957">
        <v>0.03</v>
      </c>
    </row>
    <row r="958" spans="1:5" x14ac:dyDescent="0.45">
      <c r="A958">
        <v>194604</v>
      </c>
      <c r="B958">
        <v>4.2300000000000004</v>
      </c>
      <c r="C958">
        <v>2.37</v>
      </c>
      <c r="D958">
        <v>0.46</v>
      </c>
      <c r="E958">
        <v>0.03</v>
      </c>
    </row>
    <row r="959" spans="1:5" x14ac:dyDescent="0.45">
      <c r="A959">
        <v>194603</v>
      </c>
      <c r="B959">
        <v>5.88</v>
      </c>
      <c r="C959">
        <v>0.3</v>
      </c>
      <c r="D959">
        <v>-0.37</v>
      </c>
      <c r="E959">
        <v>0.03</v>
      </c>
    </row>
    <row r="960" spans="1:5" x14ac:dyDescent="0.45">
      <c r="A960">
        <v>194602</v>
      </c>
      <c r="B960">
        <v>-5.84</v>
      </c>
      <c r="C960">
        <v>-0.68</v>
      </c>
      <c r="D960">
        <v>-1.27</v>
      </c>
      <c r="E960">
        <v>0.03</v>
      </c>
    </row>
    <row r="961" spans="1:5" x14ac:dyDescent="0.45">
      <c r="A961">
        <v>194601</v>
      </c>
      <c r="B961">
        <v>6.24</v>
      </c>
      <c r="C961">
        <v>3.98</v>
      </c>
      <c r="D961">
        <v>2.2799999999999998</v>
      </c>
      <c r="E961">
        <v>0.03</v>
      </c>
    </row>
    <row r="962" spans="1:5" x14ac:dyDescent="0.45">
      <c r="A962">
        <v>194512</v>
      </c>
      <c r="B962">
        <v>1.19</v>
      </c>
      <c r="C962">
        <v>2.16</v>
      </c>
      <c r="D962">
        <v>-2.4</v>
      </c>
      <c r="E962">
        <v>0.03</v>
      </c>
    </row>
    <row r="963" spans="1:5" x14ac:dyDescent="0.45">
      <c r="A963">
        <v>194511</v>
      </c>
      <c r="B963">
        <v>5.4</v>
      </c>
      <c r="C963">
        <v>4.18</v>
      </c>
      <c r="D963">
        <v>4.3499999999999996</v>
      </c>
      <c r="E963">
        <v>0.02</v>
      </c>
    </row>
    <row r="964" spans="1:5" x14ac:dyDescent="0.45">
      <c r="A964">
        <v>194510</v>
      </c>
      <c r="B964">
        <v>3.89</v>
      </c>
      <c r="C964">
        <v>2.36</v>
      </c>
      <c r="D964">
        <v>2.14</v>
      </c>
      <c r="E964">
        <v>0.03</v>
      </c>
    </row>
    <row r="965" spans="1:5" x14ac:dyDescent="0.45">
      <c r="A965">
        <v>194509</v>
      </c>
      <c r="B965">
        <v>4.7699999999999996</v>
      </c>
      <c r="C965">
        <v>1.74</v>
      </c>
      <c r="D965">
        <v>0.46</v>
      </c>
      <c r="E965">
        <v>0.03</v>
      </c>
    </row>
    <row r="966" spans="1:5" x14ac:dyDescent="0.45">
      <c r="A966">
        <v>194508</v>
      </c>
      <c r="B966">
        <v>6.22</v>
      </c>
      <c r="C966">
        <v>1.6</v>
      </c>
      <c r="D966">
        <v>-4.4000000000000004</v>
      </c>
      <c r="E966">
        <v>0.03</v>
      </c>
    </row>
    <row r="967" spans="1:5" x14ac:dyDescent="0.45">
      <c r="A967">
        <v>194507</v>
      </c>
      <c r="B967">
        <v>-2.17</v>
      </c>
      <c r="C967">
        <v>-1.45</v>
      </c>
      <c r="D967">
        <v>-2.73</v>
      </c>
      <c r="E967">
        <v>0.03</v>
      </c>
    </row>
    <row r="968" spans="1:5" x14ac:dyDescent="0.45">
      <c r="A968">
        <v>194506</v>
      </c>
      <c r="B968">
        <v>0.39</v>
      </c>
      <c r="C968">
        <v>3.14</v>
      </c>
      <c r="D968">
        <v>4.2699999999999996</v>
      </c>
      <c r="E968">
        <v>0.02</v>
      </c>
    </row>
    <row r="969" spans="1:5" x14ac:dyDescent="0.45">
      <c r="A969">
        <v>194505</v>
      </c>
      <c r="B969">
        <v>1.74</v>
      </c>
      <c r="C969">
        <v>1.53</v>
      </c>
      <c r="D969">
        <v>0.34</v>
      </c>
      <c r="E969">
        <v>0.03</v>
      </c>
    </row>
    <row r="970" spans="1:5" x14ac:dyDescent="0.45">
      <c r="A970">
        <v>194504</v>
      </c>
      <c r="B970">
        <v>7.8</v>
      </c>
      <c r="C970">
        <v>0.48</v>
      </c>
      <c r="D970">
        <v>3.11</v>
      </c>
      <c r="E970">
        <v>0.03</v>
      </c>
    </row>
    <row r="971" spans="1:5" x14ac:dyDescent="0.45">
      <c r="A971">
        <v>194503</v>
      </c>
      <c r="B971">
        <v>-3.91</v>
      </c>
      <c r="C971">
        <v>-1.66</v>
      </c>
      <c r="D971">
        <v>-1.57</v>
      </c>
      <c r="E971">
        <v>0.02</v>
      </c>
    </row>
    <row r="972" spans="1:5" x14ac:dyDescent="0.45">
      <c r="A972">
        <v>194502</v>
      </c>
      <c r="B972">
        <v>6.23</v>
      </c>
      <c r="C972">
        <v>1.62</v>
      </c>
      <c r="D972">
        <v>4.43</v>
      </c>
      <c r="E972">
        <v>0.02</v>
      </c>
    </row>
    <row r="973" spans="1:5" x14ac:dyDescent="0.45">
      <c r="A973">
        <v>194501</v>
      </c>
      <c r="B973">
        <v>2.0099999999999998</v>
      </c>
      <c r="C973">
        <v>2.4500000000000002</v>
      </c>
      <c r="D973">
        <v>0.68</v>
      </c>
      <c r="E973">
        <v>0.03</v>
      </c>
    </row>
    <row r="974" spans="1:5" x14ac:dyDescent="0.45">
      <c r="A974">
        <v>194412</v>
      </c>
      <c r="B974">
        <v>4.04</v>
      </c>
      <c r="C974">
        <v>2.23</v>
      </c>
      <c r="D974">
        <v>5.87</v>
      </c>
      <c r="E974">
        <v>0.02</v>
      </c>
    </row>
    <row r="975" spans="1:5" x14ac:dyDescent="0.45">
      <c r="A975">
        <v>194411</v>
      </c>
      <c r="B975">
        <v>1.71</v>
      </c>
      <c r="C975">
        <v>0.35</v>
      </c>
      <c r="D975">
        <v>2.38</v>
      </c>
      <c r="E975">
        <v>0.03</v>
      </c>
    </row>
    <row r="976" spans="1:5" x14ac:dyDescent="0.45">
      <c r="A976">
        <v>194410</v>
      </c>
      <c r="B976">
        <v>0.16</v>
      </c>
      <c r="C976">
        <v>-0.16</v>
      </c>
      <c r="D976">
        <v>-0.36</v>
      </c>
      <c r="E976">
        <v>0.03</v>
      </c>
    </row>
    <row r="977" spans="1:5" x14ac:dyDescent="0.45">
      <c r="A977">
        <v>194409</v>
      </c>
      <c r="B977">
        <v>0.02</v>
      </c>
      <c r="C977">
        <v>0.48</v>
      </c>
      <c r="D977">
        <v>-1.2</v>
      </c>
      <c r="E977">
        <v>0.02</v>
      </c>
    </row>
    <row r="978" spans="1:5" x14ac:dyDescent="0.45">
      <c r="A978">
        <v>194408</v>
      </c>
      <c r="B978">
        <v>1.56</v>
      </c>
      <c r="C978">
        <v>2.37</v>
      </c>
      <c r="D978">
        <v>-1.44</v>
      </c>
      <c r="E978">
        <v>0.03</v>
      </c>
    </row>
    <row r="979" spans="1:5" x14ac:dyDescent="0.45">
      <c r="A979">
        <v>194407</v>
      </c>
      <c r="B979">
        <v>-1.49</v>
      </c>
      <c r="C979">
        <v>0.57999999999999996</v>
      </c>
      <c r="D979">
        <v>-0.42</v>
      </c>
      <c r="E979">
        <v>0.03</v>
      </c>
    </row>
    <row r="980" spans="1:5" x14ac:dyDescent="0.45">
      <c r="A980">
        <v>194406</v>
      </c>
      <c r="B980">
        <v>5.51</v>
      </c>
      <c r="C980">
        <v>4.1100000000000003</v>
      </c>
      <c r="D980">
        <v>1.89</v>
      </c>
      <c r="E980">
        <v>0.03</v>
      </c>
    </row>
    <row r="981" spans="1:5" x14ac:dyDescent="0.45">
      <c r="A981">
        <v>194405</v>
      </c>
      <c r="B981">
        <v>5.08</v>
      </c>
      <c r="C981">
        <v>1.68</v>
      </c>
      <c r="D981">
        <v>1.03</v>
      </c>
      <c r="E981">
        <v>0.03</v>
      </c>
    </row>
    <row r="982" spans="1:5" x14ac:dyDescent="0.45">
      <c r="A982">
        <v>194404</v>
      </c>
      <c r="B982">
        <v>-1.69</v>
      </c>
      <c r="C982">
        <v>-1.31</v>
      </c>
      <c r="D982">
        <v>-1.06</v>
      </c>
      <c r="E982">
        <v>0.03</v>
      </c>
    </row>
    <row r="983" spans="1:5" x14ac:dyDescent="0.45">
      <c r="A983">
        <v>194403</v>
      </c>
      <c r="B983">
        <v>2.46</v>
      </c>
      <c r="C983">
        <v>1.65</v>
      </c>
      <c r="D983">
        <v>3.35</v>
      </c>
      <c r="E983">
        <v>0.02</v>
      </c>
    </row>
    <row r="984" spans="1:5" x14ac:dyDescent="0.45">
      <c r="A984">
        <v>194402</v>
      </c>
      <c r="B984">
        <v>0.37</v>
      </c>
      <c r="C984">
        <v>-0.08</v>
      </c>
      <c r="D984">
        <v>0.85</v>
      </c>
      <c r="E984">
        <v>0.03</v>
      </c>
    </row>
    <row r="985" spans="1:5" x14ac:dyDescent="0.45">
      <c r="A985">
        <v>194401</v>
      </c>
      <c r="B985">
        <v>1.74</v>
      </c>
      <c r="C985">
        <v>2.61</v>
      </c>
      <c r="D985">
        <v>2.29</v>
      </c>
      <c r="E985">
        <v>0.03</v>
      </c>
    </row>
    <row r="986" spans="1:5" x14ac:dyDescent="0.45">
      <c r="A986">
        <v>194312</v>
      </c>
      <c r="B986">
        <v>6.37</v>
      </c>
      <c r="C986">
        <v>3.1</v>
      </c>
      <c r="D986">
        <v>2.9</v>
      </c>
      <c r="E986">
        <v>0.03</v>
      </c>
    </row>
    <row r="987" spans="1:5" x14ac:dyDescent="0.45">
      <c r="A987">
        <v>194311</v>
      </c>
      <c r="B987">
        <v>-5.93</v>
      </c>
      <c r="C987">
        <v>-1.57</v>
      </c>
      <c r="D987">
        <v>-3.99</v>
      </c>
      <c r="E987">
        <v>0.03</v>
      </c>
    </row>
    <row r="988" spans="1:5" x14ac:dyDescent="0.45">
      <c r="A988">
        <v>194310</v>
      </c>
      <c r="B988">
        <v>-1.1499999999999999</v>
      </c>
      <c r="C988">
        <v>0.6</v>
      </c>
      <c r="D988">
        <v>1.68</v>
      </c>
      <c r="E988">
        <v>0.03</v>
      </c>
    </row>
    <row r="989" spans="1:5" x14ac:dyDescent="0.45">
      <c r="A989">
        <v>194309</v>
      </c>
      <c r="B989">
        <v>2.4</v>
      </c>
      <c r="C989">
        <v>1.3</v>
      </c>
      <c r="D989">
        <v>1.42</v>
      </c>
      <c r="E989">
        <v>0.03</v>
      </c>
    </row>
    <row r="990" spans="1:5" x14ac:dyDescent="0.45">
      <c r="A990">
        <v>194308</v>
      </c>
      <c r="B990">
        <v>1.3</v>
      </c>
      <c r="C990">
        <v>-0.64</v>
      </c>
      <c r="D990">
        <v>-0.47</v>
      </c>
      <c r="E990">
        <v>0.03</v>
      </c>
    </row>
    <row r="991" spans="1:5" x14ac:dyDescent="0.45">
      <c r="A991">
        <v>194307</v>
      </c>
      <c r="B991">
        <v>-4.78</v>
      </c>
      <c r="C991">
        <v>-2.31</v>
      </c>
      <c r="D991">
        <v>-2.23</v>
      </c>
      <c r="E991">
        <v>0.03</v>
      </c>
    </row>
    <row r="992" spans="1:5" x14ac:dyDescent="0.45">
      <c r="A992">
        <v>194306</v>
      </c>
      <c r="B992">
        <v>1.82</v>
      </c>
      <c r="C992">
        <v>-0.98</v>
      </c>
      <c r="D992">
        <v>-0.75</v>
      </c>
      <c r="E992">
        <v>0.03</v>
      </c>
    </row>
    <row r="993" spans="1:5" x14ac:dyDescent="0.45">
      <c r="A993">
        <v>194305</v>
      </c>
      <c r="B993">
        <v>5.75</v>
      </c>
      <c r="C993">
        <v>4.46</v>
      </c>
      <c r="D993">
        <v>3.28</v>
      </c>
      <c r="E993">
        <v>0.02</v>
      </c>
    </row>
    <row r="994" spans="1:5" x14ac:dyDescent="0.45">
      <c r="A994">
        <v>194304</v>
      </c>
      <c r="B994">
        <v>0.81</v>
      </c>
      <c r="C994">
        <v>2.09</v>
      </c>
      <c r="D994">
        <v>5.86</v>
      </c>
      <c r="E994">
        <v>0.03</v>
      </c>
    </row>
    <row r="995" spans="1:5" x14ac:dyDescent="0.45">
      <c r="A995">
        <v>194303</v>
      </c>
      <c r="B995">
        <v>6.03</v>
      </c>
      <c r="C995">
        <v>5.13</v>
      </c>
      <c r="D995">
        <v>5.49</v>
      </c>
      <c r="E995">
        <v>0.03</v>
      </c>
    </row>
    <row r="996" spans="1:5" x14ac:dyDescent="0.45">
      <c r="A996">
        <v>194302</v>
      </c>
      <c r="B996">
        <v>6.16</v>
      </c>
      <c r="C996">
        <v>4.84</v>
      </c>
      <c r="D996">
        <v>6.52</v>
      </c>
      <c r="E996">
        <v>0.03</v>
      </c>
    </row>
    <row r="997" spans="1:5" x14ac:dyDescent="0.45">
      <c r="A997">
        <v>194301</v>
      </c>
      <c r="B997">
        <v>7.13</v>
      </c>
      <c r="C997">
        <v>8.77</v>
      </c>
      <c r="D997">
        <v>8.23</v>
      </c>
      <c r="E997">
        <v>0.03</v>
      </c>
    </row>
    <row r="998" spans="1:5" x14ac:dyDescent="0.45">
      <c r="A998">
        <v>194212</v>
      </c>
      <c r="B998">
        <v>5.14</v>
      </c>
      <c r="C998">
        <v>-2.5499999999999998</v>
      </c>
      <c r="D998">
        <v>0.55000000000000004</v>
      </c>
      <c r="E998">
        <v>0.03</v>
      </c>
    </row>
    <row r="999" spans="1:5" x14ac:dyDescent="0.45">
      <c r="A999">
        <v>194211</v>
      </c>
      <c r="B999">
        <v>0.13</v>
      </c>
      <c r="C999">
        <v>-1.42</v>
      </c>
      <c r="D999">
        <v>-4.2300000000000004</v>
      </c>
      <c r="E999">
        <v>0.03</v>
      </c>
    </row>
    <row r="1000" spans="1:5" x14ac:dyDescent="0.45">
      <c r="A1000">
        <v>194210</v>
      </c>
      <c r="B1000">
        <v>6.82</v>
      </c>
      <c r="C1000">
        <v>1.69</v>
      </c>
      <c r="D1000">
        <v>6.47</v>
      </c>
      <c r="E1000">
        <v>0.03</v>
      </c>
    </row>
    <row r="1001" spans="1:5" x14ac:dyDescent="0.45">
      <c r="A1001">
        <v>194209</v>
      </c>
      <c r="B1001">
        <v>2.62</v>
      </c>
      <c r="C1001">
        <v>0.63</v>
      </c>
      <c r="D1001">
        <v>2.39</v>
      </c>
      <c r="E1001">
        <v>0.03</v>
      </c>
    </row>
    <row r="1002" spans="1:5" x14ac:dyDescent="0.45">
      <c r="A1002">
        <v>194208</v>
      </c>
      <c r="B1002">
        <v>1.8</v>
      </c>
      <c r="C1002">
        <v>-0.04</v>
      </c>
      <c r="D1002">
        <v>1.33</v>
      </c>
      <c r="E1002">
        <v>0.03</v>
      </c>
    </row>
    <row r="1003" spans="1:5" x14ac:dyDescent="0.45">
      <c r="A1003">
        <v>194207</v>
      </c>
      <c r="B1003">
        <v>3.51</v>
      </c>
      <c r="C1003">
        <v>-0.15</v>
      </c>
      <c r="D1003">
        <v>2.41</v>
      </c>
      <c r="E1003">
        <v>0.03</v>
      </c>
    </row>
    <row r="1004" spans="1:5" x14ac:dyDescent="0.45">
      <c r="A1004">
        <v>194206</v>
      </c>
      <c r="B1004">
        <v>2.68</v>
      </c>
      <c r="C1004">
        <v>-1.28</v>
      </c>
      <c r="D1004">
        <v>0.43</v>
      </c>
      <c r="E1004">
        <v>0.02</v>
      </c>
    </row>
    <row r="1005" spans="1:5" x14ac:dyDescent="0.45">
      <c r="A1005">
        <v>194205</v>
      </c>
      <c r="B1005">
        <v>5.96</v>
      </c>
      <c r="C1005">
        <v>-3.2</v>
      </c>
      <c r="D1005">
        <v>-2.67</v>
      </c>
      <c r="E1005">
        <v>0.03</v>
      </c>
    </row>
    <row r="1006" spans="1:5" x14ac:dyDescent="0.45">
      <c r="A1006">
        <v>194204</v>
      </c>
      <c r="B1006">
        <v>-4.37</v>
      </c>
      <c r="C1006">
        <v>-0.44</v>
      </c>
      <c r="D1006">
        <v>2.09</v>
      </c>
      <c r="E1006">
        <v>0.01</v>
      </c>
    </row>
    <row r="1007" spans="1:5" x14ac:dyDescent="0.45">
      <c r="A1007">
        <v>194203</v>
      </c>
      <c r="B1007">
        <v>-6.6</v>
      </c>
      <c r="C1007">
        <v>1.87</v>
      </c>
      <c r="D1007">
        <v>-0.61</v>
      </c>
      <c r="E1007">
        <v>0.01</v>
      </c>
    </row>
    <row r="1008" spans="1:5" x14ac:dyDescent="0.45">
      <c r="A1008">
        <v>194202</v>
      </c>
      <c r="B1008">
        <v>-2.46</v>
      </c>
      <c r="C1008">
        <v>1.74</v>
      </c>
      <c r="D1008">
        <v>-1.1499999999999999</v>
      </c>
      <c r="E1008">
        <v>0.01</v>
      </c>
    </row>
    <row r="1009" spans="1:5" x14ac:dyDescent="0.45">
      <c r="A1009">
        <v>194201</v>
      </c>
      <c r="B1009">
        <v>0.79</v>
      </c>
      <c r="C1009">
        <v>7.45</v>
      </c>
      <c r="D1009">
        <v>10.1</v>
      </c>
      <c r="E1009">
        <v>0.02</v>
      </c>
    </row>
    <row r="1010" spans="1:5" x14ac:dyDescent="0.45">
      <c r="A1010">
        <v>194112</v>
      </c>
      <c r="B1010">
        <v>-4.88</v>
      </c>
      <c r="C1010">
        <v>-2.86</v>
      </c>
      <c r="D1010">
        <v>-5.94</v>
      </c>
      <c r="E1010">
        <v>0.01</v>
      </c>
    </row>
    <row r="1011" spans="1:5" x14ac:dyDescent="0.45">
      <c r="A1011">
        <v>194111</v>
      </c>
      <c r="B1011">
        <v>-1.95</v>
      </c>
      <c r="C1011">
        <v>-1.08</v>
      </c>
      <c r="D1011">
        <v>-0.6</v>
      </c>
      <c r="E1011">
        <v>0</v>
      </c>
    </row>
    <row r="1012" spans="1:5" x14ac:dyDescent="0.45">
      <c r="A1012">
        <v>194110</v>
      </c>
      <c r="B1012">
        <v>-5.26</v>
      </c>
      <c r="C1012">
        <v>-2.0699999999999998</v>
      </c>
      <c r="D1012">
        <v>1.63</v>
      </c>
      <c r="E1012">
        <v>0</v>
      </c>
    </row>
    <row r="1013" spans="1:5" x14ac:dyDescent="0.45">
      <c r="A1013">
        <v>194109</v>
      </c>
      <c r="B1013">
        <v>-0.88</v>
      </c>
      <c r="C1013">
        <v>-0.98</v>
      </c>
      <c r="D1013">
        <v>-0.27</v>
      </c>
      <c r="E1013">
        <v>0.01</v>
      </c>
    </row>
    <row r="1014" spans="1:5" x14ac:dyDescent="0.45">
      <c r="A1014">
        <v>194108</v>
      </c>
      <c r="B1014">
        <v>-0.17</v>
      </c>
      <c r="C1014">
        <v>-0.43</v>
      </c>
      <c r="D1014">
        <v>-1.1000000000000001</v>
      </c>
      <c r="E1014">
        <v>0.01</v>
      </c>
    </row>
    <row r="1015" spans="1:5" x14ac:dyDescent="0.45">
      <c r="A1015">
        <v>194107</v>
      </c>
      <c r="B1015">
        <v>5.87</v>
      </c>
      <c r="C1015">
        <v>5.74</v>
      </c>
      <c r="D1015">
        <v>7.24</v>
      </c>
      <c r="E1015">
        <v>0.03</v>
      </c>
    </row>
    <row r="1016" spans="1:5" x14ac:dyDescent="0.45">
      <c r="A1016">
        <v>194106</v>
      </c>
      <c r="B1016">
        <v>5.83</v>
      </c>
      <c r="C1016">
        <v>1.31</v>
      </c>
      <c r="D1016">
        <v>0.61</v>
      </c>
      <c r="E1016">
        <v>0</v>
      </c>
    </row>
    <row r="1017" spans="1:5" x14ac:dyDescent="0.45">
      <c r="A1017">
        <v>194105</v>
      </c>
      <c r="B1017">
        <v>1.37</v>
      </c>
      <c r="C1017">
        <v>-0.64</v>
      </c>
      <c r="D1017">
        <v>0.61</v>
      </c>
      <c r="E1017">
        <v>0</v>
      </c>
    </row>
    <row r="1018" spans="1:5" x14ac:dyDescent="0.45">
      <c r="A1018">
        <v>194104</v>
      </c>
      <c r="B1018">
        <v>-5.46</v>
      </c>
      <c r="C1018">
        <v>-1.67</v>
      </c>
      <c r="D1018">
        <v>3.41</v>
      </c>
      <c r="E1018">
        <v>-0.01</v>
      </c>
    </row>
    <row r="1019" spans="1:5" x14ac:dyDescent="0.45">
      <c r="A1019">
        <v>194103</v>
      </c>
      <c r="B1019">
        <v>0.84</v>
      </c>
      <c r="C1019">
        <v>0.09</v>
      </c>
      <c r="D1019">
        <v>3.05</v>
      </c>
      <c r="E1019">
        <v>0.01</v>
      </c>
    </row>
    <row r="1020" spans="1:5" x14ac:dyDescent="0.45">
      <c r="A1020">
        <v>194102</v>
      </c>
      <c r="B1020">
        <v>-1.43</v>
      </c>
      <c r="C1020">
        <v>-1.56</v>
      </c>
      <c r="D1020">
        <v>0.89</v>
      </c>
      <c r="E1020">
        <v>-0.01</v>
      </c>
    </row>
    <row r="1021" spans="1:5" x14ac:dyDescent="0.45">
      <c r="A1021">
        <v>194101</v>
      </c>
      <c r="B1021">
        <v>-4.18</v>
      </c>
      <c r="C1021">
        <v>0.98</v>
      </c>
      <c r="D1021">
        <v>3.83</v>
      </c>
      <c r="E1021">
        <v>-0.01</v>
      </c>
    </row>
    <row r="1022" spans="1:5" x14ac:dyDescent="0.45">
      <c r="A1022">
        <v>194012</v>
      </c>
      <c r="B1022">
        <v>0.69</v>
      </c>
      <c r="C1022">
        <v>-2.12</v>
      </c>
      <c r="D1022">
        <v>-0.89</v>
      </c>
      <c r="E1022">
        <v>0</v>
      </c>
    </row>
    <row r="1023" spans="1:5" x14ac:dyDescent="0.45">
      <c r="A1023">
        <v>194011</v>
      </c>
      <c r="B1023">
        <v>-1.65</v>
      </c>
      <c r="C1023">
        <v>1.98</v>
      </c>
      <c r="D1023">
        <v>0.16</v>
      </c>
      <c r="E1023">
        <v>0</v>
      </c>
    </row>
    <row r="1024" spans="1:5" x14ac:dyDescent="0.45">
      <c r="A1024">
        <v>194010</v>
      </c>
      <c r="B1024">
        <v>3.03</v>
      </c>
      <c r="C1024">
        <v>0.33</v>
      </c>
      <c r="D1024">
        <v>4.6500000000000004</v>
      </c>
      <c r="E1024">
        <v>0</v>
      </c>
    </row>
    <row r="1025" spans="1:5" x14ac:dyDescent="0.45">
      <c r="A1025">
        <v>194009</v>
      </c>
      <c r="B1025">
        <v>2.39</v>
      </c>
      <c r="C1025">
        <v>3.2</v>
      </c>
      <c r="D1025">
        <v>-1.1399999999999999</v>
      </c>
      <c r="E1025">
        <v>0</v>
      </c>
    </row>
    <row r="1026" spans="1:5" x14ac:dyDescent="0.45">
      <c r="A1026">
        <v>194008</v>
      </c>
      <c r="B1026">
        <v>2.21</v>
      </c>
      <c r="C1026">
        <v>-0.18</v>
      </c>
      <c r="D1026">
        <v>0.55000000000000004</v>
      </c>
      <c r="E1026">
        <v>-0.01</v>
      </c>
    </row>
    <row r="1027" spans="1:5" x14ac:dyDescent="0.45">
      <c r="A1027">
        <v>194007</v>
      </c>
      <c r="B1027">
        <v>3.17</v>
      </c>
      <c r="C1027">
        <v>0.99</v>
      </c>
      <c r="D1027">
        <v>-0.75</v>
      </c>
      <c r="E1027">
        <v>0.01</v>
      </c>
    </row>
    <row r="1028" spans="1:5" x14ac:dyDescent="0.45">
      <c r="A1028">
        <v>194006</v>
      </c>
      <c r="B1028">
        <v>6.69</v>
      </c>
      <c r="C1028">
        <v>-2.3199999999999998</v>
      </c>
      <c r="D1028">
        <v>4.88</v>
      </c>
      <c r="E1028">
        <v>0</v>
      </c>
    </row>
    <row r="1029" spans="1:5" x14ac:dyDescent="0.45">
      <c r="A1029">
        <v>194005</v>
      </c>
      <c r="B1029">
        <v>-22</v>
      </c>
      <c r="C1029">
        <v>-6.62</v>
      </c>
      <c r="D1029">
        <v>-3.72</v>
      </c>
      <c r="E1029">
        <v>-0.02</v>
      </c>
    </row>
    <row r="1030" spans="1:5" x14ac:dyDescent="0.45">
      <c r="A1030">
        <v>194004</v>
      </c>
      <c r="B1030">
        <v>0.22</v>
      </c>
      <c r="C1030">
        <v>3.99</v>
      </c>
      <c r="D1030">
        <v>-0.22</v>
      </c>
      <c r="E1030">
        <v>0</v>
      </c>
    </row>
    <row r="1031" spans="1:5" x14ac:dyDescent="0.45">
      <c r="A1031">
        <v>194003</v>
      </c>
      <c r="B1031">
        <v>2.0499999999999998</v>
      </c>
      <c r="C1031">
        <v>1.24</v>
      </c>
      <c r="D1031">
        <v>-1.27</v>
      </c>
      <c r="E1031">
        <v>0</v>
      </c>
    </row>
    <row r="1032" spans="1:5" x14ac:dyDescent="0.45">
      <c r="A1032">
        <v>194002</v>
      </c>
      <c r="B1032">
        <v>1.44</v>
      </c>
      <c r="C1032">
        <v>2.52</v>
      </c>
      <c r="D1032">
        <v>-0.36</v>
      </c>
      <c r="E1032">
        <v>0</v>
      </c>
    </row>
    <row r="1033" spans="1:5" x14ac:dyDescent="0.45">
      <c r="A1033">
        <v>194001</v>
      </c>
      <c r="B1033">
        <v>-2.41</v>
      </c>
      <c r="C1033">
        <v>0.23</v>
      </c>
      <c r="D1033">
        <v>-0.77</v>
      </c>
      <c r="E1033">
        <v>0</v>
      </c>
    </row>
    <row r="1034" spans="1:5" x14ac:dyDescent="0.45">
      <c r="A1034">
        <v>193912</v>
      </c>
      <c r="B1034">
        <v>2.93</v>
      </c>
      <c r="C1034">
        <v>0.92</v>
      </c>
      <c r="D1034">
        <v>-4.1900000000000004</v>
      </c>
      <c r="E1034">
        <v>0</v>
      </c>
    </row>
    <row r="1035" spans="1:5" x14ac:dyDescent="0.45">
      <c r="A1035">
        <v>193911</v>
      </c>
      <c r="B1035">
        <v>-3.65</v>
      </c>
      <c r="C1035">
        <v>-5.12</v>
      </c>
      <c r="D1035">
        <v>-6.3</v>
      </c>
      <c r="E1035">
        <v>0</v>
      </c>
    </row>
    <row r="1036" spans="1:5" x14ac:dyDescent="0.45">
      <c r="A1036">
        <v>193910</v>
      </c>
      <c r="B1036">
        <v>-0.53</v>
      </c>
      <c r="C1036">
        <v>-0.08</v>
      </c>
      <c r="D1036">
        <v>-4.79</v>
      </c>
      <c r="E1036">
        <v>0</v>
      </c>
    </row>
    <row r="1037" spans="1:5" x14ac:dyDescent="0.45">
      <c r="A1037">
        <v>193909</v>
      </c>
      <c r="B1037">
        <v>16.89</v>
      </c>
      <c r="C1037">
        <v>20.57</v>
      </c>
      <c r="D1037">
        <v>21.76</v>
      </c>
      <c r="E1037">
        <v>0.01</v>
      </c>
    </row>
    <row r="1038" spans="1:5" x14ac:dyDescent="0.45">
      <c r="A1038">
        <v>193908</v>
      </c>
      <c r="B1038">
        <v>-6.68</v>
      </c>
      <c r="C1038">
        <v>-4.59</v>
      </c>
      <c r="D1038">
        <v>-2.4700000000000002</v>
      </c>
      <c r="E1038">
        <v>-0.01</v>
      </c>
    </row>
    <row r="1039" spans="1:5" x14ac:dyDescent="0.45">
      <c r="A1039">
        <v>193907</v>
      </c>
      <c r="B1039">
        <v>10.220000000000001</v>
      </c>
      <c r="C1039">
        <v>4.18</v>
      </c>
      <c r="D1039">
        <v>0.13</v>
      </c>
      <c r="E1039">
        <v>0</v>
      </c>
    </row>
    <row r="1040" spans="1:5" x14ac:dyDescent="0.45">
      <c r="A1040">
        <v>193906</v>
      </c>
      <c r="B1040">
        <v>-5.33</v>
      </c>
      <c r="C1040">
        <v>-1.0900000000000001</v>
      </c>
      <c r="D1040">
        <v>-5.28</v>
      </c>
      <c r="E1040">
        <v>0.01</v>
      </c>
    </row>
    <row r="1041" spans="1:5" x14ac:dyDescent="0.45">
      <c r="A1041">
        <v>193905</v>
      </c>
      <c r="B1041">
        <v>6.81</v>
      </c>
      <c r="C1041">
        <v>2.8</v>
      </c>
      <c r="D1041">
        <v>0.47</v>
      </c>
      <c r="E1041">
        <v>0.01</v>
      </c>
    </row>
    <row r="1042" spans="1:5" x14ac:dyDescent="0.45">
      <c r="A1042">
        <v>193904</v>
      </c>
      <c r="B1042">
        <v>-0.18</v>
      </c>
      <c r="C1042">
        <v>1.67</v>
      </c>
      <c r="D1042">
        <v>-0.3</v>
      </c>
      <c r="E1042">
        <v>0</v>
      </c>
    </row>
    <row r="1043" spans="1:5" x14ac:dyDescent="0.45">
      <c r="A1043">
        <v>193903</v>
      </c>
      <c r="B1043">
        <v>-12.03</v>
      </c>
      <c r="C1043">
        <v>-4.75</v>
      </c>
      <c r="D1043">
        <v>-8.27</v>
      </c>
      <c r="E1043">
        <v>-0.01</v>
      </c>
    </row>
    <row r="1044" spans="1:5" x14ac:dyDescent="0.45">
      <c r="A1044">
        <v>193902</v>
      </c>
      <c r="B1044">
        <v>3.51</v>
      </c>
      <c r="C1044">
        <v>0.61</v>
      </c>
      <c r="D1044">
        <v>2.92</v>
      </c>
      <c r="E1044">
        <v>0.01</v>
      </c>
    </row>
    <row r="1045" spans="1:5" x14ac:dyDescent="0.45">
      <c r="A1045">
        <v>193901</v>
      </c>
      <c r="B1045">
        <v>-5.97</v>
      </c>
      <c r="C1045">
        <v>-1.54</v>
      </c>
      <c r="D1045">
        <v>-3.92</v>
      </c>
      <c r="E1045">
        <v>-0.01</v>
      </c>
    </row>
    <row r="1046" spans="1:5" x14ac:dyDescent="0.45">
      <c r="A1046">
        <v>193812</v>
      </c>
      <c r="B1046">
        <v>4.16</v>
      </c>
      <c r="C1046">
        <v>-1.81</v>
      </c>
      <c r="D1046">
        <v>0.54</v>
      </c>
      <c r="E1046">
        <v>0</v>
      </c>
    </row>
    <row r="1047" spans="1:5" x14ac:dyDescent="0.45">
      <c r="A1047">
        <v>193811</v>
      </c>
      <c r="B1047">
        <v>-1.74</v>
      </c>
      <c r="C1047">
        <v>-2.5499999999999998</v>
      </c>
      <c r="D1047">
        <v>-1.2</v>
      </c>
      <c r="E1047">
        <v>-0.06</v>
      </c>
    </row>
    <row r="1048" spans="1:5" x14ac:dyDescent="0.45">
      <c r="A1048">
        <v>193810</v>
      </c>
      <c r="B1048">
        <v>7.8</v>
      </c>
      <c r="C1048">
        <v>5.81</v>
      </c>
      <c r="D1048">
        <v>5.04</v>
      </c>
      <c r="E1048">
        <v>0.01</v>
      </c>
    </row>
    <row r="1049" spans="1:5" x14ac:dyDescent="0.45">
      <c r="A1049">
        <v>193809</v>
      </c>
      <c r="B1049">
        <v>0.83</v>
      </c>
      <c r="C1049">
        <v>-2.68</v>
      </c>
      <c r="D1049">
        <v>-1.7</v>
      </c>
      <c r="E1049">
        <v>0.02</v>
      </c>
    </row>
    <row r="1050" spans="1:5" x14ac:dyDescent="0.45">
      <c r="A1050">
        <v>193808</v>
      </c>
      <c r="B1050">
        <v>-2.68</v>
      </c>
      <c r="C1050">
        <v>-2.48</v>
      </c>
      <c r="D1050">
        <v>-4.78</v>
      </c>
      <c r="E1050">
        <v>0</v>
      </c>
    </row>
    <row r="1051" spans="1:5" x14ac:dyDescent="0.45">
      <c r="A1051">
        <v>193807</v>
      </c>
      <c r="B1051">
        <v>7.33</v>
      </c>
      <c r="C1051">
        <v>6.69</v>
      </c>
      <c r="D1051">
        <v>2.2799999999999998</v>
      </c>
      <c r="E1051">
        <v>-0.01</v>
      </c>
    </row>
    <row r="1052" spans="1:5" x14ac:dyDescent="0.45">
      <c r="A1052">
        <v>193806</v>
      </c>
      <c r="B1052">
        <v>23.89</v>
      </c>
      <c r="C1052">
        <v>4.22</v>
      </c>
      <c r="D1052">
        <v>0.37</v>
      </c>
      <c r="E1052">
        <v>0</v>
      </c>
    </row>
    <row r="1053" spans="1:5" x14ac:dyDescent="0.45">
      <c r="A1053">
        <v>193805</v>
      </c>
      <c r="B1053">
        <v>-3.86</v>
      </c>
      <c r="C1053">
        <v>-2.4700000000000002</v>
      </c>
      <c r="D1053">
        <v>-0.24</v>
      </c>
      <c r="E1053">
        <v>0</v>
      </c>
    </row>
    <row r="1054" spans="1:5" x14ac:dyDescent="0.45">
      <c r="A1054">
        <v>193804</v>
      </c>
      <c r="B1054">
        <v>14.48</v>
      </c>
      <c r="C1054">
        <v>6.4</v>
      </c>
      <c r="D1054">
        <v>0.45</v>
      </c>
      <c r="E1054">
        <v>0.01</v>
      </c>
    </row>
    <row r="1055" spans="1:5" x14ac:dyDescent="0.45">
      <c r="A1055">
        <v>193803</v>
      </c>
      <c r="B1055">
        <v>-23.91</v>
      </c>
      <c r="C1055">
        <v>-4.3</v>
      </c>
      <c r="D1055">
        <v>-3.63</v>
      </c>
      <c r="E1055">
        <v>-0.01</v>
      </c>
    </row>
    <row r="1056" spans="1:5" x14ac:dyDescent="0.45">
      <c r="A1056">
        <v>193802</v>
      </c>
      <c r="B1056">
        <v>5.85</v>
      </c>
      <c r="C1056">
        <v>0.41</v>
      </c>
      <c r="D1056">
        <v>-1.97</v>
      </c>
      <c r="E1056">
        <v>0</v>
      </c>
    </row>
    <row r="1057" spans="1:5" x14ac:dyDescent="0.45">
      <c r="A1057">
        <v>193801</v>
      </c>
      <c r="B1057">
        <v>0.48</v>
      </c>
      <c r="C1057">
        <v>4.84</v>
      </c>
      <c r="D1057">
        <v>-1.53</v>
      </c>
      <c r="E1057">
        <v>0</v>
      </c>
    </row>
    <row r="1058" spans="1:5" x14ac:dyDescent="0.45">
      <c r="A1058">
        <v>193712</v>
      </c>
      <c r="B1058">
        <v>-4.29</v>
      </c>
      <c r="C1058">
        <v>-7.92</v>
      </c>
      <c r="D1058">
        <v>-0.47</v>
      </c>
      <c r="E1058">
        <v>0</v>
      </c>
    </row>
    <row r="1059" spans="1:5" x14ac:dyDescent="0.45">
      <c r="A1059">
        <v>193711</v>
      </c>
      <c r="B1059">
        <v>-8.33</v>
      </c>
      <c r="C1059">
        <v>-3.56</v>
      </c>
      <c r="D1059">
        <v>0.22</v>
      </c>
      <c r="E1059">
        <v>0.02</v>
      </c>
    </row>
    <row r="1060" spans="1:5" x14ac:dyDescent="0.45">
      <c r="A1060">
        <v>193710</v>
      </c>
      <c r="B1060">
        <v>-9.59</v>
      </c>
      <c r="C1060">
        <v>0.45</v>
      </c>
      <c r="D1060">
        <v>-1.52</v>
      </c>
      <c r="E1060">
        <v>0.02</v>
      </c>
    </row>
    <row r="1061" spans="1:5" x14ac:dyDescent="0.45">
      <c r="A1061">
        <v>193709</v>
      </c>
      <c r="B1061">
        <v>-13.62</v>
      </c>
      <c r="C1061">
        <v>-7</v>
      </c>
      <c r="D1061">
        <v>-4.55</v>
      </c>
      <c r="E1061">
        <v>0.04</v>
      </c>
    </row>
    <row r="1062" spans="1:5" x14ac:dyDescent="0.45">
      <c r="A1062">
        <v>193708</v>
      </c>
      <c r="B1062">
        <v>-4.88</v>
      </c>
      <c r="C1062">
        <v>0.45</v>
      </c>
      <c r="D1062">
        <v>-2.25</v>
      </c>
      <c r="E1062">
        <v>0.02</v>
      </c>
    </row>
    <row r="1063" spans="1:5" x14ac:dyDescent="0.45">
      <c r="A1063">
        <v>193707</v>
      </c>
      <c r="B1063">
        <v>8.91</v>
      </c>
      <c r="C1063">
        <v>0.88</v>
      </c>
      <c r="D1063">
        <v>0.81</v>
      </c>
      <c r="E1063">
        <v>0.03</v>
      </c>
    </row>
    <row r="1064" spans="1:5" x14ac:dyDescent="0.45">
      <c r="A1064">
        <v>193706</v>
      </c>
      <c r="B1064">
        <v>-4.2300000000000004</v>
      </c>
      <c r="C1064">
        <v>-3.91</v>
      </c>
      <c r="D1064">
        <v>-3.12</v>
      </c>
      <c r="E1064">
        <v>0.03</v>
      </c>
    </row>
    <row r="1065" spans="1:5" x14ac:dyDescent="0.45">
      <c r="A1065">
        <v>193705</v>
      </c>
      <c r="B1065">
        <v>-0.83</v>
      </c>
      <c r="C1065">
        <v>-0.69</v>
      </c>
      <c r="D1065">
        <v>-3.46</v>
      </c>
      <c r="E1065">
        <v>0.06</v>
      </c>
    </row>
    <row r="1066" spans="1:5" x14ac:dyDescent="0.45">
      <c r="A1066">
        <v>193704</v>
      </c>
      <c r="B1066">
        <v>-7.36</v>
      </c>
      <c r="C1066">
        <v>-3.72</v>
      </c>
      <c r="D1066">
        <v>-3.46</v>
      </c>
      <c r="E1066">
        <v>0.03</v>
      </c>
    </row>
    <row r="1067" spans="1:5" x14ac:dyDescent="0.45">
      <c r="A1067">
        <v>193703</v>
      </c>
      <c r="B1067">
        <v>-0.26</v>
      </c>
      <c r="C1067">
        <v>-1.25</v>
      </c>
      <c r="D1067">
        <v>7.04</v>
      </c>
      <c r="E1067">
        <v>0.01</v>
      </c>
    </row>
    <row r="1068" spans="1:5" x14ac:dyDescent="0.45">
      <c r="A1068">
        <v>193702</v>
      </c>
      <c r="B1068">
        <v>1.08</v>
      </c>
      <c r="C1068">
        <v>0.64</v>
      </c>
      <c r="D1068">
        <v>4.28</v>
      </c>
      <c r="E1068">
        <v>0.02</v>
      </c>
    </row>
    <row r="1069" spans="1:5" x14ac:dyDescent="0.45">
      <c r="A1069">
        <v>193701</v>
      </c>
      <c r="B1069">
        <v>3.35</v>
      </c>
      <c r="C1069">
        <v>4.49</v>
      </c>
      <c r="D1069">
        <v>2.78</v>
      </c>
      <c r="E1069">
        <v>0.01</v>
      </c>
    </row>
    <row r="1070" spans="1:5" x14ac:dyDescent="0.45">
      <c r="A1070">
        <v>193612</v>
      </c>
      <c r="B1070">
        <v>0.2</v>
      </c>
      <c r="C1070">
        <v>3.87</v>
      </c>
      <c r="D1070">
        <v>4.1399999999999997</v>
      </c>
      <c r="E1070">
        <v>0</v>
      </c>
    </row>
    <row r="1071" spans="1:5" x14ac:dyDescent="0.45">
      <c r="A1071">
        <v>193611</v>
      </c>
      <c r="B1071">
        <v>3.26</v>
      </c>
      <c r="C1071">
        <v>8.6999999999999993</v>
      </c>
      <c r="D1071">
        <v>-1.25</v>
      </c>
      <c r="E1071">
        <v>0.01</v>
      </c>
    </row>
    <row r="1072" spans="1:5" x14ac:dyDescent="0.45">
      <c r="A1072">
        <v>193610</v>
      </c>
      <c r="B1072">
        <v>7.1</v>
      </c>
      <c r="C1072">
        <v>-2.35</v>
      </c>
      <c r="D1072">
        <v>2.5099999999999998</v>
      </c>
      <c r="E1072">
        <v>0.02</v>
      </c>
    </row>
    <row r="1073" spans="1:5" x14ac:dyDescent="0.45">
      <c r="A1073">
        <v>193609</v>
      </c>
      <c r="B1073">
        <v>0.97</v>
      </c>
      <c r="C1073">
        <v>3.12</v>
      </c>
      <c r="D1073">
        <v>0.94</v>
      </c>
      <c r="E1073">
        <v>0.01</v>
      </c>
    </row>
    <row r="1074" spans="1:5" x14ac:dyDescent="0.45">
      <c r="A1074">
        <v>193608</v>
      </c>
      <c r="B1074">
        <v>0.99</v>
      </c>
      <c r="C1074">
        <v>0.61</v>
      </c>
      <c r="D1074">
        <v>3.79</v>
      </c>
      <c r="E1074">
        <v>0.02</v>
      </c>
    </row>
    <row r="1075" spans="1:5" x14ac:dyDescent="0.45">
      <c r="A1075">
        <v>193607</v>
      </c>
      <c r="B1075">
        <v>6.68</v>
      </c>
      <c r="C1075">
        <v>1.07</v>
      </c>
      <c r="D1075">
        <v>2.5299999999999998</v>
      </c>
      <c r="E1075">
        <v>0.01</v>
      </c>
    </row>
    <row r="1076" spans="1:5" x14ac:dyDescent="0.45">
      <c r="A1076">
        <v>193606</v>
      </c>
      <c r="B1076">
        <v>2.4</v>
      </c>
      <c r="C1076">
        <v>-3.22</v>
      </c>
      <c r="D1076">
        <v>-1.19</v>
      </c>
      <c r="E1076">
        <v>0.03</v>
      </c>
    </row>
    <row r="1077" spans="1:5" x14ac:dyDescent="0.45">
      <c r="A1077">
        <v>193605</v>
      </c>
      <c r="B1077">
        <v>5.19</v>
      </c>
      <c r="C1077">
        <v>0.89</v>
      </c>
      <c r="D1077">
        <v>2.5499999999999998</v>
      </c>
      <c r="E1077">
        <v>0.02</v>
      </c>
    </row>
    <row r="1078" spans="1:5" x14ac:dyDescent="0.45">
      <c r="A1078">
        <v>193604</v>
      </c>
      <c r="B1078">
        <v>-8.14</v>
      </c>
      <c r="C1078">
        <v>-5.99</v>
      </c>
      <c r="D1078">
        <v>-2.2799999999999998</v>
      </c>
      <c r="E1078">
        <v>0.02</v>
      </c>
    </row>
    <row r="1079" spans="1:5" x14ac:dyDescent="0.45">
      <c r="A1079">
        <v>193603</v>
      </c>
      <c r="B1079">
        <v>0.96</v>
      </c>
      <c r="C1079">
        <v>0.69</v>
      </c>
      <c r="D1079">
        <v>-1.59</v>
      </c>
      <c r="E1079">
        <v>0.02</v>
      </c>
    </row>
    <row r="1080" spans="1:5" x14ac:dyDescent="0.45">
      <c r="A1080">
        <v>193602</v>
      </c>
      <c r="B1080">
        <v>2.4900000000000002</v>
      </c>
      <c r="C1080">
        <v>0.84</v>
      </c>
      <c r="D1080">
        <v>4.33</v>
      </c>
      <c r="E1080">
        <v>0.01</v>
      </c>
    </row>
    <row r="1081" spans="1:5" x14ac:dyDescent="0.45">
      <c r="A1081">
        <v>193601</v>
      </c>
      <c r="B1081">
        <v>6.89</v>
      </c>
      <c r="C1081">
        <v>5.6</v>
      </c>
      <c r="D1081">
        <v>10.95</v>
      </c>
      <c r="E1081">
        <v>0.01</v>
      </c>
    </row>
    <row r="1082" spans="1:5" x14ac:dyDescent="0.45">
      <c r="A1082">
        <v>193512</v>
      </c>
      <c r="B1082">
        <v>4.55</v>
      </c>
      <c r="C1082">
        <v>0.09</v>
      </c>
      <c r="D1082">
        <v>0.83</v>
      </c>
      <c r="E1082">
        <v>0.01</v>
      </c>
    </row>
    <row r="1083" spans="1:5" x14ac:dyDescent="0.45">
      <c r="A1083">
        <v>193511</v>
      </c>
      <c r="B1083">
        <v>4.87</v>
      </c>
      <c r="C1083">
        <v>4.6500000000000004</v>
      </c>
      <c r="D1083">
        <v>12.2</v>
      </c>
      <c r="E1083">
        <v>0.02</v>
      </c>
    </row>
    <row r="1084" spans="1:5" x14ac:dyDescent="0.45">
      <c r="A1084">
        <v>193510</v>
      </c>
      <c r="B1084">
        <v>7.03</v>
      </c>
      <c r="C1084">
        <v>2.67</v>
      </c>
      <c r="D1084">
        <v>-2.33</v>
      </c>
      <c r="E1084">
        <v>0.01</v>
      </c>
    </row>
    <row r="1085" spans="1:5" x14ac:dyDescent="0.45">
      <c r="A1085">
        <v>193509</v>
      </c>
      <c r="B1085">
        <v>2.62</v>
      </c>
      <c r="C1085">
        <v>1.55</v>
      </c>
      <c r="D1085">
        <v>-4.12</v>
      </c>
      <c r="E1085">
        <v>0.01</v>
      </c>
    </row>
    <row r="1086" spans="1:5" x14ac:dyDescent="0.45">
      <c r="A1086">
        <v>193508</v>
      </c>
      <c r="B1086">
        <v>2.65</v>
      </c>
      <c r="C1086">
        <v>6.01</v>
      </c>
      <c r="D1086">
        <v>6.29</v>
      </c>
      <c r="E1086">
        <v>0.01</v>
      </c>
    </row>
    <row r="1087" spans="1:5" x14ac:dyDescent="0.45">
      <c r="A1087">
        <v>193507</v>
      </c>
      <c r="B1087">
        <v>7.54</v>
      </c>
      <c r="C1087">
        <v>2.02</v>
      </c>
      <c r="D1087">
        <v>6.58</v>
      </c>
      <c r="E1087">
        <v>0.01</v>
      </c>
    </row>
    <row r="1088" spans="1:5" x14ac:dyDescent="0.45">
      <c r="A1088">
        <v>193506</v>
      </c>
      <c r="B1088">
        <v>5.93</v>
      </c>
      <c r="C1088">
        <v>-2.5299999999999998</v>
      </c>
      <c r="D1088">
        <v>-1.52</v>
      </c>
      <c r="E1088">
        <v>0.01</v>
      </c>
    </row>
    <row r="1089" spans="1:5" x14ac:dyDescent="0.45">
      <c r="A1089">
        <v>193505</v>
      </c>
      <c r="B1089">
        <v>3.46</v>
      </c>
      <c r="C1089">
        <v>-3.2</v>
      </c>
      <c r="D1089">
        <v>2.4500000000000002</v>
      </c>
      <c r="E1089">
        <v>0.01</v>
      </c>
    </row>
    <row r="1090" spans="1:5" x14ac:dyDescent="0.45">
      <c r="A1090">
        <v>193504</v>
      </c>
      <c r="B1090">
        <v>9.06</v>
      </c>
      <c r="C1090">
        <v>-1.58</v>
      </c>
      <c r="D1090">
        <v>4.37</v>
      </c>
      <c r="E1090">
        <v>0.01</v>
      </c>
    </row>
    <row r="1091" spans="1:5" x14ac:dyDescent="0.45">
      <c r="A1091">
        <v>193503</v>
      </c>
      <c r="B1091">
        <v>-3.71</v>
      </c>
      <c r="C1091">
        <v>-3.43</v>
      </c>
      <c r="D1091">
        <v>-5.03</v>
      </c>
      <c r="E1091">
        <v>0.01</v>
      </c>
    </row>
    <row r="1092" spans="1:5" x14ac:dyDescent="0.45">
      <c r="A1092">
        <v>193502</v>
      </c>
      <c r="B1092">
        <v>-1.96</v>
      </c>
      <c r="C1092">
        <v>0.32</v>
      </c>
      <c r="D1092">
        <v>-7.48</v>
      </c>
      <c r="E1092">
        <v>0.02</v>
      </c>
    </row>
    <row r="1093" spans="1:5" x14ac:dyDescent="0.45">
      <c r="A1093">
        <v>193501</v>
      </c>
      <c r="B1093">
        <v>-3.46</v>
      </c>
      <c r="C1093">
        <v>0.96</v>
      </c>
      <c r="D1093">
        <v>-1.77</v>
      </c>
      <c r="E1093">
        <v>0.01</v>
      </c>
    </row>
    <row r="1094" spans="1:5" x14ac:dyDescent="0.45">
      <c r="A1094">
        <v>193412</v>
      </c>
      <c r="B1094">
        <v>0.36</v>
      </c>
      <c r="C1094">
        <v>3.28</v>
      </c>
      <c r="D1094">
        <v>-3.16</v>
      </c>
      <c r="E1094">
        <v>0.01</v>
      </c>
    </row>
    <row r="1095" spans="1:5" x14ac:dyDescent="0.45">
      <c r="A1095">
        <v>193411</v>
      </c>
      <c r="B1095">
        <v>8.33</v>
      </c>
      <c r="C1095">
        <v>6.6</v>
      </c>
      <c r="D1095">
        <v>-2.14</v>
      </c>
      <c r="E1095">
        <v>0.01</v>
      </c>
    </row>
    <row r="1096" spans="1:5" x14ac:dyDescent="0.45">
      <c r="A1096">
        <v>193410</v>
      </c>
      <c r="B1096">
        <v>-1.66</v>
      </c>
      <c r="C1096">
        <v>1.23</v>
      </c>
      <c r="D1096">
        <v>-5</v>
      </c>
      <c r="E1096">
        <v>0.01</v>
      </c>
    </row>
    <row r="1097" spans="1:5" x14ac:dyDescent="0.45">
      <c r="A1097">
        <v>193409</v>
      </c>
      <c r="B1097">
        <v>-0.24</v>
      </c>
      <c r="C1097">
        <v>-1.5</v>
      </c>
      <c r="D1097">
        <v>-1.21</v>
      </c>
      <c r="E1097">
        <v>0.01</v>
      </c>
    </row>
    <row r="1098" spans="1:5" x14ac:dyDescent="0.45">
      <c r="A1098">
        <v>193408</v>
      </c>
      <c r="B1098">
        <v>5.58</v>
      </c>
      <c r="C1098">
        <v>5.55</v>
      </c>
      <c r="D1098">
        <v>0.17</v>
      </c>
      <c r="E1098">
        <v>0.01</v>
      </c>
    </row>
    <row r="1099" spans="1:5" x14ac:dyDescent="0.45">
      <c r="A1099">
        <v>193407</v>
      </c>
      <c r="B1099">
        <v>-10.94</v>
      </c>
      <c r="C1099">
        <v>-7.12</v>
      </c>
      <c r="D1099">
        <v>-10.76</v>
      </c>
      <c r="E1099">
        <v>0.01</v>
      </c>
    </row>
    <row r="1100" spans="1:5" x14ac:dyDescent="0.45">
      <c r="A1100">
        <v>193406</v>
      </c>
      <c r="B1100">
        <v>2.71</v>
      </c>
      <c r="C1100">
        <v>-2.1800000000000002</v>
      </c>
      <c r="D1100">
        <v>-2.85</v>
      </c>
      <c r="E1100">
        <v>0.01</v>
      </c>
    </row>
    <row r="1101" spans="1:5" x14ac:dyDescent="0.45">
      <c r="A1101">
        <v>193405</v>
      </c>
      <c r="B1101">
        <v>-7.26</v>
      </c>
      <c r="C1101">
        <v>-0.31</v>
      </c>
      <c r="D1101">
        <v>-5.9</v>
      </c>
      <c r="E1101">
        <v>0.01</v>
      </c>
    </row>
    <row r="1102" spans="1:5" x14ac:dyDescent="0.45">
      <c r="A1102">
        <v>193404</v>
      </c>
      <c r="B1102">
        <v>-1.79</v>
      </c>
      <c r="C1102">
        <v>2.73</v>
      </c>
      <c r="D1102">
        <v>-3.83</v>
      </c>
      <c r="E1102">
        <v>0.01</v>
      </c>
    </row>
    <row r="1103" spans="1:5" x14ac:dyDescent="0.45">
      <c r="A1103">
        <v>193403</v>
      </c>
      <c r="B1103">
        <v>0.09</v>
      </c>
      <c r="C1103">
        <v>2.4500000000000002</v>
      </c>
      <c r="D1103">
        <v>-2.59</v>
      </c>
      <c r="E1103">
        <v>0.02</v>
      </c>
    </row>
    <row r="1104" spans="1:5" x14ac:dyDescent="0.45">
      <c r="A1104">
        <v>193402</v>
      </c>
      <c r="B1104">
        <v>-2.5099999999999998</v>
      </c>
      <c r="C1104">
        <v>5.05</v>
      </c>
      <c r="D1104">
        <v>1.86</v>
      </c>
      <c r="E1104">
        <v>0.02</v>
      </c>
    </row>
    <row r="1105" spans="1:5" x14ac:dyDescent="0.45">
      <c r="A1105">
        <v>193401</v>
      </c>
      <c r="B1105">
        <v>12.6</v>
      </c>
      <c r="C1105">
        <v>13.21</v>
      </c>
      <c r="D1105">
        <v>16.2</v>
      </c>
      <c r="E1105">
        <v>0.05</v>
      </c>
    </row>
    <row r="1106" spans="1:5" x14ac:dyDescent="0.45">
      <c r="A1106">
        <v>193312</v>
      </c>
      <c r="B1106">
        <v>1.82</v>
      </c>
      <c r="C1106">
        <v>0.36</v>
      </c>
      <c r="D1106">
        <v>-1.99</v>
      </c>
      <c r="E1106">
        <v>0.02</v>
      </c>
    </row>
    <row r="1107" spans="1:5" x14ac:dyDescent="0.45">
      <c r="A1107">
        <v>193311</v>
      </c>
      <c r="B1107">
        <v>9.9700000000000006</v>
      </c>
      <c r="C1107">
        <v>-6.37</v>
      </c>
      <c r="D1107">
        <v>2.27</v>
      </c>
      <c r="E1107">
        <v>0.02</v>
      </c>
    </row>
    <row r="1108" spans="1:5" x14ac:dyDescent="0.45">
      <c r="A1108">
        <v>193310</v>
      </c>
      <c r="B1108">
        <v>-8.36</v>
      </c>
      <c r="C1108">
        <v>-7.0000000000000007E-2</v>
      </c>
      <c r="D1108">
        <v>-8.49</v>
      </c>
      <c r="E1108">
        <v>0.01</v>
      </c>
    </row>
    <row r="1109" spans="1:5" x14ac:dyDescent="0.45">
      <c r="A1109">
        <v>193309</v>
      </c>
      <c r="B1109">
        <v>-10.65</v>
      </c>
      <c r="C1109">
        <v>-0.57999999999999996</v>
      </c>
      <c r="D1109">
        <v>-11.71</v>
      </c>
      <c r="E1109">
        <v>0.02</v>
      </c>
    </row>
    <row r="1110" spans="1:5" x14ac:dyDescent="0.45">
      <c r="A1110">
        <v>193308</v>
      </c>
      <c r="B1110">
        <v>12.04</v>
      </c>
      <c r="C1110">
        <v>-5.16</v>
      </c>
      <c r="D1110">
        <v>3.05</v>
      </c>
      <c r="E1110">
        <v>0.03</v>
      </c>
    </row>
    <row r="1111" spans="1:5" x14ac:dyDescent="0.45">
      <c r="A1111">
        <v>193307</v>
      </c>
      <c r="B1111">
        <v>-9.64</v>
      </c>
      <c r="C1111">
        <v>-1.06</v>
      </c>
      <c r="D1111">
        <v>3.3</v>
      </c>
      <c r="E1111">
        <v>0.02</v>
      </c>
    </row>
    <row r="1112" spans="1:5" x14ac:dyDescent="0.45">
      <c r="A1112">
        <v>193306</v>
      </c>
      <c r="B1112">
        <v>13.1</v>
      </c>
      <c r="C1112">
        <v>8.65</v>
      </c>
      <c r="D1112">
        <v>-1.64</v>
      </c>
      <c r="E1112">
        <v>0.02</v>
      </c>
    </row>
    <row r="1113" spans="1:5" x14ac:dyDescent="0.45">
      <c r="A1113">
        <v>193305</v>
      </c>
      <c r="B1113">
        <v>21.43</v>
      </c>
      <c r="C1113">
        <v>35.96</v>
      </c>
      <c r="D1113">
        <v>18.66</v>
      </c>
      <c r="E1113">
        <v>0.04</v>
      </c>
    </row>
    <row r="1114" spans="1:5" x14ac:dyDescent="0.45">
      <c r="A1114">
        <v>193304</v>
      </c>
      <c r="B1114">
        <v>38.81</v>
      </c>
      <c r="C1114">
        <v>3.02</v>
      </c>
      <c r="D1114">
        <v>20.100000000000001</v>
      </c>
      <c r="E1114">
        <v>0.1</v>
      </c>
    </row>
    <row r="1115" spans="1:5" x14ac:dyDescent="0.45">
      <c r="A1115">
        <v>193303</v>
      </c>
      <c r="B1115">
        <v>3.06</v>
      </c>
      <c r="C1115">
        <v>3.6</v>
      </c>
      <c r="D1115">
        <v>7.09</v>
      </c>
      <c r="E1115">
        <v>0.04</v>
      </c>
    </row>
    <row r="1116" spans="1:5" x14ac:dyDescent="0.45">
      <c r="A1116">
        <v>193302</v>
      </c>
      <c r="B1116">
        <v>-15.29</v>
      </c>
      <c r="C1116">
        <v>-2.63</v>
      </c>
      <c r="D1116">
        <v>-2.92</v>
      </c>
      <c r="E1116">
        <v>-0.03</v>
      </c>
    </row>
    <row r="1117" spans="1:5" x14ac:dyDescent="0.45">
      <c r="A1117">
        <v>193301</v>
      </c>
      <c r="B1117">
        <v>1.24</v>
      </c>
      <c r="C1117">
        <v>0.73</v>
      </c>
      <c r="D1117">
        <v>6.46</v>
      </c>
      <c r="E1117">
        <v>0.01</v>
      </c>
    </row>
    <row r="1118" spans="1:5" x14ac:dyDescent="0.45">
      <c r="A1118">
        <v>193212</v>
      </c>
      <c r="B1118">
        <v>4.42</v>
      </c>
      <c r="C1118">
        <v>-8.3000000000000007</v>
      </c>
      <c r="D1118">
        <v>-7.54</v>
      </c>
      <c r="E1118">
        <v>0.01</v>
      </c>
    </row>
    <row r="1119" spans="1:5" x14ac:dyDescent="0.45">
      <c r="A1119">
        <v>193211</v>
      </c>
      <c r="B1119">
        <v>-5.88</v>
      </c>
      <c r="C1119">
        <v>1.83</v>
      </c>
      <c r="D1119">
        <v>-13.19</v>
      </c>
      <c r="E1119">
        <v>0.02</v>
      </c>
    </row>
    <row r="1120" spans="1:5" x14ac:dyDescent="0.45">
      <c r="A1120">
        <v>193210</v>
      </c>
      <c r="B1120">
        <v>-13.15</v>
      </c>
      <c r="C1120">
        <v>-2.59</v>
      </c>
      <c r="D1120">
        <v>-10.47</v>
      </c>
      <c r="E1120">
        <v>0.02</v>
      </c>
    </row>
    <row r="1121" spans="1:5" x14ac:dyDescent="0.45">
      <c r="A1121">
        <v>193209</v>
      </c>
      <c r="B1121">
        <v>-2.94</v>
      </c>
      <c r="C1121">
        <v>-2.15</v>
      </c>
      <c r="D1121">
        <v>-7.37</v>
      </c>
      <c r="E1121">
        <v>0.03</v>
      </c>
    </row>
    <row r="1122" spans="1:5" x14ac:dyDescent="0.45">
      <c r="A1122">
        <v>193208</v>
      </c>
      <c r="B1122">
        <v>37.119999999999997</v>
      </c>
      <c r="C1122">
        <v>13.46</v>
      </c>
      <c r="D1122">
        <v>34.200000000000003</v>
      </c>
      <c r="E1122">
        <v>0.03</v>
      </c>
    </row>
    <row r="1123" spans="1:5" x14ac:dyDescent="0.45">
      <c r="A1123">
        <v>193207</v>
      </c>
      <c r="B1123">
        <v>33.61</v>
      </c>
      <c r="C1123">
        <v>-4.29</v>
      </c>
      <c r="D1123">
        <v>35.520000000000003</v>
      </c>
      <c r="E1123">
        <v>0.02</v>
      </c>
    </row>
    <row r="1124" spans="1:5" x14ac:dyDescent="0.45">
      <c r="A1124">
        <v>193206</v>
      </c>
      <c r="B1124">
        <v>-0.77</v>
      </c>
      <c r="C1124">
        <v>0.4</v>
      </c>
      <c r="D1124">
        <v>5.85</v>
      </c>
      <c r="E1124">
        <v>0.02</v>
      </c>
    </row>
    <row r="1125" spans="1:5" x14ac:dyDescent="0.45">
      <c r="A1125">
        <v>193205</v>
      </c>
      <c r="B1125">
        <v>-20.51</v>
      </c>
      <c r="C1125">
        <v>4.21</v>
      </c>
      <c r="D1125">
        <v>-4.08</v>
      </c>
      <c r="E1125">
        <v>0.06</v>
      </c>
    </row>
    <row r="1126" spans="1:5" x14ac:dyDescent="0.45">
      <c r="A1126">
        <v>193204</v>
      </c>
      <c r="B1126">
        <v>-17.940000000000001</v>
      </c>
      <c r="C1126">
        <v>0.93</v>
      </c>
      <c r="D1126">
        <v>2.0699999999999998</v>
      </c>
      <c r="E1126">
        <v>0.11</v>
      </c>
    </row>
    <row r="1127" spans="1:5" x14ac:dyDescent="0.45">
      <c r="A1127">
        <v>193203</v>
      </c>
      <c r="B1127">
        <v>-11.3</v>
      </c>
      <c r="C1127">
        <v>2.13</v>
      </c>
      <c r="D1127">
        <v>-2.2000000000000002</v>
      </c>
      <c r="E1127">
        <v>0.16</v>
      </c>
    </row>
    <row r="1128" spans="1:5" x14ac:dyDescent="0.45">
      <c r="A1128">
        <v>193202</v>
      </c>
      <c r="B1128">
        <v>5.45</v>
      </c>
      <c r="C1128">
        <v>-2.5099999999999998</v>
      </c>
      <c r="D1128">
        <v>-1.47</v>
      </c>
      <c r="E1128">
        <v>0.23</v>
      </c>
    </row>
    <row r="1129" spans="1:5" x14ac:dyDescent="0.45">
      <c r="A1129">
        <v>193201</v>
      </c>
      <c r="B1129">
        <v>-1.57</v>
      </c>
      <c r="C1129">
        <v>4.41</v>
      </c>
      <c r="D1129">
        <v>9.74</v>
      </c>
      <c r="E1129">
        <v>0.23</v>
      </c>
    </row>
    <row r="1130" spans="1:5" x14ac:dyDescent="0.45">
      <c r="A1130">
        <v>193112</v>
      </c>
      <c r="B1130">
        <v>-13.52</v>
      </c>
      <c r="C1130">
        <v>-0.87</v>
      </c>
      <c r="D1130">
        <v>-9.19</v>
      </c>
      <c r="E1130">
        <v>0.12</v>
      </c>
    </row>
    <row r="1131" spans="1:5" x14ac:dyDescent="0.45">
      <c r="A1131">
        <v>193111</v>
      </c>
      <c r="B1131">
        <v>-9.14</v>
      </c>
      <c r="C1131">
        <v>4.4000000000000004</v>
      </c>
      <c r="D1131">
        <v>-5.19</v>
      </c>
      <c r="E1131">
        <v>0.17</v>
      </c>
    </row>
    <row r="1132" spans="1:5" x14ac:dyDescent="0.45">
      <c r="A1132">
        <v>193110</v>
      </c>
      <c r="B1132">
        <v>7.99</v>
      </c>
      <c r="C1132">
        <v>-0.28000000000000003</v>
      </c>
      <c r="D1132">
        <v>3.12</v>
      </c>
      <c r="E1132">
        <v>0.1</v>
      </c>
    </row>
    <row r="1133" spans="1:5" x14ac:dyDescent="0.45">
      <c r="A1133">
        <v>193109</v>
      </c>
      <c r="B1133">
        <v>-28.74</v>
      </c>
      <c r="C1133">
        <v>-1.02</v>
      </c>
      <c r="D1133">
        <v>-7.24</v>
      </c>
      <c r="E1133">
        <v>0.03</v>
      </c>
    </row>
    <row r="1134" spans="1:5" x14ac:dyDescent="0.45">
      <c r="A1134">
        <v>193108</v>
      </c>
      <c r="B1134">
        <v>0.4</v>
      </c>
      <c r="C1134">
        <v>-2.08</v>
      </c>
      <c r="D1134">
        <v>-1.7</v>
      </c>
      <c r="E1134">
        <v>0.03</v>
      </c>
    </row>
    <row r="1135" spans="1:5" x14ac:dyDescent="0.45">
      <c r="A1135">
        <v>193107</v>
      </c>
      <c r="B1135">
        <v>-6.63</v>
      </c>
      <c r="C1135">
        <v>1.49</v>
      </c>
      <c r="D1135">
        <v>-2.2000000000000002</v>
      </c>
      <c r="E1135">
        <v>0.06</v>
      </c>
    </row>
    <row r="1136" spans="1:5" x14ac:dyDescent="0.45">
      <c r="A1136">
        <v>193106</v>
      </c>
      <c r="B1136">
        <v>13.93</v>
      </c>
      <c r="C1136">
        <v>-5.01</v>
      </c>
      <c r="D1136">
        <v>11.7</v>
      </c>
      <c r="E1136">
        <v>0.08</v>
      </c>
    </row>
    <row r="1137" spans="1:5" x14ac:dyDescent="0.45">
      <c r="A1137">
        <v>193105</v>
      </c>
      <c r="B1137">
        <v>-13.29</v>
      </c>
      <c r="C1137">
        <v>5.22</v>
      </c>
      <c r="D1137">
        <v>-6.31</v>
      </c>
      <c r="E1137">
        <v>0.09</v>
      </c>
    </row>
    <row r="1138" spans="1:5" x14ac:dyDescent="0.45">
      <c r="A1138">
        <v>193104</v>
      </c>
      <c r="B1138">
        <v>-10</v>
      </c>
      <c r="C1138">
        <v>-4.22</v>
      </c>
      <c r="D1138">
        <v>-4.33</v>
      </c>
      <c r="E1138">
        <v>0.08</v>
      </c>
    </row>
    <row r="1139" spans="1:5" x14ac:dyDescent="0.45">
      <c r="A1139">
        <v>193103</v>
      </c>
      <c r="B1139">
        <v>-6.35</v>
      </c>
      <c r="C1139">
        <v>2.83</v>
      </c>
      <c r="D1139">
        <v>-3.2</v>
      </c>
      <c r="E1139">
        <v>0.13</v>
      </c>
    </row>
    <row r="1140" spans="1:5" x14ac:dyDescent="0.45">
      <c r="A1140">
        <v>193102</v>
      </c>
      <c r="B1140">
        <v>10.88</v>
      </c>
      <c r="C1140">
        <v>3.45</v>
      </c>
      <c r="D1140">
        <v>1.63</v>
      </c>
      <c r="E1140">
        <v>0.04</v>
      </c>
    </row>
    <row r="1141" spans="1:5" x14ac:dyDescent="0.45">
      <c r="A1141">
        <v>193101</v>
      </c>
      <c r="B1141">
        <v>6.25</v>
      </c>
      <c r="C1141">
        <v>3.47</v>
      </c>
      <c r="D1141">
        <v>8.24</v>
      </c>
      <c r="E1141">
        <v>0.15</v>
      </c>
    </row>
    <row r="1142" spans="1:5" x14ac:dyDescent="0.45">
      <c r="A1142">
        <v>193012</v>
      </c>
      <c r="B1142">
        <v>-7.86</v>
      </c>
      <c r="C1142">
        <v>-4.67</v>
      </c>
      <c r="D1142">
        <v>-5.69</v>
      </c>
      <c r="E1142">
        <v>0.14000000000000001</v>
      </c>
    </row>
    <row r="1143" spans="1:5" x14ac:dyDescent="0.45">
      <c r="A1143">
        <v>193011</v>
      </c>
      <c r="B1143">
        <v>-3.04</v>
      </c>
      <c r="C1143">
        <v>2.46</v>
      </c>
      <c r="D1143">
        <v>-3.81</v>
      </c>
      <c r="E1143">
        <v>0.13</v>
      </c>
    </row>
    <row r="1144" spans="1:5" x14ac:dyDescent="0.45">
      <c r="A1144">
        <v>193010</v>
      </c>
      <c r="B1144">
        <v>-8.7799999999999994</v>
      </c>
      <c r="C1144">
        <v>-0.2</v>
      </c>
      <c r="D1144">
        <v>-1.0900000000000001</v>
      </c>
      <c r="E1144">
        <v>0.09</v>
      </c>
    </row>
    <row r="1145" spans="1:5" x14ac:dyDescent="0.45">
      <c r="A1145">
        <v>193009</v>
      </c>
      <c r="B1145">
        <v>-12.81</v>
      </c>
      <c r="C1145">
        <v>-2.41</v>
      </c>
      <c r="D1145">
        <v>-5.09</v>
      </c>
      <c r="E1145">
        <v>0.22</v>
      </c>
    </row>
    <row r="1146" spans="1:5" x14ac:dyDescent="0.45">
      <c r="A1146">
        <v>193008</v>
      </c>
      <c r="B1146">
        <v>0.3</v>
      </c>
      <c r="C1146">
        <v>-2.16</v>
      </c>
      <c r="D1146">
        <v>-0.59</v>
      </c>
      <c r="E1146">
        <v>0.09</v>
      </c>
    </row>
    <row r="1147" spans="1:5" x14ac:dyDescent="0.45">
      <c r="A1147">
        <v>193007</v>
      </c>
      <c r="B1147">
        <v>4.12</v>
      </c>
      <c r="C1147">
        <v>-0.27</v>
      </c>
      <c r="D1147">
        <v>-1.7</v>
      </c>
      <c r="E1147">
        <v>0.2</v>
      </c>
    </row>
    <row r="1148" spans="1:5" x14ac:dyDescent="0.45">
      <c r="A1148">
        <v>193006</v>
      </c>
      <c r="B1148">
        <v>-16.079999999999998</v>
      </c>
      <c r="C1148">
        <v>-3.59</v>
      </c>
      <c r="D1148">
        <v>2.4</v>
      </c>
      <c r="E1148">
        <v>0.27</v>
      </c>
    </row>
    <row r="1149" spans="1:5" x14ac:dyDescent="0.45">
      <c r="A1149">
        <v>193005</v>
      </c>
      <c r="B1149">
        <v>-1.66</v>
      </c>
      <c r="C1149">
        <v>-2.1</v>
      </c>
      <c r="D1149">
        <v>-0.74</v>
      </c>
      <c r="E1149">
        <v>0.26</v>
      </c>
    </row>
    <row r="1150" spans="1:5" x14ac:dyDescent="0.45">
      <c r="A1150">
        <v>193004</v>
      </c>
      <c r="B1150">
        <v>-2.0499999999999998</v>
      </c>
      <c r="C1150">
        <v>-0.35</v>
      </c>
      <c r="D1150">
        <v>-0.37</v>
      </c>
      <c r="E1150">
        <v>0.21</v>
      </c>
    </row>
    <row r="1151" spans="1:5" x14ac:dyDescent="0.45">
      <c r="A1151">
        <v>193003</v>
      </c>
      <c r="B1151">
        <v>7.09</v>
      </c>
      <c r="C1151">
        <v>3.39</v>
      </c>
      <c r="D1151">
        <v>0.3</v>
      </c>
      <c r="E1151">
        <v>0.35</v>
      </c>
    </row>
    <row r="1152" spans="1:5" x14ac:dyDescent="0.45">
      <c r="A1152">
        <v>193002</v>
      </c>
      <c r="B1152">
        <v>2.5</v>
      </c>
      <c r="C1152">
        <v>0.28000000000000003</v>
      </c>
      <c r="D1152">
        <v>0.28000000000000003</v>
      </c>
      <c r="E1152">
        <v>0.3</v>
      </c>
    </row>
    <row r="1153" spans="1:5" x14ac:dyDescent="0.45">
      <c r="A1153">
        <v>193001</v>
      </c>
      <c r="B1153">
        <v>5.61</v>
      </c>
      <c r="C1153">
        <v>3.49</v>
      </c>
      <c r="D1153">
        <v>-1.03</v>
      </c>
      <c r="E1153">
        <v>0.14000000000000001</v>
      </c>
    </row>
    <row r="1154" spans="1:5" x14ac:dyDescent="0.45">
      <c r="A1154">
        <v>192912</v>
      </c>
      <c r="B1154">
        <v>1.28</v>
      </c>
      <c r="C1154">
        <v>-4.0999999999999996</v>
      </c>
      <c r="D1154">
        <v>-0.14000000000000001</v>
      </c>
      <c r="E1154">
        <v>0.37</v>
      </c>
    </row>
    <row r="1155" spans="1:5" x14ac:dyDescent="0.45">
      <c r="A1155">
        <v>192911</v>
      </c>
      <c r="B1155">
        <v>-12.87</v>
      </c>
      <c r="C1155">
        <v>-0.88</v>
      </c>
      <c r="D1155">
        <v>5.05</v>
      </c>
      <c r="E1155">
        <v>0.37</v>
      </c>
    </row>
    <row r="1156" spans="1:5" x14ac:dyDescent="0.45">
      <c r="A1156">
        <v>192910</v>
      </c>
      <c r="B1156">
        <v>-20.07</v>
      </c>
      <c r="C1156">
        <v>-4.95</v>
      </c>
      <c r="D1156">
        <v>7.54</v>
      </c>
      <c r="E1156">
        <v>0.46</v>
      </c>
    </row>
    <row r="1157" spans="1:5" x14ac:dyDescent="0.45">
      <c r="A1157">
        <v>192909</v>
      </c>
      <c r="B1157">
        <v>-5.45</v>
      </c>
      <c r="C1157">
        <v>1.34</v>
      </c>
      <c r="D1157">
        <v>-0.79</v>
      </c>
      <c r="E1157">
        <v>0.35</v>
      </c>
    </row>
    <row r="1158" spans="1:5" x14ac:dyDescent="0.45">
      <c r="A1158">
        <v>192908</v>
      </c>
      <c r="B1158">
        <v>8.14</v>
      </c>
      <c r="C1158">
        <v>-9.75</v>
      </c>
      <c r="D1158">
        <v>0.32</v>
      </c>
      <c r="E1158">
        <v>0.4</v>
      </c>
    </row>
    <row r="1159" spans="1:5" x14ac:dyDescent="0.45">
      <c r="A1159">
        <v>192907</v>
      </c>
      <c r="B1159">
        <v>4.4800000000000004</v>
      </c>
      <c r="C1159">
        <v>-3.87</v>
      </c>
      <c r="D1159">
        <v>2.67</v>
      </c>
      <c r="E1159">
        <v>0.33</v>
      </c>
    </row>
    <row r="1160" spans="1:5" x14ac:dyDescent="0.45">
      <c r="A1160">
        <v>192906</v>
      </c>
      <c r="B1160">
        <v>9.6999999999999993</v>
      </c>
      <c r="C1160">
        <v>-2.14</v>
      </c>
      <c r="D1160">
        <v>-2.74</v>
      </c>
      <c r="E1160">
        <v>0.52</v>
      </c>
    </row>
    <row r="1161" spans="1:5" x14ac:dyDescent="0.45">
      <c r="A1161">
        <v>192905</v>
      </c>
      <c r="B1161">
        <v>-6.38</v>
      </c>
      <c r="C1161">
        <v>-5.44</v>
      </c>
      <c r="D1161">
        <v>-1.52</v>
      </c>
      <c r="E1161">
        <v>0.44</v>
      </c>
    </row>
    <row r="1162" spans="1:5" x14ac:dyDescent="0.45">
      <c r="A1162">
        <v>192904</v>
      </c>
      <c r="B1162">
        <v>1.47</v>
      </c>
      <c r="C1162">
        <v>-1.1200000000000001</v>
      </c>
      <c r="D1162">
        <v>0.93</v>
      </c>
      <c r="E1162">
        <v>0.36</v>
      </c>
    </row>
    <row r="1163" spans="1:5" x14ac:dyDescent="0.45">
      <c r="A1163">
        <v>192903</v>
      </c>
      <c r="B1163">
        <v>-0.85</v>
      </c>
      <c r="C1163">
        <v>-4.91</v>
      </c>
      <c r="D1163">
        <v>1.57</v>
      </c>
      <c r="E1163">
        <v>0.34</v>
      </c>
    </row>
    <row r="1164" spans="1:5" x14ac:dyDescent="0.45">
      <c r="A1164">
        <v>192902</v>
      </c>
      <c r="B1164">
        <v>-0.34</v>
      </c>
      <c r="C1164">
        <v>-0.33</v>
      </c>
      <c r="D1164">
        <v>1.66</v>
      </c>
      <c r="E1164">
        <v>0.36</v>
      </c>
    </row>
    <row r="1165" spans="1:5" x14ac:dyDescent="0.45">
      <c r="A1165">
        <v>192901</v>
      </c>
      <c r="B1165">
        <v>4.66</v>
      </c>
      <c r="C1165">
        <v>-3.35</v>
      </c>
      <c r="D1165">
        <v>-1.22</v>
      </c>
      <c r="E1165">
        <v>0.34</v>
      </c>
    </row>
    <row r="1166" spans="1:5" x14ac:dyDescent="0.45">
      <c r="A1166">
        <v>192812</v>
      </c>
      <c r="B1166">
        <v>0.4</v>
      </c>
      <c r="C1166">
        <v>-0.93</v>
      </c>
      <c r="D1166">
        <v>-0.52</v>
      </c>
      <c r="E1166">
        <v>0.06</v>
      </c>
    </row>
    <row r="1167" spans="1:5" x14ac:dyDescent="0.45">
      <c r="A1167">
        <v>192811</v>
      </c>
      <c r="B1167">
        <v>11.82</v>
      </c>
      <c r="C1167">
        <v>-1.82</v>
      </c>
      <c r="D1167">
        <v>2.65</v>
      </c>
      <c r="E1167">
        <v>0.38</v>
      </c>
    </row>
    <row r="1168" spans="1:5" x14ac:dyDescent="0.45">
      <c r="A1168">
        <v>192810</v>
      </c>
      <c r="B1168">
        <v>1.31</v>
      </c>
      <c r="C1168">
        <v>2.2400000000000002</v>
      </c>
      <c r="D1168">
        <v>-2.14</v>
      </c>
      <c r="E1168">
        <v>0.41</v>
      </c>
    </row>
    <row r="1169" spans="1:5" x14ac:dyDescent="0.45">
      <c r="A1169">
        <v>192809</v>
      </c>
      <c r="B1169">
        <v>2.87</v>
      </c>
      <c r="C1169">
        <v>2.4</v>
      </c>
      <c r="D1169">
        <v>0.84</v>
      </c>
      <c r="E1169">
        <v>0.27</v>
      </c>
    </row>
    <row r="1170" spans="1:5" x14ac:dyDescent="0.45">
      <c r="A1170">
        <v>192808</v>
      </c>
      <c r="B1170">
        <v>6.69</v>
      </c>
      <c r="C1170">
        <v>-2.04</v>
      </c>
      <c r="D1170">
        <v>-2.13</v>
      </c>
      <c r="E1170">
        <v>0.32</v>
      </c>
    </row>
    <row r="1171" spans="1:5" x14ac:dyDescent="0.45">
      <c r="A1171">
        <v>192807</v>
      </c>
      <c r="B1171">
        <v>0.63</v>
      </c>
      <c r="C1171">
        <v>-1.36</v>
      </c>
      <c r="D1171">
        <v>-0.54</v>
      </c>
      <c r="E1171">
        <v>0.32</v>
      </c>
    </row>
    <row r="1172" spans="1:5" x14ac:dyDescent="0.45">
      <c r="A1172">
        <v>192806</v>
      </c>
      <c r="B1172">
        <v>-4.9000000000000004</v>
      </c>
      <c r="C1172">
        <v>-3.76</v>
      </c>
      <c r="D1172">
        <v>0.28000000000000003</v>
      </c>
      <c r="E1172">
        <v>0.31</v>
      </c>
    </row>
    <row r="1173" spans="1:5" x14ac:dyDescent="0.45">
      <c r="A1173">
        <v>192805</v>
      </c>
      <c r="B1173">
        <v>1.52</v>
      </c>
      <c r="C1173">
        <v>2.7</v>
      </c>
      <c r="D1173">
        <v>-3</v>
      </c>
      <c r="E1173">
        <v>0.32</v>
      </c>
    </row>
    <row r="1174" spans="1:5" x14ac:dyDescent="0.45">
      <c r="A1174">
        <v>192804</v>
      </c>
      <c r="B1174">
        <v>4.25</v>
      </c>
      <c r="C1174">
        <v>4.1399999999999997</v>
      </c>
      <c r="D1174">
        <v>3.25</v>
      </c>
      <c r="E1174">
        <v>0.22</v>
      </c>
    </row>
    <row r="1175" spans="1:5" x14ac:dyDescent="0.45">
      <c r="A1175">
        <v>192803</v>
      </c>
      <c r="B1175">
        <v>8.7899999999999991</v>
      </c>
      <c r="C1175">
        <v>-0.38</v>
      </c>
      <c r="D1175">
        <v>-1.1100000000000001</v>
      </c>
      <c r="E1175">
        <v>0.28999999999999998</v>
      </c>
    </row>
    <row r="1176" spans="1:5" x14ac:dyDescent="0.45">
      <c r="A1176">
        <v>192802</v>
      </c>
      <c r="B1176">
        <v>-1.69</v>
      </c>
      <c r="C1176">
        <v>-2.06</v>
      </c>
      <c r="D1176">
        <v>-0.64</v>
      </c>
      <c r="E1176">
        <v>0.33</v>
      </c>
    </row>
    <row r="1177" spans="1:5" x14ac:dyDescent="0.45">
      <c r="A1177">
        <v>192801</v>
      </c>
      <c r="B1177">
        <v>-0.56999999999999995</v>
      </c>
      <c r="C1177">
        <v>4.2</v>
      </c>
      <c r="D1177">
        <v>-0.71</v>
      </c>
      <c r="E1177">
        <v>0.25</v>
      </c>
    </row>
    <row r="1178" spans="1:5" x14ac:dyDescent="0.45">
      <c r="A1178">
        <v>192712</v>
      </c>
      <c r="B1178">
        <v>2.09</v>
      </c>
      <c r="C1178">
        <v>0.98</v>
      </c>
      <c r="D1178">
        <v>-1.1200000000000001</v>
      </c>
      <c r="E1178">
        <v>0.22</v>
      </c>
    </row>
    <row r="1179" spans="1:5" x14ac:dyDescent="0.45">
      <c r="A1179">
        <v>192711</v>
      </c>
      <c r="B1179">
        <v>6.52</v>
      </c>
      <c r="C1179">
        <v>2.78</v>
      </c>
      <c r="D1179">
        <v>-0.08</v>
      </c>
      <c r="E1179">
        <v>0.21</v>
      </c>
    </row>
    <row r="1180" spans="1:5" x14ac:dyDescent="0.45">
      <c r="A1180">
        <v>192710</v>
      </c>
      <c r="B1180">
        <v>-4.29</v>
      </c>
      <c r="C1180">
        <v>2.0299999999999998</v>
      </c>
      <c r="D1180">
        <v>-4.47</v>
      </c>
      <c r="E1180">
        <v>0.25</v>
      </c>
    </row>
    <row r="1181" spans="1:5" x14ac:dyDescent="0.45">
      <c r="A1181">
        <v>192709</v>
      </c>
      <c r="B1181">
        <v>4.7699999999999996</v>
      </c>
      <c r="C1181">
        <v>-3.6</v>
      </c>
      <c r="D1181">
        <v>-0.56999999999999995</v>
      </c>
      <c r="E1181">
        <v>0.21</v>
      </c>
    </row>
    <row r="1182" spans="1:5" x14ac:dyDescent="0.45">
      <c r="A1182">
        <v>192708</v>
      </c>
      <c r="B1182">
        <v>1.99</v>
      </c>
      <c r="C1182">
        <v>-0.77</v>
      </c>
      <c r="D1182">
        <v>-3.85</v>
      </c>
      <c r="E1182">
        <v>0.28000000000000003</v>
      </c>
    </row>
    <row r="1183" spans="1:5" x14ac:dyDescent="0.45">
      <c r="A1183">
        <v>192707</v>
      </c>
      <c r="B1183">
        <v>7.26</v>
      </c>
      <c r="C1183">
        <v>-3.27</v>
      </c>
      <c r="D1183">
        <v>-1.1299999999999999</v>
      </c>
      <c r="E1183">
        <v>0.3</v>
      </c>
    </row>
    <row r="1184" spans="1:5" x14ac:dyDescent="0.45">
      <c r="A1184">
        <v>192706</v>
      </c>
      <c r="B1184">
        <v>-2.38</v>
      </c>
      <c r="C1184">
        <v>0.51</v>
      </c>
      <c r="D1184">
        <v>-1.72</v>
      </c>
      <c r="E1184">
        <v>0.26</v>
      </c>
    </row>
    <row r="1185" spans="1:5" x14ac:dyDescent="0.45">
      <c r="A1185">
        <v>192705</v>
      </c>
      <c r="B1185">
        <v>5.45</v>
      </c>
      <c r="C1185">
        <v>1.55</v>
      </c>
      <c r="D1185">
        <v>4.8</v>
      </c>
      <c r="E1185">
        <v>0.3</v>
      </c>
    </row>
    <row r="1186" spans="1:5" x14ac:dyDescent="0.45">
      <c r="A1186">
        <v>192704</v>
      </c>
      <c r="B1186">
        <v>0.47</v>
      </c>
      <c r="C1186">
        <v>0.39</v>
      </c>
      <c r="D1186">
        <v>0.65</v>
      </c>
      <c r="E1186">
        <v>0.25</v>
      </c>
    </row>
    <row r="1187" spans="1:5" x14ac:dyDescent="0.45">
      <c r="A1187">
        <v>192703</v>
      </c>
      <c r="B1187">
        <v>0.14000000000000001</v>
      </c>
      <c r="C1187">
        <v>-1.77</v>
      </c>
      <c r="D1187">
        <v>-2.38</v>
      </c>
      <c r="E1187">
        <v>0.3</v>
      </c>
    </row>
    <row r="1188" spans="1:5" x14ac:dyDescent="0.45">
      <c r="A1188">
        <v>192702</v>
      </c>
      <c r="B1188">
        <v>4.17</v>
      </c>
      <c r="C1188">
        <v>7.0000000000000007E-2</v>
      </c>
      <c r="D1188">
        <v>2.72</v>
      </c>
      <c r="E1188">
        <v>0.26</v>
      </c>
    </row>
    <row r="1189" spans="1:5" x14ac:dyDescent="0.45">
      <c r="A1189">
        <v>192701</v>
      </c>
      <c r="B1189">
        <v>-0.05</v>
      </c>
      <c r="C1189">
        <v>-0.32</v>
      </c>
      <c r="D1189">
        <v>4.58</v>
      </c>
      <c r="E1189">
        <v>0.25</v>
      </c>
    </row>
    <row r="1190" spans="1:5" x14ac:dyDescent="0.45">
      <c r="A1190">
        <v>192612</v>
      </c>
      <c r="B1190">
        <v>2.62</v>
      </c>
      <c r="C1190">
        <v>-7.0000000000000007E-2</v>
      </c>
      <c r="D1190">
        <v>0.06</v>
      </c>
      <c r="E1190">
        <v>0.28000000000000003</v>
      </c>
    </row>
    <row r="1191" spans="1:5" x14ac:dyDescent="0.45">
      <c r="A1191">
        <v>192611</v>
      </c>
      <c r="B1191">
        <v>2.54</v>
      </c>
      <c r="C1191">
        <v>-0.11</v>
      </c>
      <c r="D1191">
        <v>-0.61</v>
      </c>
      <c r="E1191">
        <v>0.31</v>
      </c>
    </row>
    <row r="1192" spans="1:5" x14ac:dyDescent="0.45">
      <c r="A1192">
        <v>192610</v>
      </c>
      <c r="B1192">
        <v>-3.27</v>
      </c>
      <c r="C1192">
        <v>-0.14000000000000001</v>
      </c>
      <c r="D1192">
        <v>0.82</v>
      </c>
      <c r="E1192">
        <v>0.32</v>
      </c>
    </row>
    <row r="1193" spans="1:5" x14ac:dyDescent="0.45">
      <c r="A1193">
        <v>192609</v>
      </c>
      <c r="B1193">
        <v>0.38</v>
      </c>
      <c r="C1193">
        <v>-1.36</v>
      </c>
      <c r="D1193">
        <v>0.05</v>
      </c>
      <c r="E1193">
        <v>0.23</v>
      </c>
    </row>
    <row r="1194" spans="1:5" x14ac:dyDescent="0.45">
      <c r="A1194">
        <v>192608</v>
      </c>
      <c r="B1194">
        <v>2.64</v>
      </c>
      <c r="C1194">
        <v>-1.1399999999999999</v>
      </c>
      <c r="D1194">
        <v>3.81</v>
      </c>
      <c r="E1194">
        <v>0.25</v>
      </c>
    </row>
    <row r="1195" spans="1:5" x14ac:dyDescent="0.45">
      <c r="A1195">
        <v>192607</v>
      </c>
      <c r="B1195">
        <v>2.89</v>
      </c>
      <c r="C1195">
        <v>-2.5499999999999998</v>
      </c>
      <c r="D1195">
        <v>-2.39</v>
      </c>
      <c r="E1195">
        <v>0.22</v>
      </c>
    </row>
  </sheetData>
  <autoFilter ref="A4:E4" xr:uid="{785F726F-D068-4E53-BAFB-F0C9489307AE}">
    <sortState xmlns:xlrd2="http://schemas.microsoft.com/office/spreadsheetml/2017/richdata2" ref="A5:E1195">
      <sortCondition descending="1" ref="A4"/>
    </sortState>
  </autoFilter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17D47-F7BD-492F-AF9F-46DB384A679D}">
  <dimension ref="A1:CL3781"/>
  <sheetViews>
    <sheetView workbookViewId="0">
      <pane xSplit="1" ySplit="8" topLeftCell="T9" activePane="bottomRight" state="frozen"/>
      <selection pane="topRight" activeCell="B1" sqref="B1"/>
      <selection pane="bottomLeft" activeCell="A9" sqref="A9"/>
      <selection pane="bottomRight" activeCell="X8" sqref="X8"/>
    </sheetView>
  </sheetViews>
  <sheetFormatPr defaultRowHeight="14.25" x14ac:dyDescent="0.45"/>
  <cols>
    <col min="1" max="1" width="19" customWidth="1"/>
    <col min="2" max="2" width="13.796875" customWidth="1"/>
    <col min="3" max="6" width="13.796875" style="48" customWidth="1"/>
    <col min="7" max="7" width="18.265625" style="48" bestFit="1" customWidth="1"/>
    <col min="8" max="8" width="11.6640625" bestFit="1" customWidth="1"/>
    <col min="9" max="9" width="12.9296875" style="48" bestFit="1" customWidth="1"/>
    <col min="10" max="11" width="12.9296875" style="49" bestFit="1" customWidth="1"/>
    <col min="12" max="12" width="8" style="50" customWidth="1"/>
    <col min="13" max="17" width="6.33203125" style="50" bestFit="1" customWidth="1"/>
    <col min="18" max="18" width="9.06640625" style="47"/>
    <col min="19" max="19" width="7.1328125" style="50" bestFit="1" customWidth="1"/>
    <col min="20" max="20" width="19.33203125" style="50" bestFit="1" customWidth="1"/>
    <col min="21" max="21" width="15.9296875" style="50" bestFit="1" customWidth="1"/>
    <col min="22" max="22" width="5.33203125" style="50" bestFit="1" customWidth="1"/>
    <col min="23" max="23" width="12.1328125" style="50" bestFit="1" customWidth="1"/>
    <col min="24" max="24" width="15.59765625" bestFit="1" customWidth="1"/>
    <col min="25" max="34" width="11.6640625" customWidth="1"/>
    <col min="41" max="41" width="10.796875" bestFit="1" customWidth="1"/>
    <col min="42" max="42" width="9.9296875" bestFit="1" customWidth="1"/>
    <col min="43" max="43" width="9.9296875" style="3" bestFit="1" customWidth="1"/>
    <col min="44" max="54" width="9.06640625" style="59"/>
    <col min="55" max="55" width="16" bestFit="1" customWidth="1"/>
    <col min="67" max="67" width="9.9296875" style="3" bestFit="1" customWidth="1"/>
    <col min="68" max="78" width="9.06640625" style="59"/>
    <col min="79" max="79" width="16" bestFit="1" customWidth="1"/>
  </cols>
  <sheetData>
    <row r="1" spans="1:90" x14ac:dyDescent="0.45">
      <c r="A1" t="s">
        <v>0</v>
      </c>
      <c r="B1" s="3">
        <v>45973</v>
      </c>
    </row>
    <row r="2" spans="1:90" x14ac:dyDescent="0.45">
      <c r="A2" t="s">
        <v>1</v>
      </c>
      <c r="B2">
        <v>5</v>
      </c>
    </row>
    <row r="3" spans="1:90" x14ac:dyDescent="0.45">
      <c r="A3" t="s">
        <v>5</v>
      </c>
      <c r="B3" s="3">
        <v>44147</v>
      </c>
      <c r="L3" s="49">
        <v>9</v>
      </c>
      <c r="AO3" t="s">
        <v>413</v>
      </c>
      <c r="AP3" s="3">
        <v>43891</v>
      </c>
    </row>
    <row r="4" spans="1:90" x14ac:dyDescent="0.45">
      <c r="A4" t="s">
        <v>2</v>
      </c>
      <c r="B4" t="s">
        <v>587</v>
      </c>
      <c r="L4" s="49">
        <f>_xlfn.XMATCH("*",D:D,-1,2)</f>
        <v>269</v>
      </c>
      <c r="AP4" s="3">
        <v>44561</v>
      </c>
    </row>
    <row r="5" spans="1:90" ht="28.5" x14ac:dyDescent="0.45">
      <c r="A5" s="1"/>
      <c r="B5" s="1" t="s">
        <v>392</v>
      </c>
      <c r="C5" s="51" t="s">
        <v>393</v>
      </c>
      <c r="D5" s="51" t="s">
        <v>394</v>
      </c>
      <c r="E5" s="51" t="s">
        <v>395</v>
      </c>
      <c r="F5" s="51" t="s">
        <v>396</v>
      </c>
      <c r="G5" s="51" t="s">
        <v>397</v>
      </c>
      <c r="H5" s="1" t="s">
        <v>13</v>
      </c>
      <c r="I5" s="51" t="s">
        <v>28</v>
      </c>
      <c r="J5" s="52" t="s">
        <v>385</v>
      </c>
      <c r="K5" s="52" t="s">
        <v>386</v>
      </c>
      <c r="AR5" s="59" t="s">
        <v>415</v>
      </c>
      <c r="BP5" s="59" t="s">
        <v>415</v>
      </c>
    </row>
    <row r="6" spans="1:90" x14ac:dyDescent="0.45">
      <c r="A6" s="4"/>
      <c r="B6" s="53" t="s">
        <v>3</v>
      </c>
      <c r="C6" s="54" t="s">
        <v>7</v>
      </c>
      <c r="D6" s="54" t="s">
        <v>8</v>
      </c>
      <c r="E6" s="54" t="s">
        <v>9</v>
      </c>
      <c r="F6" s="54" t="s">
        <v>10</v>
      </c>
      <c r="G6" s="54" t="s">
        <v>389</v>
      </c>
      <c r="H6" s="55" t="s">
        <v>14</v>
      </c>
      <c r="I6" s="54" t="s">
        <v>27</v>
      </c>
      <c r="J6" s="52" t="s">
        <v>383</v>
      </c>
      <c r="K6" s="56" t="s">
        <v>641</v>
      </c>
      <c r="L6" s="50" t="str" cm="1">
        <f t="array" ref="L6:Q6">B6:G6</f>
        <v>COP</v>
      </c>
      <c r="M6" s="50" t="str">
        <v>XOM</v>
      </c>
      <c r="N6" s="50" t="str">
        <v>CVX</v>
      </c>
      <c r="O6" s="50" t="str">
        <v>EOG</v>
      </c>
      <c r="P6" s="50" t="str">
        <v>BP</v>
      </c>
      <c r="Q6" s="50" t="str">
        <v>DVN</v>
      </c>
      <c r="R6" s="47" t="s">
        <v>403</v>
      </c>
      <c r="S6" s="50" t="str" cm="1">
        <f t="array" ref="S6:V6">H5:K5</f>
        <v>Oil Price</v>
      </c>
      <c r="T6" s="50" t="str">
        <v>Copper-Price Per Pound</v>
      </c>
      <c r="U6" s="50" t="str">
        <v>Energy Sector Index</v>
      </c>
      <c r="V6" s="50" t="str">
        <v>SPX</v>
      </c>
      <c r="W6" s="50" t="s">
        <v>404</v>
      </c>
      <c r="Y6" s="57">
        <f>B9/B269-1</f>
        <v>1.9129685642282226</v>
      </c>
      <c r="Z6" s="57">
        <f t="shared" ref="Z6:AD6" si="0">C9/C269-1</f>
        <v>2.9406349244028616</v>
      </c>
      <c r="AA6" s="57">
        <f t="shared" si="0"/>
        <v>1.3172002266078926</v>
      </c>
      <c r="AB6" s="57">
        <f t="shared" si="0"/>
        <v>2.1441869677163794</v>
      </c>
      <c r="AC6" s="57">
        <f t="shared" si="0"/>
        <v>1.4584410638357306</v>
      </c>
      <c r="AD6" s="57">
        <f t="shared" si="0"/>
        <v>2.7092886310853799</v>
      </c>
      <c r="AE6" s="57">
        <f>AVERAGE(Z6:AD6)</f>
        <v>2.113950362729649</v>
      </c>
      <c r="AF6" s="57">
        <f>H9/H269-1</f>
        <v>0.47896039603960405</v>
      </c>
      <c r="AG6" s="57">
        <f t="shared" ref="AG6:AI6" si="1">I9/I269-1</f>
        <v>0.55978602894902463</v>
      </c>
      <c r="AH6" s="57">
        <f t="shared" si="1"/>
        <v>1.6899016383679388</v>
      </c>
      <c r="AI6" s="57">
        <f t="shared" si="1"/>
        <v>0.97600241912581054</v>
      </c>
      <c r="AR6" s="69"/>
      <c r="BP6" s="69">
        <v>1</v>
      </c>
    </row>
    <row r="7" spans="1:90" x14ac:dyDescent="0.45">
      <c r="A7" s="2" t="s">
        <v>4</v>
      </c>
      <c r="B7" t="s">
        <v>6</v>
      </c>
      <c r="H7" t="s">
        <v>15</v>
      </c>
      <c r="I7" s="48" t="s">
        <v>15</v>
      </c>
      <c r="J7" s="49" t="s">
        <v>15</v>
      </c>
      <c r="K7" s="49" t="s">
        <v>15</v>
      </c>
      <c r="Y7" t="s">
        <v>405</v>
      </c>
      <c r="Z7">
        <f>COUNT(_xlfn.ANCHORARRAY(L9))</f>
        <v>260</v>
      </c>
      <c r="AS7"/>
      <c r="BE7">
        <f>COUNT(_xlfn.ANCHORARRAY(AR9))</f>
        <v>201</v>
      </c>
      <c r="CC7">
        <f>COUNT(_xlfn.ANCHORARRAY(BP9))</f>
        <v>59</v>
      </c>
      <c r="CD7">
        <f>Z7-BE7-CC7</f>
        <v>0</v>
      </c>
    </row>
    <row r="8" spans="1:90" s="1" customFormat="1" ht="42.75" x14ac:dyDescent="0.45">
      <c r="A8" s="1" t="s">
        <v>4</v>
      </c>
      <c r="B8" s="1" t="s">
        <v>6</v>
      </c>
      <c r="C8" s="51" t="s">
        <v>6</v>
      </c>
      <c r="D8" s="51" t="s">
        <v>6</v>
      </c>
      <c r="E8" s="51" t="s">
        <v>6</v>
      </c>
      <c r="F8" s="51" t="s">
        <v>6</v>
      </c>
      <c r="G8" s="51" t="s">
        <v>6</v>
      </c>
      <c r="H8" s="1" t="s">
        <v>15</v>
      </c>
      <c r="I8" s="51" t="s">
        <v>15</v>
      </c>
      <c r="J8" s="52" t="s">
        <v>15</v>
      </c>
      <c r="K8" s="52" t="s">
        <v>15</v>
      </c>
      <c r="L8" s="60" t="s">
        <v>398</v>
      </c>
      <c r="M8" s="60"/>
      <c r="N8" s="60"/>
      <c r="O8" s="60"/>
      <c r="P8" s="60"/>
      <c r="Q8" s="60"/>
      <c r="R8" s="61"/>
      <c r="S8" s="60"/>
      <c r="T8" s="60"/>
      <c r="U8" s="60"/>
      <c r="V8" s="60"/>
      <c r="W8" s="60"/>
      <c r="X8" s="1" t="s">
        <v>1413</v>
      </c>
      <c r="Y8" s="62" t="str" cm="1">
        <f t="array" ref="Y8:AI8">L6:V6</f>
        <v>COP</v>
      </c>
      <c r="Z8" s="1" t="str">
        <v>XOM</v>
      </c>
      <c r="AA8" s="1" t="str">
        <v>CVX</v>
      </c>
      <c r="AB8" s="1" t="str">
        <v>EOG</v>
      </c>
      <c r="AC8" s="1" t="str">
        <v>BP</v>
      </c>
      <c r="AD8" s="1" t="str">
        <v>DVN</v>
      </c>
      <c r="AE8" s="1" t="str">
        <v>Peers Average</v>
      </c>
      <c r="AF8" s="1" t="str">
        <v>Oil Price</v>
      </c>
      <c r="AG8" s="1" t="str">
        <v>Copper-Price Per Pound</v>
      </c>
      <c r="AH8" s="1" t="str">
        <v>Energy Sector Index</v>
      </c>
      <c r="AI8" s="1" t="str">
        <v>SPX</v>
      </c>
      <c r="AM8" s="1" t="s">
        <v>409</v>
      </c>
      <c r="AO8" s="1" t="s">
        <v>414</v>
      </c>
      <c r="AQ8" s="66"/>
      <c r="AR8" s="67" t="str" cm="1">
        <f t="array" ref="AR8:BB8">_xlfn.ANCHORARRAY(Y8)</f>
        <v>COP</v>
      </c>
      <c r="AS8" s="67" t="str">
        <v>XOM</v>
      </c>
      <c r="AT8" s="67" t="str">
        <v>CVX</v>
      </c>
      <c r="AU8" s="67" t="str">
        <v>EOG</v>
      </c>
      <c r="AV8" s="67" t="str">
        <v>BP</v>
      </c>
      <c r="AW8" s="67" t="str">
        <v>DVN</v>
      </c>
      <c r="AX8" s="67" t="str">
        <v>Peers Average</v>
      </c>
      <c r="AY8" s="67" t="str">
        <v>Oil Price</v>
      </c>
      <c r="AZ8" s="67" t="str">
        <v>Copper-Price Per Pound</v>
      </c>
      <c r="BA8" s="67" t="str">
        <v>Energy Sector Index</v>
      </c>
      <c r="BB8" s="67" t="str">
        <v>SPX</v>
      </c>
      <c r="BD8" s="70" t="str" cm="1">
        <f t="array" ref="BD8:BN8">_xlfn.ANCHORARRAY(AR8)</f>
        <v>COP</v>
      </c>
      <c r="BE8" s="1" t="str">
        <v>XOM</v>
      </c>
      <c r="BF8" s="1" t="str">
        <v>CVX</v>
      </c>
      <c r="BG8" s="1" t="str">
        <v>EOG</v>
      </c>
      <c r="BH8" s="1" t="str">
        <v>BP</v>
      </c>
      <c r="BI8" s="1" t="str">
        <v>DVN</v>
      </c>
      <c r="BJ8" s="1" t="str">
        <v>Peers Average</v>
      </c>
      <c r="BK8" s="1" t="str">
        <v>Oil Price</v>
      </c>
      <c r="BL8" s="1" t="str">
        <v>Copper-Price Per Pound</v>
      </c>
      <c r="BM8" s="1" t="str">
        <v>Energy Sector Index</v>
      </c>
      <c r="BN8" s="1" t="str">
        <v>SPX</v>
      </c>
      <c r="BO8" s="66"/>
      <c r="BP8" s="67" t="str" cm="1">
        <f t="array" ref="BP8:BZ8">_xlfn.ANCHORARRAY(AR8)</f>
        <v>COP</v>
      </c>
      <c r="BQ8" s="67" t="str">
        <v>XOM</v>
      </c>
      <c r="BR8" s="67" t="str">
        <v>CVX</v>
      </c>
      <c r="BS8" s="67" t="str">
        <v>EOG</v>
      </c>
      <c r="BT8" s="67" t="str">
        <v>BP</v>
      </c>
      <c r="BU8" s="67" t="str">
        <v>DVN</v>
      </c>
      <c r="BV8" s="67" t="str">
        <v>Peers Average</v>
      </c>
      <c r="BW8" s="67" t="str">
        <v>Oil Price</v>
      </c>
      <c r="BX8" s="67" t="str">
        <v>Copper-Price Per Pound</v>
      </c>
      <c r="BY8" s="67" t="str">
        <v>Energy Sector Index</v>
      </c>
      <c r="BZ8" s="67" t="str">
        <v>SPX</v>
      </c>
      <c r="CB8" s="70" t="str" cm="1">
        <f t="array" ref="CB8:CL8">_xlfn.ANCHORARRAY(BP8)</f>
        <v>COP</v>
      </c>
      <c r="CC8" s="1" t="str">
        <v>XOM</v>
      </c>
      <c r="CD8" s="1" t="str">
        <v>CVX</v>
      </c>
      <c r="CE8" s="1" t="str">
        <v>EOG</v>
      </c>
      <c r="CF8" s="1" t="str">
        <v>BP</v>
      </c>
      <c r="CG8" s="1" t="str">
        <v>DVN</v>
      </c>
      <c r="CH8" s="1" t="str">
        <v>Peers Average</v>
      </c>
      <c r="CI8" s="1" t="str">
        <v>Oil Price</v>
      </c>
      <c r="CJ8" s="1" t="str">
        <v>Copper-Price Per Pound</v>
      </c>
      <c r="CK8" s="1" t="str">
        <v>Energy Sector Index</v>
      </c>
      <c r="CL8" s="1" t="str">
        <v>SPX</v>
      </c>
    </row>
    <row r="9" spans="1:90" x14ac:dyDescent="0.45">
      <c r="A9" s="3">
        <v>45968</v>
      </c>
      <c r="B9" s="48">
        <v>86.83</v>
      </c>
      <c r="C9" s="48">
        <v>116.20361</v>
      </c>
      <c r="D9" s="48">
        <v>155.02000000000001</v>
      </c>
      <c r="E9" s="48">
        <v>105.41</v>
      </c>
      <c r="F9" s="48">
        <v>36.084580000000003</v>
      </c>
      <c r="G9" s="48">
        <v>33.700000000000003</v>
      </c>
      <c r="H9">
        <v>59.75</v>
      </c>
      <c r="I9" s="48">
        <v>4.9569999999999999</v>
      </c>
      <c r="J9" s="49">
        <v>684.71847000000002</v>
      </c>
      <c r="K9" s="49">
        <v>12873.68463</v>
      </c>
      <c r="L9" s="50" cm="1">
        <f t="array" ref="L9:L268">INDEX(B:B,$L$3):INDEX(B:B,$L$4-1)/INDEX(B:B,$L$3+1):INDEX(B:B,$L$4)-1</f>
        <v>-2.2844924600495142E-2</v>
      </c>
      <c r="M9" s="50" cm="1">
        <f t="array" ref="M9:M268">INDEX(C:C,$L$3):INDEX(C:C,$L$4-1)/INDEX(C:C,$L$3+1):INDEX(C:C,$L$4)-1</f>
        <v>2.5008730386180789E-2</v>
      </c>
      <c r="N9" s="50" cm="1">
        <f t="array" ref="N9:N268">INDEX(D:D,$L$3):INDEX(D:D,$L$4-1)/INDEX(D:D,$L$3+1):INDEX(D:D,$L$4)-1</f>
        <v>-1.7118944965762051E-2</v>
      </c>
      <c r="O9" s="50" cm="1">
        <f t="array" ref="O9:O268">INDEX(E:E,$L$3):INDEX(E:E,$L$4-1)/INDEX(E:E,$L$3+1):INDEX(E:E,$L$4)-1</f>
        <v>-4.0627362055933869E-3</v>
      </c>
      <c r="P9" s="50" cm="1">
        <f t="array" ref="P9:P268">INDEX(F:F,$L$3):INDEX(F:F,$L$4-1)/INDEX(F:F,$L$3+1):INDEX(F:F,$L$4)-1</f>
        <v>4.1275204001128829E-2</v>
      </c>
      <c r="Q9" s="50" cm="1">
        <f t="array" ref="Q9:Q268">INDEX(G:G,$L$3):INDEX(G:G,$L$4-1)/INDEX(G:G,$L$3+1):INDEX(G:G,$L$4)-1</f>
        <v>3.7242228377962538E-2</v>
      </c>
      <c r="R9" s="47" cm="1">
        <f t="array" ref="R9:R268">INDEX(W:W,$L$3):INDEX(W:W,$L$4-1)</f>
        <v>1.6468896318783344E-2</v>
      </c>
      <c r="S9" s="50" cm="1">
        <f t="array" ref="S9:S268">INDEX(H:H,$L$3):INDEX(H:H,$L$4-1)/INDEX(H:H,$L$3+1):INDEX(H:H,$L$4)-1</f>
        <v>-2.0170547720564036E-2</v>
      </c>
      <c r="T9" s="50" cm="1">
        <f t="array" ref="T9:T268">INDEX(I:I,$L$3):INDEX(I:I,$L$4-1)/INDEX(I:I,$L$3+1):INDEX(I:I,$L$4)-1</f>
        <v>-2.5938298290430484E-2</v>
      </c>
      <c r="U9" s="50" cm="1">
        <f t="array" ref="U9:U268">INDEX(J:J,$L$3):INDEX(J:J,$L$4-1)/INDEX(J:J,$L$3+1):INDEX(J:J,$L$4)-1</f>
        <v>1.4793337361175274E-2</v>
      </c>
      <c r="V9" s="50" cm="1">
        <f t="array" ref="V9:V268">INDEX(K:K,$L$3):INDEX(K:K,$L$4-1)/INDEX(K:K,$L$3+1):INDEX(K:K,$L$4)-1</f>
        <v>-1.6156793954615445E-2</v>
      </c>
      <c r="W9" s="50">
        <f t="shared" ref="W9:W72" si="2">AVERAGE(M9:Q9)</f>
        <v>1.6468896318783344E-2</v>
      </c>
      <c r="X9" s="1" t="s">
        <v>406</v>
      </c>
      <c r="Y9" s="62">
        <f>MIN(_xlfn.ANCHORARRAY(L9))</f>
        <v>-0.19763758379366858</v>
      </c>
      <c r="Z9" s="62">
        <f t="shared" ref="Z9:AI9" si="3">MIN(_xlfn.ANCHORARRAY(M9))</f>
        <v>-0.14274333813949136</v>
      </c>
      <c r="AA9" s="62">
        <f t="shared" si="3"/>
        <v>-0.15404792691776537</v>
      </c>
      <c r="AB9" s="62">
        <f t="shared" si="3"/>
        <v>-0.2138526569762319</v>
      </c>
      <c r="AC9" s="62">
        <f t="shared" si="3"/>
        <v>-0.1618426883354297</v>
      </c>
      <c r="AD9" s="62">
        <f t="shared" si="3"/>
        <v>-0.21658121696653643</v>
      </c>
      <c r="AE9" s="62">
        <f t="shared" si="3"/>
        <v>-0.17440369823385429</v>
      </c>
      <c r="AF9" s="62">
        <f t="shared" si="3"/>
        <v>-0.12844600526777883</v>
      </c>
      <c r="AG9" s="62">
        <f t="shared" si="3"/>
        <v>-0.23327571305099393</v>
      </c>
      <c r="AH9" s="62">
        <f t="shared" si="3"/>
        <v>-0.17155362277007902</v>
      </c>
      <c r="AI9" s="62">
        <f t="shared" si="3"/>
        <v>-9.0599797471280108E-2</v>
      </c>
      <c r="AM9" s="63">
        <v>-0.1</v>
      </c>
      <c r="AO9" t="str">
        <f t="shared" ref="AO9:AO72" si="4">IF(A9&lt;$AP$3,"",IF(A9&lt;=$AP$4,1,""))</f>
        <v/>
      </c>
      <c r="AQ9" s="3" cm="1">
        <f t="array" ref="AQ9:AQ209">_xlfn._xlws.FILTER($A$9:$A$268, $AO$9:$AO$268 = AR6, "")</f>
        <v>45968</v>
      </c>
      <c r="AR9" s="68" cm="1">
        <f t="array" ref="AR9:AR209">_xlfn._xlws.FILTER(_xlfn.ANCHORARRAY(L9), $AO$9:$AO$268 = $AR$6, "")</f>
        <v>-2.2844924600495142E-2</v>
      </c>
      <c r="AS9" s="68" cm="1">
        <f t="array" ref="AS9:AS209">_xlfn._xlws.FILTER(_xlfn.ANCHORARRAY(M9), $AO$9:$AO$268 = $AR$6, "")</f>
        <v>2.5008730386180789E-2</v>
      </c>
      <c r="AT9" s="68" cm="1">
        <f t="array" ref="AT9:AT209">_xlfn._xlws.FILTER(_xlfn.ANCHORARRAY(N9), $AO$9:$AO$268 = $AR$6, "")</f>
        <v>-1.7118944965762051E-2</v>
      </c>
      <c r="AU9" s="68" cm="1">
        <f t="array" ref="AU9:AU209">_xlfn._xlws.FILTER(_xlfn.ANCHORARRAY(O9), $AO$9:$AO$268 = $AR$6, "")</f>
        <v>-4.0627362055933869E-3</v>
      </c>
      <c r="AV9" s="68" cm="1">
        <f t="array" ref="AV9:AV209">_xlfn._xlws.FILTER(_xlfn.ANCHORARRAY(P9), $AO$9:$AO$268 = $AR$6, "")</f>
        <v>4.1275204001128829E-2</v>
      </c>
      <c r="AW9" s="68" cm="1">
        <f t="array" ref="AW9:AW209">_xlfn._xlws.FILTER(_xlfn.ANCHORARRAY(Q9), $AO$9:$AO$268 = $AR$6, "")</f>
        <v>3.7242228377962538E-2</v>
      </c>
      <c r="AX9" s="68" cm="1">
        <f t="array" ref="AX9:AX209">_xlfn._xlws.FILTER(_xlfn.ANCHORARRAY(R9), $AO$9:$AO$268 = $AR$6, "")</f>
        <v>1.6468896318783344E-2</v>
      </c>
      <c r="AY9" s="68" cm="1">
        <f t="array" ref="AY9:AY209">_xlfn._xlws.FILTER(_xlfn.ANCHORARRAY(S9), $AO$9:$AO$268 = $AR$6, "")</f>
        <v>-2.0170547720564036E-2</v>
      </c>
      <c r="AZ9" s="68" cm="1">
        <f t="array" ref="AZ9:AZ209">_xlfn._xlws.FILTER(_xlfn.ANCHORARRAY(T9), $AO$9:$AO$268 = $AR$6, "")</f>
        <v>-2.5938298290430484E-2</v>
      </c>
      <c r="BA9" s="68" cm="1">
        <f t="array" ref="BA9:BA209">_xlfn._xlws.FILTER(_xlfn.ANCHORARRAY(U9), $AO$9:$AO$268 = $AR$6, "")</f>
        <v>1.4793337361175274E-2</v>
      </c>
      <c r="BB9" s="68" cm="1">
        <f t="array" ref="BB9:BB209">_xlfn._xlws.FILTER(_xlfn.ANCHORARRAY(V9), $AO$9:$AO$268 = $AR$6, "")</f>
        <v>-1.6156793954615445E-2</v>
      </c>
      <c r="BC9" s="1" t="s">
        <v>406</v>
      </c>
      <c r="BD9" s="62">
        <f t="shared" ref="BD9" si="5">MIN(_xlfn.ANCHORARRAY(AR9))</f>
        <v>-0.19763758379366858</v>
      </c>
      <c r="BE9" s="62">
        <f t="shared" ref="BE9" si="6">MIN(_xlfn.ANCHORARRAY(AS9))</f>
        <v>-0.14274333813949136</v>
      </c>
      <c r="BF9" s="62">
        <f t="shared" ref="BF9" si="7">MIN(_xlfn.ANCHORARRAY(AT9))</f>
        <v>-0.15404792691776537</v>
      </c>
      <c r="BG9" s="62">
        <f t="shared" ref="BG9" si="8">MIN(_xlfn.ANCHORARRAY(AU9))</f>
        <v>-0.2138526569762319</v>
      </c>
      <c r="BH9" s="62">
        <f t="shared" ref="BH9" si="9">MIN(_xlfn.ANCHORARRAY(AV9))</f>
        <v>-0.1618426883354297</v>
      </c>
      <c r="BI9" s="62">
        <f t="shared" ref="BI9" si="10">MIN(_xlfn.ANCHORARRAY(AW9))</f>
        <v>-0.21658121696653643</v>
      </c>
      <c r="BJ9" s="62">
        <f t="shared" ref="BJ9" si="11">MIN(_xlfn.ANCHORARRAY(AX9))</f>
        <v>-0.17440369823385429</v>
      </c>
      <c r="BK9" s="62">
        <f t="shared" ref="BK9" si="12">MIN(_xlfn.ANCHORARRAY(AY9))</f>
        <v>-0.12844600526777883</v>
      </c>
      <c r="BL9" s="62">
        <f t="shared" ref="BL9" si="13">MIN(_xlfn.ANCHORARRAY(AZ9))</f>
        <v>-0.23327571305099393</v>
      </c>
      <c r="BM9" s="62">
        <f t="shared" ref="BM9:BN9" si="14">MIN(_xlfn.ANCHORARRAY(BA9))</f>
        <v>-0.17155362277007902</v>
      </c>
      <c r="BN9" s="62">
        <f t="shared" si="14"/>
        <v>-9.0599797471280108E-2</v>
      </c>
      <c r="BO9" s="3" cm="1">
        <f t="array" ref="BO9:BO67">_xlfn._xlws.FILTER($A$9:$A$268, $AO$9:$AO$268 = BP6, "")</f>
        <v>44561</v>
      </c>
      <c r="BP9" s="68" cm="1">
        <f t="array" ref="BP9:BP67">_xlfn._xlws.FILTER(_xlfn.ANCHORARRAY(L9), $AO$9:$AO$268 = $BP$6, "")</f>
        <v>1.671964253331204E-2</v>
      </c>
      <c r="BQ9" s="68" cm="1">
        <f t="array" ref="BQ9:BQ67">_xlfn._xlws.FILTER(_xlfn.ANCHORARRAY(M9), $AO$9:$AO$268 = $BP$6, "")</f>
        <v>2.7860388643825562E-3</v>
      </c>
      <c r="BR9" s="68" cm="1">
        <f t="array" ref="BR9:BR67">_xlfn._xlws.FILTER(_xlfn.ANCHORARRAY(N9), $AO$9:$AO$268 = $BP$6, "")</f>
        <v>8.0748918993203134E-3</v>
      </c>
      <c r="BS9" s="68" cm="1">
        <f t="array" ref="BS9:BS67">_xlfn._xlws.FILTER(_xlfn.ANCHORARRAY(O9), $AO$9:$AO$268 = $BP$6, "")</f>
        <v>1.8926402287762434E-2</v>
      </c>
      <c r="BT9" s="68" cm="1">
        <f t="array" ref="BT9:BT67">_xlfn._xlws.FILTER(_xlfn.ANCHORARRAY(P9), $AO$9:$AO$268 = $BP$6, "")</f>
        <v>-1.2606828329317255E-2</v>
      </c>
      <c r="BU9" s="68" cm="1">
        <f t="array" ref="BU9:BU67">_xlfn._xlws.FILTER(_xlfn.ANCHORARRAY(Q9), $AO$9:$AO$268 = $BP$6, "")</f>
        <v>4.7562455166750839E-2</v>
      </c>
      <c r="BV9" s="68" cm="1">
        <f t="array" ref="BV9:BV67">_xlfn._xlws.FILTER(_xlfn.ANCHORARRAY(R9), $AO$9:$AO$268 = $BP$6, "")</f>
        <v>1.2948591977779778E-2</v>
      </c>
      <c r="BW9" s="68" cm="1">
        <f t="array" ref="BW9:BW67">_xlfn._xlws.FILTER(_xlfn.ANCHORARRAY(S9), $AO$9:$AO$268 = $BP$6, "")</f>
        <v>1.9243799972895825E-2</v>
      </c>
      <c r="BX9" s="68" cm="1">
        <f t="array" ref="BX9:BX67">_xlfn._xlws.FILTER(_xlfn.ANCHORARRAY(T9), $AO$9:$AO$268 = $BP$6, "")</f>
        <v>1.732193732193732E-2</v>
      </c>
      <c r="BY9" s="68" cm="1">
        <f t="array" ref="BY9:BY67">_xlfn._xlws.FILTER(_xlfn.ANCHORARRAY(U9), $AO$9:$AO$268 = $BP$6, "")</f>
        <v>1.0427877486475889E-2</v>
      </c>
      <c r="BZ9" s="68" cm="1">
        <f t="array" ref="BZ9:BZ67">_xlfn._xlws.FILTER(_xlfn.ANCHORARRAY(V9), $AO$9:$AO$268 = $BP$6, "")</f>
        <v>8.6731088457328021E-3</v>
      </c>
      <c r="CA9" s="1" t="s">
        <v>406</v>
      </c>
      <c r="CB9" s="62">
        <f t="shared" ref="CB9" si="15">MIN(_xlfn.ANCHORARRAY(BP9))</f>
        <v>-0.11133644565081824</v>
      </c>
      <c r="CC9" s="62">
        <f t="shared" ref="CC9" si="16">MIN(_xlfn.ANCHORARRAY(BQ9))</f>
        <v>-8.8429869513660275E-2</v>
      </c>
      <c r="CD9" s="62">
        <f t="shared" ref="CD9" si="17">MIN(_xlfn.ANCHORARRAY(BR9))</f>
        <v>-7.332376422811604E-2</v>
      </c>
      <c r="CE9" s="62">
        <f t="shared" ref="CE9" si="18">MIN(_xlfn.ANCHORARRAY(BS9))</f>
        <v>-9.6583696321299706E-2</v>
      </c>
      <c r="CF9" s="62">
        <f t="shared" ref="CF9" si="19">MIN(_xlfn.ANCHORARRAY(BT9))</f>
        <v>-8.2275617193219075E-2</v>
      </c>
      <c r="CG9" s="62">
        <f t="shared" ref="CG9" si="20">MIN(_xlfn.ANCHORARRAY(BU9))</f>
        <v>-0.10017433107634621</v>
      </c>
      <c r="CH9" s="62">
        <f t="shared" ref="CH9" si="21">MIN(_xlfn.ANCHORARRAY(BV9))</f>
        <v>-7.752380329242059E-2</v>
      </c>
      <c r="CI9" s="62">
        <f t="shared" ref="CI9" si="22">MIN(_xlfn.ANCHORARRAY(BW9))</f>
        <v>-0.10258098498814838</v>
      </c>
      <c r="CJ9" s="62">
        <f t="shared" ref="CJ9" si="23">MIN(_xlfn.ANCHORARRAY(BX9))</f>
        <v>-8.385674931129472E-2</v>
      </c>
      <c r="CK9" s="62">
        <f t="shared" ref="CK9" si="24">MIN(_xlfn.ANCHORARRAY(BY9))</f>
        <v>-7.716613072416989E-2</v>
      </c>
      <c r="CL9" s="62">
        <f t="shared" ref="CL9" si="25">MIN(_xlfn.ANCHORARRAY(BZ9))</f>
        <v>-3.295637660972317E-2</v>
      </c>
    </row>
    <row r="10" spans="1:90" x14ac:dyDescent="0.45">
      <c r="A10" s="3">
        <v>45961</v>
      </c>
      <c r="B10" s="48">
        <v>88.86</v>
      </c>
      <c r="C10" s="48">
        <v>113.36841</v>
      </c>
      <c r="D10" s="48">
        <v>157.72</v>
      </c>
      <c r="E10" s="48">
        <v>105.84</v>
      </c>
      <c r="F10" s="48">
        <v>34.654220000000002</v>
      </c>
      <c r="G10" s="48">
        <v>32.49</v>
      </c>
      <c r="H10">
        <v>60.98</v>
      </c>
      <c r="I10" s="48">
        <v>5.0890000000000004</v>
      </c>
      <c r="J10" s="49">
        <v>674.73685999999998</v>
      </c>
      <c r="K10" s="49">
        <v>13085.09786</v>
      </c>
      <c r="L10" s="50">
        <v>9.4286038850390774E-3</v>
      </c>
      <c r="M10" s="50">
        <v>-8.9262579041360368E-3</v>
      </c>
      <c r="N10" s="50">
        <v>1.3885317562355448E-2</v>
      </c>
      <c r="O10" s="50">
        <v>-5.0761421319795996E-3</v>
      </c>
      <c r="P10" s="50">
        <v>1.7081662739223624E-2</v>
      </c>
      <c r="Q10" s="50">
        <v>-1.4558689717925288E-2</v>
      </c>
      <c r="R10" s="47">
        <v>4.8117810950762949E-4</v>
      </c>
      <c r="S10" s="50">
        <v>-8.45528455284561E-3</v>
      </c>
      <c r="T10" s="50">
        <v>-6.5397755002438718E-3</v>
      </c>
      <c r="U10" s="50">
        <v>-3.9139652637021349E-5</v>
      </c>
      <c r="V10" s="50">
        <v>7.2089504322421227E-3</v>
      </c>
      <c r="W10" s="50">
        <f t="shared" si="2"/>
        <v>4.8117810950762949E-4</v>
      </c>
      <c r="X10" s="1" t="s">
        <v>407</v>
      </c>
      <c r="Y10" s="62">
        <f>MAX(_xlfn.ANCHORARRAY(L9))</f>
        <v>0.15800277543867258</v>
      </c>
      <c r="Z10" s="62">
        <f t="shared" ref="Z10:AI10" si="26">MAX(_xlfn.ANCHORARRAY(M9))</f>
        <v>0.15714121139275994</v>
      </c>
      <c r="AA10" s="62">
        <f t="shared" si="26"/>
        <v>0.13586236888796854</v>
      </c>
      <c r="AB10" s="62">
        <f t="shared" si="26"/>
        <v>0.18046910431309215</v>
      </c>
      <c r="AC10" s="62">
        <f t="shared" si="26"/>
        <v>0.18908361624873837</v>
      </c>
      <c r="AD10" s="62">
        <f t="shared" si="26"/>
        <v>0.19807087614835717</v>
      </c>
      <c r="AE10" s="62">
        <f t="shared" si="26"/>
        <v>0.13967943934268229</v>
      </c>
      <c r="AF10" s="62">
        <f t="shared" si="26"/>
        <v>0.26301998034719953</v>
      </c>
      <c r="AG10" s="62">
        <f t="shared" si="26"/>
        <v>0.10618641094608816</v>
      </c>
      <c r="AH10" s="62">
        <f t="shared" si="26"/>
        <v>0.13858316454507014</v>
      </c>
      <c r="AI10" s="62">
        <f t="shared" si="26"/>
        <v>6.6110222389675677E-2</v>
      </c>
      <c r="AM10" s="63">
        <f>AM9+1%</f>
        <v>-9.0000000000000011E-2</v>
      </c>
      <c r="AO10" t="str">
        <f t="shared" si="4"/>
        <v/>
      </c>
      <c r="AQ10" s="3">
        <v>45961</v>
      </c>
      <c r="AR10" s="59">
        <v>9.4286038850390774E-3</v>
      </c>
      <c r="AS10" s="59">
        <v>-8.9262579041360368E-3</v>
      </c>
      <c r="AT10" s="59">
        <v>1.3885317562355448E-2</v>
      </c>
      <c r="AU10" s="59">
        <v>-5.0761421319795996E-3</v>
      </c>
      <c r="AV10" s="59">
        <v>1.7081662739223624E-2</v>
      </c>
      <c r="AW10" s="59">
        <v>-1.4558689717925288E-2</v>
      </c>
      <c r="AX10" s="59">
        <v>4.8117810950762949E-4</v>
      </c>
      <c r="AY10" s="59">
        <v>-8.45528455284561E-3</v>
      </c>
      <c r="AZ10" s="59">
        <v>-6.5397755002438718E-3</v>
      </c>
      <c r="BA10" s="59">
        <v>-3.9139652637021349E-5</v>
      </c>
      <c r="BB10" s="59">
        <v>7.2089504322421227E-3</v>
      </c>
      <c r="BC10" s="1" t="s">
        <v>407</v>
      </c>
      <c r="BD10" s="62">
        <f t="shared" ref="BD10" si="27">MAX(_xlfn.ANCHORARRAY(AR9))</f>
        <v>0.15800277543867258</v>
      </c>
      <c r="BE10" s="62">
        <f t="shared" ref="BE10" si="28">MAX(_xlfn.ANCHORARRAY(AS9))</f>
        <v>0.15714121139275994</v>
      </c>
      <c r="BF10" s="62">
        <f t="shared" ref="BF10" si="29">MAX(_xlfn.ANCHORARRAY(AT9))</f>
        <v>0.13586236888796854</v>
      </c>
      <c r="BG10" s="62">
        <f t="shared" ref="BG10" si="30">MAX(_xlfn.ANCHORARRAY(AU9))</f>
        <v>0.14069630157782398</v>
      </c>
      <c r="BH10" s="62">
        <f t="shared" ref="BH10" si="31">MAX(_xlfn.ANCHORARRAY(AV9))</f>
        <v>0.15647230524240618</v>
      </c>
      <c r="BI10" s="62">
        <f t="shared" ref="BI10" si="32">MAX(_xlfn.ANCHORARRAY(AW9))</f>
        <v>0.19807087614835717</v>
      </c>
      <c r="BJ10" s="62">
        <f t="shared" ref="BJ10" si="33">MAX(_xlfn.ANCHORARRAY(AX9))</f>
        <v>0.13967943934268229</v>
      </c>
      <c r="BK10" s="62">
        <f t="shared" ref="BK10" si="34">MAX(_xlfn.ANCHORARRAY(AY9))</f>
        <v>0.26301998034719953</v>
      </c>
      <c r="BL10" s="62">
        <f t="shared" ref="BL10" si="35">MAX(_xlfn.ANCHORARRAY(AZ9))</f>
        <v>0.10089186176142695</v>
      </c>
      <c r="BM10" s="62">
        <f t="shared" ref="BM10:BN10" si="36">MAX(_xlfn.ANCHORARRAY(BA9))</f>
        <v>0.13858316454507014</v>
      </c>
      <c r="BN10" s="62">
        <f t="shared" si="36"/>
        <v>6.6110222389675677E-2</v>
      </c>
      <c r="BO10" s="3">
        <v>44553</v>
      </c>
      <c r="BP10" s="59">
        <v>3.7603890880007818E-2</v>
      </c>
      <c r="BQ10" s="59">
        <v>1.6491721305290197E-2</v>
      </c>
      <c r="BR10" s="59">
        <v>2.4735911764543594E-2</v>
      </c>
      <c r="BS10" s="59">
        <v>3.7857199786338835E-2</v>
      </c>
      <c r="BT10" s="59">
        <v>2.5475674552524641E-2</v>
      </c>
      <c r="BU10" s="59">
        <v>7.2703947506782551E-2</v>
      </c>
      <c r="BV10" s="59">
        <v>3.5452890983095967E-2</v>
      </c>
      <c r="BW10" s="59">
        <v>4.3410633484163075E-2</v>
      </c>
      <c r="BX10" s="59">
        <v>2.2608087635473728E-2</v>
      </c>
      <c r="BY10" s="59">
        <v>2.3718256807627736E-2</v>
      </c>
      <c r="BZ10" s="59">
        <v>2.2903046935049742E-2</v>
      </c>
      <c r="CA10" s="1" t="s">
        <v>407</v>
      </c>
      <c r="CB10" s="62">
        <f t="shared" ref="CB10" si="37">MAX(_xlfn.ANCHORARRAY(BP9))</f>
        <v>0.12170745218097423</v>
      </c>
      <c r="CC10" s="62">
        <f t="shared" ref="CC10" si="38">MAX(_xlfn.ANCHORARRAY(BQ9))</f>
        <v>0.12065463203501503</v>
      </c>
      <c r="CD10" s="62">
        <f t="shared" ref="CD10" si="39">MAX(_xlfn.ANCHORARRAY(BR9))</f>
        <v>9.0000034975918908E-2</v>
      </c>
      <c r="CE10" s="62">
        <f t="shared" ref="CE10" si="40">MAX(_xlfn.ANCHORARRAY(BS9))</f>
        <v>0.18046910431309215</v>
      </c>
      <c r="CF10" s="62">
        <f t="shared" ref="CF10" si="41">MAX(_xlfn.ANCHORARRAY(BT9))</f>
        <v>0.18908361624873837</v>
      </c>
      <c r="CG10" s="62">
        <f t="shared" ref="CG10" si="42">MAX(_xlfn.ANCHORARRAY(BU9))</f>
        <v>0.19201802036485094</v>
      </c>
      <c r="CH10" s="62">
        <f t="shared" ref="CH10" si="43">MAX(_xlfn.ANCHORARRAY(BV9))</f>
        <v>0.13928025209965839</v>
      </c>
      <c r="CI10" s="62">
        <f t="shared" ref="CI10" si="44">MAX(_xlfn.ANCHORARRAY(BW9))</f>
        <v>0.10621177985194707</v>
      </c>
      <c r="CJ10" s="62">
        <f t="shared" ref="CJ10" si="45">MAX(_xlfn.ANCHORARRAY(BX9))</f>
        <v>0.10618641094608816</v>
      </c>
      <c r="CK10" s="62">
        <f t="shared" ref="CK10" si="46">MAX(_xlfn.ANCHORARRAY(BY9))</f>
        <v>0.10091116615180429</v>
      </c>
      <c r="CL10" s="62">
        <f t="shared" ref="CL10" si="47">MAX(_xlfn.ANCHORARRAY(BZ9))</f>
        <v>4.6626306765750858E-2</v>
      </c>
    </row>
    <row r="11" spans="1:90" x14ac:dyDescent="0.45">
      <c r="A11" s="3">
        <v>45954</v>
      </c>
      <c r="B11" s="48">
        <v>88.03</v>
      </c>
      <c r="C11" s="48">
        <v>114.38948000000001</v>
      </c>
      <c r="D11" s="48">
        <v>155.56</v>
      </c>
      <c r="E11" s="48">
        <v>106.38</v>
      </c>
      <c r="F11" s="48">
        <v>34.072209999999998</v>
      </c>
      <c r="G11" s="48">
        <v>32.97</v>
      </c>
      <c r="H11">
        <v>61.5</v>
      </c>
      <c r="I11" s="48">
        <v>5.1224999999999996</v>
      </c>
      <c r="J11" s="49">
        <v>674.76327000000003</v>
      </c>
      <c r="K11" s="49">
        <v>12991.44319</v>
      </c>
      <c r="L11" s="50">
        <v>1.7923219241443133E-2</v>
      </c>
      <c r="M11" s="50">
        <v>2.8064888004767585E-2</v>
      </c>
      <c r="N11" s="50">
        <v>1.620067938332892E-2</v>
      </c>
      <c r="O11" s="50">
        <v>1.5063076633401451E-3</v>
      </c>
      <c r="P11" s="50">
        <v>4.2559493484196187E-2</v>
      </c>
      <c r="Q11" s="50">
        <v>3.8752362948960339E-2</v>
      </c>
      <c r="R11" s="47">
        <v>2.5416746296918636E-2</v>
      </c>
      <c r="S11" s="50">
        <v>7.6115485564304475E-2</v>
      </c>
      <c r="T11" s="50">
        <v>3.0787805614246766E-2</v>
      </c>
      <c r="U11" s="50">
        <v>2.369598336752432E-2</v>
      </c>
      <c r="V11" s="50">
        <v>1.9224728111935985E-2</v>
      </c>
      <c r="W11" s="50">
        <f t="shared" si="2"/>
        <v>2.5416746296918636E-2</v>
      </c>
      <c r="X11" t="s">
        <v>399</v>
      </c>
      <c r="Y11" s="58">
        <f t="shared" ref="Y11:AI11" si="48">AVERAGE(_xlfn.ANCHORARRAY(L9))</f>
        <v>5.3574992617951428E-3</v>
      </c>
      <c r="Z11" s="58">
        <f t="shared" si="48"/>
        <v>6.0968442569121423E-3</v>
      </c>
      <c r="AA11" s="58">
        <f t="shared" si="48"/>
        <v>3.9486511158948771E-3</v>
      </c>
      <c r="AB11" s="58">
        <f t="shared" si="48"/>
        <v>5.7737215551672523E-3</v>
      </c>
      <c r="AC11" s="58">
        <f t="shared" si="48"/>
        <v>4.3438849959769E-3</v>
      </c>
      <c r="AD11" s="58">
        <f t="shared" si="48"/>
        <v>6.9750358022005274E-3</v>
      </c>
      <c r="AE11" s="58">
        <f t="shared" si="48"/>
        <v>5.4276275452303391E-3</v>
      </c>
      <c r="AF11" s="58">
        <f t="shared" si="48"/>
        <v>2.7057946979867761E-3</v>
      </c>
      <c r="AG11" s="58">
        <f t="shared" si="48"/>
        <v>2.4220670901806264E-3</v>
      </c>
      <c r="AH11" s="58">
        <f t="shared" si="48"/>
        <v>4.6214617445796916E-3</v>
      </c>
      <c r="AI11" s="58">
        <f t="shared" si="48"/>
        <v>2.8735148086219257E-3</v>
      </c>
      <c r="AM11" s="63">
        <f t="shared" ref="AM11:AM29" si="49">AM10+1%</f>
        <v>-8.0000000000000016E-2</v>
      </c>
      <c r="AO11" t="str">
        <f t="shared" si="4"/>
        <v/>
      </c>
      <c r="AQ11" s="3">
        <v>45954</v>
      </c>
      <c r="AR11" s="59">
        <v>1.7923219241443133E-2</v>
      </c>
      <c r="AS11" s="59">
        <v>2.8064888004767585E-2</v>
      </c>
      <c r="AT11" s="59">
        <v>1.620067938332892E-2</v>
      </c>
      <c r="AU11" s="59">
        <v>1.5063076633401451E-3</v>
      </c>
      <c r="AV11" s="59">
        <v>4.2559493484196187E-2</v>
      </c>
      <c r="AW11" s="59">
        <v>3.8752362948960339E-2</v>
      </c>
      <c r="AX11" s="59">
        <v>2.5416746296918636E-2</v>
      </c>
      <c r="AY11" s="59">
        <v>7.6115485564304475E-2</v>
      </c>
      <c r="AZ11" s="59">
        <v>3.0787805614246766E-2</v>
      </c>
      <c r="BA11" s="59">
        <v>2.369598336752432E-2</v>
      </c>
      <c r="BB11" s="59">
        <v>1.9224728111935985E-2</v>
      </c>
      <c r="BC11" t="s">
        <v>399</v>
      </c>
      <c r="BD11" s="58">
        <f t="shared" ref="BD11:BN11" si="50">AVERAGE(_xlfn.ANCHORARRAY(AR9))</f>
        <v>2.7678130729801983E-3</v>
      </c>
      <c r="BE11" s="58">
        <f t="shared" si="50"/>
        <v>4.6761935700074834E-3</v>
      </c>
      <c r="BF11" s="58">
        <f t="shared" si="50"/>
        <v>2.8645842952768098E-3</v>
      </c>
      <c r="BG11" s="58">
        <f t="shared" si="50"/>
        <v>2.9741047018534516E-3</v>
      </c>
      <c r="BH11" s="58">
        <f t="shared" si="50"/>
        <v>3.3243799002455631E-3</v>
      </c>
      <c r="BI11" s="58">
        <f t="shared" si="50"/>
        <v>1.2439967510315057E-3</v>
      </c>
      <c r="BJ11" s="58">
        <f t="shared" si="50"/>
        <v>3.0166518436829629E-3</v>
      </c>
      <c r="BK11" s="58">
        <f t="shared" si="50"/>
        <v>1.3949491311436696E-4</v>
      </c>
      <c r="BL11" s="58">
        <f t="shared" si="50"/>
        <v>1.2833455519189571E-3</v>
      </c>
      <c r="BM11" s="58">
        <f t="shared" si="50"/>
        <v>3.1679519824116577E-3</v>
      </c>
      <c r="BN11" s="58">
        <f t="shared" si="50"/>
        <v>2.2026831683724453E-3</v>
      </c>
      <c r="BO11" s="3">
        <v>44547</v>
      </c>
      <c r="BP11" s="59">
        <v>-6.6403621363817056E-2</v>
      </c>
      <c r="BQ11" s="59">
        <v>-4.7294066340293317E-2</v>
      </c>
      <c r="BR11" s="59">
        <v>-4.0054124647357914E-2</v>
      </c>
      <c r="BS11" s="59">
        <v>-4.1561061159971269E-2</v>
      </c>
      <c r="BT11" s="59">
        <v>-4.0496285203785232E-2</v>
      </c>
      <c r="BU11" s="59">
        <v>-9.7190212793285435E-2</v>
      </c>
      <c r="BV11" s="59">
        <v>-5.3319150028938632E-2</v>
      </c>
      <c r="BW11" s="59">
        <v>-1.0632344711807518E-2</v>
      </c>
      <c r="BX11" s="59">
        <v>1.5172735760971001E-3</v>
      </c>
      <c r="BY11" s="59">
        <v>-5.0931965557523995E-2</v>
      </c>
      <c r="BZ11" s="59">
        <v>-1.9197762284921427E-2</v>
      </c>
      <c r="CA11" t="s">
        <v>399</v>
      </c>
      <c r="CB11" s="58">
        <f t="shared" ref="CB11:CL11" si="51">AVERAGE(_xlfn.ANCHORARRAY(BP9))</f>
        <v>1.4179989498266394E-2</v>
      </c>
      <c r="CC11" s="58">
        <f t="shared" si="51"/>
        <v>1.0936688122468688E-2</v>
      </c>
      <c r="CD11" s="58">
        <f t="shared" si="51"/>
        <v>7.6418279115598167E-3</v>
      </c>
      <c r="CE11" s="58">
        <f t="shared" si="51"/>
        <v>1.5311399309676978E-2</v>
      </c>
      <c r="CF11" s="58">
        <f t="shared" si="51"/>
        <v>7.8171142204175557E-3</v>
      </c>
      <c r="CG11" s="58">
        <f t="shared" si="51"/>
        <v>2.6499423078217031E-2</v>
      </c>
      <c r="CH11" s="58">
        <f t="shared" si="51"/>
        <v>1.3641290528468011E-2</v>
      </c>
      <c r="CI11" s="58">
        <f t="shared" si="51"/>
        <v>1.1448612609162271E-2</v>
      </c>
      <c r="CJ11" s="58">
        <f t="shared" si="51"/>
        <v>6.3014404662924146E-3</v>
      </c>
      <c r="CK11" s="58">
        <f t="shared" si="51"/>
        <v>9.5732492394233308E-3</v>
      </c>
      <c r="CL11" s="58">
        <f t="shared" si="51"/>
        <v>5.1588903965904941E-3</v>
      </c>
    </row>
    <row r="12" spans="1:90" x14ac:dyDescent="0.45">
      <c r="A12" s="3">
        <v>45947</v>
      </c>
      <c r="B12" s="48">
        <v>86.48</v>
      </c>
      <c r="C12" s="48">
        <v>111.26679</v>
      </c>
      <c r="D12" s="48">
        <v>153.08000000000001</v>
      </c>
      <c r="E12" s="48">
        <v>106.22</v>
      </c>
      <c r="F12" s="48">
        <v>32.681310000000003</v>
      </c>
      <c r="G12" s="48">
        <v>31.74</v>
      </c>
      <c r="H12">
        <v>57.15</v>
      </c>
      <c r="I12" s="48">
        <v>4.9695</v>
      </c>
      <c r="J12" s="49">
        <v>659.14419999999996</v>
      </c>
      <c r="K12" s="49">
        <v>12746.39717</v>
      </c>
      <c r="L12" s="50">
        <v>-1.3235965312642595E-2</v>
      </c>
      <c r="M12" s="50">
        <v>1.3636708572815293E-2</v>
      </c>
      <c r="N12" s="50">
        <v>2.8072531900604547E-2</v>
      </c>
      <c r="O12" s="50">
        <v>-7.6810827879097987E-3</v>
      </c>
      <c r="P12" s="50">
        <v>-1.0749345495260854E-2</v>
      </c>
      <c r="Q12" s="50">
        <v>-2.3384615384615448E-2</v>
      </c>
      <c r="R12" s="47">
        <v>-2.1160638873252147E-5</v>
      </c>
      <c r="S12" s="50">
        <v>-2.2742818057455483E-2</v>
      </c>
      <c r="T12" s="50">
        <v>1.5427053534940782E-2</v>
      </c>
      <c r="U12" s="50">
        <v>9.3831577145850886E-3</v>
      </c>
      <c r="V12" s="50">
        <v>1.7096855014920864E-2</v>
      </c>
      <c r="W12" s="50">
        <f t="shared" si="2"/>
        <v>-2.1160638873252147E-5</v>
      </c>
      <c r="X12" t="s">
        <v>400</v>
      </c>
      <c r="Y12" s="58">
        <f t="shared" ref="Y12:AI12" si="52">MEDIAN(_xlfn.ANCHORARRAY(L9))</f>
        <v>5.0756683387018775E-3</v>
      </c>
      <c r="Z12" s="58">
        <f t="shared" si="52"/>
        <v>8.6114719976959631E-3</v>
      </c>
      <c r="AA12" s="58">
        <f t="shared" si="52"/>
        <v>5.0874746237373758E-3</v>
      </c>
      <c r="AB12" s="58">
        <f t="shared" si="52"/>
        <v>2.8130300137116926E-3</v>
      </c>
      <c r="AC12" s="58">
        <f t="shared" si="52"/>
        <v>2.1320398095564519E-3</v>
      </c>
      <c r="AD12" s="58">
        <f t="shared" si="52"/>
        <v>4.1306723693632641E-3</v>
      </c>
      <c r="AE12" s="58">
        <f t="shared" si="52"/>
        <v>6.4373018933515328E-3</v>
      </c>
      <c r="AF12" s="58">
        <f t="shared" si="52"/>
        <v>3.2191818376668957E-3</v>
      </c>
      <c r="AG12" s="58">
        <f t="shared" si="52"/>
        <v>1.5990064841741036E-3</v>
      </c>
      <c r="AH12" s="58">
        <f t="shared" si="52"/>
        <v>7.392107215436261E-3</v>
      </c>
      <c r="AI12" s="58">
        <f t="shared" si="52"/>
        <v>4.4297329942891706E-3</v>
      </c>
      <c r="AM12" s="63">
        <f t="shared" si="49"/>
        <v>-7.0000000000000021E-2</v>
      </c>
      <c r="AO12" t="str">
        <f t="shared" si="4"/>
        <v/>
      </c>
      <c r="AQ12" s="3">
        <v>45947</v>
      </c>
      <c r="AR12" s="59">
        <v>-1.3235965312642595E-2</v>
      </c>
      <c r="AS12" s="59">
        <v>1.3636708572815293E-2</v>
      </c>
      <c r="AT12" s="59">
        <v>2.8072531900604547E-2</v>
      </c>
      <c r="AU12" s="59">
        <v>-7.6810827879097987E-3</v>
      </c>
      <c r="AV12" s="59">
        <v>-1.0749345495260854E-2</v>
      </c>
      <c r="AW12" s="59">
        <v>-2.3384615384615448E-2</v>
      </c>
      <c r="AX12" s="59">
        <v>-2.1160638873252147E-5</v>
      </c>
      <c r="AY12" s="59">
        <v>-2.2742818057455483E-2</v>
      </c>
      <c r="AZ12" s="59">
        <v>1.5427053534940782E-2</v>
      </c>
      <c r="BA12" s="59">
        <v>9.3831577145850886E-3</v>
      </c>
      <c r="BB12" s="59">
        <v>1.7096855014920864E-2</v>
      </c>
      <c r="BC12" t="s">
        <v>400</v>
      </c>
      <c r="BD12" s="58">
        <f t="shared" ref="BD12:BN12" si="53">MEDIAN(_xlfn.ANCHORARRAY(AR9))</f>
        <v>4.7907793000994126E-3</v>
      </c>
      <c r="BE12" s="58">
        <f t="shared" si="53"/>
        <v>8.6919251725394719E-3</v>
      </c>
      <c r="BF12" s="58">
        <f t="shared" si="53"/>
        <v>5.6638451004695778E-3</v>
      </c>
      <c r="BG12" s="58">
        <f t="shared" si="53"/>
        <v>1.6163562901003736E-3</v>
      </c>
      <c r="BH12" s="58">
        <f t="shared" si="53"/>
        <v>2.8128258157693597E-3</v>
      </c>
      <c r="BI12" s="58">
        <f t="shared" si="53"/>
        <v>2.8158989563755732E-3</v>
      </c>
      <c r="BJ12" s="58">
        <f t="shared" si="53"/>
        <v>7.1376795351082659E-3</v>
      </c>
      <c r="BK12" s="58">
        <f t="shared" si="53"/>
        <v>-2.5400050800095109E-4</v>
      </c>
      <c r="BL12" s="58">
        <f t="shared" si="53"/>
        <v>2.2880677268055649E-4</v>
      </c>
      <c r="BM12" s="58">
        <f t="shared" si="53"/>
        <v>7.3716063353481687E-3</v>
      </c>
      <c r="BN12" s="58">
        <f t="shared" si="53"/>
        <v>3.6006258742242725E-3</v>
      </c>
      <c r="BO12" s="3">
        <v>44540</v>
      </c>
      <c r="BP12" s="59">
        <v>3.3469301104942506E-2</v>
      </c>
      <c r="BQ12" s="59">
        <v>3.4816827565423036E-2</v>
      </c>
      <c r="BR12" s="59">
        <v>3.4350134646855324E-2</v>
      </c>
      <c r="BS12" s="59">
        <v>4.2911865229067203E-2</v>
      </c>
      <c r="BT12" s="59">
        <v>1.858025796596241E-2</v>
      </c>
      <c r="BU12" s="59">
        <v>5.9315466542359641E-2</v>
      </c>
      <c r="BV12" s="59">
        <v>3.7994910389933523E-2</v>
      </c>
      <c r="BW12" s="59">
        <v>7.8780561424690587E-2</v>
      </c>
      <c r="BX12" s="59">
        <v>4.1017227235438103E-3</v>
      </c>
      <c r="BY12" s="59">
        <v>3.6921923149793257E-2</v>
      </c>
      <c r="BZ12" s="59">
        <v>3.8391161101745785E-2</v>
      </c>
      <c r="CA12" t="s">
        <v>400</v>
      </c>
      <c r="CB12" s="58">
        <f t="shared" ref="CB12:CL12" si="54">MEDIAN(_xlfn.ANCHORARRAY(BP9))</f>
        <v>9.3958324487282141E-3</v>
      </c>
      <c r="CC12" s="58">
        <f t="shared" si="54"/>
        <v>8.5310188228524542E-3</v>
      </c>
      <c r="CD12" s="58">
        <f t="shared" si="54"/>
        <v>2.4335844561815811E-3</v>
      </c>
      <c r="CE12" s="58">
        <f t="shared" si="54"/>
        <v>5.4436480807509291E-3</v>
      </c>
      <c r="CF12" s="58">
        <f t="shared" si="54"/>
        <v>-5.4992184481678086E-3</v>
      </c>
      <c r="CG12" s="58">
        <f t="shared" si="54"/>
        <v>8.5869678288024165E-3</v>
      </c>
      <c r="CH12" s="58">
        <f t="shared" si="54"/>
        <v>5.5328261420980237E-3</v>
      </c>
      <c r="CI12" s="58">
        <f t="shared" si="54"/>
        <v>8.0011638056445289E-3</v>
      </c>
      <c r="CJ12" s="58">
        <f t="shared" si="54"/>
        <v>4.5409916543939222E-3</v>
      </c>
      <c r="CK12" s="58">
        <f t="shared" si="54"/>
        <v>1.0427877486475889E-2</v>
      </c>
      <c r="CL12" s="58">
        <f t="shared" si="54"/>
        <v>7.3912927466615042E-3</v>
      </c>
    </row>
    <row r="13" spans="1:90" x14ac:dyDescent="0.45">
      <c r="A13" s="3">
        <v>45940</v>
      </c>
      <c r="B13" s="48">
        <v>87.64</v>
      </c>
      <c r="C13" s="48">
        <v>109.76989</v>
      </c>
      <c r="D13" s="48">
        <v>148.9</v>
      </c>
      <c r="E13" s="48">
        <v>107.04219999999999</v>
      </c>
      <c r="F13" s="48">
        <v>33.036430000000003</v>
      </c>
      <c r="G13" s="48">
        <v>32.5</v>
      </c>
      <c r="H13">
        <v>58.48</v>
      </c>
      <c r="I13" s="48">
        <v>4.8940000000000001</v>
      </c>
      <c r="J13" s="49">
        <v>653.01684</v>
      </c>
      <c r="K13" s="49">
        <v>12532.13704</v>
      </c>
      <c r="L13" s="50">
        <v>-6.9243840271877577E-2</v>
      </c>
      <c r="M13" s="50">
        <v>-2.2337956829457606E-2</v>
      </c>
      <c r="N13" s="50">
        <v>-3.0283295343536354E-2</v>
      </c>
      <c r="O13" s="50">
        <v>-2.4902995601495559E-2</v>
      </c>
      <c r="P13" s="50">
        <v>-1.9613702675817968E-2</v>
      </c>
      <c r="Q13" s="50">
        <v>-5.960648148148151E-2</v>
      </c>
      <c r="R13" s="47">
        <v>-3.1348886386357799E-2</v>
      </c>
      <c r="S13" s="50">
        <v>-3.3867503717165071E-2</v>
      </c>
      <c r="T13" s="50">
        <v>-4.2082599334507753E-2</v>
      </c>
      <c r="U13" s="50">
        <v>-3.9815614062883031E-2</v>
      </c>
      <c r="V13" s="50">
        <v>-2.4144208591569738E-2</v>
      </c>
      <c r="W13" s="50">
        <f t="shared" si="2"/>
        <v>-3.1348886386357799E-2</v>
      </c>
      <c r="X13" t="s">
        <v>401</v>
      </c>
      <c r="Y13" s="59">
        <f>_xlfn.STDEV.S(_xlfn.ANCHORARRAY(L9))</f>
        <v>4.9780109164801058E-2</v>
      </c>
      <c r="Z13" s="59">
        <f t="shared" ref="Z13:AI13" si="55">_xlfn.STDEV.S(_xlfn.ANCHORARRAY(M9))</f>
        <v>4.0407642530582939E-2</v>
      </c>
      <c r="AA13" s="59">
        <f t="shared" si="55"/>
        <v>3.7632334035016354E-2</v>
      </c>
      <c r="AB13" s="59">
        <f t="shared" si="55"/>
        <v>5.237811047194664E-2</v>
      </c>
      <c r="AC13" s="59">
        <f t="shared" si="55"/>
        <v>4.2100213124154032E-2</v>
      </c>
      <c r="AD13" s="59">
        <f t="shared" si="55"/>
        <v>6.2355827256755966E-2</v>
      </c>
      <c r="AE13" s="59">
        <f t="shared" si="55"/>
        <v>4.2730672988467326E-2</v>
      </c>
      <c r="AF13" s="59">
        <f t="shared" si="55"/>
        <v>4.9276239542201436E-2</v>
      </c>
      <c r="AG13" s="59">
        <f t="shared" si="55"/>
        <v>3.7241326388042104E-2</v>
      </c>
      <c r="AH13" s="59">
        <f t="shared" si="55"/>
        <v>4.0202439490833249E-2</v>
      </c>
      <c r="AI13" s="59">
        <f t="shared" si="55"/>
        <v>2.2422713939989004E-2</v>
      </c>
      <c r="AM13" s="63">
        <f t="shared" si="49"/>
        <v>-6.0000000000000019E-2</v>
      </c>
      <c r="AO13" t="str">
        <f t="shared" si="4"/>
        <v/>
      </c>
      <c r="AQ13" s="3">
        <v>45940</v>
      </c>
      <c r="AR13" s="59">
        <v>-6.9243840271877577E-2</v>
      </c>
      <c r="AS13" s="59">
        <v>-2.2337956829457606E-2</v>
      </c>
      <c r="AT13" s="59">
        <v>-3.0283295343536354E-2</v>
      </c>
      <c r="AU13" s="59">
        <v>-2.4902995601495559E-2</v>
      </c>
      <c r="AV13" s="59">
        <v>-1.9613702675817968E-2</v>
      </c>
      <c r="AW13" s="59">
        <v>-5.960648148148151E-2</v>
      </c>
      <c r="AX13" s="59">
        <v>-3.1348886386357799E-2</v>
      </c>
      <c r="AY13" s="59">
        <v>-3.3867503717165071E-2</v>
      </c>
      <c r="AZ13" s="59">
        <v>-4.2082599334507753E-2</v>
      </c>
      <c r="BA13" s="59">
        <v>-3.9815614062883031E-2</v>
      </c>
      <c r="BB13" s="59">
        <v>-2.4144208591569738E-2</v>
      </c>
      <c r="BC13" t="s">
        <v>401</v>
      </c>
      <c r="BD13" s="59">
        <f t="shared" ref="BD13" si="56">_xlfn.STDEV.S(_xlfn.ANCHORARRAY(AR9))</f>
        <v>4.8094107201157511E-2</v>
      </c>
      <c r="BE13" s="59">
        <f t="shared" ref="BE13" si="57">_xlfn.STDEV.S(_xlfn.ANCHORARRAY(AS9))</f>
        <v>3.9384184752440612E-2</v>
      </c>
      <c r="BF13" s="59">
        <f t="shared" ref="BF13" si="58">_xlfn.STDEV.S(_xlfn.ANCHORARRAY(AT9))</f>
        <v>3.808109164543004E-2</v>
      </c>
      <c r="BG13" s="59">
        <f t="shared" ref="BG13" si="59">_xlfn.STDEV.S(_xlfn.ANCHORARRAY(AU9))</f>
        <v>4.9045869195525067E-2</v>
      </c>
      <c r="BH13" s="59">
        <f t="shared" ref="BH13" si="60">_xlfn.STDEV.S(_xlfn.ANCHORARRAY(AV9))</f>
        <v>4.0522632246307082E-2</v>
      </c>
      <c r="BI13" s="59">
        <f t="shared" ref="BI13" si="61">_xlfn.STDEV.S(_xlfn.ANCHORARRAY(AW9))</f>
        <v>5.6745674450732413E-2</v>
      </c>
      <c r="BJ13" s="59">
        <f t="shared" ref="BJ13" si="62">_xlfn.STDEV.S(_xlfn.ANCHORARRAY(AX9))</f>
        <v>4.0573262671614506E-2</v>
      </c>
      <c r="BK13" s="59">
        <f t="shared" ref="BK13" si="63">_xlfn.STDEV.S(_xlfn.ANCHORARRAY(AY9))</f>
        <v>5.1068110580890613E-2</v>
      </c>
      <c r="BL13" s="59">
        <f t="shared" ref="BL13" si="64">_xlfn.STDEV.S(_xlfn.ANCHORARRAY(AZ9))</f>
        <v>3.8431382577976507E-2</v>
      </c>
      <c r="BM13" s="59">
        <f t="shared" ref="BM13:BN13" si="65">_xlfn.STDEV.S(_xlfn.ANCHORARRAY(BA9))</f>
        <v>3.9047373199462901E-2</v>
      </c>
      <c r="BN13" s="59">
        <f t="shared" si="65"/>
        <v>2.3959253062927621E-2</v>
      </c>
      <c r="BO13" s="3">
        <v>44533</v>
      </c>
      <c r="BP13" s="59">
        <v>-5.1761852338998438E-3</v>
      </c>
      <c r="BQ13" s="59">
        <v>-5.877471136746415E-3</v>
      </c>
      <c r="BR13" s="59">
        <v>-8.7324774476971179E-4</v>
      </c>
      <c r="BS13" s="59">
        <v>-1.6357795508844641E-2</v>
      </c>
      <c r="BT13" s="59">
        <v>3.6594849317952205E-2</v>
      </c>
      <c r="BU13" s="59">
        <v>-2.1779751202640085E-2</v>
      </c>
      <c r="BV13" s="59">
        <v>-1.6586832550097297E-3</v>
      </c>
      <c r="BW13" s="59">
        <v>-2.7732942039618513E-2</v>
      </c>
      <c r="BX13" s="59">
        <v>-3.9687171705381497E-3</v>
      </c>
      <c r="BY13" s="59">
        <v>-8.2704476674521077E-3</v>
      </c>
      <c r="BZ13" s="59">
        <v>-1.1893811455907177E-2</v>
      </c>
      <c r="CA13" t="s">
        <v>401</v>
      </c>
      <c r="CB13" s="59">
        <f t="shared" ref="CB13" si="66">_xlfn.STDEV.S(_xlfn.ANCHORARRAY(BP9))</f>
        <v>5.4656983013732133E-2</v>
      </c>
      <c r="CC13" s="59">
        <f t="shared" ref="CC13" si="67">_xlfn.STDEV.S(_xlfn.ANCHORARRAY(BQ9))</f>
        <v>4.3723051013863624E-2</v>
      </c>
      <c r="CD13" s="59">
        <f t="shared" ref="CD13" si="68">_xlfn.STDEV.S(_xlfn.ANCHORARRAY(BR9))</f>
        <v>3.6131707591703935E-2</v>
      </c>
      <c r="CE13" s="59">
        <f t="shared" ref="CE13" si="69">_xlfn.STDEV.S(_xlfn.ANCHORARRAY(BS9))</f>
        <v>6.1939330153742853E-2</v>
      </c>
      <c r="CF13" s="59">
        <f t="shared" ref="CF13" si="70">_xlfn.STDEV.S(_xlfn.ANCHORARRAY(BT9))</f>
        <v>4.7292457566361086E-2</v>
      </c>
      <c r="CG13" s="59">
        <f t="shared" ref="CG13" si="71">_xlfn.STDEV.S(_xlfn.ANCHORARRAY(BU9))</f>
        <v>7.5879841541745874E-2</v>
      </c>
      <c r="CH13" s="59">
        <f t="shared" ref="CH13" si="72">_xlfn.STDEV.S(_xlfn.ANCHORARRAY(BV9))</f>
        <v>4.8870713250095774E-2</v>
      </c>
      <c r="CI13" s="59">
        <f t="shared" ref="CI13" si="73">_xlfn.STDEV.S(_xlfn.ANCHORARRAY(BW9))</f>
        <v>4.1826066859256564E-2</v>
      </c>
      <c r="CJ13" s="59">
        <f t="shared" ref="CJ13" si="74">_xlfn.STDEV.S(_xlfn.ANCHORARRAY(BX9))</f>
        <v>3.2870843167041343E-2</v>
      </c>
      <c r="CK13" s="59">
        <f t="shared" ref="CK13" si="75">_xlfn.STDEV.S(_xlfn.ANCHORARRAY(BY9))</f>
        <v>4.3903174652787563E-2</v>
      </c>
      <c r="CL13" s="59">
        <f t="shared" ref="CL13" si="76">_xlfn.STDEV.S(_xlfn.ANCHORARRAY(BZ9))</f>
        <v>1.6087990787608281E-2</v>
      </c>
    </row>
    <row r="14" spans="1:90" x14ac:dyDescent="0.45">
      <c r="A14" s="3">
        <v>45933</v>
      </c>
      <c r="B14" s="48">
        <v>94.16</v>
      </c>
      <c r="C14" s="48">
        <v>112.27795</v>
      </c>
      <c r="D14" s="48">
        <v>153.55000000000001</v>
      </c>
      <c r="E14" s="48">
        <v>109.77594999999999</v>
      </c>
      <c r="F14" s="48">
        <v>33.697360000000003</v>
      </c>
      <c r="G14" s="48">
        <v>34.56</v>
      </c>
      <c r="H14">
        <v>60.53</v>
      </c>
      <c r="I14" s="48">
        <v>5.109</v>
      </c>
      <c r="J14" s="49">
        <v>680.09524999999996</v>
      </c>
      <c r="K14" s="49">
        <v>12842.20184</v>
      </c>
      <c r="L14" s="50">
        <v>-4.3866774979691381E-2</v>
      </c>
      <c r="M14" s="50">
        <v>-3.3782599352980447E-2</v>
      </c>
      <c r="N14" s="50">
        <v>-4.1271228771228685E-2</v>
      </c>
      <c r="O14" s="50">
        <v>-5.5238242282411143E-2</v>
      </c>
      <c r="P14" s="50">
        <v>-4.2869186039905971E-2</v>
      </c>
      <c r="Q14" s="50">
        <v>-6.5693430656934337E-2</v>
      </c>
      <c r="R14" s="47">
        <v>-4.7770937420692119E-2</v>
      </c>
      <c r="S14" s="50">
        <v>-7.0770647835431411E-2</v>
      </c>
      <c r="T14" s="50">
        <v>7.0732474064759687E-2</v>
      </c>
      <c r="U14" s="50">
        <v>-3.3459641044499056E-2</v>
      </c>
      <c r="V14" s="50">
        <v>1.1044323602237061E-2</v>
      </c>
      <c r="W14" s="50">
        <f t="shared" si="2"/>
        <v>-4.7770937420692119E-2</v>
      </c>
      <c r="X14" t="s">
        <v>402</v>
      </c>
      <c r="Y14" s="48">
        <f>SKEW(_xlfn.ANCHORARRAY(L9))</f>
        <v>-7.8221223909694146E-2</v>
      </c>
      <c r="Z14" s="48">
        <f t="shared" ref="Z14:AI14" si="77">SKEW(_xlfn.ANCHORARRAY(M9))</f>
        <v>0.11208684474819973</v>
      </c>
      <c r="AA14" s="48">
        <f t="shared" si="77"/>
        <v>-0.34856295407283916</v>
      </c>
      <c r="AB14" s="48">
        <f t="shared" si="77"/>
        <v>0.17004694356415992</v>
      </c>
      <c r="AC14" s="48">
        <f t="shared" si="77"/>
        <v>0.19310322449030498</v>
      </c>
      <c r="AD14" s="48">
        <f t="shared" si="77"/>
        <v>0.21646578931182839</v>
      </c>
      <c r="AE14" s="48">
        <f t="shared" si="77"/>
        <v>-3.0698724165533466E-2</v>
      </c>
      <c r="AF14" s="48">
        <f t="shared" si="77"/>
        <v>0.34655422053385426</v>
      </c>
      <c r="AG14" s="48">
        <f t="shared" si="77"/>
        <v>-0.99378059731993162</v>
      </c>
      <c r="AH14" s="48">
        <f t="shared" si="77"/>
        <v>-0.19701772818079874</v>
      </c>
      <c r="AI14" s="48">
        <f t="shared" si="77"/>
        <v>-0.16692565548610025</v>
      </c>
      <c r="AM14" s="63">
        <f t="shared" si="49"/>
        <v>-5.0000000000000017E-2</v>
      </c>
      <c r="AO14" t="str">
        <f t="shared" si="4"/>
        <v/>
      </c>
      <c r="AQ14" s="3">
        <v>45933</v>
      </c>
      <c r="AR14" s="59">
        <v>-4.3866774979691381E-2</v>
      </c>
      <c r="AS14" s="59">
        <v>-3.3782599352980447E-2</v>
      </c>
      <c r="AT14" s="59">
        <v>-4.1271228771228685E-2</v>
      </c>
      <c r="AU14" s="59">
        <v>-5.5238242282411143E-2</v>
      </c>
      <c r="AV14" s="59">
        <v>-4.2869186039905971E-2</v>
      </c>
      <c r="AW14" s="59">
        <v>-6.5693430656934337E-2</v>
      </c>
      <c r="AX14" s="59">
        <v>-4.7770937420692119E-2</v>
      </c>
      <c r="AY14" s="59">
        <v>-7.0770647835431411E-2</v>
      </c>
      <c r="AZ14" s="59">
        <v>7.0732474064759687E-2</v>
      </c>
      <c r="BA14" s="59">
        <v>-3.3459641044499056E-2</v>
      </c>
      <c r="BB14" s="59">
        <v>1.1044323602237061E-2</v>
      </c>
      <c r="BC14" t="s">
        <v>402</v>
      </c>
      <c r="BD14" s="48">
        <f t="shared" ref="BD14" si="78">SKEW(_xlfn.ANCHORARRAY(AR9))</f>
        <v>-0.24999665470522905</v>
      </c>
      <c r="BE14" s="48">
        <f t="shared" ref="BE14" si="79">SKEW(_xlfn.ANCHORARRAY(AS9))</f>
        <v>-1.1290152764396908E-2</v>
      </c>
      <c r="BF14" s="48">
        <f t="shared" ref="BF14" si="80">SKEW(_xlfn.ANCHORARRAY(AT9))</f>
        <v>-0.38609866070091686</v>
      </c>
      <c r="BG14" s="48">
        <f t="shared" ref="BG14" si="81">SKEW(_xlfn.ANCHORARRAY(AU9))</f>
        <v>-0.15702462808897788</v>
      </c>
      <c r="BH14" s="48">
        <f t="shared" ref="BH14" si="82">SKEW(_xlfn.ANCHORARRAY(AV9))</f>
        <v>-0.16000720501668381</v>
      </c>
      <c r="BI14" s="48">
        <f t="shared" ref="BI14" si="83">SKEW(_xlfn.ANCHORARRAY(AW9))</f>
        <v>-8.6361833010660874E-2</v>
      </c>
      <c r="BJ14" s="48">
        <f t="shared" ref="BJ14" si="84">SKEW(_xlfn.ANCHORARRAY(AX9))</f>
        <v>-0.31178031329848066</v>
      </c>
      <c r="BK14" s="48">
        <f t="shared" ref="BK14" si="85">SKEW(_xlfn.ANCHORARRAY(AY9))</f>
        <v>0.50544927524111771</v>
      </c>
      <c r="BL14" s="48">
        <f t="shared" ref="BL14" si="86">SKEW(_xlfn.ANCHORARRAY(AZ9))</f>
        <v>-1.1677484123643456</v>
      </c>
      <c r="BM14" s="48">
        <f t="shared" ref="BM14:BN14" si="87">SKEW(_xlfn.ANCHORARRAY(BA9))</f>
        <v>-0.32904618204030273</v>
      </c>
      <c r="BN14" s="48">
        <f t="shared" si="87"/>
        <v>-0.12380163063977098</v>
      </c>
      <c r="BO14" s="3">
        <v>44526</v>
      </c>
      <c r="BP14" s="59">
        <v>2.6863969839544533E-2</v>
      </c>
      <c r="BQ14" s="59">
        <v>9.5599322963995093E-3</v>
      </c>
      <c r="BR14" s="59">
        <v>2.3232971515687817E-2</v>
      </c>
      <c r="BS14" s="59">
        <v>2.0308191403081821E-2</v>
      </c>
      <c r="BT14" s="59">
        <v>-1.0293634827317155E-2</v>
      </c>
      <c r="BU14" s="59">
        <v>5.1724012011544085E-2</v>
      </c>
      <c r="BV14" s="59">
        <v>1.8906294479879217E-2</v>
      </c>
      <c r="BW14" s="59">
        <v>-0.10258098498814838</v>
      </c>
      <c r="BX14" s="59">
        <v>-2.8133862733976112E-2</v>
      </c>
      <c r="BY14" s="59">
        <v>1.6593175721882902E-2</v>
      </c>
      <c r="BZ14" s="59">
        <v>-2.1878931862141959E-2</v>
      </c>
      <c r="CA14" t="s">
        <v>402</v>
      </c>
      <c r="CB14" s="48">
        <f t="shared" ref="CB14" si="88">SKEW(_xlfn.ANCHORARRAY(BP9))</f>
        <v>0.21836404935996029</v>
      </c>
      <c r="CC14" s="48">
        <f t="shared" ref="CC14" si="89">SKEW(_xlfn.ANCHORARRAY(BQ9))</f>
        <v>0.37221250145577639</v>
      </c>
      <c r="CD14" s="48">
        <f t="shared" ref="CD14" si="90">SKEW(_xlfn.ANCHORARRAY(BR9))</f>
        <v>-0.17053999676181336</v>
      </c>
      <c r="CE14" s="48">
        <f t="shared" ref="CE14" si="91">SKEW(_xlfn.ANCHORARRAY(BS9))</f>
        <v>0.56892492292622077</v>
      </c>
      <c r="CF14" s="48">
        <f t="shared" ref="CF14" si="92">SKEW(_xlfn.ANCHORARRAY(BT9))</f>
        <v>0.9215778822096895</v>
      </c>
      <c r="CG14" s="48">
        <f t="shared" ref="CG14" si="93">SKEW(_xlfn.ANCHORARRAY(BU9))</f>
        <v>0.31551458640321206</v>
      </c>
      <c r="CH14" s="48">
        <f t="shared" ref="CH14" si="94">SKEW(_xlfn.ANCHORARRAY(BV9))</f>
        <v>0.37397819254393411</v>
      </c>
      <c r="CI14" s="48">
        <f t="shared" ref="CI14" si="95">SKEW(_xlfn.ANCHORARRAY(BW9))</f>
        <v>-0.33030849661050682</v>
      </c>
      <c r="CJ14" s="48">
        <f t="shared" ref="CJ14" si="96">SKEW(_xlfn.ANCHORARRAY(BX9))</f>
        <v>0.10523372502939328</v>
      </c>
      <c r="CK14" s="48">
        <f t="shared" ref="CK14" si="97">SKEW(_xlfn.ANCHORARRAY(BY9))</f>
        <v>5.2998357767583305E-2</v>
      </c>
      <c r="CL14" s="48">
        <f t="shared" ref="CL14" si="98">SKEW(_xlfn.ANCHORARRAY(BZ9))</f>
        <v>-8.1467940771663083E-2</v>
      </c>
    </row>
    <row r="15" spans="1:90" x14ac:dyDescent="0.45">
      <c r="A15" s="3">
        <v>45926</v>
      </c>
      <c r="B15" s="48">
        <v>98.48</v>
      </c>
      <c r="C15" s="48">
        <v>116.20361</v>
      </c>
      <c r="D15" s="48">
        <v>160.16</v>
      </c>
      <c r="E15" s="48">
        <v>116.19432</v>
      </c>
      <c r="F15" s="48">
        <v>35.20664</v>
      </c>
      <c r="G15" s="48">
        <v>36.99</v>
      </c>
      <c r="H15">
        <v>65.14</v>
      </c>
      <c r="I15" s="48">
        <v>4.7714999999999996</v>
      </c>
      <c r="J15" s="49">
        <v>703.63874999999996</v>
      </c>
      <c r="K15" s="49">
        <v>12701.917750000001</v>
      </c>
      <c r="L15" s="50">
        <v>7.1366405570060909E-2</v>
      </c>
      <c r="M15" s="50">
        <v>3.900019098411911E-2</v>
      </c>
      <c r="N15" s="50">
        <v>2.5286473337174264E-2</v>
      </c>
      <c r="O15" s="50">
        <v>1.1293092809041338E-2</v>
      </c>
      <c r="P15" s="50">
        <v>4.6014160122883618E-2</v>
      </c>
      <c r="Q15" s="50">
        <v>8.9222614840989367E-2</v>
      </c>
      <c r="R15" s="47">
        <v>4.2163306418841542E-2</v>
      </c>
      <c r="S15" s="50">
        <v>4.3910256410256476E-2</v>
      </c>
      <c r="T15" s="50">
        <v>4.2722902097902082E-2</v>
      </c>
      <c r="U15" s="50">
        <v>4.6735007042237431E-2</v>
      </c>
      <c r="V15" s="50">
        <v>-3.0132123189809956E-3</v>
      </c>
      <c r="W15" s="50">
        <f t="shared" si="2"/>
        <v>4.2163306418841542E-2</v>
      </c>
      <c r="X15" t="s">
        <v>408</v>
      </c>
      <c r="Y15" s="48">
        <f>KURT(_xlfn.ANCHORARRAY(L9))</f>
        <v>1.3432181033159072</v>
      </c>
      <c r="Z15" s="48">
        <f t="shared" ref="Z15:AI15" si="99">KURT(_xlfn.ANCHORARRAY(M9))</f>
        <v>1.5674419229558874</v>
      </c>
      <c r="AA15" s="48">
        <f t="shared" si="99"/>
        <v>2.6212974347212308</v>
      </c>
      <c r="AB15" s="48">
        <f t="shared" si="99"/>
        <v>1.4244470586706068</v>
      </c>
      <c r="AC15" s="48">
        <f t="shared" si="99"/>
        <v>2.666354076899343</v>
      </c>
      <c r="AD15" s="48">
        <f t="shared" si="99"/>
        <v>1.4215640551017481</v>
      </c>
      <c r="AE15" s="48">
        <f t="shared" si="99"/>
        <v>1.9050732868057523</v>
      </c>
      <c r="AF15" s="48">
        <f t="shared" si="99"/>
        <v>2.8283371137814397</v>
      </c>
      <c r="AG15" s="48">
        <f t="shared" si="99"/>
        <v>6.3698197092595299</v>
      </c>
      <c r="AH15" s="48">
        <f t="shared" si="99"/>
        <v>1.9171468965021159</v>
      </c>
      <c r="AI15" s="48">
        <f t="shared" si="99"/>
        <v>1.2901672001432392</v>
      </c>
      <c r="AM15" s="63">
        <f t="shared" si="49"/>
        <v>-4.0000000000000015E-2</v>
      </c>
      <c r="AO15" t="str">
        <f t="shared" si="4"/>
        <v/>
      </c>
      <c r="AQ15" s="3">
        <v>45926</v>
      </c>
      <c r="AR15" s="59">
        <v>7.1366405570060909E-2</v>
      </c>
      <c r="AS15" s="59">
        <v>3.900019098411911E-2</v>
      </c>
      <c r="AT15" s="59">
        <v>2.5286473337174264E-2</v>
      </c>
      <c r="AU15" s="59">
        <v>1.1293092809041338E-2</v>
      </c>
      <c r="AV15" s="59">
        <v>4.6014160122883618E-2</v>
      </c>
      <c r="AW15" s="59">
        <v>8.9222614840989367E-2</v>
      </c>
      <c r="AX15" s="59">
        <v>4.2163306418841542E-2</v>
      </c>
      <c r="AY15" s="59">
        <v>4.3910256410256476E-2</v>
      </c>
      <c r="AZ15" s="59">
        <v>4.2722902097902082E-2</v>
      </c>
      <c r="BA15" s="59">
        <v>4.6735007042237431E-2</v>
      </c>
      <c r="BB15" s="59">
        <v>-3.0132123189809956E-3</v>
      </c>
      <c r="BC15" t="s">
        <v>408</v>
      </c>
      <c r="BD15" s="48">
        <f t="shared" ref="BD15" si="100">KURT(_xlfn.ANCHORARRAY(AR9))</f>
        <v>2.0561323738372002</v>
      </c>
      <c r="BE15" s="48">
        <f t="shared" ref="BE15" si="101">KURT(_xlfn.ANCHORARRAY(AS9))</f>
        <v>2.0448985937458231</v>
      </c>
      <c r="BF15" s="48">
        <f t="shared" ref="BF15" si="102">KURT(_xlfn.ANCHORARRAY(AT9))</f>
        <v>3.2711846554029886</v>
      </c>
      <c r="BG15" s="48">
        <f t="shared" ref="BG15" si="103">KURT(_xlfn.ANCHORARRAY(AU9))</f>
        <v>1.9536449696776454</v>
      </c>
      <c r="BH15" s="48">
        <f t="shared" ref="BH15" si="104">KURT(_xlfn.ANCHORARRAY(AV9))</f>
        <v>2.65113081580329</v>
      </c>
      <c r="BI15" s="48">
        <f t="shared" ref="BI15" si="105">KURT(_xlfn.ANCHORARRAY(AW9))</f>
        <v>2.5047404399327906</v>
      </c>
      <c r="BJ15" s="48">
        <f t="shared" ref="BJ15" si="106">KURT(_xlfn.ANCHORARRAY(AX9))</f>
        <v>2.759595534245741</v>
      </c>
      <c r="BK15" s="48">
        <f t="shared" ref="BK15" si="107">KURT(_xlfn.ANCHORARRAY(AY9))</f>
        <v>3.2141908882970673</v>
      </c>
      <c r="BL15" s="48">
        <f t="shared" ref="BL15" si="108">KURT(_xlfn.ANCHORARRAY(AZ9))</f>
        <v>6.986672460255523</v>
      </c>
      <c r="BM15" s="48">
        <f t="shared" ref="BM15:BN15" si="109">KURT(_xlfn.ANCHORARRAY(BA9))</f>
        <v>2.9211759199140728</v>
      </c>
      <c r="BN15" s="48">
        <f t="shared" si="109"/>
        <v>1.0878957763023296</v>
      </c>
      <c r="BO15" s="3">
        <v>44519</v>
      </c>
      <c r="BP15" s="59">
        <v>-3.8004521705170657E-2</v>
      </c>
      <c r="BQ15" s="59">
        <v>-4.9357618052978114E-2</v>
      </c>
      <c r="BR15" s="59">
        <v>-8.9869975573464433E-3</v>
      </c>
      <c r="BS15" s="59">
        <v>-9.6583696321299706E-2</v>
      </c>
      <c r="BT15" s="59">
        <v>-4.2001464825477286E-2</v>
      </c>
      <c r="BU15" s="59">
        <v>-4.6500541284278496E-2</v>
      </c>
      <c r="BV15" s="59">
        <v>-4.8686063608276008E-2</v>
      </c>
      <c r="BW15" s="59">
        <v>-4.7057347220479384E-2</v>
      </c>
      <c r="BX15" s="59">
        <v>-9.4392628385211452E-3</v>
      </c>
      <c r="BY15" s="59">
        <v>-5.2222898546442797E-2</v>
      </c>
      <c r="BZ15" s="59">
        <v>3.5112558481018574E-3</v>
      </c>
      <c r="CA15" t="s">
        <v>408</v>
      </c>
      <c r="CB15" s="48">
        <f t="shared" ref="CB15" si="110">KURT(_xlfn.ANCHORARRAY(BP9))</f>
        <v>-0.42141470489828148</v>
      </c>
      <c r="CC15" s="48">
        <f t="shared" ref="CC15" si="111">KURT(_xlfn.ANCHORARRAY(BQ9))</f>
        <v>0.36583855782895291</v>
      </c>
      <c r="CD15" s="48">
        <f t="shared" ref="CD15" si="112">KURT(_xlfn.ANCHORARRAY(BR9))</f>
        <v>-0.10178554390269889</v>
      </c>
      <c r="CE15" s="48">
        <f t="shared" ref="CE15" si="113">KURT(_xlfn.ANCHORARRAY(BS9))</f>
        <v>-3.7132275915161106E-2</v>
      </c>
      <c r="CF15" s="48">
        <f t="shared" ref="CF15" si="114">KURT(_xlfn.ANCHORARRAY(BT9))</f>
        <v>2.4017675315887401</v>
      </c>
      <c r="CG15" s="48">
        <f t="shared" ref="CG15" si="115">KURT(_xlfn.ANCHORARRAY(BU9))</f>
        <v>-0.67751948721279875</v>
      </c>
      <c r="CH15" s="48">
        <f t="shared" ref="CH15" si="116">KURT(_xlfn.ANCHORARRAY(BV9))</f>
        <v>-5.488578930186705E-2</v>
      </c>
      <c r="CI15" s="48">
        <f t="shared" ref="CI15" si="117">KURT(_xlfn.ANCHORARRAY(BW9))</f>
        <v>0.59927999979271984</v>
      </c>
      <c r="CJ15" s="48">
        <f t="shared" ref="CJ15" si="118">KURT(_xlfn.ANCHORARRAY(BX9))</f>
        <v>1.090153091240349</v>
      </c>
      <c r="CK15" s="48">
        <f t="shared" ref="CK15" si="119">KURT(_xlfn.ANCHORARRAY(BY9))</f>
        <v>-0.41478954869801221</v>
      </c>
      <c r="CL15" s="48">
        <f t="shared" ref="CL15" si="120">KURT(_xlfn.ANCHORARRAY(BZ9))</f>
        <v>-7.4242745083425543E-2</v>
      </c>
    </row>
    <row r="16" spans="1:90" x14ac:dyDescent="0.45">
      <c r="A16" s="3">
        <v>45919</v>
      </c>
      <c r="B16" s="48">
        <v>91.92</v>
      </c>
      <c r="C16" s="48">
        <v>111.84175999999999</v>
      </c>
      <c r="D16" s="48">
        <v>156.21</v>
      </c>
      <c r="E16" s="48">
        <v>114.89678000000001</v>
      </c>
      <c r="F16" s="48">
        <v>33.657899999999998</v>
      </c>
      <c r="G16" s="48">
        <v>33.96</v>
      </c>
      <c r="H16">
        <v>62.4</v>
      </c>
      <c r="I16" s="48">
        <v>4.5759999999999996</v>
      </c>
      <c r="J16" s="49">
        <v>672.22243000000003</v>
      </c>
      <c r="K16" s="49">
        <v>12740.307000000001</v>
      </c>
      <c r="L16" s="50">
        <v>-5.5176890619929031E-3</v>
      </c>
      <c r="M16" s="50">
        <v>5.8843850148968535E-3</v>
      </c>
      <c r="N16" s="50">
        <v>-5.7284704983769918E-3</v>
      </c>
      <c r="O16" s="50">
        <v>-1.8280320693829566E-2</v>
      </c>
      <c r="P16" s="50">
        <v>6.7868126030292686E-3</v>
      </c>
      <c r="Q16" s="50">
        <v>-1.6507384882710641E-2</v>
      </c>
      <c r="R16" s="47">
        <v>-5.5689956913982149E-3</v>
      </c>
      <c r="S16" s="50">
        <v>3.3767486734201935E-3</v>
      </c>
      <c r="T16" s="50">
        <v>-5.3255080969460966E-3</v>
      </c>
      <c r="U16" s="50">
        <v>-2.5705118359908852E-4</v>
      </c>
      <c r="V16" s="50">
        <v>1.2369929550778869E-2</v>
      </c>
      <c r="W16" s="50">
        <f t="shared" si="2"/>
        <v>-5.5689956913982149E-3</v>
      </c>
      <c r="X16" t="s">
        <v>411</v>
      </c>
      <c r="Y16" s="50">
        <f>Y11-1.97*Y13</f>
        <v>-9.2709315792862942E-2</v>
      </c>
      <c r="Z16" s="50">
        <f t="shared" ref="Z16:AI16" si="121">Z11-1.97*Z13</f>
        <v>-7.3506211528336238E-2</v>
      </c>
      <c r="AA16" s="50">
        <f t="shared" si="121"/>
        <v>-7.0187046933087346E-2</v>
      </c>
      <c r="AB16" s="50">
        <f t="shared" si="121"/>
        <v>-9.7411156074567629E-2</v>
      </c>
      <c r="AC16" s="50">
        <f t="shared" si="121"/>
        <v>-7.859353485860654E-2</v>
      </c>
      <c r="AD16" s="50">
        <f t="shared" si="121"/>
        <v>-0.11586594389360871</v>
      </c>
      <c r="AE16" s="50">
        <f t="shared" si="121"/>
        <v>-7.8751798242050294E-2</v>
      </c>
      <c r="AF16" s="50">
        <f t="shared" si="121"/>
        <v>-9.4368397200150056E-2</v>
      </c>
      <c r="AG16" s="50">
        <f t="shared" si="121"/>
        <v>-7.0943345894262322E-2</v>
      </c>
      <c r="AH16" s="50">
        <f t="shared" si="121"/>
        <v>-7.4577344052361799E-2</v>
      </c>
      <c r="AI16" s="50">
        <f t="shared" si="121"/>
        <v>-4.129923165315641E-2</v>
      </c>
      <c r="AM16" s="63">
        <f t="shared" si="49"/>
        <v>-3.0000000000000013E-2</v>
      </c>
      <c r="AO16" t="str">
        <f t="shared" si="4"/>
        <v/>
      </c>
      <c r="AQ16" s="3">
        <v>45919</v>
      </c>
      <c r="AR16" s="59">
        <v>-5.5176890619929031E-3</v>
      </c>
      <c r="AS16" s="59">
        <v>5.8843850148968535E-3</v>
      </c>
      <c r="AT16" s="59">
        <v>-5.7284704983769918E-3</v>
      </c>
      <c r="AU16" s="59">
        <v>-1.8280320693829566E-2</v>
      </c>
      <c r="AV16" s="59">
        <v>6.7868126030292686E-3</v>
      </c>
      <c r="AW16" s="59">
        <v>-1.6507384882710641E-2</v>
      </c>
      <c r="AX16" s="59">
        <v>-5.5689956913982149E-3</v>
      </c>
      <c r="AY16" s="59">
        <v>3.3767486734201935E-3</v>
      </c>
      <c r="AZ16" s="59">
        <v>-5.3255080969460966E-3</v>
      </c>
      <c r="BA16" s="59">
        <v>-2.5705118359908852E-4</v>
      </c>
      <c r="BB16" s="59">
        <v>1.2369929550778869E-2</v>
      </c>
      <c r="BC16" t="s">
        <v>411</v>
      </c>
      <c r="BD16" s="50">
        <f t="shared" ref="BD16:BM16" si="122">BD11-1.97*BD13</f>
        <v>-9.1977578113300096E-2</v>
      </c>
      <c r="BE16" s="50">
        <f t="shared" si="122"/>
        <v>-7.2910650392300519E-2</v>
      </c>
      <c r="BF16" s="50">
        <f t="shared" si="122"/>
        <v>-7.215516624622037E-2</v>
      </c>
      <c r="BG16" s="50">
        <f t="shared" si="122"/>
        <v>-9.3646257613330924E-2</v>
      </c>
      <c r="BH16" s="50">
        <f t="shared" si="122"/>
        <v>-7.6505205624979394E-2</v>
      </c>
      <c r="BI16" s="50">
        <f t="shared" si="122"/>
        <v>-0.11054498191691134</v>
      </c>
      <c r="BJ16" s="50">
        <f t="shared" si="122"/>
        <v>-7.6912675619397616E-2</v>
      </c>
      <c r="BK16" s="50">
        <f t="shared" si="122"/>
        <v>-0.10046468293124014</v>
      </c>
      <c r="BL16" s="50">
        <f t="shared" si="122"/>
        <v>-7.4426478126694756E-2</v>
      </c>
      <c r="BM16" s="50">
        <f t="shared" si="122"/>
        <v>-7.375537322053026E-2</v>
      </c>
      <c r="BN16" s="50">
        <f t="shared" ref="BN16" si="123">BN11-1.97*BN13</f>
        <v>-4.499704536559497E-2</v>
      </c>
      <c r="BO16" s="3">
        <v>44512</v>
      </c>
      <c r="BP16" s="59">
        <v>-4.0954181337276352E-2</v>
      </c>
      <c r="BQ16" s="59">
        <v>-5.2647095759180695E-3</v>
      </c>
      <c r="BR16" s="59">
        <v>-4.4448369818305133E-3</v>
      </c>
      <c r="BS16" s="59">
        <v>-2.943756371221351E-3</v>
      </c>
      <c r="BT16" s="59">
        <v>-5.4992184481678086E-3</v>
      </c>
      <c r="BU16" s="59">
        <v>-2.294625490414548E-2</v>
      </c>
      <c r="BV16" s="59">
        <v>-8.2197552562566448E-3</v>
      </c>
      <c r="BW16" s="59">
        <v>-1.9441368278577564E-2</v>
      </c>
      <c r="BX16" s="59">
        <v>2.4522219663826839E-2</v>
      </c>
      <c r="BY16" s="59">
        <v>-1.6739008957113777E-2</v>
      </c>
      <c r="BZ16" s="59">
        <v>-2.8455051586615543E-3</v>
      </c>
      <c r="CA16" t="s">
        <v>411</v>
      </c>
      <c r="CB16" s="50">
        <f t="shared" ref="CB16:CL16" si="124">CB11-1.97*CB13</f>
        <v>-9.3494267038785911E-2</v>
      </c>
      <c r="CC16" s="50">
        <f t="shared" si="124"/>
        <v>-7.5197722374842652E-2</v>
      </c>
      <c r="CD16" s="50">
        <f t="shared" si="124"/>
        <v>-6.3537636044096929E-2</v>
      </c>
      <c r="CE16" s="50">
        <f t="shared" si="124"/>
        <v>-0.10670908109319643</v>
      </c>
      <c r="CF16" s="50">
        <f t="shared" si="124"/>
        <v>-8.5349027185313772E-2</v>
      </c>
      <c r="CG16" s="50">
        <f t="shared" si="124"/>
        <v>-0.12298386475902234</v>
      </c>
      <c r="CH16" s="50">
        <f t="shared" si="124"/>
        <v>-8.2634014574220663E-2</v>
      </c>
      <c r="CI16" s="50">
        <f t="shared" si="124"/>
        <v>-7.0948739103573161E-2</v>
      </c>
      <c r="CJ16" s="50">
        <f t="shared" si="124"/>
        <v>-5.8454120572779031E-2</v>
      </c>
      <c r="CK16" s="50">
        <f t="shared" si="124"/>
        <v>-7.6916004826568157E-2</v>
      </c>
      <c r="CL16" s="50">
        <f t="shared" si="124"/>
        <v>-2.6534451454997818E-2</v>
      </c>
    </row>
    <row r="17" spans="1:90" x14ac:dyDescent="0.45">
      <c r="A17" s="3">
        <v>45912</v>
      </c>
      <c r="B17" s="48">
        <v>92.43</v>
      </c>
      <c r="C17" s="48">
        <v>111.18749</v>
      </c>
      <c r="D17" s="48">
        <v>157.11000000000001</v>
      </c>
      <c r="E17" s="48">
        <v>117.03624000000001</v>
      </c>
      <c r="F17" s="48">
        <v>33.431010000000001</v>
      </c>
      <c r="G17" s="48">
        <v>34.53</v>
      </c>
      <c r="H17">
        <v>62.19</v>
      </c>
      <c r="I17" s="48">
        <v>4.6005000000000003</v>
      </c>
      <c r="J17" s="49">
        <v>672.39526999999998</v>
      </c>
      <c r="K17" s="49">
        <v>12584.63594</v>
      </c>
      <c r="L17" s="50">
        <v>-5.5944055944056048E-3</v>
      </c>
      <c r="M17" s="50">
        <v>2.6824182472410918E-2</v>
      </c>
      <c r="N17" s="50">
        <v>2.2452167122217981E-2</v>
      </c>
      <c r="O17" s="50">
        <v>1.9502873208723237E-3</v>
      </c>
      <c r="P17" s="50">
        <v>-1.1789496831087209E-3</v>
      </c>
      <c r="Q17" s="50">
        <v>2.8765874460878749E-4</v>
      </c>
      <c r="R17" s="47">
        <v>1.0067069195400258E-2</v>
      </c>
      <c r="S17" s="50">
        <v>1.650866296175213E-2</v>
      </c>
      <c r="T17" s="50">
        <v>2.2560569015336984E-2</v>
      </c>
      <c r="U17" s="50">
        <v>1.5317908858630824E-2</v>
      </c>
      <c r="V17" s="50">
        <v>1.5974255996635156E-2</v>
      </c>
      <c r="W17" s="50">
        <f t="shared" si="2"/>
        <v>1.0067069195400258E-2</v>
      </c>
      <c r="X17" t="s">
        <v>412</v>
      </c>
      <c r="Y17" s="50">
        <f>Y11+1.97*Y13</f>
        <v>0.10342431431645323</v>
      </c>
      <c r="Z17" s="50">
        <f t="shared" ref="Z17:AI17" si="125">Z11+1.97*Z13</f>
        <v>8.5699900042160534E-2</v>
      </c>
      <c r="AA17" s="50">
        <f t="shared" si="125"/>
        <v>7.8084349164877095E-2</v>
      </c>
      <c r="AB17" s="50">
        <f t="shared" si="125"/>
        <v>0.10895859918490214</v>
      </c>
      <c r="AC17" s="50">
        <f t="shared" si="125"/>
        <v>8.7281304850560348E-2</v>
      </c>
      <c r="AD17" s="50">
        <f t="shared" si="125"/>
        <v>0.12981601549800978</v>
      </c>
      <c r="AE17" s="50">
        <f t="shared" si="125"/>
        <v>8.9607053332510969E-2</v>
      </c>
      <c r="AF17" s="50">
        <f t="shared" si="125"/>
        <v>9.977998659612361E-2</v>
      </c>
      <c r="AG17" s="50">
        <f t="shared" si="125"/>
        <v>7.5787480074623575E-2</v>
      </c>
      <c r="AH17" s="50">
        <f t="shared" si="125"/>
        <v>8.3820267541521193E-2</v>
      </c>
      <c r="AI17" s="50">
        <f t="shared" si="125"/>
        <v>4.7046261270400264E-2</v>
      </c>
      <c r="AM17" s="63">
        <f t="shared" si="49"/>
        <v>-2.0000000000000011E-2</v>
      </c>
      <c r="AO17" t="str">
        <f t="shared" si="4"/>
        <v/>
      </c>
      <c r="AQ17" s="3">
        <v>45912</v>
      </c>
      <c r="AR17" s="59">
        <v>-5.5944055944056048E-3</v>
      </c>
      <c r="AS17" s="59">
        <v>2.6824182472410918E-2</v>
      </c>
      <c r="AT17" s="59">
        <v>2.2452167122217981E-2</v>
      </c>
      <c r="AU17" s="59">
        <v>1.9502873208723237E-3</v>
      </c>
      <c r="AV17" s="59">
        <v>-1.1789496831087209E-3</v>
      </c>
      <c r="AW17" s="59">
        <v>2.8765874460878749E-4</v>
      </c>
      <c r="AX17" s="59">
        <v>1.0067069195400258E-2</v>
      </c>
      <c r="AY17" s="59">
        <v>1.650866296175213E-2</v>
      </c>
      <c r="AZ17" s="59">
        <v>2.2560569015336984E-2</v>
      </c>
      <c r="BA17" s="59">
        <v>1.5317908858630824E-2</v>
      </c>
      <c r="BB17" s="59">
        <v>1.5974255996635156E-2</v>
      </c>
      <c r="BC17" t="s">
        <v>412</v>
      </c>
      <c r="BD17" s="50">
        <f t="shared" ref="BD17:BM17" si="126">BD11+1.97*BD13</f>
        <v>9.7513204259260494E-2</v>
      </c>
      <c r="BE17" s="50">
        <f t="shared" si="126"/>
        <v>8.2263037532315481E-2</v>
      </c>
      <c r="BF17" s="50">
        <f t="shared" si="126"/>
        <v>7.7884334836773983E-2</v>
      </c>
      <c r="BG17" s="50">
        <f t="shared" si="126"/>
        <v>9.9594467017037835E-2</v>
      </c>
      <c r="BH17" s="50">
        <f t="shared" si="126"/>
        <v>8.3153965425470516E-2</v>
      </c>
      <c r="BI17" s="50">
        <f t="shared" si="126"/>
        <v>0.11303297541897436</v>
      </c>
      <c r="BJ17" s="50">
        <f t="shared" si="126"/>
        <v>8.2945979306763548E-2</v>
      </c>
      <c r="BK17" s="50">
        <f t="shared" si="126"/>
        <v>0.10074367275746887</v>
      </c>
      <c r="BL17" s="50">
        <f t="shared" si="126"/>
        <v>7.6993169230532676E-2</v>
      </c>
      <c r="BM17" s="50">
        <f t="shared" si="126"/>
        <v>8.0091277185353568E-2</v>
      </c>
      <c r="BN17" s="50">
        <f t="shared" ref="BN17" si="127">BN11+1.97*BN13</f>
        <v>4.940241170233986E-2</v>
      </c>
      <c r="BO17" s="3">
        <v>44505</v>
      </c>
      <c r="BP17" s="59">
        <v>1.2887604757259696E-2</v>
      </c>
      <c r="BQ17" s="59">
        <v>8.5310188228524542E-3</v>
      </c>
      <c r="BR17" s="59">
        <v>2.1836821053382582E-3</v>
      </c>
      <c r="BS17" s="59">
        <v>2.8769239384776046E-2</v>
      </c>
      <c r="BT17" s="59">
        <v>-3.2650045344904233E-2</v>
      </c>
      <c r="BU17" s="59">
        <v>8.7325139338296998E-2</v>
      </c>
      <c r="BV17" s="59">
        <v>1.8831806861271904E-2</v>
      </c>
      <c r="BW17" s="59">
        <v>-2.752183798013641E-2</v>
      </c>
      <c r="BX17" s="59">
        <v>-5.7234432234433141E-3</v>
      </c>
      <c r="BY17" s="59">
        <v>1.3316171873171134E-2</v>
      </c>
      <c r="BZ17" s="59">
        <v>2.0181713965780501E-2</v>
      </c>
      <c r="CA17" t="s">
        <v>412</v>
      </c>
      <c r="CB17" s="50">
        <f t="shared" ref="CB17:CL17" si="128">CB11+1.97*CB13</f>
        <v>0.12185424603531869</v>
      </c>
      <c r="CC17" s="50">
        <f t="shared" si="128"/>
        <v>9.7071098619780027E-2</v>
      </c>
      <c r="CD17" s="50">
        <f t="shared" si="128"/>
        <v>7.8821291867216564E-2</v>
      </c>
      <c r="CE17" s="50">
        <f t="shared" si="128"/>
        <v>0.1373318797125504</v>
      </c>
      <c r="CF17" s="50">
        <f t="shared" si="128"/>
        <v>0.10098325562614889</v>
      </c>
      <c r="CG17" s="50">
        <f t="shared" si="128"/>
        <v>0.17598271091545642</v>
      </c>
      <c r="CH17" s="50">
        <f t="shared" si="128"/>
        <v>0.10991659563115667</v>
      </c>
      <c r="CI17" s="50">
        <f t="shared" si="128"/>
        <v>9.3845964321897707E-2</v>
      </c>
      <c r="CJ17" s="50">
        <f t="shared" si="128"/>
        <v>7.1057001505363857E-2</v>
      </c>
      <c r="CK17" s="50">
        <f t="shared" si="128"/>
        <v>9.6062503305414826E-2</v>
      </c>
      <c r="CL17" s="50">
        <f t="shared" si="128"/>
        <v>3.6852232248178809E-2</v>
      </c>
    </row>
    <row r="18" spans="1:90" x14ac:dyDescent="0.45">
      <c r="A18" s="3">
        <v>45905</v>
      </c>
      <c r="B18" s="48">
        <v>92.95</v>
      </c>
      <c r="C18" s="48">
        <v>108.28288999999999</v>
      </c>
      <c r="D18" s="48">
        <v>153.66</v>
      </c>
      <c r="E18" s="48">
        <v>116.80843</v>
      </c>
      <c r="F18" s="48">
        <v>33.470469999999999</v>
      </c>
      <c r="G18" s="48">
        <v>34.520069999999997</v>
      </c>
      <c r="H18">
        <v>61.18</v>
      </c>
      <c r="I18" s="48">
        <v>4.4989999999999997</v>
      </c>
      <c r="J18" s="49">
        <v>662.25097000000005</v>
      </c>
      <c r="K18" s="49">
        <v>12386.76656</v>
      </c>
      <c r="L18" s="50">
        <v>-6.0826513084773159E-2</v>
      </c>
      <c r="M18" s="50">
        <v>-4.4273375003596738E-2</v>
      </c>
      <c r="N18" s="50">
        <v>-4.3212951432129554E-2</v>
      </c>
      <c r="O18" s="50">
        <v>-5.5199465514438328E-2</v>
      </c>
      <c r="P18" s="50">
        <v>-3.6900549508573022E-2</v>
      </c>
      <c r="Q18" s="50">
        <v>-3.7119095183875905E-2</v>
      </c>
      <c r="R18" s="47">
        <v>-4.3341087328522709E-2</v>
      </c>
      <c r="S18" s="50">
        <v>-4.4211841899703286E-2</v>
      </c>
      <c r="T18" s="50">
        <v>-4.3155914573421716E-3</v>
      </c>
      <c r="U18" s="50">
        <v>-3.5173241547714618E-2</v>
      </c>
      <c r="V18" s="50">
        <v>3.6006258742242725E-3</v>
      </c>
      <c r="W18" s="50">
        <f t="shared" si="2"/>
        <v>-4.3341087328522709E-2</v>
      </c>
      <c r="X18" t="s">
        <v>416</v>
      </c>
      <c r="Y18" s="48">
        <f>Y11/(Y13/SQRT($Z$7))</f>
        <v>1.7353734517502144</v>
      </c>
      <c r="Z18" s="48">
        <f t="shared" ref="Z18:AI18" si="129">Z11/(Z13/SQRT($Z$7))</f>
        <v>2.4329224261601734</v>
      </c>
      <c r="AA18" s="48">
        <f t="shared" si="129"/>
        <v>1.6918984097467422</v>
      </c>
      <c r="AB18" s="48">
        <f t="shared" si="129"/>
        <v>1.7774307215452905</v>
      </c>
      <c r="AC18" s="48">
        <f t="shared" si="129"/>
        <v>1.6637217661228314</v>
      </c>
      <c r="AD18" s="48">
        <f t="shared" si="129"/>
        <v>1.8036657972445787</v>
      </c>
      <c r="AE18" s="48">
        <f t="shared" si="129"/>
        <v>2.0481274537015661</v>
      </c>
      <c r="AF18" s="48">
        <f t="shared" si="129"/>
        <v>0.88540905198199027</v>
      </c>
      <c r="AG18" s="48">
        <f t="shared" si="129"/>
        <v>1.0486913898414612</v>
      </c>
      <c r="AH18" s="48">
        <f t="shared" si="129"/>
        <v>1.8535897935844736</v>
      </c>
      <c r="AI18" s="48">
        <f t="shared" si="129"/>
        <v>2.0663883143374844</v>
      </c>
      <c r="AM18" s="63">
        <f t="shared" si="49"/>
        <v>-1.0000000000000011E-2</v>
      </c>
      <c r="AO18" t="str">
        <f t="shared" si="4"/>
        <v/>
      </c>
      <c r="AQ18" s="3">
        <v>45905</v>
      </c>
      <c r="AR18" s="59">
        <v>-6.0826513084773159E-2</v>
      </c>
      <c r="AS18" s="59">
        <v>-4.4273375003596738E-2</v>
      </c>
      <c r="AT18" s="59">
        <v>-4.3212951432129554E-2</v>
      </c>
      <c r="AU18" s="59">
        <v>-5.5199465514438328E-2</v>
      </c>
      <c r="AV18" s="59">
        <v>-3.6900549508573022E-2</v>
      </c>
      <c r="AW18" s="59">
        <v>-3.7119095183875905E-2</v>
      </c>
      <c r="AX18" s="59">
        <v>-4.3341087328522709E-2</v>
      </c>
      <c r="AY18" s="59">
        <v>-4.4211841899703286E-2</v>
      </c>
      <c r="AZ18" s="59">
        <v>-4.3155914573421716E-3</v>
      </c>
      <c r="BA18" s="59">
        <v>-3.5173241547714618E-2</v>
      </c>
      <c r="BB18" s="59">
        <v>3.6006258742242725E-3</v>
      </c>
      <c r="BC18" t="s">
        <v>416</v>
      </c>
      <c r="BD18" s="48">
        <f t="shared" ref="BD18:BN18" si="130">BD11/(BD13/SQRT($BE$7))</f>
        <v>0.81591124352057398</v>
      </c>
      <c r="BE18" s="48">
        <f t="shared" si="130"/>
        <v>1.6833276186950055</v>
      </c>
      <c r="BF18" s="48">
        <f t="shared" si="130"/>
        <v>1.0664739355202975</v>
      </c>
      <c r="BG18" s="48">
        <f t="shared" si="130"/>
        <v>0.85970973935228645</v>
      </c>
      <c r="BH18" s="48">
        <f t="shared" si="130"/>
        <v>1.1630838577826317</v>
      </c>
      <c r="BI18" s="48">
        <f t="shared" si="130"/>
        <v>0.31080250654891745</v>
      </c>
      <c r="BJ18" s="48">
        <f t="shared" si="130"/>
        <v>1.0541035758369837</v>
      </c>
      <c r="BK18" s="48">
        <f t="shared" si="130"/>
        <v>3.8726353844700745E-2</v>
      </c>
      <c r="BL18" s="48">
        <f t="shared" si="130"/>
        <v>0.47342984220004974</v>
      </c>
      <c r="BM18" s="48">
        <f t="shared" si="130"/>
        <v>1.1502302783766927</v>
      </c>
      <c r="BN18" s="48">
        <f t="shared" si="130"/>
        <v>1.3033972106022937</v>
      </c>
      <c r="BO18" s="3">
        <v>44498</v>
      </c>
      <c r="BP18" s="59">
        <v>-1.0334029147771262E-2</v>
      </c>
      <c r="BQ18" s="59">
        <v>2.1387934820366272E-2</v>
      </c>
      <c r="BR18" s="59">
        <v>1.4982211802275103E-2</v>
      </c>
      <c r="BS18" s="59">
        <v>5.0000568157892999E-3</v>
      </c>
      <c r="BT18" s="59">
        <v>-2.4398524991229631E-2</v>
      </c>
      <c r="BU18" s="59">
        <v>-8.9019348219996353E-3</v>
      </c>
      <c r="BV18" s="59">
        <v>1.6139487250402818E-3</v>
      </c>
      <c r="BW18" s="59">
        <v>-2.2683858643745003E-3</v>
      </c>
      <c r="BX18" s="59">
        <v>-2.8901734104046173E-2</v>
      </c>
      <c r="BY18" s="59">
        <v>-7.6574695602094067E-3</v>
      </c>
      <c r="BZ18" s="59">
        <v>1.3438805594087055E-2</v>
      </c>
      <c r="CA18" t="s">
        <v>416</v>
      </c>
      <c r="CB18" s="48">
        <f t="shared" ref="CB18:CL18" si="131">CB11/(CB13/SQRT($CC$7))</f>
        <v>1.9927657919220587</v>
      </c>
      <c r="CC18" s="48">
        <f t="shared" si="131"/>
        <v>1.9213273895508554</v>
      </c>
      <c r="CD18" s="48">
        <f t="shared" si="131"/>
        <v>1.6245563213375156</v>
      </c>
      <c r="CE18" s="48">
        <f t="shared" si="131"/>
        <v>1.8987788439028963</v>
      </c>
      <c r="CF18" s="48">
        <f t="shared" si="131"/>
        <v>1.269639954119721</v>
      </c>
      <c r="CG18" s="48">
        <f t="shared" si="131"/>
        <v>2.6824770157991917</v>
      </c>
      <c r="CH18" s="48">
        <f t="shared" si="131"/>
        <v>2.1440395232614504</v>
      </c>
      <c r="CI18" s="48">
        <f t="shared" si="131"/>
        <v>2.1024798329178775</v>
      </c>
      <c r="CJ18" s="48">
        <f t="shared" si="131"/>
        <v>1.4724989680715201</v>
      </c>
      <c r="CK18" s="48">
        <f t="shared" si="131"/>
        <v>1.6749021743923933</v>
      </c>
      <c r="CL18" s="48">
        <f t="shared" si="131"/>
        <v>2.4630912310077404</v>
      </c>
    </row>
    <row r="19" spans="1:90" ht="14.65" thickBot="1" x14ac:dyDescent="0.5">
      <c r="A19" s="3">
        <v>45898</v>
      </c>
      <c r="B19" s="48">
        <v>98.97</v>
      </c>
      <c r="C19" s="48">
        <v>113.29902</v>
      </c>
      <c r="D19" s="48">
        <v>160.6</v>
      </c>
      <c r="E19" s="48">
        <v>123.63290000000001</v>
      </c>
      <c r="F19" s="48">
        <v>34.752870000000001</v>
      </c>
      <c r="G19" s="48">
        <v>35.850819999999999</v>
      </c>
      <c r="H19">
        <v>64.010000000000005</v>
      </c>
      <c r="I19" s="48">
        <v>4.5185000000000004</v>
      </c>
      <c r="J19" s="49">
        <v>686.39365999999995</v>
      </c>
      <c r="K19" s="49">
        <v>12342.32646</v>
      </c>
      <c r="L19" s="50">
        <v>2.2628642281462996E-2</v>
      </c>
      <c r="M19" s="50">
        <v>2.70488759836367E-2</v>
      </c>
      <c r="N19" s="50">
        <v>1.5299026425591E-2</v>
      </c>
      <c r="O19" s="50">
        <v>3.0633256470441905E-2</v>
      </c>
      <c r="P19" s="50">
        <v>1.4104962138344668E-2</v>
      </c>
      <c r="Q19" s="50">
        <v>2.6734877343071339E-2</v>
      </c>
      <c r="R19" s="47">
        <v>2.2764199672217121E-2</v>
      </c>
      <c r="S19" s="50">
        <v>5.4979579013509916E-3</v>
      </c>
      <c r="T19" s="50">
        <v>1.3343799058084915E-2</v>
      </c>
      <c r="U19" s="50">
        <v>2.4552850720001906E-2</v>
      </c>
      <c r="V19" s="50">
        <v>-8.8907349367095545E-4</v>
      </c>
      <c r="W19" s="50">
        <f t="shared" si="2"/>
        <v>2.2764199672217121E-2</v>
      </c>
      <c r="X19" t="s">
        <v>417</v>
      </c>
      <c r="Y19" s="48">
        <f>_xlfn.T.DIST(ABS(Y18),$Z$7-1,1)</f>
        <v>0.95806794159675124</v>
      </c>
      <c r="Z19" s="48">
        <f t="shared" ref="Z19:AI19" si="132">_xlfn.T.DIST(ABS(Z18),$Z$7-1,1)</f>
        <v>0.99217252397189093</v>
      </c>
      <c r="AA19" s="48">
        <f t="shared" si="132"/>
        <v>0.95406597947826766</v>
      </c>
      <c r="AB19" s="48">
        <f t="shared" si="132"/>
        <v>0.96166458228708473</v>
      </c>
      <c r="AC19" s="48">
        <f t="shared" si="132"/>
        <v>0.95131126178997938</v>
      </c>
      <c r="AD19" s="48">
        <f t="shared" si="132"/>
        <v>0.96377717051495715</v>
      </c>
      <c r="AE19" s="48">
        <f t="shared" si="132"/>
        <v>0.97922208344530803</v>
      </c>
      <c r="AF19" s="48">
        <f t="shared" si="132"/>
        <v>0.81162133432792782</v>
      </c>
      <c r="AG19" s="48">
        <f t="shared" si="132"/>
        <v>0.85235111698852017</v>
      </c>
      <c r="AH19" s="48">
        <f t="shared" si="132"/>
        <v>0.96753253690116103</v>
      </c>
      <c r="AI19" s="48">
        <f t="shared" si="132"/>
        <v>0.98010700594795219</v>
      </c>
      <c r="AM19" s="63">
        <f t="shared" si="49"/>
        <v>0</v>
      </c>
      <c r="AO19" t="str">
        <f t="shared" si="4"/>
        <v/>
      </c>
      <c r="AQ19" s="3">
        <v>45898</v>
      </c>
      <c r="AR19" s="59">
        <v>2.2628642281462996E-2</v>
      </c>
      <c r="AS19" s="59">
        <v>2.70488759836367E-2</v>
      </c>
      <c r="AT19" s="59">
        <v>1.5299026425591E-2</v>
      </c>
      <c r="AU19" s="59">
        <v>3.0633256470441905E-2</v>
      </c>
      <c r="AV19" s="59">
        <v>1.4104962138344668E-2</v>
      </c>
      <c r="AW19" s="59">
        <v>2.6734877343071339E-2</v>
      </c>
      <c r="AX19" s="59">
        <v>2.2764199672217121E-2</v>
      </c>
      <c r="AY19" s="59">
        <v>5.4979579013509916E-3</v>
      </c>
      <c r="AZ19" s="59">
        <v>1.3343799058084915E-2</v>
      </c>
      <c r="BA19" s="59">
        <v>2.4552850720001906E-2</v>
      </c>
      <c r="BB19" s="59">
        <v>-8.8907349367095545E-4</v>
      </c>
      <c r="BC19" t="s">
        <v>417</v>
      </c>
      <c r="BD19" s="48">
        <f t="shared" ref="BD19:BN19" si="133">_xlfn.T.DIST(ABS(BD18),$BE$7-1,1)</f>
        <v>0.79223921619027515</v>
      </c>
      <c r="BE19" s="48">
        <f t="shared" si="133"/>
        <v>0.95306403600659939</v>
      </c>
      <c r="BF19" s="48">
        <f t="shared" si="133"/>
        <v>0.85625242436379234</v>
      </c>
      <c r="BG19" s="48">
        <f t="shared" si="133"/>
        <v>0.8045108108376553</v>
      </c>
      <c r="BH19" s="48">
        <f t="shared" si="133"/>
        <v>0.87690934881084748</v>
      </c>
      <c r="BI19" s="48">
        <f t="shared" si="133"/>
        <v>0.62186277946399326</v>
      </c>
      <c r="BJ19" s="48">
        <f t="shared" si="133"/>
        <v>0.85344636614126723</v>
      </c>
      <c r="BK19" s="48">
        <f t="shared" si="133"/>
        <v>0.51542640480847934</v>
      </c>
      <c r="BL19" s="48">
        <f t="shared" si="133"/>
        <v>0.68178855860937482</v>
      </c>
      <c r="BM19" s="48">
        <f t="shared" si="133"/>
        <v>0.87428875142650675</v>
      </c>
      <c r="BN19" s="48">
        <f t="shared" si="133"/>
        <v>0.90303119340233151</v>
      </c>
      <c r="BO19" s="3">
        <v>44491</v>
      </c>
      <c r="BP19" s="59">
        <v>2.1311013680254121E-2</v>
      </c>
      <c r="BQ19" s="59">
        <v>8.4677467518312621E-3</v>
      </c>
      <c r="BR19" s="59">
        <v>2.9103230642652189E-2</v>
      </c>
      <c r="BS19" s="59">
        <v>2.655650221365935E-2</v>
      </c>
      <c r="BT19" s="59">
        <v>-1.403271827333008E-2</v>
      </c>
      <c r="BU19" s="59">
        <v>8.4785972341270277E-3</v>
      </c>
      <c r="BV19" s="59">
        <v>1.171467171378795E-2</v>
      </c>
      <c r="BW19" s="59">
        <v>2.483788082711369E-2</v>
      </c>
      <c r="BX19" s="59">
        <v>-4.8948091764457025E-2</v>
      </c>
      <c r="BY19" s="59">
        <v>1.1794569865192894E-2</v>
      </c>
      <c r="BZ19" s="59">
        <v>1.6525579361380993E-2</v>
      </c>
      <c r="CA19" t="s">
        <v>417</v>
      </c>
      <c r="CB19" s="48">
        <f t="shared" ref="CB19:CL19" si="134">_xlfn.T.DIST(ABS(CB18),$CC$7-1,1)</f>
        <v>0.97450019921719344</v>
      </c>
      <c r="CC19" s="48">
        <f t="shared" si="134"/>
        <v>0.97019536690823671</v>
      </c>
      <c r="CD19" s="48">
        <f t="shared" si="134"/>
        <v>0.94516011055002502</v>
      </c>
      <c r="CE19" s="48">
        <f t="shared" si="134"/>
        <v>0.96871410340979247</v>
      </c>
      <c r="CF19" s="48">
        <f t="shared" si="134"/>
        <v>0.89535822177180446</v>
      </c>
      <c r="CG19" s="48">
        <f t="shared" si="134"/>
        <v>0.99524769695198134</v>
      </c>
      <c r="CH19" s="48">
        <f t="shared" si="134"/>
        <v>0.98188340532846097</v>
      </c>
      <c r="CI19" s="48">
        <f t="shared" si="134"/>
        <v>0.98006877234013168</v>
      </c>
      <c r="CJ19" s="48">
        <f t="shared" si="134"/>
        <v>0.92685386698015104</v>
      </c>
      <c r="CK19" s="48">
        <f t="shared" si="134"/>
        <v>0.95033116362686032</v>
      </c>
      <c r="CL19" s="48">
        <f t="shared" si="134"/>
        <v>0.99161809238492171</v>
      </c>
    </row>
    <row r="20" spans="1:90" x14ac:dyDescent="0.45">
      <c r="A20" s="3">
        <v>45891</v>
      </c>
      <c r="B20" s="48">
        <v>96.78</v>
      </c>
      <c r="C20" s="48">
        <v>110.31511999999999</v>
      </c>
      <c r="D20" s="48">
        <v>158.18</v>
      </c>
      <c r="E20" s="48">
        <v>119.95819</v>
      </c>
      <c r="F20" s="48">
        <v>34.269500000000001</v>
      </c>
      <c r="G20" s="48">
        <v>34.917310000000001</v>
      </c>
      <c r="H20">
        <v>63.66</v>
      </c>
      <c r="I20" s="48">
        <v>4.4589999999999996</v>
      </c>
      <c r="J20" s="49">
        <v>669.94461000000001</v>
      </c>
      <c r="K20" s="49">
        <v>12353.30946</v>
      </c>
      <c r="L20" s="50">
        <v>2.3585404547858291E-2</v>
      </c>
      <c r="M20" s="50">
        <v>4.4980777546696826E-2</v>
      </c>
      <c r="N20" s="50">
        <v>2.1659992742842693E-2</v>
      </c>
      <c r="O20" s="50">
        <v>1.781664175682085E-2</v>
      </c>
      <c r="P20" s="50">
        <v>1.1942991373111944E-2</v>
      </c>
      <c r="Q20" s="50">
        <v>4.3633019362498082E-2</v>
      </c>
      <c r="R20" s="47">
        <v>2.8006684556394081E-2</v>
      </c>
      <c r="S20" s="50">
        <v>2.7105517909002952E-2</v>
      </c>
      <c r="T20" s="50">
        <v>-7.4568725653867407E-3</v>
      </c>
      <c r="U20" s="50">
        <v>2.8083628105698422E-2</v>
      </c>
      <c r="V20" s="50">
        <v>2.9042170514637089E-3</v>
      </c>
      <c r="W20" s="50">
        <f t="shared" si="2"/>
        <v>2.8006684556394081E-2</v>
      </c>
      <c r="Y20" s="65" t="s">
        <v>409</v>
      </c>
      <c r="Z20" s="65" t="s">
        <v>2</v>
      </c>
      <c r="AM20" s="63">
        <f t="shared" si="49"/>
        <v>0.01</v>
      </c>
      <c r="AO20" t="str">
        <f t="shared" si="4"/>
        <v/>
      </c>
      <c r="AQ20" s="3">
        <v>45891</v>
      </c>
      <c r="AR20" s="59">
        <v>2.3585404547858291E-2</v>
      </c>
      <c r="AS20" s="59">
        <v>4.4980777546696826E-2</v>
      </c>
      <c r="AT20" s="59">
        <v>2.1659992742842693E-2</v>
      </c>
      <c r="AU20" s="59">
        <v>1.781664175682085E-2</v>
      </c>
      <c r="AV20" s="59">
        <v>1.1942991373111944E-2</v>
      </c>
      <c r="AW20" s="59">
        <v>4.3633019362498082E-2</v>
      </c>
      <c r="AX20" s="59">
        <v>2.8006684556394081E-2</v>
      </c>
      <c r="AY20" s="59">
        <v>2.7105517909002952E-2</v>
      </c>
      <c r="AZ20" s="59">
        <v>-7.4568725653867407E-3</v>
      </c>
      <c r="BA20" s="59">
        <v>2.8083628105698422E-2</v>
      </c>
      <c r="BB20" s="59">
        <v>2.9042170514637089E-3</v>
      </c>
      <c r="BC20" s="72" t="s">
        <v>437</v>
      </c>
      <c r="BO20" s="3">
        <v>44484</v>
      </c>
      <c r="BP20" s="59">
        <v>-1.0411157683344774E-2</v>
      </c>
      <c r="BQ20" s="59">
        <v>6.5938417774797919E-3</v>
      </c>
      <c r="BR20" s="59">
        <v>1.4437687571940083E-2</v>
      </c>
      <c r="BS20" s="59">
        <v>-5.514514462464537E-3</v>
      </c>
      <c r="BT20" s="59">
        <v>3.6716057360905996E-2</v>
      </c>
      <c r="BU20" s="59">
        <v>6.0211835565215921E-3</v>
      </c>
      <c r="BV20" s="59">
        <v>1.1650851160876585E-2</v>
      </c>
      <c r="BW20" s="59">
        <v>2.9993698802772695E-2</v>
      </c>
      <c r="BX20" s="59">
        <v>0.10618641094608816</v>
      </c>
      <c r="BY20" s="59">
        <v>1.1576387731601967E-2</v>
      </c>
      <c r="BZ20" s="59">
        <v>1.8317897335199396E-2</v>
      </c>
    </row>
    <row r="21" spans="1:90" x14ac:dyDescent="0.45">
      <c r="A21" s="3">
        <v>45884</v>
      </c>
      <c r="B21" s="48">
        <v>94.55</v>
      </c>
      <c r="C21" s="48">
        <v>105.56665</v>
      </c>
      <c r="D21" s="48">
        <v>154.82646</v>
      </c>
      <c r="E21" s="48">
        <v>117.85835</v>
      </c>
      <c r="F21" s="48">
        <v>33.865049999999997</v>
      </c>
      <c r="G21" s="48">
        <v>33.457459999999998</v>
      </c>
      <c r="H21">
        <v>61.98</v>
      </c>
      <c r="I21" s="48">
        <v>4.4924999999999997</v>
      </c>
      <c r="J21" s="49">
        <v>651.64408000000003</v>
      </c>
      <c r="K21" s="49">
        <v>12317.53666</v>
      </c>
      <c r="L21" s="50">
        <v>1.5120845009996442E-2</v>
      </c>
      <c r="M21" s="50">
        <v>6.3757264805712754E-3</v>
      </c>
      <c r="N21" s="50">
        <v>9.9348735947881739E-3</v>
      </c>
      <c r="O21" s="50">
        <v>2.3305843361338452E-2</v>
      </c>
      <c r="P21" s="50">
        <v>2.0118889688154118E-2</v>
      </c>
      <c r="Q21" s="50">
        <v>1.2319710356550662E-2</v>
      </c>
      <c r="R21" s="47">
        <v>1.4411008696280536E-2</v>
      </c>
      <c r="S21" s="50">
        <v>-2.9743268628678821E-2</v>
      </c>
      <c r="T21" s="50">
        <v>4.6964106004696582E-3</v>
      </c>
      <c r="U21" s="50">
        <v>4.6024050028530272E-3</v>
      </c>
      <c r="V21" s="50">
        <v>9.7447327498063618E-3</v>
      </c>
      <c r="W21" s="50">
        <f t="shared" si="2"/>
        <v>1.4411008696280536E-2</v>
      </c>
      <c r="Y21" s="63">
        <v>-0.1</v>
      </c>
      <c r="Z21">
        <v>6</v>
      </c>
      <c r="AM21" s="63">
        <f t="shared" si="49"/>
        <v>0.02</v>
      </c>
      <c r="AO21" t="str">
        <f t="shared" si="4"/>
        <v/>
      </c>
      <c r="AQ21" s="3">
        <v>45884</v>
      </c>
      <c r="AR21" s="59">
        <v>1.5120845009996442E-2</v>
      </c>
      <c r="AS21" s="59">
        <v>6.3757264805712754E-3</v>
      </c>
      <c r="AT21" s="59">
        <v>9.9348735947881739E-3</v>
      </c>
      <c r="AU21" s="59">
        <v>2.3305843361338452E-2</v>
      </c>
      <c r="AV21" s="59">
        <v>2.0118889688154118E-2</v>
      </c>
      <c r="AW21" s="59">
        <v>1.2319710356550662E-2</v>
      </c>
      <c r="AX21" s="59">
        <v>1.4411008696280536E-2</v>
      </c>
      <c r="AY21" s="59">
        <v>-2.9743268628678821E-2</v>
      </c>
      <c r="AZ21" s="59">
        <v>4.6964106004696582E-3</v>
      </c>
      <c r="BA21" s="59">
        <v>4.6024050028530272E-3</v>
      </c>
      <c r="BB21" s="59">
        <v>9.7447327498063618E-3</v>
      </c>
      <c r="BC21" t="s">
        <v>418</v>
      </c>
      <c r="BO21" s="3">
        <v>44477</v>
      </c>
      <c r="BP21" s="59">
        <v>6.8758978728463482E-2</v>
      </c>
      <c r="BQ21" s="59">
        <v>2.0515380688111096E-2</v>
      </c>
      <c r="BR21" s="59">
        <v>3.5656120691685445E-2</v>
      </c>
      <c r="BS21" s="59">
        <v>7.8894108393150475E-2</v>
      </c>
      <c r="BT21" s="59">
        <v>4.601466299652146E-2</v>
      </c>
      <c r="BU21" s="59">
        <v>8.2858071133594224E-2</v>
      </c>
      <c r="BV21" s="59">
        <v>5.2787668780612543E-2</v>
      </c>
      <c r="BW21" s="59">
        <v>4.5730100158144493E-2</v>
      </c>
      <c r="BX21" s="59">
        <v>2.0771159126178773E-2</v>
      </c>
      <c r="BY21" s="59">
        <v>5.0179652942246245E-2</v>
      </c>
      <c r="BZ21" s="59">
        <v>8.169497532312775E-3</v>
      </c>
    </row>
    <row r="22" spans="1:90" ht="14.65" thickBot="1" x14ac:dyDescent="0.5">
      <c r="A22" s="3">
        <v>45877</v>
      </c>
      <c r="B22" s="48">
        <v>93.141620000000003</v>
      </c>
      <c r="C22" s="48">
        <v>104.89785000000001</v>
      </c>
      <c r="D22" s="48">
        <v>153.30341000000001</v>
      </c>
      <c r="E22" s="48">
        <v>115.17412</v>
      </c>
      <c r="F22" s="48">
        <v>33.197159999999997</v>
      </c>
      <c r="G22" s="48">
        <v>33.050289999999997</v>
      </c>
      <c r="H22">
        <v>63.88</v>
      </c>
      <c r="I22" s="48">
        <v>4.4714999999999998</v>
      </c>
      <c r="J22" s="49">
        <v>648.65868999999998</v>
      </c>
      <c r="K22" s="49">
        <v>12198.66394</v>
      </c>
      <c r="L22" s="50">
        <v>1.2397578592326708E-2</v>
      </c>
      <c r="M22" s="50">
        <v>-2.5902968846735486E-2</v>
      </c>
      <c r="N22" s="50">
        <v>2.3844083701966889E-2</v>
      </c>
      <c r="O22" s="50">
        <v>-2.7444543769093999E-3</v>
      </c>
      <c r="P22" s="50">
        <v>7.5275741129187779E-2</v>
      </c>
      <c r="Q22" s="50">
        <v>3.5470100867374788E-2</v>
      </c>
      <c r="R22" s="47">
        <v>2.1188500494976913E-2</v>
      </c>
      <c r="S22" s="50">
        <v>-5.1240160403980384E-2</v>
      </c>
      <c r="T22" s="50">
        <v>8.1163341224212981E-3</v>
      </c>
      <c r="U22" s="50">
        <v>-9.809630303910466E-3</v>
      </c>
      <c r="V22" s="50">
        <v>2.4390948478772101E-2</v>
      </c>
      <c r="W22" s="50">
        <f t="shared" si="2"/>
        <v>2.1188500494976913E-2</v>
      </c>
      <c r="Y22" s="63">
        <v>-9.0000000000000011E-2</v>
      </c>
      <c r="Z22">
        <v>3</v>
      </c>
      <c r="AM22" s="63">
        <f t="shared" si="49"/>
        <v>0.03</v>
      </c>
      <c r="AO22" t="str">
        <f t="shared" si="4"/>
        <v/>
      </c>
      <c r="AQ22" s="3">
        <v>45877</v>
      </c>
      <c r="AR22" s="59">
        <v>1.2397578592326708E-2</v>
      </c>
      <c r="AS22" s="59">
        <v>-2.5902968846735486E-2</v>
      </c>
      <c r="AT22" s="59">
        <v>2.3844083701966889E-2</v>
      </c>
      <c r="AU22" s="59">
        <v>-2.7444543769093999E-3</v>
      </c>
      <c r="AV22" s="59">
        <v>7.5275741129187779E-2</v>
      </c>
      <c r="AW22" s="59">
        <v>3.5470100867374788E-2</v>
      </c>
      <c r="AX22" s="59">
        <v>2.1188500494976913E-2</v>
      </c>
      <c r="AY22" s="59">
        <v>-5.1240160403980384E-2</v>
      </c>
      <c r="AZ22" s="59">
        <v>8.1163341224212981E-3</v>
      </c>
      <c r="BA22" s="59">
        <v>-9.809630303910466E-3</v>
      </c>
      <c r="BB22" s="59">
        <v>2.4390948478772101E-2</v>
      </c>
      <c r="BO22" s="3">
        <v>44470</v>
      </c>
      <c r="BP22" s="59">
        <v>7.8129773357003884E-2</v>
      </c>
      <c r="BQ22" s="59">
        <v>5.7996204511746585E-2</v>
      </c>
      <c r="BR22" s="59">
        <v>3.7077492913783372E-2</v>
      </c>
      <c r="BS22" s="59">
        <v>7.4391836693368463E-2</v>
      </c>
      <c r="BT22" s="59">
        <v>5.1829026003858747E-2</v>
      </c>
      <c r="BU22" s="59">
        <v>0.1124204769349042</v>
      </c>
      <c r="BV22" s="59">
        <v>6.6743007411532274E-2</v>
      </c>
      <c r="BW22" s="59">
        <v>2.5682616923492718E-2</v>
      </c>
      <c r="BX22" s="59">
        <v>-2.2292250233426625E-2</v>
      </c>
      <c r="BY22" s="59">
        <v>5.7871333188487695E-2</v>
      </c>
      <c r="BZ22" s="59">
        <v>-2.1923402036144402E-2</v>
      </c>
    </row>
    <row r="23" spans="1:90" x14ac:dyDescent="0.45">
      <c r="A23" s="3">
        <v>45870</v>
      </c>
      <c r="B23" s="48">
        <v>92.00103</v>
      </c>
      <c r="C23" s="48">
        <v>107.68727</v>
      </c>
      <c r="D23" s="48">
        <v>149.73316</v>
      </c>
      <c r="E23" s="48">
        <v>115.49108</v>
      </c>
      <c r="F23" s="48">
        <v>30.873159999999999</v>
      </c>
      <c r="G23" s="48">
        <v>31.918150000000001</v>
      </c>
      <c r="H23">
        <v>67.33</v>
      </c>
      <c r="I23" s="48">
        <v>4.4355000000000002</v>
      </c>
      <c r="J23" s="49">
        <v>655.08483000000001</v>
      </c>
      <c r="K23" s="49">
        <v>11908.211370000001</v>
      </c>
      <c r="L23" s="50">
        <v>-2.3064758082216863E-2</v>
      </c>
      <c r="M23" s="50">
        <v>-6.8840203136053546E-3</v>
      </c>
      <c r="N23" s="50">
        <v>-2.2216498888009473E-2</v>
      </c>
      <c r="O23" s="50">
        <v>-1.5119467560603672E-2</v>
      </c>
      <c r="P23" s="50">
        <v>-1.3975081385838029E-2</v>
      </c>
      <c r="Q23" s="50">
        <v>-2.4286644027092796E-2</v>
      </c>
      <c r="R23" s="47">
        <v>-1.6496342435029863E-2</v>
      </c>
      <c r="S23" s="50">
        <v>3.3302639656230815E-2</v>
      </c>
      <c r="T23" s="50">
        <v>-0.23327571305099393</v>
      </c>
      <c r="U23" s="50">
        <v>-1.637143587615042E-2</v>
      </c>
      <c r="V23" s="50">
        <v>-2.3488225652993133E-2</v>
      </c>
      <c r="W23" s="50">
        <f t="shared" si="2"/>
        <v>-1.6496342435029863E-2</v>
      </c>
      <c r="Y23" s="63">
        <v>-8.0000000000000016E-2</v>
      </c>
      <c r="Z23">
        <v>1</v>
      </c>
      <c r="AM23" s="63">
        <f t="shared" si="49"/>
        <v>0.04</v>
      </c>
      <c r="AO23" t="str">
        <f t="shared" si="4"/>
        <v/>
      </c>
      <c r="AQ23" s="3">
        <v>45870</v>
      </c>
      <c r="AR23" s="59">
        <v>-2.3064758082216863E-2</v>
      </c>
      <c r="AS23" s="59">
        <v>-6.8840203136053546E-3</v>
      </c>
      <c r="AT23" s="59">
        <v>-2.2216498888009473E-2</v>
      </c>
      <c r="AU23" s="59">
        <v>-1.5119467560603672E-2</v>
      </c>
      <c r="AV23" s="59">
        <v>-1.3975081385838029E-2</v>
      </c>
      <c r="AW23" s="59">
        <v>-2.4286644027092796E-2</v>
      </c>
      <c r="AX23" s="59">
        <v>-1.6496342435029863E-2</v>
      </c>
      <c r="AY23" s="59">
        <v>3.3302639656230815E-2</v>
      </c>
      <c r="AZ23" s="59">
        <v>-0.23327571305099393</v>
      </c>
      <c r="BA23" s="59">
        <v>-1.637143587615042E-2</v>
      </c>
      <c r="BB23" s="59">
        <v>-2.3488225652993133E-2</v>
      </c>
      <c r="BC23" s="65"/>
      <c r="BD23" s="65" t="s">
        <v>419</v>
      </c>
      <c r="BE23" s="65" t="s">
        <v>420</v>
      </c>
      <c r="BO23" s="3">
        <v>44463</v>
      </c>
      <c r="BP23" s="59">
        <v>0.10353008388384288</v>
      </c>
      <c r="BQ23" s="59">
        <v>4.405362003421831E-2</v>
      </c>
      <c r="BR23" s="59">
        <v>3.9685816317703182E-2</v>
      </c>
      <c r="BS23" s="59">
        <v>5.1851733521833143E-2</v>
      </c>
      <c r="BT23" s="59">
        <v>3.9619638176195293E-2</v>
      </c>
      <c r="BU23" s="59">
        <v>0.11077559463969933</v>
      </c>
      <c r="BV23" s="59">
        <v>5.719728053792985E-2</v>
      </c>
      <c r="BW23" s="59">
        <v>3.0075187969925032E-2</v>
      </c>
      <c r="BX23" s="59">
        <v>9.7819681791397883E-3</v>
      </c>
      <c r="BY23" s="59">
        <v>4.6972223692252069E-2</v>
      </c>
      <c r="BZ23" s="59">
        <v>5.1474913223090724E-3</v>
      </c>
    </row>
    <row r="24" spans="1:90" x14ac:dyDescent="0.45">
      <c r="A24" s="3">
        <v>45863</v>
      </c>
      <c r="B24" s="48">
        <v>94.173109999999994</v>
      </c>
      <c r="C24" s="48">
        <v>108.43373</v>
      </c>
      <c r="D24" s="48">
        <v>153.13529</v>
      </c>
      <c r="E24" s="48">
        <v>117.26405</v>
      </c>
      <c r="F24" s="48">
        <v>31.31073</v>
      </c>
      <c r="G24" s="48">
        <v>32.712629999999997</v>
      </c>
      <c r="H24">
        <v>65.16</v>
      </c>
      <c r="I24" s="48">
        <v>5.7850000000000001</v>
      </c>
      <c r="J24" s="49">
        <v>665.98801000000003</v>
      </c>
      <c r="K24" s="49">
        <v>12194.641869999999</v>
      </c>
      <c r="L24" s="50">
        <v>3.6119629632196615E-2</v>
      </c>
      <c r="M24" s="50">
        <v>2.4403836464933493E-2</v>
      </c>
      <c r="N24" s="50">
        <v>3.1991507676523812E-2</v>
      </c>
      <c r="O24" s="50">
        <v>6.0332456509182286E-3</v>
      </c>
      <c r="P24" s="50">
        <v>6.5645380568002398E-3</v>
      </c>
      <c r="Q24" s="50">
        <v>2.7397638187487416E-3</v>
      </c>
      <c r="R24" s="47">
        <v>1.4346578333584903E-2</v>
      </c>
      <c r="S24" s="50">
        <v>-1.3474640423921325E-2</v>
      </c>
      <c r="T24" s="50">
        <v>3.2206262824516108E-2</v>
      </c>
      <c r="U24" s="50">
        <v>1.3991029093357588E-2</v>
      </c>
      <c r="V24" s="50">
        <v>1.4671413811980338E-2</v>
      </c>
      <c r="W24" s="50">
        <f t="shared" si="2"/>
        <v>1.4346578333584903E-2</v>
      </c>
      <c r="Y24" s="63">
        <v>-7.0000000000000021E-2</v>
      </c>
      <c r="Z24">
        <v>2</v>
      </c>
      <c r="AM24" s="63">
        <f t="shared" si="49"/>
        <v>0.05</v>
      </c>
      <c r="AO24" t="str">
        <f t="shared" si="4"/>
        <v/>
      </c>
      <c r="AQ24" s="3">
        <v>45863</v>
      </c>
      <c r="AR24" s="59">
        <v>3.6119629632196615E-2</v>
      </c>
      <c r="AS24" s="59">
        <v>2.4403836464933493E-2</v>
      </c>
      <c r="AT24" s="59">
        <v>3.1991507676523812E-2</v>
      </c>
      <c r="AU24" s="59">
        <v>6.0332456509182286E-3</v>
      </c>
      <c r="AV24" s="59">
        <v>6.5645380568002398E-3</v>
      </c>
      <c r="AW24" s="59">
        <v>2.7397638187487416E-3</v>
      </c>
      <c r="AX24" s="59">
        <v>1.4346578333584903E-2</v>
      </c>
      <c r="AY24" s="59">
        <v>-1.3474640423921325E-2</v>
      </c>
      <c r="AZ24" s="59">
        <v>3.2206262824516108E-2</v>
      </c>
      <c r="BA24" s="59">
        <v>1.3991029093357588E-2</v>
      </c>
      <c r="BB24" s="59">
        <v>1.4671413811980338E-2</v>
      </c>
      <c r="BC24" t="s">
        <v>421</v>
      </c>
      <c r="BD24" s="71">
        <v>2.8683223068816008E-3</v>
      </c>
      <c r="BE24" s="71">
        <v>1.4460622799900746E-2</v>
      </c>
      <c r="BO24" s="3">
        <v>44456</v>
      </c>
      <c r="BP24" s="59">
        <v>5.7240264298953791E-2</v>
      </c>
      <c r="BQ24" s="59">
        <v>2.1859864021539943E-2</v>
      </c>
      <c r="BR24" s="59">
        <v>7.1822785243851328E-3</v>
      </c>
      <c r="BS24" s="59">
        <v>0.10589818326761558</v>
      </c>
      <c r="BT24" s="59">
        <v>3.0204164681494339E-2</v>
      </c>
      <c r="BU24" s="59">
        <v>6.1275330756151769E-2</v>
      </c>
      <c r="BV24" s="59">
        <v>4.5283964250237355E-2</v>
      </c>
      <c r="BW24" s="59">
        <v>3.38275514610622E-2</v>
      </c>
      <c r="BX24" s="59">
        <v>-4.6200539568345467E-2</v>
      </c>
      <c r="BY24" s="59">
        <v>3.312239746115897E-2</v>
      </c>
      <c r="BZ24" s="59">
        <v>-5.5190240088794917E-3</v>
      </c>
    </row>
    <row r="25" spans="1:90" x14ac:dyDescent="0.45">
      <c r="A25" s="3">
        <v>45856</v>
      </c>
      <c r="B25" s="48">
        <v>90.890190000000004</v>
      </c>
      <c r="C25" s="48">
        <v>105.85057</v>
      </c>
      <c r="D25" s="48">
        <v>148.38812999999999</v>
      </c>
      <c r="E25" s="48">
        <v>116.56081</v>
      </c>
      <c r="F25" s="48">
        <v>31.106529999999999</v>
      </c>
      <c r="G25" s="48">
        <v>32.623249999999999</v>
      </c>
      <c r="H25">
        <v>66.05</v>
      </c>
      <c r="I25" s="48">
        <v>5.6044999999999998</v>
      </c>
      <c r="J25" s="49">
        <v>656.79872</v>
      </c>
      <c r="K25" s="49">
        <v>12018.31618</v>
      </c>
      <c r="L25" s="50">
        <v>-4.152288397558046E-2</v>
      </c>
      <c r="M25" s="50">
        <v>-6.6360547475817655E-2</v>
      </c>
      <c r="N25" s="50">
        <v>-3.3932137157974718E-2</v>
      </c>
      <c r="O25" s="50">
        <v>-3.5648571469229173E-2</v>
      </c>
      <c r="P25" s="50">
        <v>-1.9914249471778445E-2</v>
      </c>
      <c r="Q25" s="50">
        <v>-3.2970293625235403E-2</v>
      </c>
      <c r="R25" s="47">
        <v>-3.7765159840007077E-2</v>
      </c>
      <c r="S25" s="50">
        <v>-1.4767303102625418E-2</v>
      </c>
      <c r="T25" s="50">
        <v>0</v>
      </c>
      <c r="U25" s="50">
        <v>-3.8627124070270913E-2</v>
      </c>
      <c r="V25" s="50">
        <v>6.0360718597598506E-3</v>
      </c>
      <c r="W25" s="50">
        <f t="shared" si="2"/>
        <v>-3.7765159840007077E-2</v>
      </c>
      <c r="Y25" s="63">
        <v>-6.0000000000000019E-2</v>
      </c>
      <c r="Z25">
        <v>7</v>
      </c>
      <c r="AM25" s="63">
        <f t="shared" si="49"/>
        <v>6.0000000000000005E-2</v>
      </c>
      <c r="AO25" t="str">
        <f t="shared" si="4"/>
        <v/>
      </c>
      <c r="AQ25" s="3">
        <v>45856</v>
      </c>
      <c r="AR25" s="59">
        <v>-4.152288397558046E-2</v>
      </c>
      <c r="AS25" s="59">
        <v>-6.6360547475817655E-2</v>
      </c>
      <c r="AT25" s="59">
        <v>-3.3932137157974718E-2</v>
      </c>
      <c r="AU25" s="59">
        <v>-3.5648571469229173E-2</v>
      </c>
      <c r="AV25" s="59">
        <v>-1.9914249471778445E-2</v>
      </c>
      <c r="AW25" s="59">
        <v>-3.2970293625235403E-2</v>
      </c>
      <c r="AX25" s="59">
        <v>-3.7765159840007077E-2</v>
      </c>
      <c r="AY25" s="59">
        <v>-1.4767303102625418E-2</v>
      </c>
      <c r="AZ25" s="59">
        <v>0</v>
      </c>
      <c r="BA25" s="59">
        <v>-3.8627124070270913E-2</v>
      </c>
      <c r="BB25" s="59">
        <v>6.0360718597598506E-3</v>
      </c>
      <c r="BC25" t="s">
        <v>422</v>
      </c>
      <c r="BD25" s="71">
        <v>2.3541859880421684E-3</v>
      </c>
      <c r="BE25" s="71">
        <v>3.7560031860507156E-3</v>
      </c>
      <c r="BO25" s="3">
        <v>44449</v>
      </c>
      <c r="BP25" s="59">
        <v>-9.0682370481909302E-3</v>
      </c>
      <c r="BQ25" s="59">
        <v>-1.6220036766466994E-2</v>
      </c>
      <c r="BR25" s="59">
        <v>-1.4565575962856347E-2</v>
      </c>
      <c r="BS25" s="59">
        <v>-1.2501787696035604E-2</v>
      </c>
      <c r="BT25" s="59">
        <v>-1.1299412522171037E-2</v>
      </c>
      <c r="BU25" s="59">
        <v>-2.0845894238008755E-2</v>
      </c>
      <c r="BV25" s="59">
        <v>-1.5086541437107748E-2</v>
      </c>
      <c r="BW25" s="59">
        <v>2.5977774570644652E-3</v>
      </c>
      <c r="BX25" s="59">
        <v>2.8320425384348757E-2</v>
      </c>
      <c r="BY25" s="59">
        <v>-1.7837209003225496E-2</v>
      </c>
      <c r="BZ25" s="59">
        <v>-1.6809058015561873E-2</v>
      </c>
    </row>
    <row r="26" spans="1:90" x14ac:dyDescent="0.45">
      <c r="A26" s="3">
        <v>45849</v>
      </c>
      <c r="B26" s="48">
        <v>94.827709999999996</v>
      </c>
      <c r="C26" s="48">
        <v>113.37414</v>
      </c>
      <c r="D26" s="48">
        <v>153.60011</v>
      </c>
      <c r="E26" s="48">
        <v>120.86964</v>
      </c>
      <c r="F26" s="48">
        <v>31.738579999999999</v>
      </c>
      <c r="G26" s="48">
        <v>33.735520000000001</v>
      </c>
      <c r="H26">
        <v>67.040000000000006</v>
      </c>
      <c r="I26" s="48">
        <v>5.6044999999999998</v>
      </c>
      <c r="J26" s="49">
        <v>683.18831999999998</v>
      </c>
      <c r="K26" s="49">
        <v>11946.20801</v>
      </c>
      <c r="L26" s="50">
        <v>2.0602065361868815E-2</v>
      </c>
      <c r="M26" s="50">
        <v>2.8787857752064827E-2</v>
      </c>
      <c r="N26" s="50">
        <v>4.6774926923440541E-2</v>
      </c>
      <c r="O26" s="50">
        <v>-8.9322246992618037E-4</v>
      </c>
      <c r="P26" s="50">
        <v>5.5285959048152034E-2</v>
      </c>
      <c r="Q26" s="50">
        <v>2.2268968804534994E-2</v>
      </c>
      <c r="R26" s="47">
        <v>3.0444898011653242E-2</v>
      </c>
      <c r="S26" s="50">
        <v>5.9701492537311829E-4</v>
      </c>
      <c r="T26" s="50">
        <v>9.0051541378975086E-2</v>
      </c>
      <c r="U26" s="50">
        <v>2.4830467686649316E-2</v>
      </c>
      <c r="V26" s="50">
        <v>-2.9974718781267118E-3</v>
      </c>
      <c r="W26" s="50">
        <f t="shared" si="2"/>
        <v>3.0444898011653242E-2</v>
      </c>
      <c r="Y26" s="63">
        <v>-5.0000000000000017E-2</v>
      </c>
      <c r="Z26">
        <v>8</v>
      </c>
      <c r="AM26" s="63">
        <f t="shared" si="49"/>
        <v>7.0000000000000007E-2</v>
      </c>
      <c r="AO26" t="str">
        <f t="shared" si="4"/>
        <v/>
      </c>
      <c r="AQ26" s="3">
        <v>45849</v>
      </c>
      <c r="AR26" s="59">
        <v>2.0602065361868815E-2</v>
      </c>
      <c r="AS26" s="59">
        <v>2.8787857752064827E-2</v>
      </c>
      <c r="AT26" s="59">
        <v>4.6774926923440541E-2</v>
      </c>
      <c r="AU26" s="59">
        <v>-8.9322246992618037E-4</v>
      </c>
      <c r="AV26" s="59">
        <v>5.5285959048152034E-2</v>
      </c>
      <c r="AW26" s="59">
        <v>2.2268968804534994E-2</v>
      </c>
      <c r="AX26" s="59">
        <v>3.0444898011653242E-2</v>
      </c>
      <c r="AY26" s="59">
        <v>5.9701492537311829E-4</v>
      </c>
      <c r="AZ26" s="59">
        <v>9.0051541378975086E-2</v>
      </c>
      <c r="BA26" s="59">
        <v>2.4830467686649316E-2</v>
      </c>
      <c r="BB26" s="59">
        <v>-2.9974718781267118E-3</v>
      </c>
      <c r="BC26" t="s">
        <v>423</v>
      </c>
      <c r="BD26">
        <v>197</v>
      </c>
      <c r="BE26">
        <v>63</v>
      </c>
      <c r="BO26" s="3">
        <v>44442</v>
      </c>
      <c r="BP26" s="59">
        <v>-8.8120654404237886E-3</v>
      </c>
      <c r="BQ26" s="59">
        <v>-1.6137785512773561E-2</v>
      </c>
      <c r="BR26" s="59">
        <v>-1.1658581619486852E-2</v>
      </c>
      <c r="BS26" s="59">
        <v>-2.3553178615345449E-2</v>
      </c>
      <c r="BT26" s="59">
        <v>-6.4154544820361759E-3</v>
      </c>
      <c r="BU26" s="59">
        <v>-3.919634653280446E-2</v>
      </c>
      <c r="BV26" s="59">
        <v>-1.9392269352489298E-2</v>
      </c>
      <c r="BW26" s="59">
        <v>8.0011638056445289E-3</v>
      </c>
      <c r="BX26" s="59">
        <v>1.6209331943961569E-3</v>
      </c>
      <c r="BY26" s="59">
        <v>-1.4425257786966461E-2</v>
      </c>
      <c r="BZ26" s="59">
        <v>6.0803532308280062E-3</v>
      </c>
    </row>
    <row r="27" spans="1:90" x14ac:dyDescent="0.45">
      <c r="A27" s="3">
        <v>45841</v>
      </c>
      <c r="B27" s="48">
        <v>92.913499999999999</v>
      </c>
      <c r="C27" s="48">
        <v>110.20167000000001</v>
      </c>
      <c r="D27" s="48">
        <v>146.73652000000001</v>
      </c>
      <c r="E27" s="48">
        <v>120.9777</v>
      </c>
      <c r="F27" s="48">
        <v>30.075810000000001</v>
      </c>
      <c r="G27" s="48">
        <v>33.000630000000001</v>
      </c>
      <c r="H27">
        <v>67</v>
      </c>
      <c r="I27" s="48">
        <v>5.1414999999999997</v>
      </c>
      <c r="J27" s="49">
        <v>666.63544999999999</v>
      </c>
      <c r="K27" s="49">
        <v>11982.124089999999</v>
      </c>
      <c r="L27" s="50">
        <v>3.8926462968267961E-2</v>
      </c>
      <c r="M27" s="50">
        <v>2.5781634691371957E-2</v>
      </c>
      <c r="N27" s="50">
        <v>3.1852031975373452E-2</v>
      </c>
      <c r="O27" s="50">
        <v>1.9453665927496644E-2</v>
      </c>
      <c r="P27" s="50">
        <v>1.9446412289294779E-2</v>
      </c>
      <c r="Q27" s="50">
        <v>3.038773999379929E-2</v>
      </c>
      <c r="R27" s="47">
        <v>2.5384296975467225E-2</v>
      </c>
      <c r="S27" s="50">
        <v>2.258852258852273E-2</v>
      </c>
      <c r="T27" s="50">
        <v>3.6111653328128046E-3</v>
      </c>
      <c r="U27" s="50">
        <v>2.0875455988993652E-2</v>
      </c>
      <c r="V27" s="50">
        <v>1.7422949821900735E-2</v>
      </c>
      <c r="W27" s="50">
        <f t="shared" si="2"/>
        <v>2.5384296975467225E-2</v>
      </c>
      <c r="Y27" s="63">
        <v>-4.0000000000000015E-2</v>
      </c>
      <c r="Z27">
        <v>19</v>
      </c>
      <c r="AM27" s="63">
        <f t="shared" si="49"/>
        <v>0.08</v>
      </c>
      <c r="AO27" t="str">
        <f t="shared" si="4"/>
        <v/>
      </c>
      <c r="AQ27" s="3">
        <v>45841</v>
      </c>
      <c r="AR27" s="59">
        <v>3.8926462968267961E-2</v>
      </c>
      <c r="AS27" s="59">
        <v>2.5781634691371957E-2</v>
      </c>
      <c r="AT27" s="59">
        <v>3.1852031975373452E-2</v>
      </c>
      <c r="AU27" s="59">
        <v>1.9453665927496644E-2</v>
      </c>
      <c r="AV27" s="59">
        <v>1.9446412289294779E-2</v>
      </c>
      <c r="AW27" s="59">
        <v>3.038773999379929E-2</v>
      </c>
      <c r="AX27" s="59">
        <v>2.5384296975467225E-2</v>
      </c>
      <c r="AY27" s="59">
        <v>2.258852258852273E-2</v>
      </c>
      <c r="AZ27" s="59">
        <v>3.6111653328128046E-3</v>
      </c>
      <c r="BA27" s="59">
        <v>2.0875455988993652E-2</v>
      </c>
      <c r="BB27" s="59">
        <v>1.7422949821900735E-2</v>
      </c>
      <c r="BC27" t="s">
        <v>424</v>
      </c>
      <c r="BD27">
        <v>196</v>
      </c>
      <c r="BE27">
        <v>62</v>
      </c>
      <c r="BO27" s="3">
        <v>44435</v>
      </c>
      <c r="BP27" s="59">
        <v>7.5232225103321504E-2</v>
      </c>
      <c r="BQ27" s="59">
        <v>5.7451658673088213E-2</v>
      </c>
      <c r="BR27" s="59">
        <v>4.6023411395420766E-2</v>
      </c>
      <c r="BS27" s="59">
        <v>8.0037240350510075E-2</v>
      </c>
      <c r="BT27" s="59">
        <v>5.4991578181461165E-2</v>
      </c>
      <c r="BU27" s="59">
        <v>0.18132293321645765</v>
      </c>
      <c r="BV27" s="59">
        <v>8.3965364363387571E-2</v>
      </c>
      <c r="BW27" s="59">
        <v>0.10621177985194707</v>
      </c>
      <c r="BX27" s="59">
        <v>4.3872371283538936E-2</v>
      </c>
      <c r="BY27" s="59">
        <v>7.3423834501848528E-2</v>
      </c>
      <c r="BZ27" s="59">
        <v>1.5369231513105319E-2</v>
      </c>
    </row>
    <row r="28" spans="1:90" x14ac:dyDescent="0.45">
      <c r="A28" s="3">
        <v>45835</v>
      </c>
      <c r="B28" s="48">
        <v>89.432220000000001</v>
      </c>
      <c r="C28" s="48">
        <v>107.4319</v>
      </c>
      <c r="D28" s="48">
        <v>142.20694</v>
      </c>
      <c r="E28" s="48">
        <v>118.66915</v>
      </c>
      <c r="F28" s="48">
        <v>29.502099999999999</v>
      </c>
      <c r="G28" s="48">
        <v>32.027389999999997</v>
      </c>
      <c r="H28">
        <v>65.52</v>
      </c>
      <c r="I28" s="48">
        <v>5.1230000000000002</v>
      </c>
      <c r="J28" s="49">
        <v>653.00369999999998</v>
      </c>
      <c r="K28" s="49">
        <v>11776.93514</v>
      </c>
      <c r="L28" s="50">
        <v>-4.7734744648472383E-2</v>
      </c>
      <c r="M28" s="50">
        <v>-4.6381876338962957E-2</v>
      </c>
      <c r="N28" s="50">
        <v>-3.8515578363815806E-2</v>
      </c>
      <c r="O28" s="50">
        <v>-3.6067670532441753E-2</v>
      </c>
      <c r="P28" s="50">
        <v>-2.9120047178116226E-2</v>
      </c>
      <c r="Q28" s="50">
        <v>-5.9492601453427163E-2</v>
      </c>
      <c r="R28" s="47">
        <v>-4.1915554773352778E-2</v>
      </c>
      <c r="S28" s="50">
        <v>-0.11267605633802824</v>
      </c>
      <c r="T28" s="50">
        <v>5.9894486397020774E-2</v>
      </c>
      <c r="U28" s="50">
        <v>-3.4515034400862343E-2</v>
      </c>
      <c r="V28" s="50">
        <v>3.4485258000124919E-2</v>
      </c>
      <c r="W28" s="50">
        <f t="shared" si="2"/>
        <v>-4.1915554773352778E-2</v>
      </c>
      <c r="Y28" s="63">
        <v>-3.0000000000000013E-2</v>
      </c>
      <c r="Z28">
        <v>17</v>
      </c>
      <c r="AM28" s="63">
        <f t="shared" si="49"/>
        <v>0.09</v>
      </c>
      <c r="AO28" t="str">
        <f t="shared" si="4"/>
        <v/>
      </c>
      <c r="AQ28" s="3">
        <v>45835</v>
      </c>
      <c r="AR28" s="59">
        <v>-4.7734744648472383E-2</v>
      </c>
      <c r="AS28" s="59">
        <v>-4.6381876338962957E-2</v>
      </c>
      <c r="AT28" s="59">
        <v>-3.8515578363815806E-2</v>
      </c>
      <c r="AU28" s="59">
        <v>-3.6067670532441753E-2</v>
      </c>
      <c r="AV28" s="59">
        <v>-2.9120047178116226E-2</v>
      </c>
      <c r="AW28" s="59">
        <v>-5.9492601453427163E-2</v>
      </c>
      <c r="AX28" s="59">
        <v>-4.1915554773352778E-2</v>
      </c>
      <c r="AY28" s="59">
        <v>-0.11267605633802824</v>
      </c>
      <c r="AZ28" s="59">
        <v>5.9894486397020774E-2</v>
      </c>
      <c r="BA28" s="59">
        <v>-3.4515034400862343E-2</v>
      </c>
      <c r="BB28" s="59">
        <v>3.4485258000124919E-2</v>
      </c>
      <c r="BC28" t="s">
        <v>425</v>
      </c>
      <c r="BD28">
        <v>0.62677955034364574</v>
      </c>
      <c r="BO28" s="3">
        <v>44428</v>
      </c>
      <c r="BP28" s="59">
        <v>-5.7173512769992052E-2</v>
      </c>
      <c r="BQ28" s="59">
        <v>-7.0988156671777269E-2</v>
      </c>
      <c r="BR28" s="59">
        <v>-6.2658181548771563E-2</v>
      </c>
      <c r="BS28" s="59">
        <v>-5.1911776489392714E-2</v>
      </c>
      <c r="BT28" s="59">
        <v>-6.2648704318449266E-2</v>
      </c>
      <c r="BU28" s="59">
        <v>-8.2470298511682971E-2</v>
      </c>
      <c r="BV28" s="59">
        <v>-6.6135423508014754E-2</v>
      </c>
      <c r="BW28" s="59">
        <v>-8.8989884181205015E-2</v>
      </c>
      <c r="BX28" s="59">
        <v>-5.795286348628037E-2</v>
      </c>
      <c r="BY28" s="59">
        <v>-7.3258860888397392E-2</v>
      </c>
      <c r="BZ28" s="59">
        <v>-5.6174374037092356E-3</v>
      </c>
    </row>
    <row r="29" spans="1:90" x14ac:dyDescent="0.45">
      <c r="A29" s="3">
        <v>45828</v>
      </c>
      <c r="B29" s="48">
        <v>93.915239999999997</v>
      </c>
      <c r="C29" s="48">
        <v>112.65715</v>
      </c>
      <c r="D29" s="48">
        <v>147.90352999999999</v>
      </c>
      <c r="E29" s="48">
        <v>123.10942</v>
      </c>
      <c r="F29" s="48">
        <v>30.386970000000002</v>
      </c>
      <c r="G29" s="48">
        <v>34.053310000000003</v>
      </c>
      <c r="H29">
        <v>73.84</v>
      </c>
      <c r="I29" s="48">
        <v>4.8334999999999999</v>
      </c>
      <c r="J29" s="49">
        <v>676.34786999999994</v>
      </c>
      <c r="K29" s="49">
        <v>11384.343129999999</v>
      </c>
      <c r="L29" s="50">
        <v>-2.3411648070131519E-2</v>
      </c>
      <c r="M29" s="50">
        <v>2.3011066706258854E-2</v>
      </c>
      <c r="N29" s="50">
        <v>2.4946917471220464E-2</v>
      </c>
      <c r="O29" s="50">
        <v>3.1933015097407313E-4</v>
      </c>
      <c r="P29" s="50">
        <v>-1.4817149143155572E-2</v>
      </c>
      <c r="Q29" s="50">
        <v>-2.3355173061562651E-2</v>
      </c>
      <c r="R29" s="47">
        <v>2.0209984247470335E-3</v>
      </c>
      <c r="S29" s="50">
        <v>3.5769392621685991E-2</v>
      </c>
      <c r="T29" s="50">
        <v>3.9464118807768234E-3</v>
      </c>
      <c r="U29" s="50">
        <v>1.0987262103342443E-2</v>
      </c>
      <c r="V29" s="50">
        <v>-1.328311738147625E-3</v>
      </c>
      <c r="W29" s="50">
        <f t="shared" si="2"/>
        <v>2.0209984247470335E-3</v>
      </c>
      <c r="Y29" s="63">
        <v>-2.0000000000000011E-2</v>
      </c>
      <c r="Z29">
        <v>9</v>
      </c>
      <c r="AM29" s="63">
        <f t="shared" si="49"/>
        <v>9.9999999999999992E-2</v>
      </c>
      <c r="AO29" t="str">
        <f t="shared" si="4"/>
        <v/>
      </c>
      <c r="AQ29" s="3">
        <v>45828</v>
      </c>
      <c r="AR29" s="59">
        <v>-2.3411648070131519E-2</v>
      </c>
      <c r="AS29" s="59">
        <v>2.3011066706258854E-2</v>
      </c>
      <c r="AT29" s="59">
        <v>2.4946917471220464E-2</v>
      </c>
      <c r="AU29" s="59">
        <v>3.1933015097407313E-4</v>
      </c>
      <c r="AV29" s="59">
        <v>-1.4817149143155572E-2</v>
      </c>
      <c r="AW29" s="59">
        <v>-2.3355173061562651E-2</v>
      </c>
      <c r="AX29" s="59">
        <v>2.0209984247470335E-3</v>
      </c>
      <c r="AY29" s="59">
        <v>3.5769392621685991E-2</v>
      </c>
      <c r="AZ29" s="59">
        <v>3.9464118807768234E-3</v>
      </c>
      <c r="BA29" s="59">
        <v>1.0987262103342443E-2</v>
      </c>
      <c r="BB29" s="59">
        <v>-1.328311738147625E-3</v>
      </c>
      <c r="BC29" t="s">
        <v>426</v>
      </c>
      <c r="BD29" s="29">
        <v>8.557219809256944E-3</v>
      </c>
      <c r="BF29" t="s">
        <v>428</v>
      </c>
      <c r="BO29" s="3">
        <v>44421</v>
      </c>
      <c r="BP29" s="59">
        <v>-9.3805290153712306E-3</v>
      </c>
      <c r="BQ29" s="59">
        <v>-3.9880508086567179E-3</v>
      </c>
      <c r="BR29" s="59">
        <v>9.8053251446961198E-5</v>
      </c>
      <c r="BS29" s="59">
        <v>-4.1308357232241577E-2</v>
      </c>
      <c r="BT29" s="59">
        <v>-9.3898503587297455E-4</v>
      </c>
      <c r="BU29" s="59">
        <v>3.7023263693827468E-2</v>
      </c>
      <c r="BV29" s="59">
        <v>-1.8228152262993679E-3</v>
      </c>
      <c r="BW29" s="59">
        <v>-1.0251903925015959E-3</v>
      </c>
      <c r="BX29" s="59">
        <v>1.0004599816007431E-2</v>
      </c>
      <c r="BY29" s="59">
        <v>-8.1356306709896575E-3</v>
      </c>
      <c r="BZ29" s="59">
        <v>7.3912927466615042E-3</v>
      </c>
    </row>
    <row r="30" spans="1:90" ht="14.65" thickBot="1" x14ac:dyDescent="0.5">
      <c r="A30" s="3">
        <v>45821</v>
      </c>
      <c r="B30" s="48">
        <v>96.166659999999993</v>
      </c>
      <c r="C30" s="48">
        <v>110.12309999999999</v>
      </c>
      <c r="D30" s="48">
        <v>144.30359999999999</v>
      </c>
      <c r="E30" s="48">
        <v>123.07012</v>
      </c>
      <c r="F30" s="48">
        <v>30.843990000000002</v>
      </c>
      <c r="G30" s="48">
        <v>34.867649999999998</v>
      </c>
      <c r="H30">
        <v>71.290000000000006</v>
      </c>
      <c r="I30" s="48">
        <v>4.8144999999999998</v>
      </c>
      <c r="J30" s="49">
        <v>668.99742000000003</v>
      </c>
      <c r="K30" s="49">
        <v>11399.485199999999</v>
      </c>
      <c r="L30" s="50">
        <v>0.11167155802186102</v>
      </c>
      <c r="M30" s="50">
        <v>7.5285332679249084E-2</v>
      </c>
      <c r="N30" s="50">
        <v>4.0653338030459452E-2</v>
      </c>
      <c r="O30" s="50">
        <v>9.8465603832835313E-2</v>
      </c>
      <c r="P30" s="50">
        <v>8.2963438912120768E-2</v>
      </c>
      <c r="Q30" s="50">
        <v>9.4988402452788501E-2</v>
      </c>
      <c r="R30" s="47">
        <v>7.8471223181490621E-2</v>
      </c>
      <c r="S30" s="50">
        <v>0.10390213688448457</v>
      </c>
      <c r="T30" s="50">
        <v>-6.9100660066007125E-3</v>
      </c>
      <c r="U30" s="50">
        <v>5.7251879805833017E-2</v>
      </c>
      <c r="V30" s="50">
        <v>-3.6818188876153179E-3</v>
      </c>
      <c r="W30" s="50">
        <f t="shared" si="2"/>
        <v>7.8471223181490621E-2</v>
      </c>
      <c r="Y30" s="63">
        <v>-1.0000000000000011E-2</v>
      </c>
      <c r="Z30">
        <v>19</v>
      </c>
      <c r="AM30" s="63"/>
      <c r="AO30" t="str">
        <f t="shared" si="4"/>
        <v/>
      </c>
      <c r="AQ30" s="3">
        <v>45821</v>
      </c>
      <c r="AR30" s="59">
        <v>0.11167155802186102</v>
      </c>
      <c r="AS30" s="59">
        <v>7.5285332679249084E-2</v>
      </c>
      <c r="AT30" s="59">
        <v>4.0653338030459452E-2</v>
      </c>
      <c r="AU30" s="59">
        <v>9.8465603832835313E-2</v>
      </c>
      <c r="AV30" s="59">
        <v>8.2963438912120768E-2</v>
      </c>
      <c r="AW30" s="59">
        <v>9.4988402452788501E-2</v>
      </c>
      <c r="AX30" s="59">
        <v>7.8471223181490621E-2</v>
      </c>
      <c r="AY30" s="59">
        <v>0.10390213688448457</v>
      </c>
      <c r="AZ30" s="59">
        <v>-6.9100660066007125E-3</v>
      </c>
      <c r="BA30" s="59">
        <v>5.7251879805833017E-2</v>
      </c>
      <c r="BB30" s="59">
        <v>-3.6818188876153179E-3</v>
      </c>
      <c r="BC30" s="64" t="s">
        <v>427</v>
      </c>
      <c r="BD30" s="64">
        <v>0.72355061124022124</v>
      </c>
      <c r="BE30" s="64"/>
      <c r="BO30" s="3">
        <v>44414</v>
      </c>
      <c r="BP30" s="59">
        <v>7.8487632602224355E-3</v>
      </c>
      <c r="BQ30" s="59">
        <v>5.03741603791652E-3</v>
      </c>
      <c r="BR30" s="59">
        <v>1.3751013040055327E-3</v>
      </c>
      <c r="BS30" s="59">
        <v>-2.6489149840191462E-2</v>
      </c>
      <c r="BT30" s="59">
        <v>5.7071744900590193E-2</v>
      </c>
      <c r="BU30" s="59">
        <v>4.5278651326799979E-2</v>
      </c>
      <c r="BV30" s="59">
        <v>1.6454752745824152E-2</v>
      </c>
      <c r="BW30" s="59">
        <v>-7.6673427991886478E-2</v>
      </c>
      <c r="BX30" s="59">
        <v>-3.0005577244841097E-2</v>
      </c>
      <c r="BY30" s="59">
        <v>3.2187735983564281E-3</v>
      </c>
      <c r="BZ30" s="59">
        <v>9.5300892524050607E-3</v>
      </c>
    </row>
    <row r="31" spans="1:90" x14ac:dyDescent="0.45">
      <c r="A31" s="3">
        <v>45814</v>
      </c>
      <c r="B31" s="48">
        <v>86.506360000000001</v>
      </c>
      <c r="C31" s="48">
        <v>102.41291</v>
      </c>
      <c r="D31" s="48">
        <v>138.66634999999999</v>
      </c>
      <c r="E31" s="48">
        <v>112.03821000000001</v>
      </c>
      <c r="F31" s="48">
        <v>28.481100000000001</v>
      </c>
      <c r="G31" s="48">
        <v>31.842939999999999</v>
      </c>
      <c r="H31">
        <v>64.58</v>
      </c>
      <c r="I31" s="48">
        <v>4.8479999999999999</v>
      </c>
      <c r="J31" s="49">
        <v>632.77013999999997</v>
      </c>
      <c r="K31" s="49">
        <v>11441.611140000001</v>
      </c>
      <c r="L31" s="50">
        <v>2.1909788892503723E-2</v>
      </c>
      <c r="M31" s="50">
        <v>1.9257152735638883E-2</v>
      </c>
      <c r="N31" s="50">
        <v>2.5676615259440094E-2</v>
      </c>
      <c r="O31" s="50">
        <v>5.0474296159725762E-2</v>
      </c>
      <c r="P31" s="50">
        <v>6.5291106450124925E-3</v>
      </c>
      <c r="Q31" s="50">
        <v>6.7085463509314769E-2</v>
      </c>
      <c r="R31" s="47">
        <v>3.38045276618264E-2</v>
      </c>
      <c r="S31" s="50">
        <v>6.2345780556012587E-2</v>
      </c>
      <c r="T31" s="50">
        <v>3.6451095670764211E-2</v>
      </c>
      <c r="U31" s="50">
        <v>2.1684088348778552E-2</v>
      </c>
      <c r="V31" s="50">
        <v>1.5265138398753875E-2</v>
      </c>
      <c r="W31" s="50">
        <f t="shared" si="2"/>
        <v>3.38045276618264E-2</v>
      </c>
      <c r="Y31" s="63">
        <v>0</v>
      </c>
      <c r="Z31">
        <v>23</v>
      </c>
      <c r="AM31" s="63"/>
      <c r="AO31" t="str">
        <f t="shared" si="4"/>
        <v/>
      </c>
      <c r="AQ31" s="3">
        <v>45814</v>
      </c>
      <c r="AR31" s="59">
        <v>2.1909788892503723E-2</v>
      </c>
      <c r="AS31" s="59">
        <v>1.9257152735638883E-2</v>
      </c>
      <c r="AT31" s="59">
        <v>2.5676615259440094E-2</v>
      </c>
      <c r="AU31" s="59">
        <v>5.0474296159725762E-2</v>
      </c>
      <c r="AV31" s="59">
        <v>6.5291106450124925E-3</v>
      </c>
      <c r="AW31" s="59">
        <v>6.7085463509314769E-2</v>
      </c>
      <c r="AX31" s="59">
        <v>3.38045276618264E-2</v>
      </c>
      <c r="AY31" s="59">
        <v>6.2345780556012587E-2</v>
      </c>
      <c r="AZ31" s="59">
        <v>3.6451095670764211E-2</v>
      </c>
      <c r="BA31" s="59">
        <v>2.1684088348778552E-2</v>
      </c>
      <c r="BB31" s="59">
        <v>1.5265138398753875E-2</v>
      </c>
      <c r="BO31" s="3">
        <v>44407</v>
      </c>
      <c r="BP31" s="59">
        <v>1.3010434326077736E-2</v>
      </c>
      <c r="BQ31" s="59">
        <v>9.2915519099507904E-3</v>
      </c>
      <c r="BR31" s="59">
        <v>2.9840185295485266E-2</v>
      </c>
      <c r="BS31" s="59">
        <v>4.8269403523215626E-3</v>
      </c>
      <c r="BT31" s="59">
        <v>2.7187928742214762E-2</v>
      </c>
      <c r="BU31" s="59">
        <v>8.5869678288024165E-3</v>
      </c>
      <c r="BV31" s="59">
        <v>1.5946714825754958E-2</v>
      </c>
      <c r="BW31" s="59">
        <v>2.6085749965311544E-2</v>
      </c>
      <c r="BX31" s="59">
        <v>1.8749999999999822E-2</v>
      </c>
      <c r="BY31" s="59">
        <v>1.5838491097916352E-2</v>
      </c>
      <c r="BZ31" s="59">
        <v>-3.5942688422244684E-3</v>
      </c>
    </row>
    <row r="32" spans="1:90" x14ac:dyDescent="0.45">
      <c r="A32" s="3">
        <v>45807</v>
      </c>
      <c r="B32" s="48">
        <v>84.651660000000007</v>
      </c>
      <c r="C32" s="48">
        <v>100.47799000000001</v>
      </c>
      <c r="D32" s="48">
        <v>135.19499999999999</v>
      </c>
      <c r="E32" s="48">
        <v>106.65488000000001</v>
      </c>
      <c r="F32" s="48">
        <v>28.29635</v>
      </c>
      <c r="G32" s="48">
        <v>29.84104</v>
      </c>
      <c r="H32">
        <v>60.79</v>
      </c>
      <c r="I32" s="48">
        <v>4.6775000000000002</v>
      </c>
      <c r="J32" s="49">
        <v>619.34031000000004</v>
      </c>
      <c r="K32" s="49">
        <v>11269.579449999999</v>
      </c>
      <c r="L32" s="50">
        <v>1.8781444184055029E-3</v>
      </c>
      <c r="M32" s="50">
        <v>-7.0853310030466465E-3</v>
      </c>
      <c r="N32" s="50">
        <v>1.171829063434382E-3</v>
      </c>
      <c r="O32" s="50">
        <v>-1.4612448594041427E-2</v>
      </c>
      <c r="P32" s="50">
        <v>3.4397888471660032E-4</v>
      </c>
      <c r="Q32" s="50">
        <v>-2.8883209051638659E-2</v>
      </c>
      <c r="R32" s="47">
        <v>-9.8130361401151493E-3</v>
      </c>
      <c r="S32" s="50">
        <v>-1.2026653664878983E-2</v>
      </c>
      <c r="T32" s="50">
        <v>-3.2875012922567892E-2</v>
      </c>
      <c r="U32" s="50">
        <v>-4.2717706799195732E-3</v>
      </c>
      <c r="V32" s="50">
        <v>1.8905164495643056E-2</v>
      </c>
      <c r="W32" s="50">
        <f t="shared" si="2"/>
        <v>-9.8130361401151493E-3</v>
      </c>
      <c r="Y32" s="63">
        <v>0.01</v>
      </c>
      <c r="Z32">
        <v>29</v>
      </c>
      <c r="AM32" s="63"/>
      <c r="AO32" t="str">
        <f t="shared" si="4"/>
        <v/>
      </c>
      <c r="AQ32" s="3">
        <v>45807</v>
      </c>
      <c r="AR32" s="59">
        <v>1.8781444184055029E-3</v>
      </c>
      <c r="AS32" s="59">
        <v>-7.0853310030466465E-3</v>
      </c>
      <c r="AT32" s="59">
        <v>1.171829063434382E-3</v>
      </c>
      <c r="AU32" s="59">
        <v>-1.4612448594041427E-2</v>
      </c>
      <c r="AV32" s="59">
        <v>3.4397888471660032E-4</v>
      </c>
      <c r="AW32" s="59">
        <v>-2.8883209051638659E-2</v>
      </c>
      <c r="AX32" s="59">
        <v>-9.8130361401151493E-3</v>
      </c>
      <c r="AY32" s="59">
        <v>-1.2026653664878983E-2</v>
      </c>
      <c r="AZ32" s="59">
        <v>-3.2875012922567892E-2</v>
      </c>
      <c r="BA32" s="59">
        <v>-4.2717706799195732E-3</v>
      </c>
      <c r="BB32" s="59">
        <v>1.8905164495643056E-2</v>
      </c>
      <c r="BC32" t="s">
        <v>429</v>
      </c>
      <c r="BO32" s="3">
        <v>44400</v>
      </c>
      <c r="BP32" s="59">
        <v>4.7407717509015956E-3</v>
      </c>
      <c r="BQ32" s="59">
        <v>-4.8847818729327308E-3</v>
      </c>
      <c r="BR32" s="59">
        <v>2.4335844561815811E-3</v>
      </c>
      <c r="BS32" s="59">
        <v>-1.8941869151973156E-2</v>
      </c>
      <c r="BT32" s="59">
        <v>-1.3825273126870208E-2</v>
      </c>
      <c r="BU32" s="59">
        <v>-6.2066611400986016E-3</v>
      </c>
      <c r="BV32" s="59">
        <v>-8.2850001671386231E-3</v>
      </c>
      <c r="BW32" s="59">
        <v>7.1268865287870131E-3</v>
      </c>
      <c r="BX32" s="59">
        <v>1.7811704834605591E-2</v>
      </c>
      <c r="BY32" s="59">
        <v>-3.8814758658700654E-3</v>
      </c>
      <c r="BZ32" s="59">
        <v>1.9677139197278759E-2</v>
      </c>
    </row>
    <row r="33" spans="1:78" ht="14.65" thickBot="1" x14ac:dyDescent="0.5">
      <c r="A33" s="3">
        <v>45800</v>
      </c>
      <c r="B33" s="48">
        <v>84.49297</v>
      </c>
      <c r="C33" s="48">
        <v>101.19499</v>
      </c>
      <c r="D33" s="48">
        <v>135.03675999999999</v>
      </c>
      <c r="E33" s="48">
        <v>108.23648</v>
      </c>
      <c r="F33" s="48">
        <v>28.286619999999999</v>
      </c>
      <c r="G33" s="48">
        <v>30.728580000000001</v>
      </c>
      <c r="H33">
        <v>61.53</v>
      </c>
      <c r="I33" s="48">
        <v>4.8365</v>
      </c>
      <c r="J33" s="49">
        <v>621.99734000000001</v>
      </c>
      <c r="K33" s="49">
        <v>11060.47927</v>
      </c>
      <c r="L33" s="50">
        <v>-7.0485503262867288E-2</v>
      </c>
      <c r="M33" s="50">
        <v>-4.7693888818779895E-2</v>
      </c>
      <c r="N33" s="50">
        <v>-2.742358224535868E-2</v>
      </c>
      <c r="O33" s="50">
        <v>-4.6060624008043449E-2</v>
      </c>
      <c r="P33" s="50">
        <v>-2.251355651300091E-2</v>
      </c>
      <c r="Q33" s="50">
        <v>-6.3139052991950106E-2</v>
      </c>
      <c r="R33" s="47">
        <v>-4.1366140915426605E-2</v>
      </c>
      <c r="S33" s="50">
        <v>-7.1002097789252261E-3</v>
      </c>
      <c r="T33" s="50">
        <v>5.2900838140851336E-2</v>
      </c>
      <c r="U33" s="50">
        <v>-4.4278857451077402E-2</v>
      </c>
      <c r="V33" s="50">
        <v>-2.5918017383150693E-2</v>
      </c>
      <c r="W33" s="50">
        <f t="shared" si="2"/>
        <v>-4.1366140915426605E-2</v>
      </c>
      <c r="Y33" s="63">
        <v>0.02</v>
      </c>
      <c r="Z33">
        <v>24</v>
      </c>
      <c r="AM33" s="63"/>
      <c r="AO33" t="str">
        <f t="shared" si="4"/>
        <v/>
      </c>
      <c r="AQ33" s="3">
        <v>45800</v>
      </c>
      <c r="AR33" s="59">
        <v>-7.0485503262867288E-2</v>
      </c>
      <c r="AS33" s="59">
        <v>-4.7693888818779895E-2</v>
      </c>
      <c r="AT33" s="59">
        <v>-2.742358224535868E-2</v>
      </c>
      <c r="AU33" s="59">
        <v>-4.6060624008043449E-2</v>
      </c>
      <c r="AV33" s="59">
        <v>-2.251355651300091E-2</v>
      </c>
      <c r="AW33" s="59">
        <v>-6.3139052991950106E-2</v>
      </c>
      <c r="AX33" s="59">
        <v>-4.1366140915426605E-2</v>
      </c>
      <c r="AY33" s="59">
        <v>-7.1002097789252261E-3</v>
      </c>
      <c r="AZ33" s="59">
        <v>5.2900838140851336E-2</v>
      </c>
      <c r="BA33" s="59">
        <v>-4.4278857451077402E-2</v>
      </c>
      <c r="BB33" s="59">
        <v>-2.5918017383150693E-2</v>
      </c>
      <c r="BO33" s="3">
        <v>44393</v>
      </c>
      <c r="BP33" s="59">
        <v>-7.6999757528732782E-2</v>
      </c>
      <c r="BQ33" s="59">
        <v>-6.3857625750505798E-2</v>
      </c>
      <c r="BR33" s="59">
        <v>-5.2368514571634495E-2</v>
      </c>
      <c r="BS33" s="59">
        <v>-8.894292787039737E-2</v>
      </c>
      <c r="BT33" s="59">
        <v>-8.2275617193219075E-2</v>
      </c>
      <c r="BU33" s="59">
        <v>-0.10017433107634621</v>
      </c>
      <c r="BV33" s="59">
        <v>-7.752380329242059E-2</v>
      </c>
      <c r="BW33" s="59">
        <v>-3.0483674298875441E-2</v>
      </c>
      <c r="BX33" s="59">
        <v>-5.1777701070072624E-3</v>
      </c>
      <c r="BY33" s="59">
        <v>-7.716613072416989E-2</v>
      </c>
      <c r="BZ33" s="59">
        <v>-9.6013351081190024E-3</v>
      </c>
    </row>
    <row r="34" spans="1:78" x14ac:dyDescent="0.45">
      <c r="A34" s="3">
        <v>45793</v>
      </c>
      <c r="B34" s="48">
        <v>90.900109999999998</v>
      </c>
      <c r="C34" s="48">
        <v>106.26309000000001</v>
      </c>
      <c r="D34" s="48">
        <v>138.84437</v>
      </c>
      <c r="E34" s="48">
        <v>113.46263999999999</v>
      </c>
      <c r="F34" s="48">
        <v>28.938120000000001</v>
      </c>
      <c r="G34" s="48">
        <v>32.799509999999998</v>
      </c>
      <c r="H34">
        <v>61.97</v>
      </c>
      <c r="I34" s="48">
        <v>4.5934999999999997</v>
      </c>
      <c r="J34" s="49">
        <v>650.81466999999998</v>
      </c>
      <c r="K34" s="49">
        <v>11354.77246</v>
      </c>
      <c r="L34" s="50">
        <v>4.334574060068852E-2</v>
      </c>
      <c r="M34" s="50">
        <v>1.7486255813080609E-2</v>
      </c>
      <c r="N34" s="50">
        <v>2.6066849801961389E-2</v>
      </c>
      <c r="O34" s="50">
        <v>3.9416855456994693E-2</v>
      </c>
      <c r="P34" s="50">
        <v>1.5686959964452241E-2</v>
      </c>
      <c r="Q34" s="50">
        <v>2.2440727165720764E-2</v>
      </c>
      <c r="R34" s="47">
        <v>2.4219529640441939E-2</v>
      </c>
      <c r="S34" s="50">
        <v>2.2944866292505806E-2</v>
      </c>
      <c r="T34" s="50">
        <v>-1.2787448957661707E-2</v>
      </c>
      <c r="U34" s="50">
        <v>3.1493097932514535E-2</v>
      </c>
      <c r="V34" s="50">
        <v>5.3150454990796847E-2</v>
      </c>
      <c r="W34" s="50">
        <f t="shared" si="2"/>
        <v>2.4219529640441939E-2</v>
      </c>
      <c r="Y34" s="63">
        <v>0.03</v>
      </c>
      <c r="Z34">
        <v>26</v>
      </c>
      <c r="AM34" s="63"/>
      <c r="AO34" t="str">
        <f t="shared" si="4"/>
        <v/>
      </c>
      <c r="AQ34" s="3">
        <v>45793</v>
      </c>
      <c r="AR34" s="59">
        <v>4.334574060068852E-2</v>
      </c>
      <c r="AS34" s="59">
        <v>1.7486255813080609E-2</v>
      </c>
      <c r="AT34" s="59">
        <v>2.6066849801961389E-2</v>
      </c>
      <c r="AU34" s="59">
        <v>3.9416855456994693E-2</v>
      </c>
      <c r="AV34" s="59">
        <v>1.5686959964452241E-2</v>
      </c>
      <c r="AW34" s="59">
        <v>2.2440727165720764E-2</v>
      </c>
      <c r="AX34" s="59">
        <v>2.4219529640441939E-2</v>
      </c>
      <c r="AY34" s="59">
        <v>2.2944866292505806E-2</v>
      </c>
      <c r="AZ34" s="59">
        <v>-1.2787448957661707E-2</v>
      </c>
      <c r="BA34" s="59">
        <v>3.1493097932514535E-2</v>
      </c>
      <c r="BB34" s="59">
        <v>5.3150454990796847E-2</v>
      </c>
      <c r="BC34" s="65"/>
      <c r="BD34" s="65" t="s">
        <v>419</v>
      </c>
      <c r="BE34" s="65" t="s">
        <v>420</v>
      </c>
      <c r="BO34" s="3">
        <v>44386</v>
      </c>
      <c r="BP34" s="59">
        <v>-4.1753006946628535E-2</v>
      </c>
      <c r="BQ34" s="59">
        <v>-3.0710789586414267E-2</v>
      </c>
      <c r="BR34" s="59">
        <v>-1.8855555541826385E-2</v>
      </c>
      <c r="BS34" s="59">
        <v>-3.7076003049190898E-2</v>
      </c>
      <c r="BT34" s="59">
        <v>-3.5952586799711028E-2</v>
      </c>
      <c r="BU34" s="59">
        <v>-1.9842727343886368E-2</v>
      </c>
      <c r="BV34" s="59">
        <v>-2.8487532464205788E-2</v>
      </c>
      <c r="BW34" s="59">
        <v>-1.7961681745609304E-2</v>
      </c>
      <c r="BX34" s="59">
        <v>1.6253507951356605E-2</v>
      </c>
      <c r="BY34" s="59">
        <v>-3.4081939206691558E-2</v>
      </c>
      <c r="BZ34" s="59">
        <v>4.1367626343586927E-3</v>
      </c>
    </row>
    <row r="35" spans="1:78" x14ac:dyDescent="0.45">
      <c r="A35" s="3">
        <v>45786</v>
      </c>
      <c r="B35" s="48">
        <v>87.123670000000004</v>
      </c>
      <c r="C35" s="48">
        <v>104.43688</v>
      </c>
      <c r="D35" s="48">
        <v>135.31708</v>
      </c>
      <c r="E35" s="48">
        <v>109.15989999999999</v>
      </c>
      <c r="F35" s="48">
        <v>28.49118</v>
      </c>
      <c r="G35" s="48">
        <v>32.079619999999998</v>
      </c>
      <c r="H35">
        <v>60.58</v>
      </c>
      <c r="I35" s="48">
        <v>4.6529999999999996</v>
      </c>
      <c r="J35" s="49">
        <v>630.94428000000005</v>
      </c>
      <c r="K35" s="49">
        <v>10781.71918</v>
      </c>
      <c r="L35" s="50">
        <v>-3.0849976178290217E-2</v>
      </c>
      <c r="M35" s="50">
        <v>1.0356756367691844E-2</v>
      </c>
      <c r="N35" s="50">
        <v>-7.2195576857114752E-5</v>
      </c>
      <c r="O35" s="50">
        <v>2.3453580605681257E-3</v>
      </c>
      <c r="P35" s="50">
        <v>5.8677039215875748E-2</v>
      </c>
      <c r="Q35" s="50">
        <v>3.4669248639964678E-2</v>
      </c>
      <c r="R35" s="47">
        <v>2.1195241341448658E-2</v>
      </c>
      <c r="S35" s="50">
        <v>3.9286326985760844E-2</v>
      </c>
      <c r="T35" s="50">
        <v>-4.2799058420716074E-3</v>
      </c>
      <c r="U35" s="50">
        <v>4.2349670416312879E-3</v>
      </c>
      <c r="V35" s="50">
        <v>-4.5324572124126883E-3</v>
      </c>
      <c r="W35" s="50">
        <f t="shared" si="2"/>
        <v>2.1195241341448658E-2</v>
      </c>
      <c r="Y35" s="63">
        <v>0.04</v>
      </c>
      <c r="Z35">
        <v>18</v>
      </c>
      <c r="AM35" s="63"/>
      <c r="AO35" t="str">
        <f t="shared" si="4"/>
        <v/>
      </c>
      <c r="AQ35" s="3">
        <v>45786</v>
      </c>
      <c r="AR35" s="59">
        <v>-3.0849976178290217E-2</v>
      </c>
      <c r="AS35" s="59">
        <v>1.0356756367691844E-2</v>
      </c>
      <c r="AT35" s="59">
        <v>-7.2195576857114752E-5</v>
      </c>
      <c r="AU35" s="59">
        <v>2.3453580605681257E-3</v>
      </c>
      <c r="AV35" s="59">
        <v>5.8677039215875748E-2</v>
      </c>
      <c r="AW35" s="59">
        <v>3.4669248639964678E-2</v>
      </c>
      <c r="AX35" s="59">
        <v>2.1195241341448658E-2</v>
      </c>
      <c r="AY35" s="59">
        <v>3.9286326985760844E-2</v>
      </c>
      <c r="AZ35" s="59">
        <v>-4.2799058420716074E-3</v>
      </c>
      <c r="BA35" s="59">
        <v>4.2349670416312879E-3</v>
      </c>
      <c r="BB35" s="59">
        <v>-4.5324572124126883E-3</v>
      </c>
      <c r="BC35" t="s">
        <v>421</v>
      </c>
      <c r="BD35" s="71">
        <v>2.8683223068816008E-3</v>
      </c>
      <c r="BE35" s="71">
        <v>1.4460622799900746E-2</v>
      </c>
      <c r="BO35" s="3">
        <v>44379</v>
      </c>
      <c r="BP35" s="59">
        <v>2.3487097106813071E-2</v>
      </c>
      <c r="BQ35" s="59">
        <v>-2.3043521557579272E-2</v>
      </c>
      <c r="BR35" s="59">
        <v>-1.1463205766725548E-2</v>
      </c>
      <c r="BS35" s="59">
        <v>-2.1448925788579487E-2</v>
      </c>
      <c r="BT35" s="59">
        <v>-1.2445254189309085E-2</v>
      </c>
      <c r="BU35" s="59">
        <v>-1.780894887113682E-2</v>
      </c>
      <c r="BV35" s="59">
        <v>-1.7241971234666042E-2</v>
      </c>
      <c r="BW35" s="59">
        <v>1.4989871708305236E-2</v>
      </c>
      <c r="BX35" s="59">
        <v>-3.7278657968312645E-3</v>
      </c>
      <c r="BY35" s="59">
        <v>-1.0804830052956738E-2</v>
      </c>
      <c r="BZ35" s="59">
        <v>1.6955989419700668E-2</v>
      </c>
    </row>
    <row r="36" spans="1:78" x14ac:dyDescent="0.45">
      <c r="A36" s="3">
        <v>45779</v>
      </c>
      <c r="B36" s="48">
        <v>89.896990000000002</v>
      </c>
      <c r="C36" s="48">
        <v>103.36633999999999</v>
      </c>
      <c r="D36" s="48">
        <v>135.32685000000001</v>
      </c>
      <c r="E36" s="48">
        <v>108.90448000000001</v>
      </c>
      <c r="F36" s="48">
        <v>26.91206</v>
      </c>
      <c r="G36" s="48">
        <v>31.004709999999999</v>
      </c>
      <c r="H36">
        <v>58.29</v>
      </c>
      <c r="I36" s="48">
        <v>4.673</v>
      </c>
      <c r="J36" s="49">
        <v>628.28351999999995</v>
      </c>
      <c r="K36" s="49">
        <v>10830.809359999999</v>
      </c>
      <c r="L36" s="50">
        <v>-3.3798637855139146E-3</v>
      </c>
      <c r="M36" s="50">
        <v>-2.173709566674864E-2</v>
      </c>
      <c r="N36" s="50">
        <v>-1.6578928847601482E-3</v>
      </c>
      <c r="O36" s="50">
        <v>-1.9545444314902904E-2</v>
      </c>
      <c r="P36" s="50">
        <v>-3.6656167702781572E-2</v>
      </c>
      <c r="Q36" s="50">
        <v>2.8710099479394291E-3</v>
      </c>
      <c r="R36" s="47">
        <v>-1.5345118124250767E-2</v>
      </c>
      <c r="S36" s="50">
        <v>-7.5055537924468507E-2</v>
      </c>
      <c r="T36" s="50">
        <v>-3.4504132231404916E-2</v>
      </c>
      <c r="U36" s="50">
        <v>-6.5319038676524555E-3</v>
      </c>
      <c r="V36" s="50">
        <v>2.9327710594232226E-2</v>
      </c>
      <c r="W36" s="50">
        <f t="shared" si="2"/>
        <v>-1.5345118124250767E-2</v>
      </c>
      <c r="Y36" s="63">
        <v>0.05</v>
      </c>
      <c r="Z36">
        <v>9</v>
      </c>
      <c r="AO36" t="str">
        <f t="shared" si="4"/>
        <v/>
      </c>
      <c r="AQ36" s="3">
        <v>45779</v>
      </c>
      <c r="AR36" s="59">
        <v>-3.3798637855139146E-3</v>
      </c>
      <c r="AS36" s="59">
        <v>-2.173709566674864E-2</v>
      </c>
      <c r="AT36" s="59">
        <v>-1.6578928847601482E-3</v>
      </c>
      <c r="AU36" s="59">
        <v>-1.9545444314902904E-2</v>
      </c>
      <c r="AV36" s="59">
        <v>-3.6656167702781572E-2</v>
      </c>
      <c r="AW36" s="59">
        <v>2.8710099479394291E-3</v>
      </c>
      <c r="AX36" s="59">
        <v>-1.5345118124250767E-2</v>
      </c>
      <c r="AY36" s="59">
        <v>-7.5055537924468507E-2</v>
      </c>
      <c r="AZ36" s="59">
        <v>-3.4504132231404916E-2</v>
      </c>
      <c r="BA36" s="59">
        <v>-6.5319038676524555E-3</v>
      </c>
      <c r="BB36" s="59">
        <v>2.9327710594232226E-2</v>
      </c>
      <c r="BC36" t="s">
        <v>422</v>
      </c>
      <c r="BD36" s="71">
        <v>2.3541859880421684E-3</v>
      </c>
      <c r="BE36" s="71">
        <v>3.7560031860507156E-3</v>
      </c>
      <c r="BO36" s="3">
        <v>44372</v>
      </c>
      <c r="BP36" s="59">
        <v>6.5704932284662343E-2</v>
      </c>
      <c r="BQ36" s="59">
        <v>7.0529755037965769E-2</v>
      </c>
      <c r="BR36" s="59">
        <v>4.1444311916271959E-2</v>
      </c>
      <c r="BS36" s="59">
        <v>0.10515699786068078</v>
      </c>
      <c r="BT36" s="59">
        <v>4.6743301254925651E-2</v>
      </c>
      <c r="BU36" s="59">
        <v>0.11252343317860825</v>
      </c>
      <c r="BV36" s="59">
        <v>7.5279559849690481E-2</v>
      </c>
      <c r="BW36" s="59">
        <v>3.8715107308177732E-2</v>
      </c>
      <c r="BX36" s="59">
        <v>3.2475342795285078E-2</v>
      </c>
      <c r="BY36" s="59">
        <v>6.6632656297518356E-2</v>
      </c>
      <c r="BZ36" s="59">
        <v>2.7530038001169377E-2</v>
      </c>
    </row>
    <row r="37" spans="1:78" x14ac:dyDescent="0.45">
      <c r="A37" s="3">
        <v>45772</v>
      </c>
      <c r="B37" s="48">
        <v>90.201859999999996</v>
      </c>
      <c r="C37" s="48">
        <v>105.66315</v>
      </c>
      <c r="D37" s="48">
        <v>135.55158</v>
      </c>
      <c r="E37" s="48">
        <v>111.07550000000001</v>
      </c>
      <c r="F37" s="48">
        <v>27.93609</v>
      </c>
      <c r="G37" s="48">
        <v>30.915949999999999</v>
      </c>
      <c r="H37">
        <v>63.02</v>
      </c>
      <c r="I37" s="48">
        <v>4.84</v>
      </c>
      <c r="J37" s="49">
        <v>632.41439000000003</v>
      </c>
      <c r="K37" s="49">
        <v>10522.216829999999</v>
      </c>
      <c r="L37" s="50">
        <v>3.0793462618680101E-2</v>
      </c>
      <c r="M37" s="50">
        <v>1.5432069994492537E-2</v>
      </c>
      <c r="N37" s="50">
        <v>6.237710291394416E-3</v>
      </c>
      <c r="O37" s="50">
        <v>2.3257952058035825E-2</v>
      </c>
      <c r="P37" s="50">
        <v>3.0720432003884524E-2</v>
      </c>
      <c r="Q37" s="50">
        <v>3.4312077309231803E-2</v>
      </c>
      <c r="R37" s="47">
        <v>2.1992048331407821E-2</v>
      </c>
      <c r="S37" s="50">
        <v>-1.5466333385408593E-2</v>
      </c>
      <c r="T37" s="50">
        <v>2.1312513188436411E-2</v>
      </c>
      <c r="U37" s="50">
        <v>1.1184963810667137E-2</v>
      </c>
      <c r="V37" s="50">
        <v>4.6004331577510271E-2</v>
      </c>
      <c r="W37" s="50">
        <f t="shared" si="2"/>
        <v>2.1992048331407821E-2</v>
      </c>
      <c r="Y37" s="63">
        <v>6.0000000000000005E-2</v>
      </c>
      <c r="Z37">
        <v>3</v>
      </c>
      <c r="AO37" t="str">
        <f t="shared" si="4"/>
        <v/>
      </c>
      <c r="AQ37" s="3">
        <v>45772</v>
      </c>
      <c r="AR37" s="59">
        <v>3.0793462618680101E-2</v>
      </c>
      <c r="AS37" s="59">
        <v>1.5432069994492537E-2</v>
      </c>
      <c r="AT37" s="59">
        <v>6.237710291394416E-3</v>
      </c>
      <c r="AU37" s="59">
        <v>2.3257952058035825E-2</v>
      </c>
      <c r="AV37" s="59">
        <v>3.0720432003884524E-2</v>
      </c>
      <c r="AW37" s="59">
        <v>3.4312077309231803E-2</v>
      </c>
      <c r="AX37" s="59">
        <v>2.1992048331407821E-2</v>
      </c>
      <c r="AY37" s="59">
        <v>-1.5466333385408593E-2</v>
      </c>
      <c r="AZ37" s="59">
        <v>2.1312513188436411E-2</v>
      </c>
      <c r="BA37" s="59">
        <v>1.1184963810667137E-2</v>
      </c>
      <c r="BB37" s="59">
        <v>4.6004331577510271E-2</v>
      </c>
      <c r="BC37" t="s">
        <v>423</v>
      </c>
      <c r="BD37">
        <v>197</v>
      </c>
      <c r="BE37">
        <v>63</v>
      </c>
      <c r="BO37" s="3">
        <v>44365</v>
      </c>
      <c r="BP37" s="59">
        <v>-4.0687086905792369E-2</v>
      </c>
      <c r="BQ37" s="59">
        <v>-2.8470348219306274E-2</v>
      </c>
      <c r="BR37" s="59">
        <v>-4.5222855951643881E-2</v>
      </c>
      <c r="BS37" s="59">
        <v>-7.1746227009246155E-2</v>
      </c>
      <c r="BT37" s="59">
        <v>-5.2287658791474567E-2</v>
      </c>
      <c r="BU37" s="59">
        <v>-8.6718949176490367E-2</v>
      </c>
      <c r="BV37" s="59">
        <v>-5.6889207829632249E-2</v>
      </c>
      <c r="BW37" s="59">
        <v>1.9593821510297538E-2</v>
      </c>
      <c r="BX37" s="59">
        <v>-8.385674931129472E-2</v>
      </c>
      <c r="BY37" s="59">
        <v>-5.2124602276324872E-2</v>
      </c>
      <c r="BZ37" s="59">
        <v>-1.8810516871944682E-2</v>
      </c>
    </row>
    <row r="38" spans="1:78" x14ac:dyDescent="0.45">
      <c r="A38" s="3">
        <v>45764</v>
      </c>
      <c r="B38" s="48">
        <v>87.507210000000001</v>
      </c>
      <c r="C38" s="48">
        <v>104.05732999999999</v>
      </c>
      <c r="D38" s="48">
        <v>134.71128999999999</v>
      </c>
      <c r="E38" s="48">
        <v>108.55083</v>
      </c>
      <c r="F38" s="48">
        <v>27.103459999999998</v>
      </c>
      <c r="G38" s="48">
        <v>29.890350000000002</v>
      </c>
      <c r="H38">
        <v>64.010000000000005</v>
      </c>
      <c r="I38" s="48">
        <v>4.7389999999999999</v>
      </c>
      <c r="J38" s="49">
        <v>625.41909999999996</v>
      </c>
      <c r="K38" s="49">
        <v>10059.439060000001</v>
      </c>
      <c r="L38" s="50">
        <v>2.9980315461096474E-2</v>
      </c>
      <c r="M38" s="50">
        <v>3.6649271512543491E-2</v>
      </c>
      <c r="N38" s="50">
        <v>1.6515521389142584E-2</v>
      </c>
      <c r="O38" s="50">
        <v>2.7377629896261801E-2</v>
      </c>
      <c r="P38" s="50">
        <v>6.5061863942551978E-2</v>
      </c>
      <c r="Q38" s="50">
        <v>7.3680410501039129E-2</v>
      </c>
      <c r="R38" s="47">
        <v>4.3856939448307798E-2</v>
      </c>
      <c r="S38" s="50">
        <v>5.1067323481116755E-2</v>
      </c>
      <c r="T38" s="50">
        <v>4.7755914216228268E-2</v>
      </c>
      <c r="U38" s="50">
        <v>3.2160352089609434E-2</v>
      </c>
      <c r="V38" s="50">
        <v>-1.49436195729028E-2</v>
      </c>
      <c r="W38" s="50">
        <f t="shared" si="2"/>
        <v>4.3856939448307798E-2</v>
      </c>
      <c r="Y38" s="63">
        <v>7.0000000000000007E-2</v>
      </c>
      <c r="Z38">
        <v>8</v>
      </c>
      <c r="AO38" t="str">
        <f t="shared" si="4"/>
        <v/>
      </c>
      <c r="AQ38" s="3">
        <v>45764</v>
      </c>
      <c r="AR38" s="59">
        <v>2.9980315461096474E-2</v>
      </c>
      <c r="AS38" s="59">
        <v>3.6649271512543491E-2</v>
      </c>
      <c r="AT38" s="59">
        <v>1.6515521389142584E-2</v>
      </c>
      <c r="AU38" s="59">
        <v>2.7377629896261801E-2</v>
      </c>
      <c r="AV38" s="59">
        <v>6.5061863942551978E-2</v>
      </c>
      <c r="AW38" s="59">
        <v>7.3680410501039129E-2</v>
      </c>
      <c r="AX38" s="59">
        <v>4.3856939448307798E-2</v>
      </c>
      <c r="AY38" s="59">
        <v>5.1067323481116755E-2</v>
      </c>
      <c r="AZ38" s="59">
        <v>4.7755914216228268E-2</v>
      </c>
      <c r="BA38" s="59">
        <v>3.2160352089609434E-2</v>
      </c>
      <c r="BB38" s="59">
        <v>-1.49436195729028E-2</v>
      </c>
      <c r="BC38" t="s">
        <v>430</v>
      </c>
      <c r="BD38">
        <v>0</v>
      </c>
      <c r="BO38" s="3">
        <v>44358</v>
      </c>
      <c r="BP38" s="59">
        <v>2.0051667782703397E-3</v>
      </c>
      <c r="BQ38" s="59">
        <v>1.1716939369788459E-2</v>
      </c>
      <c r="BR38" s="59">
        <v>-4.9792828347349216E-3</v>
      </c>
      <c r="BS38" s="59">
        <v>-2.3096362891646183E-2</v>
      </c>
      <c r="BT38" s="59">
        <v>3.6443075679026826E-3</v>
      </c>
      <c r="BU38" s="59">
        <v>-6.4030151496647925E-2</v>
      </c>
      <c r="BV38" s="59">
        <v>-1.5348910057067577E-2</v>
      </c>
      <c r="BW38" s="59">
        <v>4.3091065785694216E-3</v>
      </c>
      <c r="BX38" s="59">
        <v>1.8767939942592182E-3</v>
      </c>
      <c r="BY38" s="59">
        <v>-5.7141796315609561E-3</v>
      </c>
      <c r="BZ38" s="59">
        <v>4.2585039623734833E-3</v>
      </c>
    </row>
    <row r="39" spans="1:78" x14ac:dyDescent="0.45">
      <c r="A39" s="3">
        <v>45758</v>
      </c>
      <c r="B39" s="48">
        <v>84.960080000000005</v>
      </c>
      <c r="C39" s="48">
        <v>100.37853</v>
      </c>
      <c r="D39" s="48">
        <v>132.52260999999999</v>
      </c>
      <c r="E39" s="48">
        <v>105.65816</v>
      </c>
      <c r="F39" s="48">
        <v>25.447780000000002</v>
      </c>
      <c r="G39" s="48">
        <v>27.83915</v>
      </c>
      <c r="H39">
        <v>60.9</v>
      </c>
      <c r="I39" s="48">
        <v>4.5229999999999997</v>
      </c>
      <c r="J39" s="49">
        <v>605.93210999999997</v>
      </c>
      <c r="K39" s="49">
        <v>10212.043960000001</v>
      </c>
      <c r="L39" s="50">
        <v>1.1588261093868901E-3</v>
      </c>
      <c r="M39" s="50">
        <v>-1.1500850842570576E-2</v>
      </c>
      <c r="N39" s="50">
        <v>-5.3391943018346044E-2</v>
      </c>
      <c r="O39" s="50">
        <v>-1.8181794528428719E-2</v>
      </c>
      <c r="P39" s="50">
        <v>-6.3072675453565652E-2</v>
      </c>
      <c r="Q39" s="50">
        <v>-3.6847586163948454E-2</v>
      </c>
      <c r="R39" s="47">
        <v>-3.659897000137189E-2</v>
      </c>
      <c r="S39" s="50">
        <v>-1.7583481206646323E-2</v>
      </c>
      <c r="T39" s="50">
        <v>2.7487505679236524E-2</v>
      </c>
      <c r="U39" s="50">
        <v>-3.9311810948496895E-3</v>
      </c>
      <c r="V39" s="50">
        <v>5.7183891655689711E-2</v>
      </c>
      <c r="W39" s="50">
        <f t="shared" si="2"/>
        <v>-3.659897000137189E-2</v>
      </c>
      <c r="Y39" s="63">
        <v>0.08</v>
      </c>
      <c r="Z39">
        <v>11</v>
      </c>
      <c r="AO39" t="str">
        <f t="shared" si="4"/>
        <v/>
      </c>
      <c r="AQ39" s="3">
        <v>45758</v>
      </c>
      <c r="AR39" s="59">
        <v>1.1588261093868901E-3</v>
      </c>
      <c r="AS39" s="59">
        <v>-1.1500850842570576E-2</v>
      </c>
      <c r="AT39" s="59">
        <v>-5.3391943018346044E-2</v>
      </c>
      <c r="AU39" s="59">
        <v>-1.8181794528428719E-2</v>
      </c>
      <c r="AV39" s="59">
        <v>-6.3072675453565652E-2</v>
      </c>
      <c r="AW39" s="59">
        <v>-3.6847586163948454E-2</v>
      </c>
      <c r="AX39" s="59">
        <v>-3.659897000137189E-2</v>
      </c>
      <c r="AY39" s="59">
        <v>-1.7583481206646323E-2</v>
      </c>
      <c r="AZ39" s="59">
        <v>2.7487505679236524E-2</v>
      </c>
      <c r="BA39" s="59">
        <v>-3.9311810948496895E-3</v>
      </c>
      <c r="BB39" s="59">
        <v>5.7183891655689711E-2</v>
      </c>
      <c r="BC39" t="s">
        <v>424</v>
      </c>
      <c r="BD39">
        <v>88</v>
      </c>
      <c r="BO39" s="3">
        <v>44351</v>
      </c>
      <c r="BP39" s="59">
        <v>7.3735167266424595E-2</v>
      </c>
      <c r="BQ39" s="59">
        <v>5.2766837845623638E-2</v>
      </c>
      <c r="BR39" s="59">
        <v>4.4898383699513822E-2</v>
      </c>
      <c r="BS39" s="59">
        <v>8.862337024695166E-2</v>
      </c>
      <c r="BT39" s="59">
        <v>4.613058734822828E-2</v>
      </c>
      <c r="BU39" s="59">
        <v>0.19201802036485094</v>
      </c>
      <c r="BV39" s="59">
        <v>8.4887439901033673E-2</v>
      </c>
      <c r="BW39" s="59">
        <v>4.975874547647785E-2</v>
      </c>
      <c r="BX39" s="59">
        <v>-3.1747728487439897E-2</v>
      </c>
      <c r="BY39" s="59">
        <v>6.6778532950585667E-2</v>
      </c>
      <c r="BZ39" s="59">
        <v>6.349759102535435E-3</v>
      </c>
    </row>
    <row r="40" spans="1:78" x14ac:dyDescent="0.45">
      <c r="A40" s="3">
        <v>45751</v>
      </c>
      <c r="B40" s="48">
        <v>84.861739999999998</v>
      </c>
      <c r="C40" s="48">
        <v>101.54640000000001</v>
      </c>
      <c r="D40" s="48">
        <v>139.99734000000001</v>
      </c>
      <c r="E40" s="48">
        <v>107.61479</v>
      </c>
      <c r="F40" s="48">
        <v>27.160889999999998</v>
      </c>
      <c r="G40" s="48">
        <v>28.904199999999999</v>
      </c>
      <c r="H40">
        <v>61.99</v>
      </c>
      <c r="I40" s="48">
        <v>4.4020000000000001</v>
      </c>
      <c r="J40" s="49">
        <v>608.32353999999998</v>
      </c>
      <c r="K40" s="49">
        <v>9659.6666299999997</v>
      </c>
      <c r="L40" s="50">
        <v>-0.15707730145907273</v>
      </c>
      <c r="M40" s="50">
        <v>-0.11373484764513919</v>
      </c>
      <c r="N40" s="50">
        <v>-0.13733515548042285</v>
      </c>
      <c r="O40" s="50">
        <v>-0.12670832463678172</v>
      </c>
      <c r="P40" s="50">
        <v>-0.1618426883354297</v>
      </c>
      <c r="Q40" s="50">
        <v>-0.20266585381664803</v>
      </c>
      <c r="R40" s="47">
        <v>-0.14845737398288431</v>
      </c>
      <c r="S40" s="50">
        <v>-0.1062572087658592</v>
      </c>
      <c r="T40" s="50">
        <v>-0.14191033138401554</v>
      </c>
      <c r="U40" s="50">
        <v>-0.14096804368034599</v>
      </c>
      <c r="V40" s="50">
        <v>-9.0599797471280108E-2</v>
      </c>
      <c r="W40" s="50">
        <f t="shared" si="2"/>
        <v>-0.14845737398288431</v>
      </c>
      <c r="Y40" s="63">
        <v>0.09</v>
      </c>
      <c r="Z40">
        <v>1</v>
      </c>
      <c r="AO40" t="str">
        <f t="shared" si="4"/>
        <v/>
      </c>
      <c r="AQ40" s="3">
        <v>45751</v>
      </c>
      <c r="AR40" s="59">
        <v>-0.15707730145907273</v>
      </c>
      <c r="AS40" s="59">
        <v>-0.11373484764513919</v>
      </c>
      <c r="AT40" s="59">
        <v>-0.13733515548042285</v>
      </c>
      <c r="AU40" s="59">
        <v>-0.12670832463678172</v>
      </c>
      <c r="AV40" s="59">
        <v>-0.1618426883354297</v>
      </c>
      <c r="AW40" s="59">
        <v>-0.20266585381664803</v>
      </c>
      <c r="AX40" s="59">
        <v>-0.14845737398288431</v>
      </c>
      <c r="AY40" s="59">
        <v>-0.1062572087658592</v>
      </c>
      <c r="AZ40" s="59">
        <v>-0.14191033138401554</v>
      </c>
      <c r="BA40" s="59">
        <v>-0.14096804368034599</v>
      </c>
      <c r="BB40" s="59">
        <v>-9.0599797471280108E-2</v>
      </c>
      <c r="BC40" t="s">
        <v>431</v>
      </c>
      <c r="BD40">
        <v>-1.3702704857841077</v>
      </c>
      <c r="BO40" s="3">
        <v>44344</v>
      </c>
      <c r="BP40" s="59">
        <v>1.6172177943420962E-3</v>
      </c>
      <c r="BQ40" s="59">
        <v>-9.3348060142700584E-3</v>
      </c>
      <c r="BR40" s="59">
        <v>-3.1694642029748143E-3</v>
      </c>
      <c r="BS40" s="59">
        <v>3.3721360956804336E-3</v>
      </c>
      <c r="BT40" s="59">
        <v>-1.0935310093679318E-2</v>
      </c>
      <c r="BU40" s="59">
        <v>4.7731574925733877E-2</v>
      </c>
      <c r="BV40" s="59">
        <v>5.5328261420980237E-3</v>
      </c>
      <c r="BW40" s="59">
        <v>4.3095312991506596E-2</v>
      </c>
      <c r="BX40" s="59">
        <v>4.3851818790448638E-2</v>
      </c>
      <c r="BY40" s="59">
        <v>-2.3438863703173496E-4</v>
      </c>
      <c r="BZ40" s="59">
        <v>1.1850737724508065E-2</v>
      </c>
    </row>
    <row r="41" spans="1:78" x14ac:dyDescent="0.45">
      <c r="A41" s="3">
        <v>45744</v>
      </c>
      <c r="B41" s="48">
        <v>100.67559</v>
      </c>
      <c r="C41" s="48">
        <v>114.5779</v>
      </c>
      <c r="D41" s="48">
        <v>162.28474</v>
      </c>
      <c r="E41" s="48">
        <v>123.22892</v>
      </c>
      <c r="F41" s="48">
        <v>32.405479999999997</v>
      </c>
      <c r="G41" s="48">
        <v>36.251049999999999</v>
      </c>
      <c r="H41">
        <v>69.36</v>
      </c>
      <c r="I41" s="48">
        <v>5.13</v>
      </c>
      <c r="J41" s="49">
        <v>708.15007000000003</v>
      </c>
      <c r="K41" s="49">
        <v>10622.01944</v>
      </c>
      <c r="L41" s="50">
        <v>4.4153110007749685E-3</v>
      </c>
      <c r="M41" s="50">
        <v>1.9307322698169482E-2</v>
      </c>
      <c r="N41" s="50">
        <v>8.1335388802168396E-3</v>
      </c>
      <c r="O41" s="50">
        <v>1.1344590436731083E-2</v>
      </c>
      <c r="P41" s="50">
        <v>-1.9971063792723953E-2</v>
      </c>
      <c r="Q41" s="50">
        <v>1.6874009453147876E-2</v>
      </c>
      <c r="R41" s="47">
        <v>7.1376795351082659E-3</v>
      </c>
      <c r="S41" s="50">
        <v>1.5817223198594021E-2</v>
      </c>
      <c r="T41" s="50">
        <v>3.2267527134055562E-3</v>
      </c>
      <c r="U41" s="50">
        <v>7.7075138017423939E-3</v>
      </c>
      <c r="V41" s="50">
        <v>-1.5226804695582463E-2</v>
      </c>
      <c r="W41" s="50">
        <f t="shared" si="2"/>
        <v>7.1376795351082659E-3</v>
      </c>
      <c r="Y41" s="63">
        <v>9.9999999999999992E-2</v>
      </c>
      <c r="Z41">
        <v>4</v>
      </c>
      <c r="AO41" t="str">
        <f t="shared" si="4"/>
        <v/>
      </c>
      <c r="AQ41" s="3">
        <v>45744</v>
      </c>
      <c r="AR41" s="59">
        <v>4.4153110007749685E-3</v>
      </c>
      <c r="AS41" s="59">
        <v>1.9307322698169482E-2</v>
      </c>
      <c r="AT41" s="59">
        <v>8.1335388802168396E-3</v>
      </c>
      <c r="AU41" s="59">
        <v>1.1344590436731083E-2</v>
      </c>
      <c r="AV41" s="59">
        <v>-1.9971063792723953E-2</v>
      </c>
      <c r="AW41" s="59">
        <v>1.6874009453147876E-2</v>
      </c>
      <c r="AX41" s="59">
        <v>7.1376795351082659E-3</v>
      </c>
      <c r="AY41" s="59">
        <v>1.5817223198594021E-2</v>
      </c>
      <c r="AZ41" s="59">
        <v>3.2267527134055562E-3</v>
      </c>
      <c r="BA41" s="59">
        <v>7.7075138017423939E-3</v>
      </c>
      <c r="BB41" s="59">
        <v>-1.5226804695582463E-2</v>
      </c>
      <c r="BC41" t="s">
        <v>432</v>
      </c>
      <c r="BD41" s="29">
        <v>8.7044052315099985E-2</v>
      </c>
      <c r="BF41" t="s">
        <v>436</v>
      </c>
      <c r="BO41" s="3">
        <v>44337</v>
      </c>
      <c r="BP41" s="59">
        <v>-1.5392879570476969E-2</v>
      </c>
      <c r="BQ41" s="59">
        <v>-3.0442603175272143E-2</v>
      </c>
      <c r="BR41" s="59">
        <v>-3.7229289282559752E-2</v>
      </c>
      <c r="BS41" s="59">
        <v>-3.062951006702308E-2</v>
      </c>
      <c r="BT41" s="59">
        <v>-4.8779458714435231E-3</v>
      </c>
      <c r="BU41" s="59">
        <v>-3.9044409013615722E-2</v>
      </c>
      <c r="BV41" s="59">
        <v>-2.8444751481982843E-2</v>
      </c>
      <c r="BW41" s="59">
        <v>-2.7233782129743034E-2</v>
      </c>
      <c r="BX41" s="59">
        <v>-3.7275754646041381E-2</v>
      </c>
      <c r="BY41" s="59">
        <v>-2.8361834136212183E-2</v>
      </c>
      <c r="BZ41" s="59">
        <v>-4.0342393007319899E-3</v>
      </c>
    </row>
    <row r="42" spans="1:78" ht="14.65" thickBot="1" x14ac:dyDescent="0.5">
      <c r="A42" s="3">
        <v>45737</v>
      </c>
      <c r="B42" s="48">
        <v>100.23303</v>
      </c>
      <c r="C42" s="48">
        <v>112.40761000000001</v>
      </c>
      <c r="D42" s="48">
        <v>160.97543999999999</v>
      </c>
      <c r="E42" s="48">
        <v>121.84662</v>
      </c>
      <c r="F42" s="48">
        <v>33.065840000000001</v>
      </c>
      <c r="G42" s="48">
        <v>35.649500000000003</v>
      </c>
      <c r="H42">
        <v>68.28</v>
      </c>
      <c r="I42" s="48">
        <v>5.1135000000000002</v>
      </c>
      <c r="J42" s="49">
        <v>702.73374000000001</v>
      </c>
      <c r="K42" s="49">
        <v>10786.25971</v>
      </c>
      <c r="L42" s="50">
        <v>3.0015150208827945E-2</v>
      </c>
      <c r="M42" s="50">
        <v>3.217164035954978E-2</v>
      </c>
      <c r="N42" s="50">
        <v>4.922940266795206E-2</v>
      </c>
      <c r="O42" s="50">
        <v>1.0087141810138034E-2</v>
      </c>
      <c r="P42" s="50">
        <v>3.4740939557831307E-2</v>
      </c>
      <c r="Q42" s="50">
        <v>4.6309761928172044E-2</v>
      </c>
      <c r="R42" s="47">
        <v>3.4507777264728645E-2</v>
      </c>
      <c r="S42" s="50">
        <v>2.0475265281721722E-2</v>
      </c>
      <c r="T42" s="50">
        <v>4.4424019607843146E-2</v>
      </c>
      <c r="U42" s="50">
        <v>3.1913661387512615E-2</v>
      </c>
      <c r="V42" s="50">
        <v>5.261849629941473E-3</v>
      </c>
      <c r="W42" s="50">
        <f t="shared" si="2"/>
        <v>3.4507777264728645E-2</v>
      </c>
      <c r="Y42" s="64" t="s">
        <v>410</v>
      </c>
      <c r="Z42" s="64">
        <v>13</v>
      </c>
      <c r="AO42" t="str">
        <f t="shared" si="4"/>
        <v/>
      </c>
      <c r="AQ42" s="3">
        <v>45737</v>
      </c>
      <c r="AR42" s="59">
        <v>3.0015150208827945E-2</v>
      </c>
      <c r="AS42" s="59">
        <v>3.217164035954978E-2</v>
      </c>
      <c r="AT42" s="59">
        <v>4.922940266795206E-2</v>
      </c>
      <c r="AU42" s="59">
        <v>1.0087141810138034E-2</v>
      </c>
      <c r="AV42" s="59">
        <v>3.4740939557831307E-2</v>
      </c>
      <c r="AW42" s="59">
        <v>4.6309761928172044E-2</v>
      </c>
      <c r="AX42" s="59">
        <v>3.4507777264728645E-2</v>
      </c>
      <c r="AY42" s="59">
        <v>2.0475265281721722E-2</v>
      </c>
      <c r="AZ42" s="59">
        <v>4.4424019607843146E-2</v>
      </c>
      <c r="BA42" s="59">
        <v>3.1913661387512615E-2</v>
      </c>
      <c r="BB42" s="59">
        <v>5.261849629941473E-3</v>
      </c>
      <c r="BC42" t="s">
        <v>433</v>
      </c>
      <c r="BD42">
        <v>1.662354029166899</v>
      </c>
      <c r="BO42" s="3">
        <v>44330</v>
      </c>
      <c r="BP42" s="59">
        <v>-2.4550849758721016E-3</v>
      </c>
      <c r="BQ42" s="59">
        <v>-1.2409235556170573E-2</v>
      </c>
      <c r="BR42" s="59">
        <v>-4.999112058248989E-3</v>
      </c>
      <c r="BS42" s="59">
        <v>-6.0168728547930206E-3</v>
      </c>
      <c r="BT42" s="59">
        <v>-2.9927930850259798E-3</v>
      </c>
      <c r="BU42" s="59">
        <v>6.1021424923033418E-3</v>
      </c>
      <c r="BV42" s="59">
        <v>-4.0631742123870438E-3</v>
      </c>
      <c r="BW42" s="59">
        <v>7.0878274268104668E-3</v>
      </c>
      <c r="BX42" s="59">
        <v>-1.9795724965778749E-2</v>
      </c>
      <c r="BY42" s="59">
        <v>-8.3086089638099159E-3</v>
      </c>
      <c r="BZ42" s="59">
        <v>-1.3589189109416866E-2</v>
      </c>
    </row>
    <row r="43" spans="1:78" x14ac:dyDescent="0.45">
      <c r="A43" s="3">
        <v>45730</v>
      </c>
      <c r="B43" s="48">
        <v>97.312190000000001</v>
      </c>
      <c r="C43" s="48">
        <v>108.90398999999999</v>
      </c>
      <c r="D43" s="48">
        <v>153.42254</v>
      </c>
      <c r="E43" s="48">
        <v>120.62981000000001</v>
      </c>
      <c r="F43" s="48">
        <v>31.955670000000001</v>
      </c>
      <c r="G43" s="48">
        <v>34.071649999999998</v>
      </c>
      <c r="H43">
        <v>66.91</v>
      </c>
      <c r="I43" s="48">
        <v>4.8959999999999999</v>
      </c>
      <c r="J43" s="49">
        <v>681.00052000000005</v>
      </c>
      <c r="K43" s="49">
        <v>10729.80111</v>
      </c>
      <c r="L43" s="50">
        <v>9.1801853250143894E-2</v>
      </c>
      <c r="M43" s="50">
        <v>2.641716249878634E-2</v>
      </c>
      <c r="N43" s="50">
        <v>4.3494905540863993E-3</v>
      </c>
      <c r="O43" s="50">
        <v>-1.0697734344162324E-2</v>
      </c>
      <c r="P43" s="50">
        <v>4.1159727593624185E-2</v>
      </c>
      <c r="Q43" s="50">
        <v>2.511011051214318E-3</v>
      </c>
      <c r="R43" s="47">
        <v>1.2747931470709784E-2</v>
      </c>
      <c r="S43" s="50">
        <v>-1.9391408114559638E-3</v>
      </c>
      <c r="T43" s="50">
        <v>3.9490445859872603E-2</v>
      </c>
      <c r="U43" s="50">
        <v>2.5685402073943431E-2</v>
      </c>
      <c r="V43" s="50">
        <v>-2.2405266679060842E-2</v>
      </c>
      <c r="W43" s="50">
        <f t="shared" si="2"/>
        <v>1.2747931470709784E-2</v>
      </c>
      <c r="AO43" t="str">
        <f t="shared" si="4"/>
        <v/>
      </c>
      <c r="AQ43" s="3">
        <v>45730</v>
      </c>
      <c r="AR43" s="59">
        <v>9.1801853250143894E-2</v>
      </c>
      <c r="AS43" s="59">
        <v>2.641716249878634E-2</v>
      </c>
      <c r="AT43" s="59">
        <v>4.3494905540863993E-3</v>
      </c>
      <c r="AU43" s="59">
        <v>-1.0697734344162324E-2</v>
      </c>
      <c r="AV43" s="59">
        <v>4.1159727593624185E-2</v>
      </c>
      <c r="AW43" s="59">
        <v>2.511011051214318E-3</v>
      </c>
      <c r="AX43" s="59">
        <v>1.2747931470709784E-2</v>
      </c>
      <c r="AY43" s="59">
        <v>-1.9391408114559638E-3</v>
      </c>
      <c r="AZ43" s="59">
        <v>3.9490445859872603E-2</v>
      </c>
      <c r="BA43" s="59">
        <v>2.5685402073943431E-2</v>
      </c>
      <c r="BB43" s="59">
        <v>-2.2405266679060842E-2</v>
      </c>
      <c r="BC43" t="s">
        <v>434</v>
      </c>
      <c r="BD43" s="29">
        <v>0.17408810463019997</v>
      </c>
      <c r="BO43" s="3">
        <v>44323</v>
      </c>
      <c r="BP43" s="59">
        <v>0.11654267718895484</v>
      </c>
      <c r="BQ43" s="59">
        <v>9.0670952182878795E-2</v>
      </c>
      <c r="BR43" s="59">
        <v>6.742994296958349E-2</v>
      </c>
      <c r="BS43" s="59">
        <v>0.12846265515621069</v>
      </c>
      <c r="BT43" s="59">
        <v>7.4842539483817694E-2</v>
      </c>
      <c r="BU43" s="59">
        <v>0.12147101030640717</v>
      </c>
      <c r="BV43" s="59">
        <v>9.6575420019779562E-2</v>
      </c>
      <c r="BW43" s="59">
        <v>2.076124567474058E-2</v>
      </c>
      <c r="BX43" s="59">
        <v>6.2779767233661632E-2</v>
      </c>
      <c r="BY43" s="59">
        <v>8.8941414208391523E-2</v>
      </c>
      <c r="BZ43" s="59">
        <v>1.253483505020303E-2</v>
      </c>
    </row>
    <row r="44" spans="1:78" ht="14.65" thickBot="1" x14ac:dyDescent="0.5">
      <c r="A44" s="3">
        <v>45723</v>
      </c>
      <c r="B44" s="48">
        <v>89.129900000000006</v>
      </c>
      <c r="C44" s="48">
        <v>106.1011</v>
      </c>
      <c r="D44" s="48">
        <v>152.75811999999999</v>
      </c>
      <c r="E44" s="48">
        <v>121.93423</v>
      </c>
      <c r="F44" s="48">
        <v>30.69238</v>
      </c>
      <c r="G44" s="48">
        <v>33.986310000000003</v>
      </c>
      <c r="H44">
        <v>67.040000000000006</v>
      </c>
      <c r="I44" s="48">
        <v>4.71</v>
      </c>
      <c r="J44" s="49">
        <v>663.94677999999999</v>
      </c>
      <c r="K44" s="49">
        <v>10975.71493</v>
      </c>
      <c r="L44" s="50">
        <v>-8.593043013108137E-2</v>
      </c>
      <c r="M44" s="50">
        <v>-2.0749105323756289E-2</v>
      </c>
      <c r="N44" s="50">
        <v>-1.4374018176751546E-2</v>
      </c>
      <c r="O44" s="50">
        <v>-1.3234563641127961E-2</v>
      </c>
      <c r="P44" s="50">
        <v>-3.1702730235127485E-2</v>
      </c>
      <c r="Q44" s="50">
        <v>-4.1689752918595557E-2</v>
      </c>
      <c r="R44" s="47">
        <v>-2.4350034059071768E-2</v>
      </c>
      <c r="S44" s="50">
        <v>-3.8990825688073327E-2</v>
      </c>
      <c r="T44" s="50">
        <v>3.562005277044844E-2</v>
      </c>
      <c r="U44" s="50">
        <v>-3.7592421001022336E-2</v>
      </c>
      <c r="V44" s="50">
        <v>-3.0733136705343278E-2</v>
      </c>
      <c r="W44" s="50">
        <f t="shared" si="2"/>
        <v>-2.4350034059071768E-2</v>
      </c>
      <c r="AO44" t="str">
        <f t="shared" si="4"/>
        <v/>
      </c>
      <c r="AQ44" s="3">
        <v>45723</v>
      </c>
      <c r="AR44" s="59">
        <v>-8.593043013108137E-2</v>
      </c>
      <c r="AS44" s="59">
        <v>-2.0749105323756289E-2</v>
      </c>
      <c r="AT44" s="59">
        <v>-1.4374018176751546E-2</v>
      </c>
      <c r="AU44" s="59">
        <v>-1.3234563641127961E-2</v>
      </c>
      <c r="AV44" s="59">
        <v>-3.1702730235127485E-2</v>
      </c>
      <c r="AW44" s="59">
        <v>-4.1689752918595557E-2</v>
      </c>
      <c r="AX44" s="59">
        <v>-2.4350034059071768E-2</v>
      </c>
      <c r="AY44" s="59">
        <v>-3.8990825688073327E-2</v>
      </c>
      <c r="AZ44" s="59">
        <v>3.562005277044844E-2</v>
      </c>
      <c r="BA44" s="59">
        <v>-3.7592421001022336E-2</v>
      </c>
      <c r="BB44" s="59">
        <v>-3.0733136705343278E-2</v>
      </c>
      <c r="BC44" s="64" t="s">
        <v>435</v>
      </c>
      <c r="BD44" s="64">
        <v>1.9872898648311721</v>
      </c>
      <c r="BE44" s="64"/>
      <c r="BO44" s="3">
        <v>44316</v>
      </c>
      <c r="BP44" s="59">
        <v>2.8559986042005381E-2</v>
      </c>
      <c r="BQ44" s="59">
        <v>3.0052250286971782E-2</v>
      </c>
      <c r="BR44" s="59">
        <v>1.4968047263067108E-2</v>
      </c>
      <c r="BS44" s="59">
        <v>6.6319210765729553E-2</v>
      </c>
      <c r="BT44" s="59">
        <v>2.6101287408511809E-2</v>
      </c>
      <c r="BU44" s="59">
        <v>9.0485537796776372E-2</v>
      </c>
      <c r="BV44" s="59">
        <v>4.5585266704211327E-2</v>
      </c>
      <c r="BW44" s="59">
        <v>2.3173479240424788E-2</v>
      </c>
      <c r="BX44" s="59">
        <v>3.0442804428044257E-2</v>
      </c>
      <c r="BY44" s="59">
        <v>3.5856745622816266E-2</v>
      </c>
      <c r="BZ44" s="59">
        <v>3.4377116192874091E-4</v>
      </c>
    </row>
    <row r="45" spans="1:78" x14ac:dyDescent="0.45">
      <c r="A45" s="3">
        <v>45716</v>
      </c>
      <c r="B45" s="48">
        <v>97.508880000000005</v>
      </c>
      <c r="C45" s="48">
        <v>108.34925</v>
      </c>
      <c r="D45" s="48">
        <v>154.98589000000001</v>
      </c>
      <c r="E45" s="48">
        <v>123.56962</v>
      </c>
      <c r="F45" s="48">
        <v>31.69727</v>
      </c>
      <c r="G45" s="48">
        <v>35.464829999999999</v>
      </c>
      <c r="H45">
        <v>69.760000000000005</v>
      </c>
      <c r="I45" s="48">
        <v>4.548</v>
      </c>
      <c r="J45" s="49">
        <v>689.88108</v>
      </c>
      <c r="K45" s="49">
        <v>11323.72863</v>
      </c>
      <c r="L45" s="50">
        <v>1.2354479509786742E-2</v>
      </c>
      <c r="M45" s="50">
        <v>5.7818701619909429E-3</v>
      </c>
      <c r="N45" s="50">
        <v>1.0833600793818121E-2</v>
      </c>
      <c r="O45" s="50">
        <v>-4.6137683273818175E-2</v>
      </c>
      <c r="P45" s="50">
        <v>-2.2720770051365413E-2</v>
      </c>
      <c r="Q45" s="50">
        <v>-3.3875671339082314E-2</v>
      </c>
      <c r="R45" s="47">
        <v>-1.7223730741691368E-2</v>
      </c>
      <c r="S45" s="50">
        <v>-9.0909090909091494E-3</v>
      </c>
      <c r="T45" s="50">
        <v>-2.6315789473683182E-3</v>
      </c>
      <c r="U45" s="50">
        <v>1.324429028034535E-3</v>
      </c>
      <c r="V45" s="50">
        <v>-9.6063931225980337E-3</v>
      </c>
      <c r="W45" s="50">
        <f t="shared" si="2"/>
        <v>-1.7223730741691368E-2</v>
      </c>
      <c r="AO45" t="str">
        <f t="shared" si="4"/>
        <v/>
      </c>
      <c r="AQ45" s="3">
        <v>45716</v>
      </c>
      <c r="AR45" s="59">
        <v>1.2354479509786742E-2</v>
      </c>
      <c r="AS45" s="59">
        <v>5.7818701619909429E-3</v>
      </c>
      <c r="AT45" s="59">
        <v>1.0833600793818121E-2</v>
      </c>
      <c r="AU45" s="59">
        <v>-4.6137683273818175E-2</v>
      </c>
      <c r="AV45" s="59">
        <v>-2.2720770051365413E-2</v>
      </c>
      <c r="AW45" s="59">
        <v>-3.3875671339082314E-2</v>
      </c>
      <c r="AX45" s="59">
        <v>-1.7223730741691368E-2</v>
      </c>
      <c r="AY45" s="59">
        <v>-9.0909090909091494E-3</v>
      </c>
      <c r="AZ45" s="59">
        <v>-2.6315789473683182E-3</v>
      </c>
      <c r="BA45" s="59">
        <v>1.324429028034535E-3</v>
      </c>
      <c r="BB45" s="59">
        <v>-9.6063931225980337E-3</v>
      </c>
      <c r="BO45" s="3">
        <v>44309</v>
      </c>
      <c r="BP45" s="59">
        <v>-2.6815394129924841E-2</v>
      </c>
      <c r="BQ45" s="59">
        <v>-1.9237621142867534E-2</v>
      </c>
      <c r="BR45" s="59">
        <v>-1.3694637773088214E-2</v>
      </c>
      <c r="BS45" s="59">
        <v>-2.0564386507784471E-2</v>
      </c>
      <c r="BT45" s="59">
        <v>-2.6211283577324385E-2</v>
      </c>
      <c r="BU45" s="59">
        <v>-2.011003670796685E-2</v>
      </c>
      <c r="BV45" s="59">
        <v>-1.9963593141806291E-2</v>
      </c>
      <c r="BW45" s="59">
        <v>-1.6616553252096766E-2</v>
      </c>
      <c r="BX45" s="59">
        <v>4.0307101727447225E-2</v>
      </c>
      <c r="BY45" s="59">
        <v>-1.7665144722605386E-2</v>
      </c>
      <c r="BZ45" s="59">
        <v>-1.1626367602282084E-3</v>
      </c>
    </row>
    <row r="46" spans="1:78" x14ac:dyDescent="0.45">
      <c r="A46" s="3">
        <v>45709</v>
      </c>
      <c r="B46" s="48">
        <v>96.318910000000002</v>
      </c>
      <c r="C46" s="48">
        <v>107.72638999999999</v>
      </c>
      <c r="D46" s="48">
        <v>153.32482999999999</v>
      </c>
      <c r="E46" s="48">
        <v>129.54660000000001</v>
      </c>
      <c r="F46" s="48">
        <v>32.434199999999997</v>
      </c>
      <c r="G46" s="48">
        <v>36.708350000000003</v>
      </c>
      <c r="H46">
        <v>70.400000000000006</v>
      </c>
      <c r="I46" s="48">
        <v>4.5599999999999996</v>
      </c>
      <c r="J46" s="49">
        <v>688.96858999999995</v>
      </c>
      <c r="K46" s="49">
        <v>11433.56394</v>
      </c>
      <c r="L46" s="50">
        <v>1.7452701435097806E-2</v>
      </c>
      <c r="M46" s="50">
        <v>2.2634945726290656E-2</v>
      </c>
      <c r="N46" s="50">
        <v>1.0171231543230519E-2</v>
      </c>
      <c r="O46" s="50">
        <v>2.9154720452633454E-2</v>
      </c>
      <c r="P46" s="50">
        <v>-1.8256015240941115E-2</v>
      </c>
      <c r="Q46" s="50">
        <v>8.227486653751126E-2</v>
      </c>
      <c r="R46" s="47">
        <v>2.5195949803744955E-2</v>
      </c>
      <c r="S46" s="50">
        <v>-4.3841040871162029E-3</v>
      </c>
      <c r="T46" s="50">
        <v>-2.2403258655804614E-2</v>
      </c>
      <c r="U46" s="50">
        <v>1.0577636575343163E-2</v>
      </c>
      <c r="V46" s="50">
        <v>-1.636552230562327E-2</v>
      </c>
      <c r="W46" s="50">
        <f t="shared" si="2"/>
        <v>2.5195949803744955E-2</v>
      </c>
      <c r="AO46" t="str">
        <f t="shared" si="4"/>
        <v/>
      </c>
      <c r="AQ46" s="3">
        <v>45709</v>
      </c>
      <c r="AR46" s="59">
        <v>1.7452701435097806E-2</v>
      </c>
      <c r="AS46" s="59">
        <v>2.2634945726290656E-2</v>
      </c>
      <c r="AT46" s="59">
        <v>1.0171231543230519E-2</v>
      </c>
      <c r="AU46" s="59">
        <v>2.9154720452633454E-2</v>
      </c>
      <c r="AV46" s="59">
        <v>-1.8256015240941115E-2</v>
      </c>
      <c r="AW46" s="59">
        <v>8.227486653751126E-2</v>
      </c>
      <c r="AX46" s="59">
        <v>2.5195949803744955E-2</v>
      </c>
      <c r="AY46" s="59">
        <v>-4.3841040871162029E-3</v>
      </c>
      <c r="AZ46" s="59">
        <v>-2.2403258655804614E-2</v>
      </c>
      <c r="BA46" s="59">
        <v>1.0577636575343163E-2</v>
      </c>
      <c r="BB46" s="59">
        <v>-1.636552230562327E-2</v>
      </c>
      <c r="BC46" s="73" t="s">
        <v>438</v>
      </c>
      <c r="BO46" s="3">
        <v>44302</v>
      </c>
      <c r="BP46" s="59">
        <v>-2.7327206471157162E-3</v>
      </c>
      <c r="BQ46" s="59">
        <v>1.4139967242753571E-2</v>
      </c>
      <c r="BR46" s="59">
        <v>3.8858483987103121E-4</v>
      </c>
      <c r="BS46" s="59">
        <v>-1.2057990017764975E-2</v>
      </c>
      <c r="BT46" s="59">
        <v>3.2390451605814885E-2</v>
      </c>
      <c r="BU46" s="59">
        <v>-7.2594443466643677E-3</v>
      </c>
      <c r="BV46" s="59">
        <v>5.5203138648020292E-3</v>
      </c>
      <c r="BW46" s="59">
        <v>6.4700926705981487E-2</v>
      </c>
      <c r="BX46" s="59">
        <v>3.1683168316831711E-2</v>
      </c>
      <c r="BY46" s="59">
        <v>2.3006150123616731E-3</v>
      </c>
      <c r="BZ46" s="59">
        <v>1.3836950628885791E-2</v>
      </c>
    </row>
    <row r="47" spans="1:78" x14ac:dyDescent="0.45">
      <c r="A47" s="3">
        <v>45702</v>
      </c>
      <c r="B47" s="48">
        <v>94.666719999999998</v>
      </c>
      <c r="C47" s="48">
        <v>105.34198000000001</v>
      </c>
      <c r="D47" s="48">
        <v>151.78102999999999</v>
      </c>
      <c r="E47" s="48">
        <v>125.8767</v>
      </c>
      <c r="F47" s="48">
        <v>33.037329999999997</v>
      </c>
      <c r="G47" s="48">
        <v>33.917769999999997</v>
      </c>
      <c r="H47">
        <v>70.709999999999994</v>
      </c>
      <c r="I47" s="48">
        <v>4.6645000000000003</v>
      </c>
      <c r="J47" s="49">
        <v>681.75720999999999</v>
      </c>
      <c r="K47" s="49">
        <v>11623.793390000001</v>
      </c>
      <c r="L47" s="50">
        <v>-1.34085004467277E-2</v>
      </c>
      <c r="M47" s="50">
        <v>2.9219764408212612E-3</v>
      </c>
      <c r="N47" s="50">
        <v>2.9111354340812801E-2</v>
      </c>
      <c r="O47" s="50">
        <v>2.2213422936624649E-2</v>
      </c>
      <c r="P47" s="50">
        <v>8.4598992593993172E-2</v>
      </c>
      <c r="Q47" s="50">
        <v>4.49470775911891E-2</v>
      </c>
      <c r="R47" s="47">
        <v>3.6758564780688195E-2</v>
      </c>
      <c r="S47" s="50">
        <v>-4.0845070422536045E-3</v>
      </c>
      <c r="T47" s="50">
        <v>1.6452386140771491E-2</v>
      </c>
      <c r="U47" s="50">
        <v>1.0619089145281535E-2</v>
      </c>
      <c r="V47" s="50">
        <v>1.5078845982875455E-2</v>
      </c>
      <c r="W47" s="50">
        <f t="shared" si="2"/>
        <v>3.6758564780688195E-2</v>
      </c>
      <c r="AO47" t="str">
        <f t="shared" si="4"/>
        <v/>
      </c>
      <c r="AQ47" s="3">
        <v>45702</v>
      </c>
      <c r="AR47" s="59">
        <v>-1.34085004467277E-2</v>
      </c>
      <c r="AS47" s="59">
        <v>2.9219764408212612E-3</v>
      </c>
      <c r="AT47" s="59">
        <v>2.9111354340812801E-2</v>
      </c>
      <c r="AU47" s="59">
        <v>2.2213422936624649E-2</v>
      </c>
      <c r="AV47" s="59">
        <v>8.4598992593993172E-2</v>
      </c>
      <c r="AW47" s="59">
        <v>4.49470775911891E-2</v>
      </c>
      <c r="AX47" s="59">
        <v>3.6758564780688195E-2</v>
      </c>
      <c r="AY47" s="59">
        <v>-4.0845070422536045E-3</v>
      </c>
      <c r="AZ47" s="59">
        <v>1.6452386140771491E-2</v>
      </c>
      <c r="BA47" s="59">
        <v>1.0619089145281535E-2</v>
      </c>
      <c r="BB47" s="59">
        <v>1.5078845982875455E-2</v>
      </c>
      <c r="BC47" t="s">
        <v>418</v>
      </c>
      <c r="BO47" s="3">
        <v>44295</v>
      </c>
      <c r="BP47" s="59">
        <v>-5.1647558733828092E-2</v>
      </c>
      <c r="BQ47" s="59">
        <v>-2.6485477859519047E-2</v>
      </c>
      <c r="BR47" s="59">
        <v>-2.6761210085198939E-2</v>
      </c>
      <c r="BS47" s="59">
        <v>-4.7385122460659845E-2</v>
      </c>
      <c r="BT47" s="59">
        <v>-7.7300727702632743E-3</v>
      </c>
      <c r="BU47" s="59">
        <v>-6.212774847121505E-2</v>
      </c>
      <c r="BV47" s="59">
        <v>-3.4097926329371232E-2</v>
      </c>
      <c r="BW47" s="59">
        <v>-3.4174125305126091E-2</v>
      </c>
      <c r="BX47" s="59">
        <v>1.2404460593910649E-2</v>
      </c>
      <c r="BY47" s="59">
        <v>-4.0454433539408363E-2</v>
      </c>
      <c r="BZ47" s="59">
        <v>2.741565426955872E-2</v>
      </c>
    </row>
    <row r="48" spans="1:78" ht="14.65" thickBot="1" x14ac:dyDescent="0.5">
      <c r="A48" s="3">
        <v>45695</v>
      </c>
      <c r="B48" s="48">
        <v>95.953310000000002</v>
      </c>
      <c r="C48" s="48">
        <v>105.03507</v>
      </c>
      <c r="D48" s="48">
        <v>147.48747</v>
      </c>
      <c r="E48" s="48">
        <v>123.14131</v>
      </c>
      <c r="F48" s="48">
        <v>30.46041</v>
      </c>
      <c r="G48" s="48">
        <v>32.458840000000002</v>
      </c>
      <c r="H48">
        <v>71</v>
      </c>
      <c r="I48" s="48">
        <v>4.5890000000000004</v>
      </c>
      <c r="J48" s="49">
        <v>674.59364000000005</v>
      </c>
      <c r="K48" s="49">
        <v>11451.123659999999</v>
      </c>
      <c r="L48" s="50">
        <v>-4.7556414509799527E-3</v>
      </c>
      <c r="M48" s="50">
        <v>1.9282955515876221E-2</v>
      </c>
      <c r="N48" s="50">
        <v>2.2990810611875467E-2</v>
      </c>
      <c r="O48" s="50">
        <v>5.6443372552554827E-3</v>
      </c>
      <c r="P48" s="50">
        <v>3.8956596006517463E-2</v>
      </c>
      <c r="Q48" s="50">
        <v>-2.7859150146020917E-2</v>
      </c>
      <c r="R48" s="47">
        <v>1.1803109848700744E-2</v>
      </c>
      <c r="S48" s="50">
        <v>-2.1094719426444253E-2</v>
      </c>
      <c r="T48" s="50">
        <v>7.2446833372283415E-2</v>
      </c>
      <c r="U48" s="50">
        <v>9.9405677458530572E-3</v>
      </c>
      <c r="V48" s="50">
        <v>-2.3065663349843835E-3</v>
      </c>
      <c r="W48" s="50">
        <f t="shared" si="2"/>
        <v>1.1803109848700744E-2</v>
      </c>
      <c r="AO48" t="str">
        <f t="shared" si="4"/>
        <v/>
      </c>
      <c r="AQ48" s="3">
        <v>45695</v>
      </c>
      <c r="AR48" s="59">
        <v>-4.7556414509799527E-3</v>
      </c>
      <c r="AS48" s="59">
        <v>1.9282955515876221E-2</v>
      </c>
      <c r="AT48" s="59">
        <v>2.2990810611875467E-2</v>
      </c>
      <c r="AU48" s="59">
        <v>5.6443372552554827E-3</v>
      </c>
      <c r="AV48" s="59">
        <v>3.8956596006517463E-2</v>
      </c>
      <c r="AW48" s="59">
        <v>-2.7859150146020917E-2</v>
      </c>
      <c r="AX48" s="59">
        <v>1.1803109848700744E-2</v>
      </c>
      <c r="AY48" s="59">
        <v>-2.1094719426444253E-2</v>
      </c>
      <c r="AZ48" s="59">
        <v>7.2446833372283415E-2</v>
      </c>
      <c r="BA48" s="59">
        <v>9.9405677458530572E-3</v>
      </c>
      <c r="BB48" s="59">
        <v>-2.3065663349843835E-3</v>
      </c>
      <c r="BO48" s="3">
        <v>44287</v>
      </c>
      <c r="BP48" s="59">
        <v>-1.853207196359663E-2</v>
      </c>
      <c r="BQ48" s="59">
        <v>-5.54495009899314E-3</v>
      </c>
      <c r="BR48" s="59">
        <v>-1.6095956547504175E-2</v>
      </c>
      <c r="BS48" s="59">
        <v>6.1431220580430157E-3</v>
      </c>
      <c r="BT48" s="59">
        <v>-2.5763049482549705E-2</v>
      </c>
      <c r="BU48" s="59">
        <v>3.342146018379677E-2</v>
      </c>
      <c r="BV48" s="59">
        <v>-1.5678747774414471E-3</v>
      </c>
      <c r="BW48" s="59">
        <v>7.8727242906349026E-3</v>
      </c>
      <c r="BX48" s="59">
        <v>-1.9051130776794434E-2</v>
      </c>
      <c r="BY48" s="59">
        <v>-3.8569019033685148E-3</v>
      </c>
      <c r="BZ48" s="59">
        <v>1.153625745757747E-2</v>
      </c>
    </row>
    <row r="49" spans="1:78" x14ac:dyDescent="0.45">
      <c r="A49" s="3">
        <v>45688</v>
      </c>
      <c r="B49" s="48">
        <v>96.411810000000003</v>
      </c>
      <c r="C49" s="48">
        <v>103.048</v>
      </c>
      <c r="D49" s="48">
        <v>144.17282</v>
      </c>
      <c r="E49" s="48">
        <v>122.45016</v>
      </c>
      <c r="F49" s="48">
        <v>29.318269999999998</v>
      </c>
      <c r="G49" s="48">
        <v>33.389029999999998</v>
      </c>
      <c r="H49">
        <v>72.53</v>
      </c>
      <c r="I49" s="48">
        <v>4.2789999999999999</v>
      </c>
      <c r="J49" s="49">
        <v>667.9538</v>
      </c>
      <c r="K49" s="49">
        <v>11477.5975</v>
      </c>
      <c r="L49" s="50">
        <v>-2.9460910437362431E-2</v>
      </c>
      <c r="M49" s="50">
        <v>-1.6841577808600849E-2</v>
      </c>
      <c r="N49" s="50">
        <v>-4.1503349686471958E-2</v>
      </c>
      <c r="O49" s="50">
        <v>-4.5744137412664809E-2</v>
      </c>
      <c r="P49" s="50">
        <v>-1.2400627896949512E-2</v>
      </c>
      <c r="Q49" s="50">
        <v>-5.1724142827727859E-2</v>
      </c>
      <c r="R49" s="47">
        <v>-3.3642767126482995E-2</v>
      </c>
      <c r="S49" s="50">
        <v>-2.8529332976158561E-2</v>
      </c>
      <c r="T49" s="50">
        <v>-9.7199722286507306E-3</v>
      </c>
      <c r="U49" s="50">
        <v>-3.7846297558690178E-2</v>
      </c>
      <c r="V49" s="50">
        <v>-9.8856310945081294E-3</v>
      </c>
      <c r="W49" s="50">
        <f t="shared" si="2"/>
        <v>-3.3642767126482995E-2</v>
      </c>
      <c r="Y49" s="65" t="s">
        <v>409</v>
      </c>
      <c r="Z49" s="65" t="s">
        <v>2</v>
      </c>
      <c r="AO49" t="str">
        <f t="shared" si="4"/>
        <v/>
      </c>
      <c r="AQ49" s="3">
        <v>45688</v>
      </c>
      <c r="AR49" s="59">
        <v>-2.9460910437362431E-2</v>
      </c>
      <c r="AS49" s="59">
        <v>-1.6841577808600849E-2</v>
      </c>
      <c r="AT49" s="59">
        <v>-4.1503349686471958E-2</v>
      </c>
      <c r="AU49" s="59">
        <v>-4.5744137412664809E-2</v>
      </c>
      <c r="AV49" s="59">
        <v>-1.2400627896949512E-2</v>
      </c>
      <c r="AW49" s="59">
        <v>-5.1724142827727859E-2</v>
      </c>
      <c r="AX49" s="59">
        <v>-3.3642767126482995E-2</v>
      </c>
      <c r="AY49" s="59">
        <v>-2.8529332976158561E-2</v>
      </c>
      <c r="AZ49" s="59">
        <v>-9.7199722286507306E-3</v>
      </c>
      <c r="BA49" s="59">
        <v>-3.7846297558690178E-2</v>
      </c>
      <c r="BB49" s="59">
        <v>-9.8856310945081294E-3</v>
      </c>
      <c r="BC49" s="65"/>
      <c r="BD49" s="65" t="s">
        <v>419</v>
      </c>
      <c r="BE49" s="65" t="s">
        <v>420</v>
      </c>
      <c r="BO49" s="3">
        <v>44281</v>
      </c>
      <c r="BP49" s="59">
        <v>4.6387985815818267E-2</v>
      </c>
      <c r="BQ49" s="59">
        <v>2.1596705876740563E-2</v>
      </c>
      <c r="BR49" s="59">
        <v>3.9659487551374051E-2</v>
      </c>
      <c r="BS49" s="59">
        <v>6.8493106180522512E-2</v>
      </c>
      <c r="BT49" s="59">
        <v>-8.2547843615211614E-3</v>
      </c>
      <c r="BU49" s="59">
        <v>1.7620942980980381E-3</v>
      </c>
      <c r="BV49" s="59">
        <v>2.46513219090428E-2</v>
      </c>
      <c r="BW49" s="59">
        <v>-7.6497395833333703E-3</v>
      </c>
      <c r="BX49" s="59">
        <v>-1.0940919037199293E-2</v>
      </c>
      <c r="BY49" s="59">
        <v>2.9910037390350031E-2</v>
      </c>
      <c r="BZ49" s="59">
        <v>1.5776659192601405E-2</v>
      </c>
    </row>
    <row r="50" spans="1:78" x14ac:dyDescent="0.45">
      <c r="A50" s="3">
        <v>45681</v>
      </c>
      <c r="B50" s="48">
        <v>99.338409999999996</v>
      </c>
      <c r="C50" s="48">
        <v>104.81322</v>
      </c>
      <c r="D50" s="48">
        <v>150.41557</v>
      </c>
      <c r="E50" s="48">
        <v>128.32005000000001</v>
      </c>
      <c r="F50" s="48">
        <v>29.686399999999999</v>
      </c>
      <c r="G50" s="48">
        <v>35.210250000000002</v>
      </c>
      <c r="H50">
        <v>74.66</v>
      </c>
      <c r="I50" s="48">
        <v>4.3209999999999997</v>
      </c>
      <c r="J50" s="49">
        <v>694.22775000000001</v>
      </c>
      <c r="K50" s="49">
        <v>11592.193649999999</v>
      </c>
      <c r="L50" s="50">
        <v>-3.7978195631146461E-2</v>
      </c>
      <c r="M50" s="50">
        <v>-3.2585392183611228E-2</v>
      </c>
      <c r="N50" s="50">
        <v>-3.604386956280714E-2</v>
      </c>
      <c r="O50" s="50">
        <v>-3.4851388457347476E-2</v>
      </c>
      <c r="P50" s="50">
        <v>-7.5733110820935812E-3</v>
      </c>
      <c r="Q50" s="50">
        <v>-5.2437433326623317E-2</v>
      </c>
      <c r="R50" s="47">
        <v>-3.2698278922496549E-2</v>
      </c>
      <c r="S50" s="50">
        <v>-3.5275875436102888E-2</v>
      </c>
      <c r="T50" s="50">
        <v>-1.0873297470527676E-2</v>
      </c>
      <c r="U50" s="50">
        <v>-2.8980975851336077E-2</v>
      </c>
      <c r="V50" s="50">
        <v>1.7548198059642584E-2</v>
      </c>
      <c r="W50" s="50">
        <f t="shared" si="2"/>
        <v>-3.2698278922496549E-2</v>
      </c>
      <c r="Y50" s="63">
        <v>-0.1</v>
      </c>
      <c r="Z50">
        <v>2</v>
      </c>
      <c r="AO50" t="str">
        <f t="shared" si="4"/>
        <v/>
      </c>
      <c r="AQ50" s="3">
        <v>45681</v>
      </c>
      <c r="AR50" s="59">
        <v>-3.7978195631146461E-2</v>
      </c>
      <c r="AS50" s="59">
        <v>-3.2585392183611228E-2</v>
      </c>
      <c r="AT50" s="59">
        <v>-3.604386956280714E-2</v>
      </c>
      <c r="AU50" s="59">
        <v>-3.4851388457347476E-2</v>
      </c>
      <c r="AV50" s="59">
        <v>-7.5733110820935812E-3</v>
      </c>
      <c r="AW50" s="59">
        <v>-5.2437433326623317E-2</v>
      </c>
      <c r="AX50" s="59">
        <v>-3.2698278922496549E-2</v>
      </c>
      <c r="AY50" s="59">
        <v>-3.5275875436102888E-2</v>
      </c>
      <c r="AZ50" s="59">
        <v>-1.0873297470527676E-2</v>
      </c>
      <c r="BA50" s="59">
        <v>-2.8980975851336077E-2</v>
      </c>
      <c r="BB50" s="59">
        <v>1.7548198059642584E-2</v>
      </c>
      <c r="BC50" t="s">
        <v>421</v>
      </c>
      <c r="BD50">
        <v>2.8629510684971536E-3</v>
      </c>
      <c r="BE50">
        <v>1.7149647236004262E-2</v>
      </c>
      <c r="BO50" s="3">
        <v>44274</v>
      </c>
      <c r="BP50" s="59">
        <v>-0.11133644565081824</v>
      </c>
      <c r="BQ50" s="59">
        <v>-8.8429869513660275E-2</v>
      </c>
      <c r="BR50" s="59">
        <v>-7.332376422811604E-2</v>
      </c>
      <c r="BS50" s="59">
        <v>-6.5599944412972455E-2</v>
      </c>
      <c r="BT50" s="59">
        <v>-5.6379497801822165E-2</v>
      </c>
      <c r="BU50" s="59">
        <v>-6.3917452238920314E-2</v>
      </c>
      <c r="BV50" s="59">
        <v>-6.9530105639098255E-2</v>
      </c>
      <c r="BW50" s="59">
        <v>-6.3985374771480807E-2</v>
      </c>
      <c r="BX50" s="59">
        <v>-6.5217391304346339E-3</v>
      </c>
      <c r="BY50" s="59">
        <v>-7.6609667907196255E-2</v>
      </c>
      <c r="BZ50" s="59">
        <v>-7.5051327502829723E-3</v>
      </c>
    </row>
    <row r="51" spans="1:78" x14ac:dyDescent="0.45">
      <c r="A51" s="3">
        <v>45674</v>
      </c>
      <c r="B51" s="48">
        <v>103.26004</v>
      </c>
      <c r="C51" s="48">
        <v>108.34363999999999</v>
      </c>
      <c r="D51" s="48">
        <v>156.03985</v>
      </c>
      <c r="E51" s="48">
        <v>132.95366999999999</v>
      </c>
      <c r="F51" s="48">
        <v>29.912939999999999</v>
      </c>
      <c r="G51" s="48">
        <v>37.158760000000001</v>
      </c>
      <c r="H51">
        <v>77.39</v>
      </c>
      <c r="I51" s="48">
        <v>4.3685</v>
      </c>
      <c r="J51" s="49">
        <v>714.94763</v>
      </c>
      <c r="K51" s="49">
        <v>11392.27967</v>
      </c>
      <c r="L51" s="50">
        <v>3.8559655302123685E-2</v>
      </c>
      <c r="M51" s="50">
        <v>5.4251861980356253E-2</v>
      </c>
      <c r="N51" s="50">
        <v>5.4394696181457647E-2</v>
      </c>
      <c r="O51" s="50">
        <v>4.6735221010525407E-2</v>
      </c>
      <c r="P51" s="50">
        <v>1.2783655664377891E-2</v>
      </c>
      <c r="Q51" s="50">
        <v>5.4459724594078995E-2</v>
      </c>
      <c r="R51" s="47">
        <v>4.4525031886159236E-2</v>
      </c>
      <c r="S51" s="50">
        <v>2.1650165016501743E-2</v>
      </c>
      <c r="T51" s="50">
        <v>1.4986059479553893E-2</v>
      </c>
      <c r="U51" s="50">
        <v>6.1381879399629691E-2</v>
      </c>
      <c r="V51" s="50">
        <v>2.9209682041551277E-2</v>
      </c>
      <c r="W51" s="50">
        <f t="shared" si="2"/>
        <v>4.4525031886159236E-2</v>
      </c>
      <c r="Y51" s="63">
        <v>-9.0000000000000011E-2</v>
      </c>
      <c r="Z51">
        <v>1</v>
      </c>
      <c r="AO51" t="str">
        <f t="shared" si="4"/>
        <v/>
      </c>
      <c r="AQ51" s="3">
        <v>45674</v>
      </c>
      <c r="AR51" s="59">
        <v>3.8559655302123685E-2</v>
      </c>
      <c r="AS51" s="59">
        <v>5.4251861980356253E-2</v>
      </c>
      <c r="AT51" s="59">
        <v>5.4394696181457647E-2</v>
      </c>
      <c r="AU51" s="59">
        <v>4.6735221010525407E-2</v>
      </c>
      <c r="AV51" s="59">
        <v>1.2783655664377891E-2</v>
      </c>
      <c r="AW51" s="59">
        <v>5.4459724594078995E-2</v>
      </c>
      <c r="AX51" s="59">
        <v>4.4525031886159236E-2</v>
      </c>
      <c r="AY51" s="59">
        <v>2.1650165016501743E-2</v>
      </c>
      <c r="AZ51" s="59">
        <v>1.4986059479553893E-2</v>
      </c>
      <c r="BA51" s="59">
        <v>6.1381879399629691E-2</v>
      </c>
      <c r="BB51" s="59">
        <v>2.9209682041551277E-2</v>
      </c>
      <c r="BC51" t="s">
        <v>422</v>
      </c>
      <c r="BD51">
        <v>1.6761984224766535E-3</v>
      </c>
      <c r="BE51">
        <v>3.3783357718506391E-3</v>
      </c>
      <c r="BO51" s="3">
        <v>44267</v>
      </c>
      <c r="BP51" s="59">
        <v>1.4569738175083558E-2</v>
      </c>
      <c r="BQ51" s="59">
        <v>1.706881708540342E-2</v>
      </c>
      <c r="BR51" s="59">
        <v>2.3486201662888728E-2</v>
      </c>
      <c r="BS51" s="59">
        <v>5.6315588453379473E-3</v>
      </c>
      <c r="BT51" s="59">
        <v>7.0972183399187205E-3</v>
      </c>
      <c r="BU51" s="59">
        <v>-4.1433457359711157E-2</v>
      </c>
      <c r="BV51" s="59">
        <v>2.3700677147675321E-3</v>
      </c>
      <c r="BW51" s="59">
        <v>-6.8088969586926895E-3</v>
      </c>
      <c r="BX51" s="59">
        <v>1.5826278984173658E-2</v>
      </c>
      <c r="BY51" s="59">
        <v>1.0795479577493605E-2</v>
      </c>
      <c r="BZ51" s="59">
        <v>2.673224692217091E-2</v>
      </c>
    </row>
    <row r="52" spans="1:78" x14ac:dyDescent="0.45">
      <c r="A52" s="3">
        <v>45667</v>
      </c>
      <c r="B52" s="48">
        <v>99.426199999999994</v>
      </c>
      <c r="C52" s="48">
        <v>102.76827</v>
      </c>
      <c r="D52" s="48">
        <v>147.98998</v>
      </c>
      <c r="E52" s="48">
        <v>127.01748000000001</v>
      </c>
      <c r="F52" s="48">
        <v>29.53537</v>
      </c>
      <c r="G52" s="48">
        <v>35.239620000000002</v>
      </c>
      <c r="H52">
        <v>75.75</v>
      </c>
      <c r="I52" s="48">
        <v>4.3040000000000003</v>
      </c>
      <c r="J52" s="49">
        <v>673.60074999999995</v>
      </c>
      <c r="K52" s="49">
        <v>11068.9589</v>
      </c>
      <c r="L52" s="50">
        <v>8.2104913264522406E-3</v>
      </c>
      <c r="M52" s="50">
        <v>-1.2238092592631755E-2</v>
      </c>
      <c r="N52" s="50">
        <v>3.5779506246873094E-2</v>
      </c>
      <c r="O52" s="50">
        <v>3.8239727786484989E-2</v>
      </c>
      <c r="P52" s="50">
        <v>2.6911810467867392E-2</v>
      </c>
      <c r="Q52" s="50">
        <v>6.0713244038615999E-2</v>
      </c>
      <c r="R52" s="47">
        <v>2.9881239189441945E-2</v>
      </c>
      <c r="S52" s="50">
        <v>2.4202271498107164E-2</v>
      </c>
      <c r="T52" s="50">
        <v>5.6585246102859976E-2</v>
      </c>
      <c r="U52" s="50">
        <v>8.9847777530007722E-3</v>
      </c>
      <c r="V52" s="50">
        <v>-1.9213242655538032E-2</v>
      </c>
      <c r="W52" s="50">
        <f t="shared" si="2"/>
        <v>2.9881239189441945E-2</v>
      </c>
      <c r="Y52" s="63">
        <v>-8.0000000000000016E-2</v>
      </c>
      <c r="Z52">
        <v>1</v>
      </c>
      <c r="AO52" t="str">
        <f t="shared" si="4"/>
        <v/>
      </c>
      <c r="AQ52" s="3">
        <v>45667</v>
      </c>
      <c r="AR52" s="59">
        <v>8.2104913264522406E-3</v>
      </c>
      <c r="AS52" s="59">
        <v>-1.2238092592631755E-2</v>
      </c>
      <c r="AT52" s="59">
        <v>3.5779506246873094E-2</v>
      </c>
      <c r="AU52" s="59">
        <v>3.8239727786484989E-2</v>
      </c>
      <c r="AV52" s="59">
        <v>2.6911810467867392E-2</v>
      </c>
      <c r="AW52" s="59">
        <v>6.0713244038615999E-2</v>
      </c>
      <c r="AX52" s="59">
        <v>2.9881239189441945E-2</v>
      </c>
      <c r="AY52" s="59">
        <v>2.4202271498107164E-2</v>
      </c>
      <c r="AZ52" s="59">
        <v>5.6585246102859976E-2</v>
      </c>
      <c r="BA52" s="59">
        <v>8.9847777530007722E-3</v>
      </c>
      <c r="BB52" s="59">
        <v>-1.9213242655538032E-2</v>
      </c>
      <c r="BC52" t="s">
        <v>423</v>
      </c>
      <c r="BD52">
        <v>197</v>
      </c>
      <c r="BE52">
        <v>43</v>
      </c>
      <c r="BO52" s="3">
        <v>44260</v>
      </c>
      <c r="BP52" s="59">
        <v>0.12170745218097423</v>
      </c>
      <c r="BQ52" s="59">
        <v>0.12065463203501503</v>
      </c>
      <c r="BR52" s="59">
        <v>9.0000034975918908E-2</v>
      </c>
      <c r="BS52" s="59">
        <v>0.15520439304922373</v>
      </c>
      <c r="BT52" s="59">
        <v>9.6681586856424362E-2</v>
      </c>
      <c r="BU52" s="59">
        <v>0.18895062827932407</v>
      </c>
      <c r="BV52" s="59">
        <v>0.13029825503918122</v>
      </c>
      <c r="BW52" s="59">
        <v>7.4634146341463481E-2</v>
      </c>
      <c r="BX52" s="59">
        <v>-4.1539401343922977E-3</v>
      </c>
      <c r="BY52" s="59">
        <v>0.10091116615180429</v>
      </c>
      <c r="BZ52" s="59">
        <v>8.2920778108934723E-3</v>
      </c>
    </row>
    <row r="53" spans="1:78" x14ac:dyDescent="0.45">
      <c r="A53" s="3">
        <v>45660</v>
      </c>
      <c r="B53" s="48">
        <v>98.616510000000005</v>
      </c>
      <c r="C53" s="48">
        <v>104.04154</v>
      </c>
      <c r="D53" s="48">
        <v>142.87788</v>
      </c>
      <c r="E53" s="48">
        <v>122.33926</v>
      </c>
      <c r="F53" s="48">
        <v>28.76135</v>
      </c>
      <c r="G53" s="48">
        <v>33.222569999999997</v>
      </c>
      <c r="H53">
        <v>73.959999999999994</v>
      </c>
      <c r="I53" s="48">
        <v>4.0735000000000001</v>
      </c>
      <c r="J53" s="49">
        <v>667.60248999999999</v>
      </c>
      <c r="K53" s="49">
        <v>11285.795630000001</v>
      </c>
      <c r="L53" s="50">
        <v>4.3025201658322798E-2</v>
      </c>
      <c r="M53" s="50">
        <v>1.2960227295407911E-2</v>
      </c>
      <c r="N53" s="50">
        <v>2.6736063403329791E-2</v>
      </c>
      <c r="O53" s="50">
        <v>5.1245837826690233E-2</v>
      </c>
      <c r="P53" s="50">
        <v>5.2140709532437546E-2</v>
      </c>
      <c r="Q53" s="50">
        <v>8.7499987724835915E-2</v>
      </c>
      <c r="R53" s="47">
        <v>4.6116565156540279E-2</v>
      </c>
      <c r="S53" s="50">
        <v>4.7592067988668552E-2</v>
      </c>
      <c r="T53" s="50">
        <v>-1.1766132945172147E-2</v>
      </c>
      <c r="U53" s="50">
        <v>3.2373765909317509E-2</v>
      </c>
      <c r="V53" s="50">
        <v>-4.6031560904667979E-3</v>
      </c>
      <c r="W53" s="50">
        <f t="shared" si="2"/>
        <v>4.6116565156540279E-2</v>
      </c>
      <c r="Y53" s="63">
        <v>-7.0000000000000021E-2</v>
      </c>
      <c r="Z53">
        <v>3</v>
      </c>
      <c r="AO53" t="str">
        <f t="shared" si="4"/>
        <v/>
      </c>
      <c r="AQ53" s="3">
        <v>45660</v>
      </c>
      <c r="AR53" s="59">
        <v>4.3025201658322798E-2</v>
      </c>
      <c r="AS53" s="59">
        <v>1.2960227295407911E-2</v>
      </c>
      <c r="AT53" s="59">
        <v>2.6736063403329791E-2</v>
      </c>
      <c r="AU53" s="59">
        <v>5.1245837826690233E-2</v>
      </c>
      <c r="AV53" s="59">
        <v>5.2140709532437546E-2</v>
      </c>
      <c r="AW53" s="59">
        <v>8.7499987724835915E-2</v>
      </c>
      <c r="AX53" s="59">
        <v>4.6116565156540279E-2</v>
      </c>
      <c r="AY53" s="59">
        <v>4.7592067988668552E-2</v>
      </c>
      <c r="AZ53" s="59">
        <v>-1.1766132945172147E-2</v>
      </c>
      <c r="BA53" s="59">
        <v>3.2373765909317509E-2</v>
      </c>
      <c r="BB53" s="59">
        <v>-4.6031560904667979E-3</v>
      </c>
      <c r="BC53" t="s">
        <v>424</v>
      </c>
      <c r="BD53">
        <v>196</v>
      </c>
      <c r="BE53">
        <v>42</v>
      </c>
      <c r="BO53" s="3">
        <v>44253</v>
      </c>
      <c r="BP53" s="59">
        <v>7.4142821040488194E-2</v>
      </c>
      <c r="BQ53" s="59">
        <v>3.8189803585712889E-2</v>
      </c>
      <c r="BR53" s="59">
        <v>4.3841257531618494E-2</v>
      </c>
      <c r="BS53" s="59">
        <v>3.2794879634544083E-2</v>
      </c>
      <c r="BT53" s="59">
        <v>6.733711779339191E-2</v>
      </c>
      <c r="BU53" s="59">
        <v>3.4085634090455175E-2</v>
      </c>
      <c r="BV53" s="59">
        <v>4.3249738527144511E-2</v>
      </c>
      <c r="BW53" s="59">
        <v>3.7799527505906205E-2</v>
      </c>
      <c r="BX53" s="59">
        <v>4.5409916543939222E-3</v>
      </c>
      <c r="BY53" s="59">
        <v>4.3346476906777731E-2</v>
      </c>
      <c r="BZ53" s="59">
        <v>-2.4204316563671946E-2</v>
      </c>
    </row>
    <row r="54" spans="1:78" x14ac:dyDescent="0.45">
      <c r="A54" s="3">
        <v>45653</v>
      </c>
      <c r="B54" s="48">
        <v>94.548540000000003</v>
      </c>
      <c r="C54" s="48">
        <v>102.71039</v>
      </c>
      <c r="D54" s="48">
        <v>139.15736000000001</v>
      </c>
      <c r="E54" s="48">
        <v>116.3755</v>
      </c>
      <c r="F54" s="48">
        <v>27.336030000000001</v>
      </c>
      <c r="G54" s="48">
        <v>30.549489999999999</v>
      </c>
      <c r="H54">
        <v>70.599999999999994</v>
      </c>
      <c r="I54" s="48">
        <v>4.1219999999999999</v>
      </c>
      <c r="J54" s="49">
        <v>646.66742999999997</v>
      </c>
      <c r="K54" s="49">
        <v>11337.986150000001</v>
      </c>
      <c r="L54" s="50">
        <v>1.8923386016060029E-2</v>
      </c>
      <c r="M54" s="50">
        <v>5.7617365270692389E-3</v>
      </c>
      <c r="N54" s="50">
        <v>8.0504307150304211E-3</v>
      </c>
      <c r="O54" s="50">
        <v>1.1424726510190775E-2</v>
      </c>
      <c r="P54" s="50">
        <v>1.2587692865035471E-2</v>
      </c>
      <c r="Q54" s="50">
        <v>1.3974494547680072E-2</v>
      </c>
      <c r="R54" s="47">
        <v>1.0359816233001196E-2</v>
      </c>
      <c r="S54" s="50">
        <v>1.6412323639504844E-2</v>
      </c>
      <c r="T54" s="50">
        <v>1.7526536657615388E-2</v>
      </c>
      <c r="U54" s="50">
        <v>1.212080006427052E-2</v>
      </c>
      <c r="V54" s="50">
        <v>6.9018803344551571E-3</v>
      </c>
      <c r="W54" s="50">
        <f t="shared" si="2"/>
        <v>1.0359816233001196E-2</v>
      </c>
      <c r="Y54" s="63">
        <v>-6.0000000000000019E-2</v>
      </c>
      <c r="Z54">
        <v>6</v>
      </c>
      <c r="AO54" t="str">
        <f t="shared" si="4"/>
        <v/>
      </c>
      <c r="AQ54" s="3">
        <v>45653</v>
      </c>
      <c r="AR54" s="59">
        <v>1.8923386016060029E-2</v>
      </c>
      <c r="AS54" s="59">
        <v>5.7617365270692389E-3</v>
      </c>
      <c r="AT54" s="59">
        <v>8.0504307150304211E-3</v>
      </c>
      <c r="AU54" s="59">
        <v>1.1424726510190775E-2</v>
      </c>
      <c r="AV54" s="59">
        <v>1.2587692865035471E-2</v>
      </c>
      <c r="AW54" s="59">
        <v>1.3974494547680072E-2</v>
      </c>
      <c r="AX54" s="59">
        <v>1.0359816233001196E-2</v>
      </c>
      <c r="AY54" s="59">
        <v>1.6412323639504844E-2</v>
      </c>
      <c r="AZ54" s="59">
        <v>1.7526536657615388E-2</v>
      </c>
      <c r="BA54" s="59">
        <v>1.212080006427052E-2</v>
      </c>
      <c r="BB54" s="59">
        <v>6.9018803344551571E-3</v>
      </c>
      <c r="BC54" t="s">
        <v>425</v>
      </c>
      <c r="BD54">
        <v>0.49616099040340167</v>
      </c>
      <c r="BO54" s="3">
        <v>44246</v>
      </c>
      <c r="BP54" s="59">
        <v>2.6717533468576082E-2</v>
      </c>
      <c r="BQ54" s="59">
        <v>3.6619370823431696E-2</v>
      </c>
      <c r="BR54" s="59">
        <v>4.9748048996999916E-2</v>
      </c>
      <c r="BS54" s="59">
        <v>2.4418177299291299E-2</v>
      </c>
      <c r="BT54" s="59">
        <v>5.7721571082742562E-2</v>
      </c>
      <c r="BU54" s="59">
        <v>4.2542332578735076E-2</v>
      </c>
      <c r="BV54" s="59">
        <v>4.2209900156240113E-2</v>
      </c>
      <c r="BW54" s="59">
        <v>-2.0208824520041579E-3</v>
      </c>
      <c r="BX54" s="59">
        <v>7.5501583949313611E-2</v>
      </c>
      <c r="BY54" s="59">
        <v>3.0540561791373433E-2</v>
      </c>
      <c r="BZ54" s="59">
        <v>-6.881584811360697E-3</v>
      </c>
    </row>
    <row r="55" spans="1:78" x14ac:dyDescent="0.45">
      <c r="A55" s="3">
        <v>45646</v>
      </c>
      <c r="B55" s="48">
        <v>92.792590000000004</v>
      </c>
      <c r="C55" s="48">
        <v>102.12199</v>
      </c>
      <c r="D55" s="48">
        <v>138.04603</v>
      </c>
      <c r="E55" s="48">
        <v>115.06095999999999</v>
      </c>
      <c r="F55" s="48">
        <v>26.996210000000001</v>
      </c>
      <c r="G55" s="48">
        <v>30.12846</v>
      </c>
      <c r="H55">
        <v>69.459999999999994</v>
      </c>
      <c r="I55" s="48">
        <v>4.0510000000000002</v>
      </c>
      <c r="J55" s="49">
        <v>638.92317000000003</v>
      </c>
      <c r="K55" s="49">
        <v>11260.269120000001</v>
      </c>
      <c r="L55" s="50">
        <v>-5.8404296048746862E-2</v>
      </c>
      <c r="M55" s="50">
        <v>-4.4839389861427659E-2</v>
      </c>
      <c r="N55" s="50">
        <v>-7.1618878939319064E-2</v>
      </c>
      <c r="O55" s="50">
        <v>-6.0976599040026724E-2</v>
      </c>
      <c r="P55" s="50">
        <v>-4.6030878308396361E-2</v>
      </c>
      <c r="Q55" s="50">
        <v>-9.1794624765099475E-2</v>
      </c>
      <c r="R55" s="47">
        <v>-6.3052074182853857E-2</v>
      </c>
      <c r="S55" s="50">
        <v>-1.9203614798079638E-2</v>
      </c>
      <c r="T55" s="50">
        <v>-2.5499158046668247E-2</v>
      </c>
      <c r="U55" s="50">
        <v>-5.5793892409480295E-2</v>
      </c>
      <c r="V55" s="50">
        <v>-1.9716687865381499E-2</v>
      </c>
      <c r="W55" s="50">
        <f t="shared" si="2"/>
        <v>-6.3052074182853857E-2</v>
      </c>
      <c r="Y55" s="63">
        <v>-5.0000000000000017E-2</v>
      </c>
      <c r="Z55">
        <v>9</v>
      </c>
      <c r="AO55" t="str">
        <f t="shared" si="4"/>
        <v/>
      </c>
      <c r="AQ55" s="3">
        <v>45646</v>
      </c>
      <c r="AR55" s="59">
        <v>-5.8404296048746862E-2</v>
      </c>
      <c r="AS55" s="59">
        <v>-4.4839389861427659E-2</v>
      </c>
      <c r="AT55" s="59">
        <v>-7.1618878939319064E-2</v>
      </c>
      <c r="AU55" s="59">
        <v>-6.0976599040026724E-2</v>
      </c>
      <c r="AV55" s="59">
        <v>-4.6030878308396361E-2</v>
      </c>
      <c r="AW55" s="59">
        <v>-9.1794624765099475E-2</v>
      </c>
      <c r="AX55" s="59">
        <v>-6.3052074182853857E-2</v>
      </c>
      <c r="AY55" s="59">
        <v>-1.9203614798079638E-2</v>
      </c>
      <c r="AZ55" s="59">
        <v>-2.5499158046668247E-2</v>
      </c>
      <c r="BA55" s="59">
        <v>-5.5793892409480295E-2</v>
      </c>
      <c r="BB55" s="59">
        <v>-1.9716687865381499E-2</v>
      </c>
      <c r="BC55" t="s">
        <v>426</v>
      </c>
      <c r="BD55" s="29">
        <v>7.5454434617916455E-4</v>
      </c>
      <c r="BF55" t="s">
        <v>439</v>
      </c>
      <c r="BO55" s="3">
        <v>44239</v>
      </c>
      <c r="BP55" s="59">
        <v>7.1434637377568944E-2</v>
      </c>
      <c r="BQ55" s="59">
        <v>2.8587392319932237E-2</v>
      </c>
      <c r="BR55" s="59">
        <v>3.6858550098358922E-2</v>
      </c>
      <c r="BS55" s="59">
        <v>7.7901402779819717E-2</v>
      </c>
      <c r="BT55" s="59">
        <v>5.2859279502188272E-2</v>
      </c>
      <c r="BU55" s="59">
        <v>0.11620133672068977</v>
      </c>
      <c r="BV55" s="59">
        <v>6.2481592284197786E-2</v>
      </c>
      <c r="BW55" s="59">
        <v>4.4503078276165287E-2</v>
      </c>
      <c r="BX55" s="59">
        <v>4.4677330391616144E-2</v>
      </c>
      <c r="BY55" s="59">
        <v>4.32778265651792E-2</v>
      </c>
      <c r="BZ55" s="59">
        <v>1.268319137022722E-2</v>
      </c>
    </row>
    <row r="56" spans="1:78" ht="14.65" thickBot="1" x14ac:dyDescent="0.5">
      <c r="A56" s="3">
        <v>45639</v>
      </c>
      <c r="B56" s="48">
        <v>98.548230000000004</v>
      </c>
      <c r="C56" s="48">
        <v>106.91604</v>
      </c>
      <c r="D56" s="48">
        <v>148.69542999999999</v>
      </c>
      <c r="E56" s="48">
        <v>122.53258</v>
      </c>
      <c r="F56" s="48">
        <v>28.298829999999999</v>
      </c>
      <c r="G56" s="48">
        <v>33.17362</v>
      </c>
      <c r="H56">
        <v>70.819999999999993</v>
      </c>
      <c r="I56" s="48">
        <v>4.157</v>
      </c>
      <c r="J56" s="49">
        <v>676.67764999999997</v>
      </c>
      <c r="K56" s="49">
        <v>11486.74978</v>
      </c>
      <c r="L56" s="50">
        <v>-2.131369768328728E-2</v>
      </c>
      <c r="M56" s="50">
        <v>-2.4038016094840908E-2</v>
      </c>
      <c r="N56" s="50">
        <v>-8.8250609787964285E-3</v>
      </c>
      <c r="O56" s="50">
        <v>-8.1370229891560841E-3</v>
      </c>
      <c r="P56" s="50">
        <v>4.4599217219545739E-2</v>
      </c>
      <c r="Q56" s="50">
        <v>-2.5441228356477552E-2</v>
      </c>
      <c r="R56" s="47">
        <v>-4.3684222399450467E-3</v>
      </c>
      <c r="S56" s="50">
        <v>5.3869047619047539E-2</v>
      </c>
      <c r="T56" s="50">
        <v>0</v>
      </c>
      <c r="U56" s="50">
        <v>-2.0913852215875273E-2</v>
      </c>
      <c r="V56" s="50">
        <v>-6.2236265832250615E-3</v>
      </c>
      <c r="W56" s="50">
        <f t="shared" si="2"/>
        <v>-4.3684222399450467E-3</v>
      </c>
      <c r="Y56" s="63">
        <v>-4.0000000000000015E-2</v>
      </c>
      <c r="Z56">
        <v>8</v>
      </c>
      <c r="AO56" t="str">
        <f t="shared" si="4"/>
        <v/>
      </c>
      <c r="AQ56" s="3">
        <v>45639</v>
      </c>
      <c r="AR56" s="59">
        <v>-2.131369768328728E-2</v>
      </c>
      <c r="AS56" s="59">
        <v>-2.4038016094840908E-2</v>
      </c>
      <c r="AT56" s="59">
        <v>-8.8250609787964285E-3</v>
      </c>
      <c r="AU56" s="59">
        <v>-8.1370229891560841E-3</v>
      </c>
      <c r="AV56" s="59">
        <v>4.4599217219545739E-2</v>
      </c>
      <c r="AW56" s="59">
        <v>-2.5441228356477552E-2</v>
      </c>
      <c r="AX56" s="59">
        <v>-4.3684222399450467E-3</v>
      </c>
      <c r="AY56" s="59">
        <v>5.3869047619047539E-2</v>
      </c>
      <c r="AZ56" s="59">
        <v>0</v>
      </c>
      <c r="BA56" s="59">
        <v>-2.0913852215875273E-2</v>
      </c>
      <c r="BB56" s="59">
        <v>-6.2236265832250615E-3</v>
      </c>
      <c r="BC56" s="64" t="s">
        <v>427</v>
      </c>
      <c r="BD56" s="64">
        <v>0.69108805023421926</v>
      </c>
      <c r="BE56" s="64"/>
      <c r="BO56" s="3">
        <v>44232</v>
      </c>
      <c r="BP56" s="59">
        <v>0.10966772994034035</v>
      </c>
      <c r="BQ56" s="59">
        <v>0.11396060760435933</v>
      </c>
      <c r="BR56" s="59">
        <v>4.7652653871243178E-2</v>
      </c>
      <c r="BS56" s="59">
        <v>0.11087112030257695</v>
      </c>
      <c r="BT56" s="59">
        <v>-6.3456525673941777E-2</v>
      </c>
      <c r="BU56" s="59">
        <v>8.7484991297886117E-2</v>
      </c>
      <c r="BV56" s="59">
        <v>5.9302569480424762E-2</v>
      </c>
      <c r="BW56" s="59">
        <v>8.9080459770114917E-2</v>
      </c>
      <c r="BX56" s="59">
        <v>1.9685039370078705E-2</v>
      </c>
      <c r="BY56" s="59">
        <v>8.2906506048102235E-2</v>
      </c>
      <c r="BZ56" s="59">
        <v>4.6626306765750858E-2</v>
      </c>
    </row>
    <row r="57" spans="1:78" x14ac:dyDescent="0.45">
      <c r="A57" s="3">
        <v>45632</v>
      </c>
      <c r="B57" s="48">
        <v>100.6944</v>
      </c>
      <c r="C57" s="48">
        <v>109.54939</v>
      </c>
      <c r="D57" s="48">
        <v>150.01936000000001</v>
      </c>
      <c r="E57" s="48">
        <v>123.53780999999999</v>
      </c>
      <c r="F57" s="48">
        <v>27.090610000000002</v>
      </c>
      <c r="G57" s="48">
        <v>34.039630000000002</v>
      </c>
      <c r="H57">
        <v>67.2</v>
      </c>
      <c r="I57" s="48">
        <v>4.157</v>
      </c>
      <c r="J57" s="49">
        <v>691.13188000000002</v>
      </c>
      <c r="K57" s="49">
        <v>11558.686729999999</v>
      </c>
      <c r="L57" s="50">
        <v>-4.7258601453016191E-2</v>
      </c>
      <c r="M57" s="50">
        <v>-3.7216047461162804E-2</v>
      </c>
      <c r="N57" s="50">
        <v>-4.1314155444779788E-2</v>
      </c>
      <c r="O57" s="50">
        <v>-4.0897510388520408E-2</v>
      </c>
      <c r="P57" s="50">
        <v>-2.0811887343492375E-2</v>
      </c>
      <c r="Q57" s="50">
        <v>-7.7997542744650206E-2</v>
      </c>
      <c r="R57" s="47">
        <v>-4.3647428676521119E-2</v>
      </c>
      <c r="S57" s="50">
        <v>-1.1764705882352899E-2</v>
      </c>
      <c r="T57" s="50">
        <v>1.8747702487440288E-2</v>
      </c>
      <c r="U57" s="50">
        <v>-4.5471733980340434E-2</v>
      </c>
      <c r="V57" s="50">
        <v>9.8306493613946611E-3</v>
      </c>
      <c r="W57" s="50">
        <f t="shared" si="2"/>
        <v>-4.3647428676521119E-2</v>
      </c>
      <c r="Y57" s="63">
        <v>-3.0000000000000013E-2</v>
      </c>
      <c r="Z57">
        <v>20</v>
      </c>
      <c r="AO57" t="str">
        <f t="shared" si="4"/>
        <v/>
      </c>
      <c r="AQ57" s="3">
        <v>45632</v>
      </c>
      <c r="AR57" s="59">
        <v>-4.7258601453016191E-2</v>
      </c>
      <c r="AS57" s="59">
        <v>-3.7216047461162804E-2</v>
      </c>
      <c r="AT57" s="59">
        <v>-4.1314155444779788E-2</v>
      </c>
      <c r="AU57" s="59">
        <v>-4.0897510388520408E-2</v>
      </c>
      <c r="AV57" s="59">
        <v>-2.0811887343492375E-2</v>
      </c>
      <c r="AW57" s="59">
        <v>-7.7997542744650206E-2</v>
      </c>
      <c r="AX57" s="59">
        <v>-4.3647428676521119E-2</v>
      </c>
      <c r="AY57" s="59">
        <v>-1.1764705882352899E-2</v>
      </c>
      <c r="AZ57" s="59">
        <v>1.8747702487440288E-2</v>
      </c>
      <c r="BA57" s="59">
        <v>-4.5471733980340434E-2</v>
      </c>
      <c r="BB57" s="59">
        <v>9.8306493613946611E-3</v>
      </c>
      <c r="BO57" s="3">
        <v>44225</v>
      </c>
      <c r="BP57" s="59">
        <v>-6.2309671858236104E-2</v>
      </c>
      <c r="BQ57" s="59">
        <v>-5.4606704704395881E-2</v>
      </c>
      <c r="BR57" s="59">
        <v>-7.1187181045872738E-2</v>
      </c>
      <c r="BS57" s="59">
        <v>-7.1089839776371067E-2</v>
      </c>
      <c r="BT57" s="59">
        <v>-6.9124255814639768E-2</v>
      </c>
      <c r="BU57" s="59">
        <v>-7.5280958205455217E-2</v>
      </c>
      <c r="BV57" s="59">
        <v>-6.8257787909346931E-2</v>
      </c>
      <c r="BW57" s="59">
        <v>-1.3392003061029056E-3</v>
      </c>
      <c r="BX57" s="59">
        <v>-1.9305019305019266E-2</v>
      </c>
      <c r="BY57" s="59">
        <v>-6.6212914744576579E-2</v>
      </c>
      <c r="BZ57" s="59">
        <v>-3.295637660972317E-2</v>
      </c>
    </row>
    <row r="58" spans="1:78" x14ac:dyDescent="0.45">
      <c r="A58" s="3">
        <v>45625</v>
      </c>
      <c r="B58" s="48">
        <v>105.68912</v>
      </c>
      <c r="C58" s="48">
        <v>113.78398</v>
      </c>
      <c r="D58" s="48">
        <v>156.48437999999999</v>
      </c>
      <c r="E58" s="48">
        <v>128.80564000000001</v>
      </c>
      <c r="F58" s="48">
        <v>27.666399999999999</v>
      </c>
      <c r="G58" s="48">
        <v>36.919240000000002</v>
      </c>
      <c r="H58">
        <v>68</v>
      </c>
      <c r="I58" s="48">
        <v>4.0804999999999998</v>
      </c>
      <c r="J58" s="49">
        <v>724.05596000000003</v>
      </c>
      <c r="K58" s="49">
        <v>11446.16351</v>
      </c>
      <c r="L58" s="50">
        <v>-3.0514509472398865E-2</v>
      </c>
      <c r="M58" s="50">
        <v>-3.1447570910701161E-2</v>
      </c>
      <c r="N58" s="50">
        <v>-2.6484398462409686E-3</v>
      </c>
      <c r="O58" s="50">
        <v>-2.2662241017782803E-2</v>
      </c>
      <c r="P58" s="50">
        <v>-1.3795470853632419E-2</v>
      </c>
      <c r="Q58" s="50">
        <v>-3.8022600680745811E-2</v>
      </c>
      <c r="R58" s="47">
        <v>-2.1715264661820631E-2</v>
      </c>
      <c r="S58" s="50">
        <v>-4.5480067377877575E-2</v>
      </c>
      <c r="T58" s="50">
        <v>-1.346059716103909E-3</v>
      </c>
      <c r="U58" s="50">
        <v>-1.9995580034402605E-2</v>
      </c>
      <c r="V58" s="50">
        <v>1.0725556716302487E-2</v>
      </c>
      <c r="W58" s="50">
        <f t="shared" si="2"/>
        <v>-2.1715264661820631E-2</v>
      </c>
      <c r="Y58" s="63">
        <v>-2.0000000000000011E-2</v>
      </c>
      <c r="Z58">
        <v>17</v>
      </c>
      <c r="AO58" t="str">
        <f t="shared" si="4"/>
        <v/>
      </c>
      <c r="AQ58" s="3">
        <v>45625</v>
      </c>
      <c r="AR58" s="59">
        <v>-3.0514509472398865E-2</v>
      </c>
      <c r="AS58" s="59">
        <v>-3.1447570910701161E-2</v>
      </c>
      <c r="AT58" s="59">
        <v>-2.6484398462409686E-3</v>
      </c>
      <c r="AU58" s="59">
        <v>-2.2662241017782803E-2</v>
      </c>
      <c r="AV58" s="59">
        <v>-1.3795470853632419E-2</v>
      </c>
      <c r="AW58" s="59">
        <v>-3.8022600680745811E-2</v>
      </c>
      <c r="AX58" s="59">
        <v>-2.1715264661820631E-2</v>
      </c>
      <c r="AY58" s="59">
        <v>-4.5480067377877575E-2</v>
      </c>
      <c r="AZ58" s="59">
        <v>-1.346059716103909E-3</v>
      </c>
      <c r="BA58" s="59">
        <v>-1.9995580034402605E-2</v>
      </c>
      <c r="BB58" s="59">
        <v>1.0725556716302487E-2</v>
      </c>
      <c r="BO58" s="3">
        <v>44218</v>
      </c>
      <c r="BP58" s="59">
        <v>-5.3856316376872715E-2</v>
      </c>
      <c r="BQ58" s="59">
        <v>-9.6052781509302632E-3</v>
      </c>
      <c r="BR58" s="59">
        <v>-3.9092114105994114E-3</v>
      </c>
      <c r="BS58" s="59">
        <v>-7.3154376041106861E-2</v>
      </c>
      <c r="BT58" s="59">
        <v>-1.607601432686534E-2</v>
      </c>
      <c r="BU58" s="59">
        <v>-9.0444908633365628E-2</v>
      </c>
      <c r="BV58" s="59">
        <v>-3.8637957712573501E-2</v>
      </c>
      <c r="BW58" s="59">
        <v>-2.8615032430370224E-3</v>
      </c>
      <c r="BX58" s="59">
        <v>6.6629650194336421E-3</v>
      </c>
      <c r="BY58" s="59">
        <v>-1.5636604024213741E-2</v>
      </c>
      <c r="BZ58" s="59">
        <v>1.9525168689788375E-2</v>
      </c>
    </row>
    <row r="59" spans="1:78" x14ac:dyDescent="0.45">
      <c r="A59" s="3">
        <v>45618</v>
      </c>
      <c r="B59" s="48">
        <v>109.01568</v>
      </c>
      <c r="C59" s="48">
        <v>117.47839</v>
      </c>
      <c r="D59" s="48">
        <v>156.89992000000001</v>
      </c>
      <c r="E59" s="48">
        <v>131.79235</v>
      </c>
      <c r="F59" s="48">
        <v>28.05341</v>
      </c>
      <c r="G59" s="48">
        <v>38.378489999999999</v>
      </c>
      <c r="H59">
        <v>71.239999999999995</v>
      </c>
      <c r="I59" s="48">
        <v>4.0860000000000003</v>
      </c>
      <c r="J59" s="49">
        <v>738.82928000000004</v>
      </c>
      <c r="K59" s="49">
        <v>11324.6998</v>
      </c>
      <c r="L59" s="50">
        <v>-5.0747578777846636E-3</v>
      </c>
      <c r="M59" s="50">
        <v>2.0786249052666461E-2</v>
      </c>
      <c r="N59" s="50">
        <v>1.6083594774776167E-2</v>
      </c>
      <c r="O59" s="50">
        <v>1.3302559337190933E-2</v>
      </c>
      <c r="P59" s="50">
        <v>2.5534721188993137E-2</v>
      </c>
      <c r="Q59" s="50">
        <v>2.5474340623180547E-2</v>
      </c>
      <c r="R59" s="47">
        <v>2.0236292995361449E-2</v>
      </c>
      <c r="S59" s="50">
        <v>6.4554692169754846E-2</v>
      </c>
      <c r="T59" s="50">
        <v>5.2897035305696782E-3</v>
      </c>
      <c r="U59" s="50">
        <v>2.3246057421467681E-2</v>
      </c>
      <c r="V59" s="50">
        <v>1.7094408144857187E-2</v>
      </c>
      <c r="W59" s="50">
        <f t="shared" si="2"/>
        <v>2.0236292995361449E-2</v>
      </c>
      <c r="Y59" s="63">
        <v>-1.0000000000000011E-2</v>
      </c>
      <c r="Z59">
        <v>18</v>
      </c>
      <c r="AO59" t="str">
        <f t="shared" si="4"/>
        <v/>
      </c>
      <c r="AQ59" s="3">
        <v>45618</v>
      </c>
      <c r="AR59" s="59">
        <v>-5.0747578777846636E-3</v>
      </c>
      <c r="AS59" s="59">
        <v>2.0786249052666461E-2</v>
      </c>
      <c r="AT59" s="59">
        <v>1.6083594774776167E-2</v>
      </c>
      <c r="AU59" s="59">
        <v>1.3302559337190933E-2</v>
      </c>
      <c r="AV59" s="59">
        <v>2.5534721188993137E-2</v>
      </c>
      <c r="AW59" s="59">
        <v>2.5474340623180547E-2</v>
      </c>
      <c r="AX59" s="59">
        <v>2.0236292995361449E-2</v>
      </c>
      <c r="AY59" s="59">
        <v>6.4554692169754846E-2</v>
      </c>
      <c r="AZ59" s="59">
        <v>5.2897035305696782E-3</v>
      </c>
      <c r="BA59" s="59">
        <v>2.3246057421467681E-2</v>
      </c>
      <c r="BB59" s="59">
        <v>1.7094408144857187E-2</v>
      </c>
      <c r="BC59" t="s">
        <v>429</v>
      </c>
      <c r="BO59" s="3">
        <v>44211</v>
      </c>
      <c r="BP59" s="59">
        <v>9.3958324487282141E-3</v>
      </c>
      <c r="BQ59" s="59">
        <v>5.3453486106281645E-2</v>
      </c>
      <c r="BR59" s="59">
        <v>1.10891412468892E-2</v>
      </c>
      <c r="BS59" s="59">
        <v>1.1709808959445844E-2</v>
      </c>
      <c r="BT59" s="59">
        <v>-5.7375508794254015E-3</v>
      </c>
      <c r="BU59" s="59">
        <v>8.0618294457687867E-2</v>
      </c>
      <c r="BV59" s="59">
        <v>3.022663597817583E-2</v>
      </c>
      <c r="BW59" s="59">
        <v>3.0616150019135979E-3</v>
      </c>
      <c r="BX59" s="59">
        <v>-1.9463726691166583E-2</v>
      </c>
      <c r="BY59" s="59">
        <v>3.1348497878282089E-2</v>
      </c>
      <c r="BZ59" s="59">
        <v>-1.4652657615703446E-2</v>
      </c>
    </row>
    <row r="60" spans="1:78" ht="14.65" thickBot="1" x14ac:dyDescent="0.5">
      <c r="A60" s="3">
        <v>45611</v>
      </c>
      <c r="B60" s="48">
        <v>109.57173</v>
      </c>
      <c r="C60" s="48">
        <v>115.08618</v>
      </c>
      <c r="D60" s="48">
        <v>154.41634999999999</v>
      </c>
      <c r="E60" s="48">
        <v>130.06218999999999</v>
      </c>
      <c r="F60" s="48">
        <v>27.35491</v>
      </c>
      <c r="G60" s="48">
        <v>37.425109999999997</v>
      </c>
      <c r="H60">
        <v>66.92</v>
      </c>
      <c r="I60" s="48">
        <v>4.0644999999999998</v>
      </c>
      <c r="J60" s="49">
        <v>722.04458999999997</v>
      </c>
      <c r="K60" s="49">
        <v>11134.36443</v>
      </c>
      <c r="L60" s="50">
        <v>6.5417289793459066E-3</v>
      </c>
      <c r="M60" s="50">
        <v>-6.7675645035649712E-3</v>
      </c>
      <c r="N60" s="50">
        <v>2.8611489546177094E-2</v>
      </c>
      <c r="O60" s="50">
        <v>3.2807019668552595E-3</v>
      </c>
      <c r="P60" s="50">
        <v>1.7284495843847836E-3</v>
      </c>
      <c r="Q60" s="50">
        <v>-1.0290829515328337E-2</v>
      </c>
      <c r="R60" s="47">
        <v>3.3124494157047656E-3</v>
      </c>
      <c r="S60" s="50">
        <v>-4.9161693662972294E-2</v>
      </c>
      <c r="T60" s="50">
        <v>-5.6084533209475262E-2</v>
      </c>
      <c r="U60" s="50">
        <v>5.8199528536386769E-3</v>
      </c>
      <c r="V60" s="50">
        <v>-2.0590965551023577E-2</v>
      </c>
      <c r="W60" s="50">
        <f t="shared" si="2"/>
        <v>3.3124494157047656E-3</v>
      </c>
      <c r="Y60" s="63">
        <v>0</v>
      </c>
      <c r="Z60">
        <v>28</v>
      </c>
      <c r="AO60" t="str">
        <f t="shared" si="4"/>
        <v/>
      </c>
      <c r="AQ60" s="3">
        <v>45611</v>
      </c>
      <c r="AR60" s="59">
        <v>6.5417289793459066E-3</v>
      </c>
      <c r="AS60" s="59">
        <v>-6.7675645035649712E-3</v>
      </c>
      <c r="AT60" s="59">
        <v>2.8611489546177094E-2</v>
      </c>
      <c r="AU60" s="59">
        <v>3.2807019668552595E-3</v>
      </c>
      <c r="AV60" s="59">
        <v>1.7284495843847836E-3</v>
      </c>
      <c r="AW60" s="59">
        <v>-1.0290829515328337E-2</v>
      </c>
      <c r="AX60" s="59">
        <v>3.3124494157047656E-3</v>
      </c>
      <c r="AY60" s="59">
        <v>-4.9161693662972294E-2</v>
      </c>
      <c r="AZ60" s="59">
        <v>-5.6084533209475262E-2</v>
      </c>
      <c r="BA60" s="59">
        <v>5.8199528536386769E-3</v>
      </c>
      <c r="BB60" s="59">
        <v>-2.0590965551023577E-2</v>
      </c>
      <c r="BO60" s="3">
        <v>44204</v>
      </c>
      <c r="BP60" s="59">
        <v>0.11777953387487572</v>
      </c>
      <c r="BQ60" s="59">
        <v>0.10286284874346663</v>
      </c>
      <c r="BR60" s="59">
        <v>7.8508017591413015E-2</v>
      </c>
      <c r="BS60" s="59">
        <v>0.18046910431309215</v>
      </c>
      <c r="BT60" s="59">
        <v>0.18908361624873837</v>
      </c>
      <c r="BU60" s="59">
        <v>0.1454776736015817</v>
      </c>
      <c r="BV60" s="59">
        <v>0.13928025209965839</v>
      </c>
      <c r="BW60" s="59">
        <v>7.708161582852413E-2</v>
      </c>
      <c r="BX60" s="59">
        <v>4.3904518329070719E-2</v>
      </c>
      <c r="BY60" s="59">
        <v>9.3094463087131096E-2</v>
      </c>
      <c r="BZ60" s="59">
        <v>1.8644836033671952E-2</v>
      </c>
    </row>
    <row r="61" spans="1:78" x14ac:dyDescent="0.45">
      <c r="A61" s="3">
        <v>45604</v>
      </c>
      <c r="B61" s="48">
        <v>108.8596</v>
      </c>
      <c r="C61" s="48">
        <v>115.87034</v>
      </c>
      <c r="D61" s="48">
        <v>150.12116</v>
      </c>
      <c r="E61" s="48">
        <v>129.63688999999999</v>
      </c>
      <c r="F61" s="48">
        <v>27.30771</v>
      </c>
      <c r="G61" s="48">
        <v>37.814250000000001</v>
      </c>
      <c r="H61">
        <v>70.38</v>
      </c>
      <c r="I61" s="48">
        <v>4.306</v>
      </c>
      <c r="J61" s="49">
        <v>717.86663999999996</v>
      </c>
      <c r="K61" s="49">
        <v>11368.45183</v>
      </c>
      <c r="L61" s="50">
        <v>4.2004737951500726E-2</v>
      </c>
      <c r="M61" s="50">
        <v>5.358855555406028E-2</v>
      </c>
      <c r="N61" s="50">
        <v>2.5217197947068337E-2</v>
      </c>
      <c r="O61" s="50">
        <v>0.10989737312564407</v>
      </c>
      <c r="P61" s="50">
        <v>5.5047810588400026E-3</v>
      </c>
      <c r="Q61" s="50">
        <v>1.4352779660717019E-2</v>
      </c>
      <c r="R61" s="47">
        <v>4.1712137469265942E-2</v>
      </c>
      <c r="S61" s="50">
        <v>1.2807598215570648E-2</v>
      </c>
      <c r="T61" s="50">
        <v>-1.4983415303671532E-2</v>
      </c>
      <c r="U61" s="50">
        <v>6.1620380982521539E-2</v>
      </c>
      <c r="V61" s="50">
        <v>4.6780825481404165E-2</v>
      </c>
      <c r="W61" s="50">
        <f t="shared" si="2"/>
        <v>4.1712137469265942E-2</v>
      </c>
      <c r="Y61" s="63">
        <v>0.01</v>
      </c>
      <c r="Z61">
        <v>21</v>
      </c>
      <c r="AO61" t="str">
        <f t="shared" si="4"/>
        <v/>
      </c>
      <c r="AQ61" s="3">
        <v>45604</v>
      </c>
      <c r="AR61" s="59">
        <v>4.2004737951500726E-2</v>
      </c>
      <c r="AS61" s="59">
        <v>5.358855555406028E-2</v>
      </c>
      <c r="AT61" s="59">
        <v>2.5217197947068337E-2</v>
      </c>
      <c r="AU61" s="59">
        <v>0.10989737312564407</v>
      </c>
      <c r="AV61" s="59">
        <v>5.5047810588400026E-3</v>
      </c>
      <c r="AW61" s="59">
        <v>1.4352779660717019E-2</v>
      </c>
      <c r="AX61" s="59">
        <v>4.1712137469265942E-2</v>
      </c>
      <c r="AY61" s="59">
        <v>1.2807598215570648E-2</v>
      </c>
      <c r="AZ61" s="59">
        <v>-1.4983415303671532E-2</v>
      </c>
      <c r="BA61" s="59">
        <v>6.1620380982521539E-2</v>
      </c>
      <c r="BB61" s="59">
        <v>4.6780825481404165E-2</v>
      </c>
      <c r="BC61" s="65"/>
      <c r="BD61" s="65" t="s">
        <v>419</v>
      </c>
      <c r="BE61" s="65" t="s">
        <v>420</v>
      </c>
      <c r="BO61" s="3">
        <v>44196</v>
      </c>
      <c r="BP61" s="59">
        <v>1.2661300230732531E-2</v>
      </c>
      <c r="BQ61" s="59">
        <v>-9.1346790156500157E-3</v>
      </c>
      <c r="BR61" s="59">
        <v>-1.0312977095953912E-2</v>
      </c>
      <c r="BS61" s="59">
        <v>5.4436480807509291E-3</v>
      </c>
      <c r="BT61" s="59">
        <v>-2.5641197181171305E-2</v>
      </c>
      <c r="BU61" s="59">
        <v>3.1311205549863219E-2</v>
      </c>
      <c r="BV61" s="59">
        <v>-1.666799932432217E-3</v>
      </c>
      <c r="BW61" s="59">
        <v>6.0128550694589222E-3</v>
      </c>
      <c r="BX61" s="59">
        <v>-1.1100182661233582E-2</v>
      </c>
      <c r="BY61" s="59">
        <v>-4.3154470791064714E-3</v>
      </c>
      <c r="BZ61" s="59">
        <v>1.4449524719990059E-2</v>
      </c>
    </row>
    <row r="62" spans="1:78" x14ac:dyDescent="0.45">
      <c r="A62" s="3">
        <v>45597</v>
      </c>
      <c r="B62" s="48">
        <v>104.47131</v>
      </c>
      <c r="C62" s="48">
        <v>109.97684</v>
      </c>
      <c r="D62" s="48">
        <v>146.42864</v>
      </c>
      <c r="E62" s="48">
        <v>116.80079000000001</v>
      </c>
      <c r="F62" s="48">
        <v>27.15821</v>
      </c>
      <c r="G62" s="48">
        <v>37.27919</v>
      </c>
      <c r="H62">
        <v>69.489999999999995</v>
      </c>
      <c r="I62" s="48">
        <v>4.3715000000000002</v>
      </c>
      <c r="J62" s="49">
        <v>676.19899999999996</v>
      </c>
      <c r="K62" s="49">
        <v>10860.39365</v>
      </c>
      <c r="L62" s="50">
        <v>3.1369550170755822E-2</v>
      </c>
      <c r="M62" s="50">
        <v>-3.7994871082972725E-2</v>
      </c>
      <c r="N62" s="50">
        <v>1.4985787779562942E-2</v>
      </c>
      <c r="O62" s="50">
        <v>-1.8916967254307249E-2</v>
      </c>
      <c r="P62" s="50">
        <v>-7.2652368545955581E-2</v>
      </c>
      <c r="Q62" s="50">
        <v>-2.2199542773929104E-2</v>
      </c>
      <c r="R62" s="47">
        <v>-2.7355592375520342E-2</v>
      </c>
      <c r="S62" s="50">
        <v>-3.1903037057676276E-2</v>
      </c>
      <c r="T62" s="50">
        <v>2.2880677268055649E-4</v>
      </c>
      <c r="U62" s="50">
        <v>-2.1294234486756158E-2</v>
      </c>
      <c r="V62" s="50">
        <v>-1.3560800256616767E-2</v>
      </c>
      <c r="W62" s="50">
        <f t="shared" si="2"/>
        <v>-2.7355592375520342E-2</v>
      </c>
      <c r="Y62" s="63">
        <v>0.02</v>
      </c>
      <c r="Z62">
        <v>43</v>
      </c>
      <c r="AO62" t="str">
        <f t="shared" si="4"/>
        <v/>
      </c>
      <c r="AQ62" s="3">
        <v>45597</v>
      </c>
      <c r="AR62" s="59">
        <v>3.1369550170755822E-2</v>
      </c>
      <c r="AS62" s="59">
        <v>-3.7994871082972725E-2</v>
      </c>
      <c r="AT62" s="59">
        <v>1.4985787779562942E-2</v>
      </c>
      <c r="AU62" s="59">
        <v>-1.8916967254307249E-2</v>
      </c>
      <c r="AV62" s="59">
        <v>-7.2652368545955581E-2</v>
      </c>
      <c r="AW62" s="59">
        <v>-2.2199542773929104E-2</v>
      </c>
      <c r="AX62" s="59">
        <v>-2.7355592375520342E-2</v>
      </c>
      <c r="AY62" s="59">
        <v>-3.1903037057676276E-2</v>
      </c>
      <c r="AZ62" s="59">
        <v>2.2880677268055649E-4</v>
      </c>
      <c r="BA62" s="59">
        <v>-2.1294234486756158E-2</v>
      </c>
      <c r="BB62" s="59">
        <v>-1.3560800256616767E-2</v>
      </c>
      <c r="BC62" t="s">
        <v>421</v>
      </c>
      <c r="BD62">
        <v>2.8629510684971536E-3</v>
      </c>
      <c r="BE62">
        <v>1.5556003116467539E-2</v>
      </c>
      <c r="BO62" s="3">
        <v>44189</v>
      </c>
      <c r="BP62" s="59">
        <v>-3.6359104814263188E-2</v>
      </c>
      <c r="BQ62" s="59">
        <v>-2.6445109132318789E-2</v>
      </c>
      <c r="BR62" s="59">
        <v>-2.133274714372857E-2</v>
      </c>
      <c r="BS62" s="59">
        <v>-4.1916266299267702E-2</v>
      </c>
      <c r="BT62" s="59">
        <v>-3.1278740177892228E-2</v>
      </c>
      <c r="BU62" s="59">
        <v>-1.9193383637022721E-2</v>
      </c>
      <c r="BV62" s="59">
        <v>-2.8033249278046003E-2</v>
      </c>
      <c r="BW62" s="59">
        <v>-2.0511779041429867E-2</v>
      </c>
      <c r="BX62" s="59">
        <v>-1.9021364576154332E-2</v>
      </c>
      <c r="BY62" s="59">
        <v>-2.029072503235485E-2</v>
      </c>
      <c r="BZ62" s="59">
        <v>-1.551862463514353E-3</v>
      </c>
    </row>
    <row r="63" spans="1:78" x14ac:dyDescent="0.45">
      <c r="A63" s="3">
        <v>45590</v>
      </c>
      <c r="B63" s="48">
        <v>101.29376999999999</v>
      </c>
      <c r="C63" s="48">
        <v>114.32043</v>
      </c>
      <c r="D63" s="48">
        <v>144.26669000000001</v>
      </c>
      <c r="E63" s="48">
        <v>119.05291</v>
      </c>
      <c r="F63" s="48">
        <v>29.285900000000002</v>
      </c>
      <c r="G63" s="48">
        <v>38.12556</v>
      </c>
      <c r="H63">
        <v>71.78</v>
      </c>
      <c r="I63" s="48">
        <v>4.3704999999999998</v>
      </c>
      <c r="J63" s="49">
        <v>690.91143</v>
      </c>
      <c r="K63" s="49">
        <v>11009.69391</v>
      </c>
      <c r="L63" s="50">
        <v>-1.0504342668280042E-2</v>
      </c>
      <c r="M63" s="50">
        <v>-4.3329469534941767E-3</v>
      </c>
      <c r="N63" s="50">
        <v>3.9796323815455281E-4</v>
      </c>
      <c r="O63" s="50">
        <v>-2.7246880177965838E-2</v>
      </c>
      <c r="P63" s="50">
        <v>6.064370338485725E-3</v>
      </c>
      <c r="Q63" s="50">
        <v>-3.615338701469295E-2</v>
      </c>
      <c r="R63" s="47">
        <v>-1.2254176113902537E-2</v>
      </c>
      <c r="S63" s="50">
        <v>4.4984713932159082E-2</v>
      </c>
      <c r="T63" s="50">
        <v>-3.1930664842058087E-3</v>
      </c>
      <c r="U63" s="50">
        <v>-6.2583116077292722E-3</v>
      </c>
      <c r="V63" s="50">
        <v>-9.5960540317416854E-3</v>
      </c>
      <c r="W63" s="50">
        <f t="shared" si="2"/>
        <v>-1.2254176113902537E-2</v>
      </c>
      <c r="Y63" s="63">
        <v>0.03</v>
      </c>
      <c r="Z63">
        <v>21</v>
      </c>
      <c r="AO63" t="str">
        <f t="shared" si="4"/>
        <v/>
      </c>
      <c r="AQ63" s="3">
        <v>45590</v>
      </c>
      <c r="AR63" s="59">
        <v>-1.0504342668280042E-2</v>
      </c>
      <c r="AS63" s="59">
        <v>-4.3329469534941767E-3</v>
      </c>
      <c r="AT63" s="59">
        <v>3.9796323815455281E-4</v>
      </c>
      <c r="AU63" s="59">
        <v>-2.7246880177965838E-2</v>
      </c>
      <c r="AV63" s="59">
        <v>6.064370338485725E-3</v>
      </c>
      <c r="AW63" s="59">
        <v>-3.615338701469295E-2</v>
      </c>
      <c r="AX63" s="59">
        <v>-1.2254176113902537E-2</v>
      </c>
      <c r="AY63" s="59">
        <v>4.4984713932159082E-2</v>
      </c>
      <c r="AZ63" s="59">
        <v>-3.1930664842058087E-3</v>
      </c>
      <c r="BA63" s="59">
        <v>-6.2583116077292722E-3</v>
      </c>
      <c r="BB63" s="59">
        <v>-9.5960540317416854E-3</v>
      </c>
      <c r="BC63" t="s">
        <v>422</v>
      </c>
      <c r="BD63">
        <v>1.6761984224766535E-3</v>
      </c>
      <c r="BE63">
        <v>2.7906779723929037E-3</v>
      </c>
      <c r="BO63" s="3">
        <v>44183</v>
      </c>
      <c r="BP63" s="59">
        <v>-5.7497650270167733E-2</v>
      </c>
      <c r="BQ63" s="59">
        <v>-2.4429447410609262E-2</v>
      </c>
      <c r="BR63" s="59">
        <v>-5.6895527766947507E-2</v>
      </c>
      <c r="BS63" s="59">
        <v>-3.4141754495944809E-2</v>
      </c>
      <c r="BT63" s="59">
        <v>-1.3163678225075026E-2</v>
      </c>
      <c r="BU63" s="59">
        <v>-3.2797530126481456E-2</v>
      </c>
      <c r="BV63" s="59">
        <v>-3.2285587605011615E-2</v>
      </c>
      <c r="BW63" s="59">
        <v>5.3262032085561462E-2</v>
      </c>
      <c r="BX63" s="59">
        <v>2.9516106144458654E-2</v>
      </c>
      <c r="BY63" s="59">
        <v>-4.258329870587918E-2</v>
      </c>
      <c r="BZ63" s="59">
        <v>1.2768378721968787E-2</v>
      </c>
    </row>
    <row r="64" spans="1:78" x14ac:dyDescent="0.45">
      <c r="A64" s="3">
        <v>45583</v>
      </c>
      <c r="B64" s="48">
        <v>102.36909</v>
      </c>
      <c r="C64" s="48">
        <v>114.81793</v>
      </c>
      <c r="D64" s="48">
        <v>144.20930000000001</v>
      </c>
      <c r="E64" s="48">
        <v>122.38759</v>
      </c>
      <c r="F64" s="48">
        <v>29.109369999999998</v>
      </c>
      <c r="G64" s="48">
        <v>39.555630000000001</v>
      </c>
      <c r="H64">
        <v>68.69</v>
      </c>
      <c r="I64" s="48">
        <v>4.3845000000000001</v>
      </c>
      <c r="J64" s="49">
        <v>695.26260000000002</v>
      </c>
      <c r="K64" s="49">
        <v>11116.36717</v>
      </c>
      <c r="L64" s="50">
        <v>-4.362391748092953E-2</v>
      </c>
      <c r="M64" s="50">
        <v>-2.9123850076161251E-2</v>
      </c>
      <c r="N64" s="50">
        <v>-4.4247772336984958E-3</v>
      </c>
      <c r="O64" s="50">
        <v>-3.7136850101779584E-2</v>
      </c>
      <c r="P64" s="50">
        <v>-2.4291347345049785E-2</v>
      </c>
      <c r="Q64" s="50">
        <v>-5.3538186631496676E-2</v>
      </c>
      <c r="R64" s="47">
        <v>-2.9703002277637159E-2</v>
      </c>
      <c r="S64" s="50">
        <v>-8.2297929191716745E-2</v>
      </c>
      <c r="T64" s="50">
        <v>-2.4257260487370647E-2</v>
      </c>
      <c r="U64" s="50">
        <v>-2.6352235696323167E-2</v>
      </c>
      <c r="V64" s="50">
        <v>8.6523077286020378E-3</v>
      </c>
      <c r="W64" s="50">
        <f t="shared" si="2"/>
        <v>-2.9703002277637159E-2</v>
      </c>
      <c r="Y64" s="63">
        <v>0.04</v>
      </c>
      <c r="Z64">
        <v>14</v>
      </c>
      <c r="AO64" t="str">
        <f t="shared" si="4"/>
        <v/>
      </c>
      <c r="AQ64" s="3">
        <v>45583</v>
      </c>
      <c r="AR64" s="59">
        <v>-4.362391748092953E-2</v>
      </c>
      <c r="AS64" s="59">
        <v>-2.9123850076161251E-2</v>
      </c>
      <c r="AT64" s="59">
        <v>-4.4247772336984958E-3</v>
      </c>
      <c r="AU64" s="59">
        <v>-3.7136850101779584E-2</v>
      </c>
      <c r="AV64" s="59">
        <v>-2.4291347345049785E-2</v>
      </c>
      <c r="AW64" s="59">
        <v>-5.3538186631496676E-2</v>
      </c>
      <c r="AX64" s="59">
        <v>-2.9703002277637159E-2</v>
      </c>
      <c r="AY64" s="59">
        <v>-8.2297929191716745E-2</v>
      </c>
      <c r="AZ64" s="59">
        <v>-2.4257260487370647E-2</v>
      </c>
      <c r="BA64" s="59">
        <v>-2.6352235696323167E-2</v>
      </c>
      <c r="BB64" s="59">
        <v>8.6523077286020378E-3</v>
      </c>
      <c r="BC64" t="s">
        <v>423</v>
      </c>
      <c r="BD64">
        <v>197</v>
      </c>
      <c r="BE64">
        <v>63</v>
      </c>
      <c r="BO64" s="3">
        <v>44176</v>
      </c>
      <c r="BP64" s="59">
        <v>-1.7845012916974823E-2</v>
      </c>
      <c r="BQ64" s="59">
        <v>5.0863792066399238E-2</v>
      </c>
      <c r="BR64" s="59">
        <v>-8.8979998906435487E-3</v>
      </c>
      <c r="BS64" s="59">
        <v>1.1320666814915947E-2</v>
      </c>
      <c r="BT64" s="59">
        <v>-1.077702970843708E-2</v>
      </c>
      <c r="BU64" s="59">
        <v>-2.6677244196704919E-2</v>
      </c>
      <c r="BV64" s="59">
        <v>3.1664370171059276E-3</v>
      </c>
      <c r="BW64" s="59">
        <v>1.0592304366623395E-2</v>
      </c>
      <c r="BX64" s="59">
        <v>2.7034718269778324E-3</v>
      </c>
      <c r="BY64" s="59">
        <v>1.1369030540167913E-2</v>
      </c>
      <c r="BZ64" s="59">
        <v>-9.5216065275618433E-3</v>
      </c>
    </row>
    <row r="65" spans="1:78" x14ac:dyDescent="0.45">
      <c r="A65" s="3">
        <v>45576</v>
      </c>
      <c r="B65" s="48">
        <v>107.03852999999999</v>
      </c>
      <c r="C65" s="48">
        <v>118.26218</v>
      </c>
      <c r="D65" s="48">
        <v>144.85023000000001</v>
      </c>
      <c r="E65" s="48">
        <v>127.10798</v>
      </c>
      <c r="F65" s="48">
        <v>29.83408</v>
      </c>
      <c r="G65" s="48">
        <v>41.79316</v>
      </c>
      <c r="H65">
        <v>74.849999999999994</v>
      </c>
      <c r="I65" s="48">
        <v>4.4935</v>
      </c>
      <c r="J65" s="49">
        <v>714.08020999999997</v>
      </c>
      <c r="K65" s="49">
        <v>11021.01</v>
      </c>
      <c r="L65" s="50">
        <v>-3.5358768284749043E-2</v>
      </c>
      <c r="M65" s="50">
        <v>-9.7733054005127995E-3</v>
      </c>
      <c r="N65" s="50">
        <v>4.5111041470051738E-3</v>
      </c>
      <c r="O65" s="50">
        <v>-5.0330737240644741E-3</v>
      </c>
      <c r="P65" s="50">
        <v>-2.3418706224747954E-2</v>
      </c>
      <c r="Q65" s="50">
        <v>1.2729770380463412E-2</v>
      </c>
      <c r="R65" s="47">
        <v>-4.1968421643713283E-3</v>
      </c>
      <c r="S65" s="50">
        <v>6.3189029308954314E-3</v>
      </c>
      <c r="T65" s="50">
        <v>-1.7599475295146383E-2</v>
      </c>
      <c r="U65" s="50">
        <v>-5.4284553565255855E-3</v>
      </c>
      <c r="V65" s="50">
        <v>1.1267864634847191E-2</v>
      </c>
      <c r="W65" s="50">
        <f t="shared" si="2"/>
        <v>-4.1968421643713283E-3</v>
      </c>
      <c r="Y65" s="63">
        <v>0.05</v>
      </c>
      <c r="Z65">
        <v>16</v>
      </c>
      <c r="AO65" t="str">
        <f t="shared" si="4"/>
        <v/>
      </c>
      <c r="AQ65" s="3">
        <v>45576</v>
      </c>
      <c r="AR65" s="59">
        <v>-3.5358768284749043E-2</v>
      </c>
      <c r="AS65" s="59">
        <v>-9.7733054005127995E-3</v>
      </c>
      <c r="AT65" s="59">
        <v>4.5111041470051738E-3</v>
      </c>
      <c r="AU65" s="59">
        <v>-5.0330737240644741E-3</v>
      </c>
      <c r="AV65" s="59">
        <v>-2.3418706224747954E-2</v>
      </c>
      <c r="AW65" s="59">
        <v>1.2729770380463412E-2</v>
      </c>
      <c r="AX65" s="59">
        <v>-4.1968421643713283E-3</v>
      </c>
      <c r="AY65" s="59">
        <v>6.3189029308954314E-3</v>
      </c>
      <c r="AZ65" s="59">
        <v>-1.7599475295146383E-2</v>
      </c>
      <c r="BA65" s="59">
        <v>-5.4284553565255855E-3</v>
      </c>
      <c r="BB65" s="59">
        <v>1.1267864634847191E-2</v>
      </c>
      <c r="BC65" t="s">
        <v>430</v>
      </c>
      <c r="BD65">
        <v>0</v>
      </c>
      <c r="BO65" s="3">
        <v>44169</v>
      </c>
      <c r="BP65" s="59">
        <v>3.4829268509106059E-2</v>
      </c>
      <c r="BQ65" s="59">
        <v>3.7073828609004433E-2</v>
      </c>
      <c r="BR65" s="59">
        <v>2.1574821016884904E-2</v>
      </c>
      <c r="BS65" s="59">
        <v>3.0527123341912432E-2</v>
      </c>
      <c r="BT65" s="59">
        <v>5.5450201292741363E-2</v>
      </c>
      <c r="BU65" s="59">
        <v>0.13125842176183267</v>
      </c>
      <c r="BV65" s="59">
        <v>5.5176879204475157E-2</v>
      </c>
      <c r="BW65" s="59">
        <v>1.6033384581594534E-2</v>
      </c>
      <c r="BX65" s="59">
        <v>3.3681423738785021E-2</v>
      </c>
      <c r="BY65" s="59">
        <v>4.4656048952904648E-2</v>
      </c>
      <c r="BZ65" s="59">
        <v>1.7078120715668721E-2</v>
      </c>
    </row>
    <row r="66" spans="1:78" x14ac:dyDescent="0.45">
      <c r="A66" s="3">
        <v>45569</v>
      </c>
      <c r="B66" s="48">
        <v>110.96201000000001</v>
      </c>
      <c r="C66" s="48">
        <v>119.4294</v>
      </c>
      <c r="D66" s="48">
        <v>144.19972999999999</v>
      </c>
      <c r="E66" s="48">
        <v>127.75096000000001</v>
      </c>
      <c r="F66" s="48">
        <v>30.549510000000001</v>
      </c>
      <c r="G66" s="48">
        <v>41.267829999999996</v>
      </c>
      <c r="H66">
        <v>74.38</v>
      </c>
      <c r="I66" s="48">
        <v>4.5739999999999998</v>
      </c>
      <c r="J66" s="49">
        <v>717.97771999999998</v>
      </c>
      <c r="K66" s="49">
        <v>10898.210440000001</v>
      </c>
      <c r="L66" s="50">
        <v>9.3773832841935967E-2</v>
      </c>
      <c r="M66" s="50">
        <v>7.7793179627684284E-2</v>
      </c>
      <c r="N66" s="50">
        <v>3.608499677857413E-2</v>
      </c>
      <c r="O66" s="50">
        <v>8.7226390152109312E-2</v>
      </c>
      <c r="P66" s="50">
        <v>4.6467319722988343E-2</v>
      </c>
      <c r="Q66" s="50">
        <v>8.8809238611358587E-2</v>
      </c>
      <c r="R66" s="47">
        <v>6.7276224978542937E-2</v>
      </c>
      <c r="S66" s="50">
        <v>9.0935758286887491E-2</v>
      </c>
      <c r="T66" s="50">
        <v>-5.5440808783563389E-3</v>
      </c>
      <c r="U66" s="50">
        <v>7.0145010191956958E-2</v>
      </c>
      <c r="V66" s="50">
        <v>2.5217645383557308E-3</v>
      </c>
      <c r="W66" s="50">
        <f t="shared" si="2"/>
        <v>6.7276224978542937E-2</v>
      </c>
      <c r="Y66" s="63">
        <v>6.0000000000000005E-2</v>
      </c>
      <c r="Z66">
        <v>8</v>
      </c>
      <c r="AO66" t="str">
        <f t="shared" si="4"/>
        <v/>
      </c>
      <c r="AQ66" s="3">
        <v>45569</v>
      </c>
      <c r="AR66" s="59">
        <v>9.3773832841935967E-2</v>
      </c>
      <c r="AS66" s="59">
        <v>7.7793179627684284E-2</v>
      </c>
      <c r="AT66" s="59">
        <v>3.608499677857413E-2</v>
      </c>
      <c r="AU66" s="59">
        <v>8.7226390152109312E-2</v>
      </c>
      <c r="AV66" s="59">
        <v>4.6467319722988343E-2</v>
      </c>
      <c r="AW66" s="59">
        <v>8.8809238611358587E-2</v>
      </c>
      <c r="AX66" s="59">
        <v>6.7276224978542937E-2</v>
      </c>
      <c r="AY66" s="59">
        <v>9.0935758286887491E-2</v>
      </c>
      <c r="AZ66" s="59">
        <v>-5.5440808783563389E-3</v>
      </c>
      <c r="BA66" s="59">
        <v>7.0145010191956958E-2</v>
      </c>
      <c r="BB66" s="59">
        <v>2.5217645383557308E-3</v>
      </c>
      <c r="BC66" t="s">
        <v>424</v>
      </c>
      <c r="BD66">
        <v>87</v>
      </c>
      <c r="BO66" s="3">
        <v>44162</v>
      </c>
      <c r="BP66" s="59">
        <v>7.8940573848352624E-2</v>
      </c>
      <c r="BQ66" s="59">
        <v>8.7980566677177574E-2</v>
      </c>
      <c r="BR66" s="59">
        <v>6.4343172330099119E-2</v>
      </c>
      <c r="BS66" s="59">
        <v>0.13306885339309393</v>
      </c>
      <c r="BT66" s="59">
        <v>8.2606875549156022E-2</v>
      </c>
      <c r="BU66" s="59">
        <v>0.1231001751789722</v>
      </c>
      <c r="BV66" s="59">
        <v>9.8219928625699768E-2</v>
      </c>
      <c r="BW66" s="59">
        <v>7.3314474304573274E-2</v>
      </c>
      <c r="BX66" s="59">
        <v>3.2968702522029769E-2</v>
      </c>
      <c r="BY66" s="59">
        <v>8.5105624245114919E-2</v>
      </c>
      <c r="BZ66" s="59">
        <v>2.2902352171114249E-2</v>
      </c>
    </row>
    <row r="67" spans="1:78" x14ac:dyDescent="0.45">
      <c r="A67" s="3">
        <v>45562</v>
      </c>
      <c r="B67" s="48">
        <v>101.44877</v>
      </c>
      <c r="C67" s="48">
        <v>110.8092</v>
      </c>
      <c r="D67" s="48">
        <v>139.17751000000001</v>
      </c>
      <c r="E67" s="48">
        <v>117.50171</v>
      </c>
      <c r="F67" s="48">
        <v>29.192990000000002</v>
      </c>
      <c r="G67" s="48">
        <v>37.901800000000001</v>
      </c>
      <c r="H67">
        <v>68.180000000000007</v>
      </c>
      <c r="I67" s="48">
        <v>4.5994999999999999</v>
      </c>
      <c r="J67" s="49">
        <v>670.91629</v>
      </c>
      <c r="K67" s="49">
        <v>10870.796850000001</v>
      </c>
      <c r="L67" s="50">
        <v>-4.6873533475719986E-2</v>
      </c>
      <c r="M67" s="50">
        <v>4.7713609531840895E-3</v>
      </c>
      <c r="N67" s="50">
        <v>-1.3042548228043849E-3</v>
      </c>
      <c r="O67" s="50">
        <v>-2.8485225459666585E-2</v>
      </c>
      <c r="P67" s="50">
        <v>-3.7377516444352943E-2</v>
      </c>
      <c r="Q67" s="50">
        <v>-4.4864057093752518E-2</v>
      </c>
      <c r="R67" s="47">
        <v>-2.145193857347847E-2</v>
      </c>
      <c r="S67" s="50">
        <v>-3.971830985915481E-2</v>
      </c>
      <c r="T67" s="50">
        <v>7.239449755187688E-2</v>
      </c>
      <c r="U67" s="50">
        <v>-8.2510650583921263E-3</v>
      </c>
      <c r="V67" s="50">
        <v>6.3259510899174032E-3</v>
      </c>
      <c r="W67" s="50">
        <f t="shared" si="2"/>
        <v>-2.145193857347847E-2</v>
      </c>
      <c r="Y67" s="63">
        <v>7.0000000000000007E-2</v>
      </c>
      <c r="Z67">
        <v>6</v>
      </c>
      <c r="AO67" t="str">
        <f t="shared" si="4"/>
        <v/>
      </c>
      <c r="AQ67" s="3">
        <v>45562</v>
      </c>
      <c r="AR67" s="59">
        <v>-4.6873533475719986E-2</v>
      </c>
      <c r="AS67" s="59">
        <v>4.7713609531840895E-3</v>
      </c>
      <c r="AT67" s="59">
        <v>-1.3042548228043849E-3</v>
      </c>
      <c r="AU67" s="59">
        <v>-2.8485225459666585E-2</v>
      </c>
      <c r="AV67" s="59">
        <v>-3.7377516444352943E-2</v>
      </c>
      <c r="AW67" s="59">
        <v>-4.4864057093752518E-2</v>
      </c>
      <c r="AX67" s="59">
        <v>-2.145193857347847E-2</v>
      </c>
      <c r="AY67" s="59">
        <v>-3.971830985915481E-2</v>
      </c>
      <c r="AZ67" s="59">
        <v>7.239449755187688E-2</v>
      </c>
      <c r="BA67" s="59">
        <v>-8.2510650583921263E-3</v>
      </c>
      <c r="BB67" s="59">
        <v>6.3259510899174032E-3</v>
      </c>
      <c r="BC67" t="s">
        <v>431</v>
      </c>
      <c r="BD67">
        <v>-1.7467394857110956</v>
      </c>
      <c r="BO67" s="3">
        <v>44155</v>
      </c>
      <c r="BP67" s="59">
        <v>0.12132381555605054</v>
      </c>
      <c r="BQ67" s="59">
        <v>2.3836031273155145E-2</v>
      </c>
      <c r="BR67" s="59">
        <v>4.8444462381744602E-2</v>
      </c>
      <c r="BS67" s="59">
        <v>6.3745176785573676E-2</v>
      </c>
      <c r="BT67" s="59">
        <v>3.6701610524171535E-2</v>
      </c>
      <c r="BU67" s="59">
        <v>0.11714747999515707</v>
      </c>
      <c r="BV67" s="59">
        <v>5.7974952191960402E-2</v>
      </c>
      <c r="BW67" s="59">
        <v>5.0000000000000044E-2</v>
      </c>
      <c r="BX67" s="59">
        <v>3.5556954059156709E-2</v>
      </c>
      <c r="BY67" s="59">
        <v>4.9856828573268119E-2</v>
      </c>
      <c r="BZ67" s="59">
        <v>-7.410597349374215E-3</v>
      </c>
    </row>
    <row r="68" spans="1:78" x14ac:dyDescent="0.45">
      <c r="A68" s="3">
        <v>45555</v>
      </c>
      <c r="B68" s="48">
        <v>106.43789</v>
      </c>
      <c r="C68" s="48">
        <v>110.283</v>
      </c>
      <c r="D68" s="48">
        <v>139.35927000000001</v>
      </c>
      <c r="E68" s="48">
        <v>120.94691</v>
      </c>
      <c r="F68" s="48">
        <v>30.326519999999999</v>
      </c>
      <c r="G68" s="48">
        <v>39.682099999999998</v>
      </c>
      <c r="H68">
        <v>71</v>
      </c>
      <c r="I68" s="48">
        <v>4.2889999999999997</v>
      </c>
      <c r="J68" s="49">
        <v>676.49811999999997</v>
      </c>
      <c r="K68" s="49">
        <v>10802.461010000001</v>
      </c>
      <c r="L68" s="50">
        <v>6.1545846445007601E-2</v>
      </c>
      <c r="M68" s="50">
        <v>3.706698952664178E-2</v>
      </c>
      <c r="N68" s="50">
        <v>3.6057148486070556E-2</v>
      </c>
      <c r="O68" s="50">
        <v>5.5792854347581411E-2</v>
      </c>
      <c r="P68" s="50">
        <v>2.5125730059134765E-2</v>
      </c>
      <c r="Q68" s="50">
        <v>3.3967204024963005E-2</v>
      </c>
      <c r="R68" s="47">
        <v>3.7601985288878301E-2</v>
      </c>
      <c r="S68" s="50">
        <v>4.7970479704797064E-2</v>
      </c>
      <c r="T68" s="50">
        <v>2.3872045834328004E-2</v>
      </c>
      <c r="U68" s="50">
        <v>3.7906156514351252E-2</v>
      </c>
      <c r="V68" s="50">
        <v>1.3820146738957373E-2</v>
      </c>
      <c r="W68" s="50">
        <f t="shared" si="2"/>
        <v>3.7601985288878301E-2</v>
      </c>
      <c r="Y68" s="63">
        <v>0.08</v>
      </c>
      <c r="Z68">
        <v>6</v>
      </c>
      <c r="AO68" t="str">
        <f t="shared" si="4"/>
        <v/>
      </c>
      <c r="AQ68" s="3">
        <v>45555</v>
      </c>
      <c r="AR68" s="59">
        <v>6.1545846445007601E-2</v>
      </c>
      <c r="AS68" s="59">
        <v>3.706698952664178E-2</v>
      </c>
      <c r="AT68" s="59">
        <v>3.6057148486070556E-2</v>
      </c>
      <c r="AU68" s="59">
        <v>5.5792854347581411E-2</v>
      </c>
      <c r="AV68" s="59">
        <v>2.5125730059134765E-2</v>
      </c>
      <c r="AW68" s="59">
        <v>3.3967204024963005E-2</v>
      </c>
      <c r="AX68" s="59">
        <v>3.7601985288878301E-2</v>
      </c>
      <c r="AY68" s="59">
        <v>4.7970479704797064E-2</v>
      </c>
      <c r="AZ68" s="59">
        <v>2.3872045834328004E-2</v>
      </c>
      <c r="BA68" s="59">
        <v>3.7906156514351252E-2</v>
      </c>
      <c r="BB68" s="59">
        <v>1.3820146738957373E-2</v>
      </c>
      <c r="BC68" t="s">
        <v>432</v>
      </c>
      <c r="BD68" s="29">
        <v>4.2105877899341164E-2</v>
      </c>
      <c r="BF68" t="s">
        <v>440</v>
      </c>
    </row>
    <row r="69" spans="1:78" x14ac:dyDescent="0.45">
      <c r="A69" s="3">
        <v>45548</v>
      </c>
      <c r="B69" s="48">
        <v>100.26688</v>
      </c>
      <c r="C69" s="48">
        <v>106.34125</v>
      </c>
      <c r="D69" s="48">
        <v>134.50925000000001</v>
      </c>
      <c r="E69" s="48">
        <v>114.55553</v>
      </c>
      <c r="F69" s="48">
        <v>29.583220000000001</v>
      </c>
      <c r="G69" s="48">
        <v>38.378489999999999</v>
      </c>
      <c r="H69">
        <v>67.75</v>
      </c>
      <c r="I69" s="48">
        <v>4.1890000000000001</v>
      </c>
      <c r="J69" s="49">
        <v>651.79121999999995</v>
      </c>
      <c r="K69" s="49">
        <v>10655.204519999999</v>
      </c>
      <c r="L69" s="50">
        <v>-2.3769094880095265E-2</v>
      </c>
      <c r="M69" s="50">
        <v>-1.3227916803304263E-2</v>
      </c>
      <c r="N69" s="50">
        <v>1.4795071890457479E-2</v>
      </c>
      <c r="O69" s="50">
        <v>-8.1428794070789179E-3</v>
      </c>
      <c r="P69" s="50">
        <v>-1.8809695478620991E-3</v>
      </c>
      <c r="Q69" s="50">
        <v>-3.5107334076180829E-2</v>
      </c>
      <c r="R69" s="47">
        <v>-8.7128055887937261E-3</v>
      </c>
      <c r="S69" s="50">
        <v>1.1822077730161418E-3</v>
      </c>
      <c r="T69" s="50">
        <v>3.9067344660796088E-2</v>
      </c>
      <c r="U69" s="50">
        <v>-7.4268859851327473E-3</v>
      </c>
      <c r="V69" s="50">
        <v>4.0469470187510792E-2</v>
      </c>
      <c r="W69" s="50">
        <f t="shared" si="2"/>
        <v>-8.7128055887937261E-3</v>
      </c>
      <c r="Y69" s="63">
        <v>0.09</v>
      </c>
      <c r="Z69">
        <v>3</v>
      </c>
      <c r="AO69" t="str">
        <f t="shared" si="4"/>
        <v/>
      </c>
      <c r="AQ69" s="3">
        <v>45548</v>
      </c>
      <c r="AR69" s="59">
        <v>-2.3769094880095265E-2</v>
      </c>
      <c r="AS69" s="59">
        <v>-1.3227916803304263E-2</v>
      </c>
      <c r="AT69" s="59">
        <v>1.4795071890457479E-2</v>
      </c>
      <c r="AU69" s="59">
        <v>-8.1428794070789179E-3</v>
      </c>
      <c r="AV69" s="59">
        <v>-1.8809695478620991E-3</v>
      </c>
      <c r="AW69" s="59">
        <v>-3.5107334076180829E-2</v>
      </c>
      <c r="AX69" s="59">
        <v>-8.7128055887937261E-3</v>
      </c>
      <c r="AY69" s="59">
        <v>1.1822077730161418E-3</v>
      </c>
      <c r="AZ69" s="59">
        <v>3.9067344660796088E-2</v>
      </c>
      <c r="BA69" s="59">
        <v>-7.4268859851327473E-3</v>
      </c>
      <c r="BB69" s="59">
        <v>4.0469470187510792E-2</v>
      </c>
      <c r="BC69" t="s">
        <v>433</v>
      </c>
      <c r="BD69">
        <v>1.662557349412876</v>
      </c>
    </row>
    <row r="70" spans="1:78" x14ac:dyDescent="0.45">
      <c r="A70" s="3">
        <v>45541</v>
      </c>
      <c r="B70" s="48">
        <v>102.70816000000001</v>
      </c>
      <c r="C70" s="48">
        <v>107.76678</v>
      </c>
      <c r="D70" s="48">
        <v>132.54819000000001</v>
      </c>
      <c r="E70" s="48">
        <v>115.496</v>
      </c>
      <c r="F70" s="48">
        <v>29.63897</v>
      </c>
      <c r="G70" s="48">
        <v>39.774880000000003</v>
      </c>
      <c r="H70">
        <v>67.67</v>
      </c>
      <c r="I70" s="48">
        <v>4.0315000000000003</v>
      </c>
      <c r="J70" s="49">
        <v>656.66822000000002</v>
      </c>
      <c r="K70" s="49">
        <v>10240.76614</v>
      </c>
      <c r="L70" s="50">
        <v>-6.8283666305500201E-2</v>
      </c>
      <c r="M70" s="50">
        <v>-4.4938082629991438E-2</v>
      </c>
      <c r="N70" s="50">
        <v>-6.3467395572892271E-2</v>
      </c>
      <c r="O70" s="50">
        <v>-6.5750698547430764E-2</v>
      </c>
      <c r="P70" s="50">
        <v>-6.0659602141922564E-2</v>
      </c>
      <c r="Q70" s="50">
        <v>-7.681995253993068E-2</v>
      </c>
      <c r="R70" s="47">
        <v>-6.2327146286433543E-2</v>
      </c>
      <c r="S70" s="50">
        <v>-7.9945615227736133E-2</v>
      </c>
      <c r="T70" s="50">
        <v>-3.2517398608111203E-2</v>
      </c>
      <c r="U70" s="50">
        <v>-5.6323120713854924E-2</v>
      </c>
      <c r="V70" s="50">
        <v>-4.2281518834945131E-2</v>
      </c>
      <c r="W70" s="50">
        <f t="shared" si="2"/>
        <v>-6.2327146286433543E-2</v>
      </c>
      <c r="Y70" s="63">
        <v>9.9999999999999992E-2</v>
      </c>
      <c r="Z70">
        <v>2</v>
      </c>
      <c r="AO70" t="str">
        <f t="shared" si="4"/>
        <v/>
      </c>
      <c r="AQ70" s="3">
        <v>45541</v>
      </c>
      <c r="AR70" s="59">
        <v>-6.8283666305500201E-2</v>
      </c>
      <c r="AS70" s="59">
        <v>-4.4938082629991438E-2</v>
      </c>
      <c r="AT70" s="59">
        <v>-6.3467395572892271E-2</v>
      </c>
      <c r="AU70" s="59">
        <v>-6.5750698547430764E-2</v>
      </c>
      <c r="AV70" s="59">
        <v>-6.0659602141922564E-2</v>
      </c>
      <c r="AW70" s="59">
        <v>-7.681995253993068E-2</v>
      </c>
      <c r="AX70" s="59">
        <v>-6.2327146286433543E-2</v>
      </c>
      <c r="AY70" s="59">
        <v>-7.9945615227736133E-2</v>
      </c>
      <c r="AZ70" s="59">
        <v>-3.2517398608111203E-2</v>
      </c>
      <c r="BA70" s="59">
        <v>-5.6323120713854924E-2</v>
      </c>
      <c r="BB70" s="59">
        <v>-4.2281518834945131E-2</v>
      </c>
      <c r="BC70" t="s">
        <v>434</v>
      </c>
      <c r="BD70" s="29">
        <v>8.4211755798682328E-2</v>
      </c>
    </row>
    <row r="71" spans="1:78" ht="14.65" thickBot="1" x14ac:dyDescent="0.5">
      <c r="A71" s="3">
        <v>45534</v>
      </c>
      <c r="B71" s="48">
        <v>110.23544</v>
      </c>
      <c r="C71" s="48">
        <v>112.83748</v>
      </c>
      <c r="D71" s="48">
        <v>141.53077999999999</v>
      </c>
      <c r="E71" s="48">
        <v>123.62439000000001</v>
      </c>
      <c r="F71" s="48">
        <v>31.552959999999999</v>
      </c>
      <c r="G71" s="48">
        <v>43.08464</v>
      </c>
      <c r="H71">
        <v>73.55</v>
      </c>
      <c r="I71" s="48">
        <v>4.1669999999999998</v>
      </c>
      <c r="J71" s="49">
        <v>695.86130000000003</v>
      </c>
      <c r="K71" s="49">
        <v>10692.87723</v>
      </c>
      <c r="L71" s="50">
        <v>2.145420547238186E-2</v>
      </c>
      <c r="M71" s="50">
        <v>1.3927071999146001E-2</v>
      </c>
      <c r="N71" s="50">
        <v>2.2354549902947607E-3</v>
      </c>
      <c r="O71" s="50">
        <v>1.513000748962301E-2</v>
      </c>
      <c r="P71" s="50">
        <v>-4.3975939919848051E-3</v>
      </c>
      <c r="Q71" s="50">
        <v>1.7896807708950302E-3</v>
      </c>
      <c r="R71" s="47">
        <v>5.7369242515947997E-3</v>
      </c>
      <c r="S71" s="50">
        <v>-1.7105438995055455E-2</v>
      </c>
      <c r="T71" s="50">
        <v>-8.0933111164007698E-3</v>
      </c>
      <c r="U71" s="50">
        <v>1.0231401152157593E-2</v>
      </c>
      <c r="V71" s="50">
        <v>2.6564070412042895E-3</v>
      </c>
      <c r="W71" s="50">
        <f t="shared" si="2"/>
        <v>5.7369242515947997E-3</v>
      </c>
      <c r="Y71" s="64" t="s">
        <v>410</v>
      </c>
      <c r="Z71" s="64">
        <v>7</v>
      </c>
      <c r="AO71" t="str">
        <f t="shared" si="4"/>
        <v/>
      </c>
      <c r="AQ71" s="3">
        <v>45534</v>
      </c>
      <c r="AR71" s="59">
        <v>2.145420547238186E-2</v>
      </c>
      <c r="AS71" s="59">
        <v>1.3927071999146001E-2</v>
      </c>
      <c r="AT71" s="59">
        <v>2.2354549902947607E-3</v>
      </c>
      <c r="AU71" s="59">
        <v>1.513000748962301E-2</v>
      </c>
      <c r="AV71" s="59">
        <v>-4.3975939919848051E-3</v>
      </c>
      <c r="AW71" s="59">
        <v>1.7896807708950302E-3</v>
      </c>
      <c r="AX71" s="59">
        <v>5.7369242515947997E-3</v>
      </c>
      <c r="AY71" s="59">
        <v>-1.7105438995055455E-2</v>
      </c>
      <c r="AZ71" s="59">
        <v>-8.0933111164007698E-3</v>
      </c>
      <c r="BA71" s="59">
        <v>1.0231401152157593E-2</v>
      </c>
      <c r="BB71" s="59">
        <v>2.6564070412042895E-3</v>
      </c>
      <c r="BC71" s="64" t="s">
        <v>435</v>
      </c>
      <c r="BD71" s="64">
        <v>1.9876082815890745</v>
      </c>
      <c r="BE71" s="64"/>
    </row>
    <row r="72" spans="1:78" x14ac:dyDescent="0.45">
      <c r="A72" s="3">
        <v>45527</v>
      </c>
      <c r="B72" s="48">
        <v>107.92010000000001</v>
      </c>
      <c r="C72" s="48">
        <v>111.28757</v>
      </c>
      <c r="D72" s="48">
        <v>141.21510000000001</v>
      </c>
      <c r="E72" s="48">
        <v>121.78183</v>
      </c>
      <c r="F72" s="48">
        <v>31.692329999999998</v>
      </c>
      <c r="G72" s="48">
        <v>43.007669999999997</v>
      </c>
      <c r="H72">
        <v>74.83</v>
      </c>
      <c r="I72" s="48">
        <v>4.2009999999999996</v>
      </c>
      <c r="J72" s="49">
        <v>688.81376999999998</v>
      </c>
      <c r="K72" s="49">
        <v>10664.547850000001</v>
      </c>
      <c r="L72" s="50">
        <v>1.9787948727925109E-3</v>
      </c>
      <c r="M72" s="50">
        <v>-1.5655392436045634E-2</v>
      </c>
      <c r="N72" s="50">
        <v>1.3595149791119088E-2</v>
      </c>
      <c r="O72" s="50">
        <v>-9.0582174837975371E-3</v>
      </c>
      <c r="P72" s="50">
        <v>0</v>
      </c>
      <c r="Q72" s="50">
        <v>-8.6494889346981907E-3</v>
      </c>
      <c r="R72" s="47">
        <v>-3.9535898126844549E-3</v>
      </c>
      <c r="S72" s="50">
        <v>-9.3989939105111331E-3</v>
      </c>
      <c r="T72" s="50">
        <v>1.3877156992880169E-2</v>
      </c>
      <c r="U72" s="50">
        <v>-4.9652081368066758E-3</v>
      </c>
      <c r="V72" s="50">
        <v>1.4618876571602879E-2</v>
      </c>
      <c r="W72" s="50">
        <f t="shared" si="2"/>
        <v>-3.9535898126844549E-3</v>
      </c>
      <c r="AO72" t="str">
        <f t="shared" si="4"/>
        <v/>
      </c>
      <c r="AQ72" s="3">
        <v>45527</v>
      </c>
      <c r="AR72" s="59">
        <v>1.9787948727925109E-3</v>
      </c>
      <c r="AS72" s="59">
        <v>-1.5655392436045634E-2</v>
      </c>
      <c r="AT72" s="59">
        <v>1.3595149791119088E-2</v>
      </c>
      <c r="AU72" s="59">
        <v>-9.0582174837975371E-3</v>
      </c>
      <c r="AV72" s="59">
        <v>0</v>
      </c>
      <c r="AW72" s="59">
        <v>-8.6494889346981907E-3</v>
      </c>
      <c r="AX72" s="59">
        <v>-3.9535898126844549E-3</v>
      </c>
      <c r="AY72" s="59">
        <v>-9.3989939105111331E-3</v>
      </c>
      <c r="AZ72" s="59">
        <v>1.3877156992880169E-2</v>
      </c>
      <c r="BA72" s="59">
        <v>-4.9652081368066758E-3</v>
      </c>
      <c r="BB72" s="59">
        <v>1.4618876571602879E-2</v>
      </c>
    </row>
    <row r="73" spans="1:78" ht="14.65" thickBot="1" x14ac:dyDescent="0.5">
      <c r="A73" s="3">
        <v>45520</v>
      </c>
      <c r="B73" s="48">
        <v>107.70697</v>
      </c>
      <c r="C73" s="48">
        <v>113.05753</v>
      </c>
      <c r="D73" s="48">
        <v>139.32101</v>
      </c>
      <c r="E73" s="48">
        <v>122.89503999999999</v>
      </c>
      <c r="F73" s="48">
        <v>31.692329999999998</v>
      </c>
      <c r="G73" s="48">
        <v>43.382910000000003</v>
      </c>
      <c r="H73">
        <v>75.540000000000006</v>
      </c>
      <c r="I73" s="48">
        <v>4.1435000000000004</v>
      </c>
      <c r="J73" s="49">
        <v>692.25094000000001</v>
      </c>
      <c r="K73" s="49">
        <v>10510.890439999999</v>
      </c>
      <c r="L73" s="50">
        <v>3.106739106669032E-2</v>
      </c>
      <c r="M73" s="50">
        <v>2.2832450856817843E-3</v>
      </c>
      <c r="N73" s="50">
        <v>1.5725255163396623E-2</v>
      </c>
      <c r="O73" s="50">
        <v>1.2091981379720673E-2</v>
      </c>
      <c r="P73" s="50">
        <v>2.5556450482920878E-2</v>
      </c>
      <c r="Q73" s="50">
        <v>3.7846482616348265E-3</v>
      </c>
      <c r="R73" s="47">
        <v>1.1888316074670956E-2</v>
      </c>
      <c r="S73" s="50">
        <v>-9.2580346515003242E-4</v>
      </c>
      <c r="T73" s="50">
        <v>3.7690959178562577E-2</v>
      </c>
      <c r="U73" s="50">
        <v>8.5262859909180921E-3</v>
      </c>
      <c r="V73" s="50">
        <v>3.9752742538921693E-2</v>
      </c>
      <c r="W73" s="50">
        <f t="shared" ref="W73:W136" si="135">AVERAGE(M73:Q73)</f>
        <v>1.1888316074670956E-2</v>
      </c>
      <c r="AO73" t="str">
        <f t="shared" ref="AO73:AO136" si="136">IF(A73&lt;$AP$3,"",IF(A73&lt;=$AP$4,1,""))</f>
        <v/>
      </c>
      <c r="AQ73" s="3">
        <v>45520</v>
      </c>
      <c r="AR73" s="59">
        <v>3.106739106669032E-2</v>
      </c>
      <c r="AS73" s="59">
        <v>2.2832450856817843E-3</v>
      </c>
      <c r="AT73" s="59">
        <v>1.5725255163396623E-2</v>
      </c>
      <c r="AU73" s="59">
        <v>1.2091981379720673E-2</v>
      </c>
      <c r="AV73" s="59">
        <v>2.5556450482920878E-2</v>
      </c>
      <c r="AW73" s="59">
        <v>3.7846482616348265E-3</v>
      </c>
      <c r="AX73" s="59">
        <v>1.1888316074670956E-2</v>
      </c>
      <c r="AY73" s="59">
        <v>-9.2580346515003242E-4</v>
      </c>
      <c r="AZ73" s="59">
        <v>3.7690959178562577E-2</v>
      </c>
      <c r="BA73" s="59">
        <v>8.5262859909180921E-3</v>
      </c>
      <c r="BB73" s="59">
        <v>3.9752742538921693E-2</v>
      </c>
      <c r="BC73" t="s">
        <v>441</v>
      </c>
    </row>
    <row r="74" spans="1:78" x14ac:dyDescent="0.45">
      <c r="A74" s="3">
        <v>45513</v>
      </c>
      <c r="B74" s="48">
        <v>104.46162</v>
      </c>
      <c r="C74" s="48">
        <v>112.79998000000001</v>
      </c>
      <c r="D74" s="48">
        <v>137.16407000000001</v>
      </c>
      <c r="E74" s="48">
        <v>121.42675</v>
      </c>
      <c r="F74" s="48">
        <v>30.902570000000001</v>
      </c>
      <c r="G74" s="48">
        <v>43.219340000000003</v>
      </c>
      <c r="H74">
        <v>75.61</v>
      </c>
      <c r="I74" s="48">
        <v>3.9929999999999999</v>
      </c>
      <c r="J74" s="49">
        <v>686.39850999999999</v>
      </c>
      <c r="K74" s="49">
        <v>10109.02882</v>
      </c>
      <c r="L74" s="50">
        <v>2.6850757725664032E-2</v>
      </c>
      <c r="M74" s="50">
        <v>1.685491406943429E-2</v>
      </c>
      <c r="N74" s="50">
        <v>-2.3965018054261322E-2</v>
      </c>
      <c r="O74" s="50">
        <v>2.9368692637947502E-2</v>
      </c>
      <c r="P74" s="50">
        <v>-1.002419312469327E-2</v>
      </c>
      <c r="Q74" s="50">
        <v>4.9777762880195198E-2</v>
      </c>
      <c r="R74" s="47">
        <v>1.2402431681724479E-2</v>
      </c>
      <c r="S74" s="50">
        <v>2.8427638737758443E-2</v>
      </c>
      <c r="T74" s="50">
        <v>-2.6809651474530849E-2</v>
      </c>
      <c r="U74" s="50">
        <v>1.1686463181253881E-2</v>
      </c>
      <c r="V74" s="50">
        <v>-2.9594478449979089E-4</v>
      </c>
      <c r="W74" s="50">
        <f t="shared" si="135"/>
        <v>1.2402431681724479E-2</v>
      </c>
      <c r="Y74" s="65" t="s">
        <v>409</v>
      </c>
      <c r="Z74" s="65" t="s">
        <v>2</v>
      </c>
      <c r="AO74" t="str">
        <f t="shared" si="136"/>
        <v/>
      </c>
      <c r="AQ74" s="3">
        <v>45513</v>
      </c>
      <c r="AR74" s="59">
        <v>2.6850757725664032E-2</v>
      </c>
      <c r="AS74" s="59">
        <v>1.685491406943429E-2</v>
      </c>
      <c r="AT74" s="59">
        <v>-2.3965018054261322E-2</v>
      </c>
      <c r="AU74" s="59">
        <v>2.9368692637947502E-2</v>
      </c>
      <c r="AV74" s="59">
        <v>-1.002419312469327E-2</v>
      </c>
      <c r="AW74" s="59">
        <v>4.9777762880195198E-2</v>
      </c>
      <c r="AX74" s="59">
        <v>1.2402431681724479E-2</v>
      </c>
      <c r="AY74" s="59">
        <v>2.8427638737758443E-2</v>
      </c>
      <c r="AZ74" s="59">
        <v>-2.6809651474530849E-2</v>
      </c>
      <c r="BA74" s="59">
        <v>1.1686463181253881E-2</v>
      </c>
      <c r="BB74" s="59">
        <v>-2.9594478449979089E-4</v>
      </c>
      <c r="BC74" t="s">
        <v>418</v>
      </c>
    </row>
    <row r="75" spans="1:78" ht="14.65" thickBot="1" x14ac:dyDescent="0.5">
      <c r="A75" s="3">
        <v>45506</v>
      </c>
      <c r="B75" s="48">
        <v>101.73009</v>
      </c>
      <c r="C75" s="48">
        <v>110.93026</v>
      </c>
      <c r="D75" s="48">
        <v>140.53192000000001</v>
      </c>
      <c r="E75" s="48">
        <v>117.96235</v>
      </c>
      <c r="F75" s="48">
        <v>31.215479999999999</v>
      </c>
      <c r="G75" s="48">
        <v>41.169989999999999</v>
      </c>
      <c r="H75">
        <v>73.52</v>
      </c>
      <c r="I75" s="48">
        <v>4.1029999999999998</v>
      </c>
      <c r="J75" s="49">
        <v>678.46960000000001</v>
      </c>
      <c r="K75" s="49">
        <v>10112.021419999999</v>
      </c>
      <c r="L75" s="50">
        <v>-4.5913798627122415E-2</v>
      </c>
      <c r="M75" s="50">
        <v>-3.8353103769080965E-3</v>
      </c>
      <c r="N75" s="50">
        <v>-5.8857030194384485E-2</v>
      </c>
      <c r="O75" s="50">
        <v>-3.3267760318775874E-2</v>
      </c>
      <c r="P75" s="50">
        <v>-3.3191543134511226E-2</v>
      </c>
      <c r="Q75" s="50">
        <v>-7.6607504040544061E-2</v>
      </c>
      <c r="R75" s="47">
        <v>-4.115182961302475E-2</v>
      </c>
      <c r="S75" s="50">
        <v>-4.7174701918092254E-2</v>
      </c>
      <c r="T75" s="50">
        <v>-5.0921435499514667E-3</v>
      </c>
      <c r="U75" s="50">
        <v>-3.7356538946887285E-2</v>
      </c>
      <c r="V75" s="50">
        <v>-2.0513037581700977E-2</v>
      </c>
      <c r="W75" s="50">
        <f t="shared" si="135"/>
        <v>-4.115182961302475E-2</v>
      </c>
      <c r="Y75" s="63">
        <v>-0.1</v>
      </c>
      <c r="Z75">
        <v>9</v>
      </c>
      <c r="AO75" t="str">
        <f t="shared" si="136"/>
        <v/>
      </c>
      <c r="AQ75" s="3">
        <v>45506</v>
      </c>
      <c r="AR75" s="59">
        <v>-4.5913798627122415E-2</v>
      </c>
      <c r="AS75" s="59">
        <v>-3.8353103769080965E-3</v>
      </c>
      <c r="AT75" s="59">
        <v>-5.8857030194384485E-2</v>
      </c>
      <c r="AU75" s="59">
        <v>-3.3267760318775874E-2</v>
      </c>
      <c r="AV75" s="59">
        <v>-3.3191543134511226E-2</v>
      </c>
      <c r="AW75" s="59">
        <v>-7.6607504040544061E-2</v>
      </c>
      <c r="AX75" s="59">
        <v>-4.115182961302475E-2</v>
      </c>
      <c r="AY75" s="59">
        <v>-4.7174701918092254E-2</v>
      </c>
      <c r="AZ75" s="59">
        <v>-5.0921435499514667E-3</v>
      </c>
      <c r="BA75" s="59">
        <v>-3.7356538946887285E-2</v>
      </c>
      <c r="BB75" s="59">
        <v>-2.0513037581700977E-2</v>
      </c>
    </row>
    <row r="76" spans="1:78" x14ac:dyDescent="0.45">
      <c r="A76" s="3">
        <v>45499</v>
      </c>
      <c r="B76" s="48">
        <v>106.62568</v>
      </c>
      <c r="C76" s="48">
        <v>111.35735</v>
      </c>
      <c r="D76" s="48">
        <v>149.32048</v>
      </c>
      <c r="E76" s="48">
        <v>122.02173999999999</v>
      </c>
      <c r="F76" s="48">
        <v>32.287140000000001</v>
      </c>
      <c r="G76" s="48">
        <v>44.58558</v>
      </c>
      <c r="H76">
        <v>77.16</v>
      </c>
      <c r="I76" s="48">
        <v>4.1239999999999997</v>
      </c>
      <c r="J76" s="49">
        <v>704.79843000000005</v>
      </c>
      <c r="K76" s="49">
        <v>10323.79379</v>
      </c>
      <c r="L76" s="50">
        <v>-3.0520343349543788E-2</v>
      </c>
      <c r="M76" s="50">
        <v>1.0855517658666436E-2</v>
      </c>
      <c r="N76" s="50">
        <v>-8.2312819532546211E-3</v>
      </c>
      <c r="O76" s="50">
        <v>-1.6247566049625295E-2</v>
      </c>
      <c r="P76" s="50">
        <v>-3.6742957599793513E-3</v>
      </c>
      <c r="Q76" s="50">
        <v>-2.9325589810108688E-2</v>
      </c>
      <c r="R76" s="47">
        <v>-9.3246431828603038E-3</v>
      </c>
      <c r="S76" s="50">
        <v>-1.8819938962360228E-2</v>
      </c>
      <c r="T76" s="50">
        <v>-2.6554939218694895E-2</v>
      </c>
      <c r="U76" s="50">
        <v>-2.4241232727978401E-3</v>
      </c>
      <c r="V76" s="50">
        <v>-8.2457730341276569E-3</v>
      </c>
      <c r="W76" s="50">
        <f t="shared" si="135"/>
        <v>-9.3246431828603038E-3</v>
      </c>
      <c r="Y76" s="63">
        <v>-9.0000000000000011E-2</v>
      </c>
      <c r="Z76">
        <v>2</v>
      </c>
      <c r="AO76" t="str">
        <f t="shared" si="136"/>
        <v/>
      </c>
      <c r="AQ76" s="3">
        <v>45499</v>
      </c>
      <c r="AR76" s="59">
        <v>-3.0520343349543788E-2</v>
      </c>
      <c r="AS76" s="59">
        <v>1.0855517658666436E-2</v>
      </c>
      <c r="AT76" s="59">
        <v>-8.2312819532546211E-3</v>
      </c>
      <c r="AU76" s="59">
        <v>-1.6247566049625295E-2</v>
      </c>
      <c r="AV76" s="59">
        <v>-3.6742957599793513E-3</v>
      </c>
      <c r="AW76" s="59">
        <v>-2.9325589810108688E-2</v>
      </c>
      <c r="AX76" s="59">
        <v>-9.3246431828603038E-3</v>
      </c>
      <c r="AY76" s="59">
        <v>-1.8819938962360228E-2</v>
      </c>
      <c r="AZ76" s="59">
        <v>-2.6554939218694895E-2</v>
      </c>
      <c r="BA76" s="59">
        <v>-2.4241232727978401E-3</v>
      </c>
      <c r="BB76" s="59">
        <v>-8.2457730341276569E-3</v>
      </c>
      <c r="BC76" s="65"/>
      <c r="BD76" s="65" t="s">
        <v>419</v>
      </c>
      <c r="BE76" s="65" t="s">
        <v>420</v>
      </c>
    </row>
    <row r="77" spans="1:78" x14ac:dyDescent="0.45">
      <c r="A77" s="3">
        <v>45492</v>
      </c>
      <c r="B77" s="48">
        <v>109.98238000000001</v>
      </c>
      <c r="C77" s="48">
        <v>110.16149</v>
      </c>
      <c r="D77" s="48">
        <v>150.55977999999999</v>
      </c>
      <c r="E77" s="48">
        <v>124.03704</v>
      </c>
      <c r="F77" s="48">
        <v>32.406210000000002</v>
      </c>
      <c r="G77" s="48">
        <v>45.932580000000002</v>
      </c>
      <c r="H77">
        <v>78.64</v>
      </c>
      <c r="I77" s="48">
        <v>4.2365000000000004</v>
      </c>
      <c r="J77" s="49">
        <v>706.51110000000006</v>
      </c>
      <c r="K77" s="49">
        <v>10409.62923</v>
      </c>
      <c r="L77" s="50">
        <v>1.0694679034650267E-2</v>
      </c>
      <c r="M77" s="50">
        <v>2.4719631440793366E-2</v>
      </c>
      <c r="N77" s="50">
        <v>2.2880670156305349E-2</v>
      </c>
      <c r="O77" s="50">
        <v>9.3099756527859068E-3</v>
      </c>
      <c r="P77" s="50">
        <v>5.3992624761962649E-3</v>
      </c>
      <c r="Q77" s="50">
        <v>2.71085064762564E-2</v>
      </c>
      <c r="R77" s="47">
        <v>1.7883609240467457E-2</v>
      </c>
      <c r="S77" s="50">
        <v>-2.9375462848679312E-2</v>
      </c>
      <c r="T77" s="50">
        <v>-7.7618114522098769E-2</v>
      </c>
      <c r="U77" s="50">
        <v>2.0247795450996753E-2</v>
      </c>
      <c r="V77" s="50">
        <v>-1.9528267850026704E-2</v>
      </c>
      <c r="W77" s="50">
        <f t="shared" si="135"/>
        <v>1.7883609240467457E-2</v>
      </c>
      <c r="Y77" s="63">
        <v>-8.0000000000000016E-2</v>
      </c>
      <c r="Z77">
        <v>4</v>
      </c>
      <c r="AO77" t="str">
        <f t="shared" si="136"/>
        <v/>
      </c>
      <c r="AQ77" s="3">
        <v>45492</v>
      </c>
      <c r="AR77" s="59">
        <v>1.0694679034650267E-2</v>
      </c>
      <c r="AS77" s="59">
        <v>2.4719631440793366E-2</v>
      </c>
      <c r="AT77" s="59">
        <v>2.2880670156305349E-2</v>
      </c>
      <c r="AU77" s="59">
        <v>9.3099756527859068E-3</v>
      </c>
      <c r="AV77" s="59">
        <v>5.3992624761962649E-3</v>
      </c>
      <c r="AW77" s="59">
        <v>2.71085064762564E-2</v>
      </c>
      <c r="AX77" s="59">
        <v>1.7883609240467457E-2</v>
      </c>
      <c r="AY77" s="59">
        <v>-2.9375462848679312E-2</v>
      </c>
      <c r="AZ77" s="59">
        <v>-7.7618114522098769E-2</v>
      </c>
      <c r="BA77" s="59">
        <v>2.0247795450996753E-2</v>
      </c>
      <c r="BB77" s="59">
        <v>-1.9528267850026704E-2</v>
      </c>
      <c r="BC77" t="s">
        <v>421</v>
      </c>
      <c r="BD77">
        <v>1.9063796909576487E-3</v>
      </c>
      <c r="BE77">
        <v>6.0169027940396762E-3</v>
      </c>
    </row>
    <row r="78" spans="1:78" x14ac:dyDescent="0.45">
      <c r="A78" s="3">
        <v>45485</v>
      </c>
      <c r="B78" s="48">
        <v>108.8186</v>
      </c>
      <c r="C78" s="48">
        <v>107.50403</v>
      </c>
      <c r="D78" s="48">
        <v>147.19193000000001</v>
      </c>
      <c r="E78" s="48">
        <v>122.89291</v>
      </c>
      <c r="F78" s="48">
        <v>32.23218</v>
      </c>
      <c r="G78" s="48">
        <v>44.720280000000002</v>
      </c>
      <c r="H78">
        <v>81.02</v>
      </c>
      <c r="I78" s="48">
        <v>4.593</v>
      </c>
      <c r="J78" s="49">
        <v>692.48970999999995</v>
      </c>
      <c r="K78" s="49">
        <v>10616.960069999999</v>
      </c>
      <c r="L78" s="50">
        <v>5.2421623681895291E-3</v>
      </c>
      <c r="M78" s="50">
        <v>-8.8207188658173674E-4</v>
      </c>
      <c r="N78" s="50">
        <v>8.2949824573086417E-3</v>
      </c>
      <c r="O78" s="50">
        <v>3.2095399671138169E-2</v>
      </c>
      <c r="P78" s="50">
        <v>-5.0202381906562454E-2</v>
      </c>
      <c r="Q78" s="50">
        <v>-1.1694725196720546E-2</v>
      </c>
      <c r="R78" s="47">
        <v>-4.4777593722835855E-3</v>
      </c>
      <c r="S78" s="50">
        <v>-2.5733525733525719E-2</v>
      </c>
      <c r="T78" s="50">
        <v>-1.2682717110920061E-2</v>
      </c>
      <c r="U78" s="50">
        <v>4.5123947501966022E-3</v>
      </c>
      <c r="V78" s="50">
        <v>8.8011882763010529E-3</v>
      </c>
      <c r="W78" s="50">
        <f t="shared" si="135"/>
        <v>-4.4777593722835855E-3</v>
      </c>
      <c r="Y78" s="63">
        <v>-7.0000000000000021E-2</v>
      </c>
      <c r="Z78">
        <v>9</v>
      </c>
      <c r="AO78" t="str">
        <f t="shared" si="136"/>
        <v/>
      </c>
      <c r="AQ78" s="3">
        <v>45485</v>
      </c>
      <c r="AR78" s="59">
        <v>5.2421623681895291E-3</v>
      </c>
      <c r="AS78" s="59">
        <v>-8.8207188658173674E-4</v>
      </c>
      <c r="AT78" s="59">
        <v>8.2949824573086417E-3</v>
      </c>
      <c r="AU78" s="59">
        <v>3.2095399671138169E-2</v>
      </c>
      <c r="AV78" s="59">
        <v>-5.0202381906562454E-2</v>
      </c>
      <c r="AW78" s="59">
        <v>-1.1694725196720546E-2</v>
      </c>
      <c r="AX78" s="59">
        <v>-4.4777593722835855E-3</v>
      </c>
      <c r="AY78" s="59">
        <v>-2.5733525733525719E-2</v>
      </c>
      <c r="AZ78" s="59">
        <v>-1.2682717110920061E-2</v>
      </c>
      <c r="BA78" s="59">
        <v>4.5123947501966022E-3</v>
      </c>
      <c r="BB78" s="59">
        <v>8.8011882763010529E-3</v>
      </c>
      <c r="BC78" t="s">
        <v>422</v>
      </c>
      <c r="BD78">
        <v>5.8106230133235829E-4</v>
      </c>
      <c r="BE78">
        <v>4.4033044275654476E-4</v>
      </c>
    </row>
    <row r="79" spans="1:78" x14ac:dyDescent="0.45">
      <c r="A79" s="3">
        <v>45478</v>
      </c>
      <c r="B79" s="48">
        <v>108.25113</v>
      </c>
      <c r="C79" s="48">
        <v>107.59894</v>
      </c>
      <c r="D79" s="48">
        <v>145.98102</v>
      </c>
      <c r="E79" s="48">
        <v>119.07127</v>
      </c>
      <c r="F79" s="48">
        <v>33.935839999999999</v>
      </c>
      <c r="G79" s="48">
        <v>45.249459999999999</v>
      </c>
      <c r="H79">
        <v>83.16</v>
      </c>
      <c r="I79" s="48">
        <v>4.6520000000000001</v>
      </c>
      <c r="J79" s="49">
        <v>689.37896000000001</v>
      </c>
      <c r="K79" s="49">
        <v>10524.333430000001</v>
      </c>
      <c r="L79" s="50">
        <v>-1.5999275710307015E-2</v>
      </c>
      <c r="M79" s="50">
        <v>-1.5201466961559995E-2</v>
      </c>
      <c r="N79" s="50">
        <v>-1.3489314193348534E-2</v>
      </c>
      <c r="O79" s="50">
        <v>-7.3886112583622099E-3</v>
      </c>
      <c r="P79" s="50">
        <v>2.6315797432323373E-2</v>
      </c>
      <c r="Q79" s="50">
        <v>-7.8058653077647255E-3</v>
      </c>
      <c r="R79" s="47">
        <v>-3.5138920577424183E-3</v>
      </c>
      <c r="S79" s="50">
        <v>1.9867549668874052E-2</v>
      </c>
      <c r="T79" s="50">
        <v>5.9319139246271302E-2</v>
      </c>
      <c r="U79" s="50">
        <v>-1.2679323079502813E-2</v>
      </c>
      <c r="V79" s="50">
        <v>1.9700417129520531E-2</v>
      </c>
      <c r="W79" s="50">
        <f t="shared" si="135"/>
        <v>-3.5138920577424183E-3</v>
      </c>
      <c r="Y79" s="63">
        <v>-6.0000000000000019E-2</v>
      </c>
      <c r="Z79">
        <v>5</v>
      </c>
      <c r="AO79" t="str">
        <f t="shared" si="136"/>
        <v/>
      </c>
      <c r="AQ79" s="3">
        <v>45478</v>
      </c>
      <c r="AR79" s="59">
        <v>-1.5999275710307015E-2</v>
      </c>
      <c r="AS79" s="59">
        <v>-1.5201466961559995E-2</v>
      </c>
      <c r="AT79" s="59">
        <v>-1.3489314193348534E-2</v>
      </c>
      <c r="AU79" s="59">
        <v>-7.3886112583622099E-3</v>
      </c>
      <c r="AV79" s="59">
        <v>2.6315797432323373E-2</v>
      </c>
      <c r="AW79" s="59">
        <v>-7.8058653077647255E-3</v>
      </c>
      <c r="AX79" s="59">
        <v>-3.5138920577424183E-3</v>
      </c>
      <c r="AY79" s="59">
        <v>1.9867549668874052E-2</v>
      </c>
      <c r="AZ79" s="59">
        <v>5.9319139246271302E-2</v>
      </c>
      <c r="BA79" s="59">
        <v>-1.2679323079502813E-2</v>
      </c>
      <c r="BB79" s="59">
        <v>1.9700417129520531E-2</v>
      </c>
      <c r="BC79" t="s">
        <v>423</v>
      </c>
      <c r="BD79">
        <v>197</v>
      </c>
      <c r="BE79">
        <v>43</v>
      </c>
    </row>
    <row r="80" spans="1:78" x14ac:dyDescent="0.45">
      <c r="A80" s="3">
        <v>45471</v>
      </c>
      <c r="B80" s="48">
        <v>110.01123</v>
      </c>
      <c r="C80" s="48">
        <v>109.25985</v>
      </c>
      <c r="D80" s="48">
        <v>147.97712999999999</v>
      </c>
      <c r="E80" s="48">
        <v>119.95759</v>
      </c>
      <c r="F80" s="48">
        <v>33.065689999999996</v>
      </c>
      <c r="G80" s="48">
        <v>45.605449999999998</v>
      </c>
      <c r="H80">
        <v>81.540000000000006</v>
      </c>
      <c r="I80" s="48">
        <v>4.3914999999999997</v>
      </c>
      <c r="J80" s="49">
        <v>698.23207000000002</v>
      </c>
      <c r="K80" s="49">
        <v>10321.00532</v>
      </c>
      <c r="L80" s="50">
        <v>2.730369179926484E-2</v>
      </c>
      <c r="M80" s="50">
        <v>3.9364337368652524E-2</v>
      </c>
      <c r="N80" s="50">
        <v>7.3415918157455629E-3</v>
      </c>
      <c r="O80" s="50">
        <v>3.1298686984931434E-2</v>
      </c>
      <c r="P80" s="50">
        <v>1.6615076027016284E-2</v>
      </c>
      <c r="Q80" s="50">
        <v>3.4482719511528259E-2</v>
      </c>
      <c r="R80" s="47">
        <v>2.5820482341574812E-2</v>
      </c>
      <c r="S80" s="50">
        <v>1.0033444816053505E-2</v>
      </c>
      <c r="T80" s="50">
        <v>-1.1368752814047811E-2</v>
      </c>
      <c r="U80" s="50">
        <v>2.6783495203125174E-2</v>
      </c>
      <c r="V80" s="50">
        <v>-6.1685757337559544E-4</v>
      </c>
      <c r="W80" s="50">
        <f t="shared" si="135"/>
        <v>2.5820482341574812E-2</v>
      </c>
      <c r="Y80" s="63">
        <v>-5.0000000000000017E-2</v>
      </c>
      <c r="Z80">
        <v>3</v>
      </c>
      <c r="AO80" t="str">
        <f t="shared" si="136"/>
        <v/>
      </c>
      <c r="AQ80" s="3">
        <v>45471</v>
      </c>
      <c r="AR80" s="59">
        <v>2.730369179926484E-2</v>
      </c>
      <c r="AS80" s="59">
        <v>3.9364337368652524E-2</v>
      </c>
      <c r="AT80" s="59">
        <v>7.3415918157455629E-3</v>
      </c>
      <c r="AU80" s="59">
        <v>3.1298686984931434E-2</v>
      </c>
      <c r="AV80" s="59">
        <v>1.6615076027016284E-2</v>
      </c>
      <c r="AW80" s="59">
        <v>3.4482719511528259E-2</v>
      </c>
      <c r="AX80" s="59">
        <v>2.5820482341574812E-2</v>
      </c>
      <c r="AY80" s="59">
        <v>1.0033444816053505E-2</v>
      </c>
      <c r="AZ80" s="59">
        <v>-1.1368752814047811E-2</v>
      </c>
      <c r="BA80" s="59">
        <v>2.6783495203125174E-2</v>
      </c>
      <c r="BB80" s="59">
        <v>-6.1685757337559544E-4</v>
      </c>
      <c r="BC80" t="s">
        <v>424</v>
      </c>
      <c r="BD80">
        <v>196</v>
      </c>
      <c r="BE80">
        <v>42</v>
      </c>
    </row>
    <row r="81" spans="1:58" x14ac:dyDescent="0.45">
      <c r="A81" s="3">
        <v>45464</v>
      </c>
      <c r="B81" s="48">
        <v>107.08735</v>
      </c>
      <c r="C81" s="48">
        <v>105.12179999999999</v>
      </c>
      <c r="D81" s="48">
        <v>146.89866000000001</v>
      </c>
      <c r="E81" s="48">
        <v>116.31702</v>
      </c>
      <c r="F81" s="48">
        <v>32.525280000000002</v>
      </c>
      <c r="G81" s="48">
        <v>44.085270000000001</v>
      </c>
      <c r="H81">
        <v>80.73</v>
      </c>
      <c r="I81" s="48">
        <v>4.4420000000000002</v>
      </c>
      <c r="J81" s="49">
        <v>680.01878999999997</v>
      </c>
      <c r="K81" s="49">
        <v>10327.375840000001</v>
      </c>
      <c r="L81" s="50">
        <v>1.7826132289496366E-2</v>
      </c>
      <c r="M81" s="50">
        <v>1.5122379926800766E-2</v>
      </c>
      <c r="N81" s="50">
        <v>1.7762296502842778E-2</v>
      </c>
      <c r="O81" s="50">
        <v>3.2222550469672262E-2</v>
      </c>
      <c r="P81" s="50">
        <v>1.7769906187612428E-2</v>
      </c>
      <c r="Q81" s="50">
        <v>5.7068409318465907E-3</v>
      </c>
      <c r="R81" s="47">
        <v>1.7716794803754966E-2</v>
      </c>
      <c r="S81" s="50">
        <v>3.4336963484945526E-2</v>
      </c>
      <c r="T81" s="50">
        <v>-1.1790878754171286E-2</v>
      </c>
      <c r="U81" s="50">
        <v>1.8632154725110039E-2</v>
      </c>
      <c r="V81" s="50">
        <v>6.2294609924036237E-3</v>
      </c>
      <c r="W81" s="50">
        <f t="shared" si="135"/>
        <v>1.7716794803754966E-2</v>
      </c>
      <c r="Y81" s="63">
        <v>-4.0000000000000015E-2</v>
      </c>
      <c r="Z81">
        <v>10</v>
      </c>
      <c r="AO81" t="str">
        <f t="shared" si="136"/>
        <v/>
      </c>
      <c r="AQ81" s="3">
        <v>45464</v>
      </c>
      <c r="AR81" s="59">
        <v>1.7826132289496366E-2</v>
      </c>
      <c r="AS81" s="59">
        <v>1.5122379926800766E-2</v>
      </c>
      <c r="AT81" s="59">
        <v>1.7762296502842778E-2</v>
      </c>
      <c r="AU81" s="59">
        <v>3.2222550469672262E-2</v>
      </c>
      <c r="AV81" s="59">
        <v>1.7769906187612428E-2</v>
      </c>
      <c r="AW81" s="59">
        <v>5.7068409318465907E-3</v>
      </c>
      <c r="AX81" s="59">
        <v>1.7716794803754966E-2</v>
      </c>
      <c r="AY81" s="59">
        <v>3.4336963484945526E-2</v>
      </c>
      <c r="AZ81" s="59">
        <v>-1.1790878754171286E-2</v>
      </c>
      <c r="BA81" s="59">
        <v>1.8632154725110039E-2</v>
      </c>
      <c r="BB81" s="59">
        <v>6.2294609924036237E-3</v>
      </c>
      <c r="BC81" t="s">
        <v>425</v>
      </c>
      <c r="BD81">
        <v>1.3196051076886888</v>
      </c>
    </row>
    <row r="82" spans="1:58" x14ac:dyDescent="0.45">
      <c r="A82" s="3">
        <v>45457</v>
      </c>
      <c r="B82" s="48">
        <v>105.21183000000001</v>
      </c>
      <c r="C82" s="48">
        <v>103.55579</v>
      </c>
      <c r="D82" s="48">
        <v>144.33493999999999</v>
      </c>
      <c r="E82" s="48">
        <v>112.68599</v>
      </c>
      <c r="F82" s="48">
        <v>31.9574</v>
      </c>
      <c r="G82" s="48">
        <v>43.83511</v>
      </c>
      <c r="H82">
        <v>78.05</v>
      </c>
      <c r="I82" s="48">
        <v>4.4950000000000001</v>
      </c>
      <c r="J82" s="49">
        <v>667.58033</v>
      </c>
      <c r="K82" s="49">
        <v>10263.440140000001</v>
      </c>
      <c r="L82" s="50">
        <v>-2.3303566007879084E-2</v>
      </c>
      <c r="M82" s="50">
        <v>-3.2283841305292382E-2</v>
      </c>
      <c r="N82" s="50">
        <v>-2.2488430500513967E-2</v>
      </c>
      <c r="O82" s="50">
        <v>-1.6224277766898942E-2</v>
      </c>
      <c r="P82" s="50">
        <v>-1.049346209937374E-2</v>
      </c>
      <c r="Q82" s="50">
        <v>-1.8782868508952055E-2</v>
      </c>
      <c r="R82" s="47">
        <v>-2.0054576036206216E-2</v>
      </c>
      <c r="S82" s="50">
        <v>3.3364226135310426E-2</v>
      </c>
      <c r="T82" s="50">
        <v>2.5649604103936685E-3</v>
      </c>
      <c r="U82" s="50">
        <v>-2.3195817609775848E-2</v>
      </c>
      <c r="V82" s="50">
        <v>1.6089664539884474E-2</v>
      </c>
      <c r="W82" s="50">
        <f t="shared" si="135"/>
        <v>-2.0054576036206216E-2</v>
      </c>
      <c r="Y82" s="63">
        <v>-3.0000000000000013E-2</v>
      </c>
      <c r="Z82">
        <v>13</v>
      </c>
      <c r="AO82" t="str">
        <f t="shared" si="136"/>
        <v/>
      </c>
      <c r="AQ82" s="3">
        <v>45457</v>
      </c>
      <c r="AR82" s="59">
        <v>-2.3303566007879084E-2</v>
      </c>
      <c r="AS82" s="59">
        <v>-3.2283841305292382E-2</v>
      </c>
      <c r="AT82" s="59">
        <v>-2.2488430500513967E-2</v>
      </c>
      <c r="AU82" s="59">
        <v>-1.6224277766898942E-2</v>
      </c>
      <c r="AV82" s="59">
        <v>-1.049346209937374E-2</v>
      </c>
      <c r="AW82" s="59">
        <v>-1.8782868508952055E-2</v>
      </c>
      <c r="AX82" s="59">
        <v>-2.0054576036206216E-2</v>
      </c>
      <c r="AY82" s="59">
        <v>3.3364226135310426E-2</v>
      </c>
      <c r="AZ82" s="59">
        <v>2.5649604103936685E-3</v>
      </c>
      <c r="BA82" s="59">
        <v>-2.3195817609775848E-2</v>
      </c>
      <c r="BB82" s="59">
        <v>1.6089664539884474E-2</v>
      </c>
      <c r="BC82" t="s">
        <v>426</v>
      </c>
      <c r="BD82">
        <v>0.14369568323843551</v>
      </c>
      <c r="BF82" t="s">
        <v>442</v>
      </c>
    </row>
    <row r="83" spans="1:58" ht="14.65" thickBot="1" x14ac:dyDescent="0.5">
      <c r="A83" s="3">
        <v>45450</v>
      </c>
      <c r="B83" s="48">
        <v>107.72214</v>
      </c>
      <c r="C83" s="48">
        <v>107.01049999999999</v>
      </c>
      <c r="D83" s="48">
        <v>147.65548000000001</v>
      </c>
      <c r="E83" s="48">
        <v>114.54439000000001</v>
      </c>
      <c r="F83" s="48">
        <v>32.296300000000002</v>
      </c>
      <c r="G83" s="48">
        <v>44.674219999999998</v>
      </c>
      <c r="H83">
        <v>75.53</v>
      </c>
      <c r="I83" s="48">
        <v>4.4835000000000003</v>
      </c>
      <c r="J83" s="49">
        <v>683.43312000000003</v>
      </c>
      <c r="K83" s="49">
        <v>10100.91973</v>
      </c>
      <c r="L83" s="50">
        <v>-3.8461490397927345E-2</v>
      </c>
      <c r="M83" s="50">
        <v>-3.8461538461538547E-2</v>
      </c>
      <c r="N83" s="50">
        <v>-3.8324082200211884E-2</v>
      </c>
      <c r="O83" s="50">
        <v>-3.5006018133676764E-2</v>
      </c>
      <c r="P83" s="50">
        <v>-6.1485005432677209E-2</v>
      </c>
      <c r="Q83" s="50">
        <v>-4.665853049049451E-2</v>
      </c>
      <c r="R83" s="47">
        <v>-4.3987034943719784E-2</v>
      </c>
      <c r="S83" s="50">
        <v>-1.8963501753474388E-2</v>
      </c>
      <c r="T83" s="50">
        <v>-2.5749674054758809E-2</v>
      </c>
      <c r="U83" s="50">
        <v>-3.4759924055642211E-2</v>
      </c>
      <c r="V83" s="50">
        <v>1.3437123215999991E-2</v>
      </c>
      <c r="W83" s="50">
        <f t="shared" si="135"/>
        <v>-4.3987034943719784E-2</v>
      </c>
      <c r="Y83" s="63">
        <v>-2.0000000000000011E-2</v>
      </c>
      <c r="Z83">
        <v>17</v>
      </c>
      <c r="AO83" t="str">
        <f t="shared" si="136"/>
        <v/>
      </c>
      <c r="AQ83" s="3">
        <v>45450</v>
      </c>
      <c r="AR83" s="59">
        <v>-3.8461490397927345E-2</v>
      </c>
      <c r="AS83" s="59">
        <v>-3.8461538461538547E-2</v>
      </c>
      <c r="AT83" s="59">
        <v>-3.8324082200211884E-2</v>
      </c>
      <c r="AU83" s="59">
        <v>-3.5006018133676764E-2</v>
      </c>
      <c r="AV83" s="59">
        <v>-6.1485005432677209E-2</v>
      </c>
      <c r="AW83" s="59">
        <v>-4.665853049049451E-2</v>
      </c>
      <c r="AX83" s="59">
        <v>-4.3987034943719784E-2</v>
      </c>
      <c r="AY83" s="59">
        <v>-1.8963501753474388E-2</v>
      </c>
      <c r="AZ83" s="59">
        <v>-2.5749674054758809E-2</v>
      </c>
      <c r="BA83" s="59">
        <v>-3.4759924055642211E-2</v>
      </c>
      <c r="BB83" s="59">
        <v>1.3437123215999991E-2</v>
      </c>
      <c r="BC83" s="64" t="s">
        <v>427</v>
      </c>
      <c r="BD83" s="64">
        <v>1.5355415018844882</v>
      </c>
      <c r="BE83" s="64"/>
    </row>
    <row r="84" spans="1:58" x14ac:dyDescent="0.45">
      <c r="A84" s="3">
        <v>45443</v>
      </c>
      <c r="B84" s="48">
        <v>112.03102</v>
      </c>
      <c r="C84" s="48">
        <v>111.29092</v>
      </c>
      <c r="D84" s="48">
        <v>153.53975</v>
      </c>
      <c r="E84" s="48">
        <v>118.69959</v>
      </c>
      <c r="F84" s="48">
        <v>34.412129999999998</v>
      </c>
      <c r="G84" s="48">
        <v>46.860669999999999</v>
      </c>
      <c r="H84">
        <v>76.989999999999995</v>
      </c>
      <c r="I84" s="48">
        <v>4.6020000000000003</v>
      </c>
      <c r="J84" s="49">
        <v>708.04470000000003</v>
      </c>
      <c r="K84" s="49">
        <v>9966.9920299999994</v>
      </c>
      <c r="L84" s="50">
        <v>-6.5671670378741887E-3</v>
      </c>
      <c r="M84" s="50">
        <v>3.3856499971805842E-2</v>
      </c>
      <c r="N84" s="50">
        <v>2.8843101104604196E-2</v>
      </c>
      <c r="O84" s="50">
        <v>1.0383750521685942E-2</v>
      </c>
      <c r="P84" s="50">
        <v>2.3147996734216081E-2</v>
      </c>
      <c r="Q84" s="50">
        <v>1.9314715335529309E-2</v>
      </c>
      <c r="R84" s="47">
        <v>2.3109212733568273E-2</v>
      </c>
      <c r="S84" s="50">
        <v>-9.3926917138446031E-3</v>
      </c>
      <c r="T84" s="50">
        <v>-3.1871252761123237E-2</v>
      </c>
      <c r="U84" s="50">
        <v>2.0135879571975046E-2</v>
      </c>
      <c r="V84" s="50">
        <v>-4.9847478774939225E-3</v>
      </c>
      <c r="W84" s="50">
        <f t="shared" si="135"/>
        <v>2.3109212733568273E-2</v>
      </c>
      <c r="Y84" s="63">
        <v>-1.0000000000000011E-2</v>
      </c>
      <c r="Z84">
        <v>28</v>
      </c>
      <c r="AO84" t="str">
        <f t="shared" si="136"/>
        <v/>
      </c>
      <c r="AQ84" s="3">
        <v>45443</v>
      </c>
      <c r="AR84" s="59">
        <v>-6.5671670378741887E-3</v>
      </c>
      <c r="AS84" s="59">
        <v>3.3856499971805842E-2</v>
      </c>
      <c r="AT84" s="59">
        <v>2.8843101104604196E-2</v>
      </c>
      <c r="AU84" s="59">
        <v>1.0383750521685942E-2</v>
      </c>
      <c r="AV84" s="59">
        <v>2.3147996734216081E-2</v>
      </c>
      <c r="AW84" s="59">
        <v>1.9314715335529309E-2</v>
      </c>
      <c r="AX84" s="59">
        <v>2.3109212733568273E-2</v>
      </c>
      <c r="AY84" s="59">
        <v>-9.3926917138446031E-3</v>
      </c>
      <c r="AZ84" s="59">
        <v>-3.1871252761123237E-2</v>
      </c>
      <c r="BA84" s="59">
        <v>2.0135879571975046E-2</v>
      </c>
      <c r="BB84" s="59">
        <v>-4.9847478774939225E-3</v>
      </c>
    </row>
    <row r="85" spans="1:58" x14ac:dyDescent="0.45">
      <c r="A85" s="3">
        <v>45436</v>
      </c>
      <c r="B85" s="48">
        <v>112.77161</v>
      </c>
      <c r="C85" s="48">
        <v>107.64639</v>
      </c>
      <c r="D85" s="48">
        <v>149.23534000000001</v>
      </c>
      <c r="E85" s="48">
        <v>117.47971</v>
      </c>
      <c r="F85" s="48">
        <v>33.633580000000002</v>
      </c>
      <c r="G85" s="48">
        <v>45.972720000000002</v>
      </c>
      <c r="H85">
        <v>77.72</v>
      </c>
      <c r="I85" s="48">
        <v>4.7534999999999998</v>
      </c>
      <c r="J85" s="49">
        <v>694.06901000000005</v>
      </c>
      <c r="K85" s="49">
        <v>10016.923870000001</v>
      </c>
      <c r="L85" s="50">
        <v>-3.6644488535319097E-2</v>
      </c>
      <c r="M85" s="50">
        <v>-5.1989277652370269E-2</v>
      </c>
      <c r="N85" s="50">
        <v>-3.0245283345001872E-2</v>
      </c>
      <c r="O85" s="50">
        <v>-5.1331429908215265E-2</v>
      </c>
      <c r="P85" s="50">
        <v>-2.0538829768955491E-2</v>
      </c>
      <c r="Q85" s="50">
        <v>-2.9625181393630684E-2</v>
      </c>
      <c r="R85" s="47">
        <v>-3.6746000413634718E-2</v>
      </c>
      <c r="S85" s="50">
        <v>-2.337270671022873E-2</v>
      </c>
      <c r="T85" s="50">
        <v>-5.8712871287128765E-2</v>
      </c>
      <c r="U85" s="50">
        <v>-3.8233258289729677E-2</v>
      </c>
      <c r="V85" s="50">
        <v>4.0233217817231548E-4</v>
      </c>
      <c r="W85" s="50">
        <f t="shared" si="135"/>
        <v>-3.6746000413634718E-2</v>
      </c>
      <c r="Y85" s="63">
        <v>0</v>
      </c>
      <c r="Z85">
        <v>22</v>
      </c>
      <c r="AO85" t="str">
        <f t="shared" si="136"/>
        <v/>
      </c>
      <c r="AQ85" s="3">
        <v>45436</v>
      </c>
      <c r="AR85" s="59">
        <v>-3.6644488535319097E-2</v>
      </c>
      <c r="AS85" s="59">
        <v>-5.1989277652370269E-2</v>
      </c>
      <c r="AT85" s="59">
        <v>-3.0245283345001872E-2</v>
      </c>
      <c r="AU85" s="59">
        <v>-5.1331429908215265E-2</v>
      </c>
      <c r="AV85" s="59">
        <v>-2.0538829768955491E-2</v>
      </c>
      <c r="AW85" s="59">
        <v>-2.9625181393630684E-2</v>
      </c>
      <c r="AX85" s="59">
        <v>-3.6746000413634718E-2</v>
      </c>
      <c r="AY85" s="59">
        <v>-2.337270671022873E-2</v>
      </c>
      <c r="AZ85" s="59">
        <v>-5.8712871287128765E-2</v>
      </c>
      <c r="BA85" s="59">
        <v>-3.8233258289729677E-2</v>
      </c>
      <c r="BB85" s="59">
        <v>4.0233217817231548E-4</v>
      </c>
    </row>
    <row r="86" spans="1:58" x14ac:dyDescent="0.45">
      <c r="A86" s="3">
        <v>45429</v>
      </c>
      <c r="B86" s="48">
        <v>117.06126</v>
      </c>
      <c r="C86" s="48">
        <v>113.54976000000001</v>
      </c>
      <c r="D86" s="48">
        <v>153.88978</v>
      </c>
      <c r="E86" s="48">
        <v>123.83641</v>
      </c>
      <c r="F86" s="48">
        <v>34.338859999999997</v>
      </c>
      <c r="G86" s="48">
        <v>47.376249999999999</v>
      </c>
      <c r="H86">
        <v>79.58</v>
      </c>
      <c r="I86" s="48">
        <v>5.05</v>
      </c>
      <c r="J86" s="49">
        <v>721.66043999999999</v>
      </c>
      <c r="K86" s="49">
        <v>10012.89536</v>
      </c>
      <c r="L86" s="50">
        <v>-1.6405463643680562E-3</v>
      </c>
      <c r="M86" s="50">
        <v>2.2480204543297688E-2</v>
      </c>
      <c r="N86" s="50">
        <v>-9.0904443059610651E-3</v>
      </c>
      <c r="O86" s="50">
        <v>-1.2297876043571021E-3</v>
      </c>
      <c r="P86" s="50">
        <v>2.1950375981543147E-3</v>
      </c>
      <c r="Q86" s="50">
        <v>-9.9760436196703051E-3</v>
      </c>
      <c r="R86" s="47">
        <v>8.7579332229270612E-4</v>
      </c>
      <c r="S86" s="50">
        <v>2.2353545734840718E-2</v>
      </c>
      <c r="T86" s="50">
        <v>8.3109919571045632E-2</v>
      </c>
      <c r="U86" s="50">
        <v>7.2814234072904327E-3</v>
      </c>
      <c r="V86" s="50">
        <v>1.5855009375842277E-2</v>
      </c>
      <c r="W86" s="50">
        <f t="shared" si="135"/>
        <v>8.7579332229270612E-4</v>
      </c>
      <c r="Y86" s="63">
        <v>0.01</v>
      </c>
      <c r="Z86">
        <v>22</v>
      </c>
      <c r="AO86" t="str">
        <f t="shared" si="136"/>
        <v/>
      </c>
      <c r="AQ86" s="3">
        <v>45429</v>
      </c>
      <c r="AR86" s="59">
        <v>-1.6405463643680562E-3</v>
      </c>
      <c r="AS86" s="59">
        <v>2.2480204543297688E-2</v>
      </c>
      <c r="AT86" s="59">
        <v>-9.0904443059610651E-3</v>
      </c>
      <c r="AU86" s="59">
        <v>-1.2297876043571021E-3</v>
      </c>
      <c r="AV86" s="59">
        <v>2.1950375981543147E-3</v>
      </c>
      <c r="AW86" s="59">
        <v>-9.9760436196703051E-3</v>
      </c>
      <c r="AX86" s="59">
        <v>8.7579332229270612E-4</v>
      </c>
      <c r="AY86" s="59">
        <v>2.2353545734840718E-2</v>
      </c>
      <c r="AZ86" s="59">
        <v>8.3109919571045632E-2</v>
      </c>
      <c r="BA86" s="59">
        <v>7.2814234072904327E-3</v>
      </c>
      <c r="BB86" s="59">
        <v>1.5855009375842277E-2</v>
      </c>
    </row>
    <row r="87" spans="1:58" x14ac:dyDescent="0.45">
      <c r="A87" s="3">
        <v>45422</v>
      </c>
      <c r="B87" s="48">
        <v>117.25362</v>
      </c>
      <c r="C87" s="48">
        <v>111.05325999999999</v>
      </c>
      <c r="D87" s="48">
        <v>155.30153999999999</v>
      </c>
      <c r="E87" s="48">
        <v>123.98889</v>
      </c>
      <c r="F87" s="48">
        <v>34.263649999999998</v>
      </c>
      <c r="G87" s="48">
        <v>47.853639999999999</v>
      </c>
      <c r="H87">
        <v>77.84</v>
      </c>
      <c r="I87" s="48">
        <v>4.6624999999999996</v>
      </c>
      <c r="J87" s="49">
        <v>716.44371000000001</v>
      </c>
      <c r="K87" s="49">
        <v>9856.6185800000003</v>
      </c>
      <c r="L87" s="50">
        <v>3.726900548501666E-3</v>
      </c>
      <c r="M87" s="50">
        <v>1.6896561259878151E-2</v>
      </c>
      <c r="N87" s="50">
        <v>3.4758202792740001E-2</v>
      </c>
      <c r="O87" s="50">
        <v>6.1527212919743057E-4</v>
      </c>
      <c r="P87" s="50">
        <v>-2.2222241246810603E-2</v>
      </c>
      <c r="Q87" s="50">
        <v>-8.3102871951200585E-3</v>
      </c>
      <c r="R87" s="47">
        <v>4.3475015479769842E-3</v>
      </c>
      <c r="S87" s="50">
        <v>-3.4566636794264305E-3</v>
      </c>
      <c r="T87" s="50">
        <v>2.3151195962255677E-2</v>
      </c>
      <c r="U87" s="50">
        <v>1.3637329956936561E-2</v>
      </c>
      <c r="V87" s="50">
        <v>1.8812358616937086E-2</v>
      </c>
      <c r="W87" s="50">
        <f t="shared" si="135"/>
        <v>4.3475015479769842E-3</v>
      </c>
      <c r="Y87" s="63">
        <v>0.02</v>
      </c>
      <c r="Z87">
        <v>18</v>
      </c>
      <c r="AO87" t="str">
        <f t="shared" si="136"/>
        <v/>
      </c>
      <c r="AQ87" s="3">
        <v>45422</v>
      </c>
      <c r="AR87" s="59">
        <v>3.726900548501666E-3</v>
      </c>
      <c r="AS87" s="59">
        <v>1.6896561259878151E-2</v>
      </c>
      <c r="AT87" s="59">
        <v>3.4758202792740001E-2</v>
      </c>
      <c r="AU87" s="59">
        <v>6.1527212919743057E-4</v>
      </c>
      <c r="AV87" s="59">
        <v>-2.2222241246810603E-2</v>
      </c>
      <c r="AW87" s="59">
        <v>-8.3102871951200585E-3</v>
      </c>
      <c r="AX87" s="59">
        <v>4.3475015479769842E-3</v>
      </c>
      <c r="AY87" s="59">
        <v>-3.4566636794264305E-3</v>
      </c>
      <c r="AZ87" s="59">
        <v>2.3151195962255677E-2</v>
      </c>
      <c r="BA87" s="59">
        <v>1.3637329956936561E-2</v>
      </c>
      <c r="BB87" s="59">
        <v>1.8812358616937086E-2</v>
      </c>
    </row>
    <row r="88" spans="1:58" x14ac:dyDescent="0.45">
      <c r="A88" s="3">
        <v>45415</v>
      </c>
      <c r="B88" s="48">
        <v>116.81825000000001</v>
      </c>
      <c r="C88" s="48">
        <v>109.20802</v>
      </c>
      <c r="D88" s="48">
        <v>150.08485999999999</v>
      </c>
      <c r="E88" s="48">
        <v>123.91265</v>
      </c>
      <c r="F88" s="48">
        <v>35.042369999999998</v>
      </c>
      <c r="G88" s="48">
        <v>48.254649999999998</v>
      </c>
      <c r="H88">
        <v>78.11</v>
      </c>
      <c r="I88" s="48">
        <v>4.5570000000000004</v>
      </c>
      <c r="J88" s="49">
        <v>706.80478000000005</v>
      </c>
      <c r="K88" s="49">
        <v>9674.6162299999996</v>
      </c>
      <c r="L88" s="50">
        <v>-6.1501796364851646E-2</v>
      </c>
      <c r="M88" s="50">
        <v>-1.6615811188253171E-2</v>
      </c>
      <c r="N88" s="50">
        <v>-3.3998446260501747E-2</v>
      </c>
      <c r="O88" s="50">
        <v>-4.1857061059331957E-2</v>
      </c>
      <c r="P88" s="50">
        <v>-1.9508337952394039E-2</v>
      </c>
      <c r="Q88" s="50">
        <v>-4.1168552882257736E-2</v>
      </c>
      <c r="R88" s="47">
        <v>-3.0629641868547729E-2</v>
      </c>
      <c r="S88" s="50">
        <v>-6.8455575432319615E-2</v>
      </c>
      <c r="T88" s="50">
        <v>-3.716659379099152E-3</v>
      </c>
      <c r="U88" s="50">
        <v>-3.3546511367155474E-2</v>
      </c>
      <c r="V88" s="50">
        <v>5.568509472067662E-3</v>
      </c>
      <c r="W88" s="50">
        <f t="shared" si="135"/>
        <v>-3.0629641868547729E-2</v>
      </c>
      <c r="Y88" s="63">
        <v>0.03</v>
      </c>
      <c r="Z88">
        <v>30</v>
      </c>
      <c r="AO88" t="str">
        <f t="shared" si="136"/>
        <v/>
      </c>
      <c r="AQ88" s="3">
        <v>45415</v>
      </c>
      <c r="AR88" s="59">
        <v>-6.1501796364851646E-2</v>
      </c>
      <c r="AS88" s="59">
        <v>-1.6615811188253171E-2</v>
      </c>
      <c r="AT88" s="59">
        <v>-3.3998446260501747E-2</v>
      </c>
      <c r="AU88" s="59">
        <v>-4.1857061059331957E-2</v>
      </c>
      <c r="AV88" s="59">
        <v>-1.9508337952394039E-2</v>
      </c>
      <c r="AW88" s="59">
        <v>-4.1168552882257736E-2</v>
      </c>
      <c r="AX88" s="59">
        <v>-3.0629641868547729E-2</v>
      </c>
      <c r="AY88" s="59">
        <v>-6.8455575432319615E-2</v>
      </c>
      <c r="AZ88" s="59">
        <v>-3.716659379099152E-3</v>
      </c>
      <c r="BA88" s="59">
        <v>-3.3546511367155474E-2</v>
      </c>
      <c r="BB88" s="59">
        <v>5.568509472067662E-3</v>
      </c>
      <c r="BC88" t="s">
        <v>443</v>
      </c>
    </row>
    <row r="89" spans="1:58" ht="14.65" thickBot="1" x14ac:dyDescent="0.5">
      <c r="A89" s="3">
        <v>45408</v>
      </c>
      <c r="B89" s="48">
        <v>124.4736</v>
      </c>
      <c r="C89" s="48">
        <v>111.05325999999999</v>
      </c>
      <c r="D89" s="48">
        <v>155.36709999999999</v>
      </c>
      <c r="E89" s="48">
        <v>129.32585</v>
      </c>
      <c r="F89" s="48">
        <v>35.73959</v>
      </c>
      <c r="G89" s="48">
        <v>50.326520000000002</v>
      </c>
      <c r="H89">
        <v>83.85</v>
      </c>
      <c r="I89" s="48">
        <v>4.5739999999999998</v>
      </c>
      <c r="J89" s="49">
        <v>731.33864000000005</v>
      </c>
      <c r="K89" s="49">
        <v>9621.0413700000008</v>
      </c>
      <c r="L89" s="50">
        <v>6.6470588996445645E-3</v>
      </c>
      <c r="M89" s="50">
        <v>-1.601600696929073E-2</v>
      </c>
      <c r="N89" s="50">
        <v>3.6812502469123931E-2</v>
      </c>
      <c r="O89" s="50">
        <v>1.899827356470718E-2</v>
      </c>
      <c r="P89" s="50">
        <v>2.4662422325167466E-2</v>
      </c>
      <c r="Q89" s="50">
        <v>1.6978429594279865E-2</v>
      </c>
      <c r="R89" s="47">
        <v>1.6287124196797544E-2</v>
      </c>
      <c r="S89" s="50">
        <v>1.9824860131354871E-2</v>
      </c>
      <c r="T89" s="50">
        <v>1.7009449694274759E-2</v>
      </c>
      <c r="U89" s="50">
        <v>7.3716063353481687E-3</v>
      </c>
      <c r="V89" s="50">
        <v>2.6765292201754498E-2</v>
      </c>
      <c r="W89" s="50">
        <f t="shared" si="135"/>
        <v>1.6287124196797544E-2</v>
      </c>
      <c r="Y89" s="63">
        <v>0.04</v>
      </c>
      <c r="Z89">
        <v>16</v>
      </c>
      <c r="AO89" t="str">
        <f t="shared" si="136"/>
        <v/>
      </c>
      <c r="AQ89" s="3">
        <v>45408</v>
      </c>
      <c r="AR89" s="59">
        <v>6.6470588996445645E-3</v>
      </c>
      <c r="AS89" s="59">
        <v>-1.601600696929073E-2</v>
      </c>
      <c r="AT89" s="59">
        <v>3.6812502469123931E-2</v>
      </c>
      <c r="AU89" s="59">
        <v>1.899827356470718E-2</v>
      </c>
      <c r="AV89" s="59">
        <v>2.4662422325167466E-2</v>
      </c>
      <c r="AW89" s="59">
        <v>1.6978429594279865E-2</v>
      </c>
      <c r="AX89" s="59">
        <v>1.6287124196797544E-2</v>
      </c>
      <c r="AY89" s="59">
        <v>1.9824860131354871E-2</v>
      </c>
      <c r="AZ89" s="59">
        <v>1.7009449694274759E-2</v>
      </c>
      <c r="BA89" s="59">
        <v>7.3716063353481687E-3</v>
      </c>
      <c r="BB89" s="59">
        <v>2.6765292201754498E-2</v>
      </c>
    </row>
    <row r="90" spans="1:58" x14ac:dyDescent="0.45">
      <c r="A90" s="3">
        <v>45401</v>
      </c>
      <c r="B90" s="48">
        <v>123.65168</v>
      </c>
      <c r="C90" s="48">
        <v>112.86084</v>
      </c>
      <c r="D90" s="48">
        <v>149.85072</v>
      </c>
      <c r="E90" s="48">
        <v>126.91468999999999</v>
      </c>
      <c r="F90" s="48">
        <v>34.879379999999998</v>
      </c>
      <c r="G90" s="48">
        <v>49.486319999999999</v>
      </c>
      <c r="H90">
        <v>82.22</v>
      </c>
      <c r="I90" s="48">
        <v>4.4974999999999996</v>
      </c>
      <c r="J90" s="49">
        <v>725.98694999999998</v>
      </c>
      <c r="K90" s="49">
        <v>9370.2440499999993</v>
      </c>
      <c r="L90" s="50">
        <v>-1.3871957419625436E-2</v>
      </c>
      <c r="M90" s="50">
        <v>-4.0707840435431075E-3</v>
      </c>
      <c r="N90" s="50">
        <v>6.5425285852338533E-3</v>
      </c>
      <c r="O90" s="50">
        <v>-9.0042895230926234E-3</v>
      </c>
      <c r="P90" s="50">
        <v>-2.3326612050762141E-2</v>
      </c>
      <c r="Q90" s="50">
        <v>-2.9764087112450377E-2</v>
      </c>
      <c r="R90" s="47">
        <v>-1.1924648828922879E-2</v>
      </c>
      <c r="S90" s="50">
        <v>-3.3615420780441885E-2</v>
      </c>
      <c r="T90" s="50">
        <v>5.6123048021603728E-2</v>
      </c>
      <c r="U90" s="50">
        <v>-1.2213801322010998E-2</v>
      </c>
      <c r="V90" s="50">
        <v>-3.0398565305397085E-2</v>
      </c>
      <c r="W90" s="50">
        <f t="shared" si="135"/>
        <v>-1.1924648828922879E-2</v>
      </c>
      <c r="Y90" s="63">
        <v>0.05</v>
      </c>
      <c r="Z90">
        <v>20</v>
      </c>
      <c r="AO90" t="str">
        <f t="shared" si="136"/>
        <v/>
      </c>
      <c r="AQ90" s="3">
        <v>45401</v>
      </c>
      <c r="AR90" s="59">
        <v>-1.3871957419625436E-2</v>
      </c>
      <c r="AS90" s="59">
        <v>-4.0707840435431075E-3</v>
      </c>
      <c r="AT90" s="59">
        <v>6.5425285852338533E-3</v>
      </c>
      <c r="AU90" s="59">
        <v>-9.0042895230926234E-3</v>
      </c>
      <c r="AV90" s="59">
        <v>-2.3326612050762141E-2</v>
      </c>
      <c r="AW90" s="59">
        <v>-2.9764087112450377E-2</v>
      </c>
      <c r="AX90" s="59">
        <v>-1.1924648828922879E-2</v>
      </c>
      <c r="AY90" s="59">
        <v>-3.3615420780441885E-2</v>
      </c>
      <c r="AZ90" s="59">
        <v>5.6123048021603728E-2</v>
      </c>
      <c r="BA90" s="59">
        <v>-1.2213801322010998E-2</v>
      </c>
      <c r="BB90" s="59">
        <v>-3.0398565305397085E-2</v>
      </c>
      <c r="BC90" s="65"/>
      <c r="BD90" s="65" t="s">
        <v>419</v>
      </c>
      <c r="BE90" s="65" t="s">
        <v>420</v>
      </c>
    </row>
    <row r="91" spans="1:58" x14ac:dyDescent="0.45">
      <c r="A91" s="3">
        <v>45394</v>
      </c>
      <c r="B91" s="48">
        <v>125.39109999999999</v>
      </c>
      <c r="C91" s="48">
        <v>113.32214999999999</v>
      </c>
      <c r="D91" s="48">
        <v>148.87669</v>
      </c>
      <c r="E91" s="48">
        <v>128.06784999999999</v>
      </c>
      <c r="F91" s="48">
        <v>35.712429999999998</v>
      </c>
      <c r="G91" s="48">
        <v>51.004420000000003</v>
      </c>
      <c r="H91">
        <v>85.08</v>
      </c>
      <c r="I91" s="48">
        <v>4.2584999999999997</v>
      </c>
      <c r="J91" s="49">
        <v>734.96365000000003</v>
      </c>
      <c r="K91" s="49">
        <v>9664.0162799999998</v>
      </c>
      <c r="L91" s="50">
        <v>-1.7375661378978391E-2</v>
      </c>
      <c r="M91" s="50">
        <v>-8.2392818010285085E-3</v>
      </c>
      <c r="N91" s="50">
        <v>-1.6336653975709048E-2</v>
      </c>
      <c r="O91" s="50">
        <v>-4.7815117985534616E-3</v>
      </c>
      <c r="P91" s="50">
        <v>2.0175883380491699E-2</v>
      </c>
      <c r="Q91" s="50">
        <v>2.8158989563755732E-3</v>
      </c>
      <c r="R91" s="47">
        <v>-1.273133047684749E-3</v>
      </c>
      <c r="S91" s="50">
        <v>-2.1056265101829452E-2</v>
      </c>
      <c r="T91" s="50">
        <v>5.3116147308782669E-3</v>
      </c>
      <c r="U91" s="50">
        <v>-1.924566039443909E-2</v>
      </c>
      <c r="V91" s="50">
        <v>-1.532870798222663E-2</v>
      </c>
      <c r="W91" s="50">
        <f t="shared" si="135"/>
        <v>-1.273133047684749E-3</v>
      </c>
      <c r="Y91" s="63">
        <v>6.0000000000000005E-2</v>
      </c>
      <c r="Z91">
        <v>5</v>
      </c>
      <c r="AO91" t="str">
        <f t="shared" si="136"/>
        <v/>
      </c>
      <c r="AQ91" s="3">
        <v>45394</v>
      </c>
      <c r="AR91" s="59">
        <v>-1.7375661378978391E-2</v>
      </c>
      <c r="AS91" s="59">
        <v>-8.2392818010285085E-3</v>
      </c>
      <c r="AT91" s="59">
        <v>-1.6336653975709048E-2</v>
      </c>
      <c r="AU91" s="59">
        <v>-4.7815117985534616E-3</v>
      </c>
      <c r="AV91" s="59">
        <v>2.0175883380491699E-2</v>
      </c>
      <c r="AW91" s="59">
        <v>2.8158989563755732E-3</v>
      </c>
      <c r="AX91" s="59">
        <v>-1.273133047684749E-3</v>
      </c>
      <c r="AY91" s="59">
        <v>-2.1056265101829452E-2</v>
      </c>
      <c r="AZ91" s="59">
        <v>5.3116147308782669E-3</v>
      </c>
      <c r="BA91" s="59">
        <v>-1.924566039443909E-2</v>
      </c>
      <c r="BB91" s="59">
        <v>-1.532870798222663E-2</v>
      </c>
      <c r="BC91" t="s">
        <v>421</v>
      </c>
      <c r="BD91">
        <v>1.9063796909576487E-3</v>
      </c>
      <c r="BE91">
        <v>5.1752804212653759E-3</v>
      </c>
    </row>
    <row r="92" spans="1:58" x14ac:dyDescent="0.45">
      <c r="A92" s="3">
        <v>45387</v>
      </c>
      <c r="B92" s="48">
        <v>127.60838</v>
      </c>
      <c r="C92" s="48">
        <v>114.2636</v>
      </c>
      <c r="D92" s="48">
        <v>151.34923000000001</v>
      </c>
      <c r="E92" s="48">
        <v>128.68315000000001</v>
      </c>
      <c r="F92" s="48">
        <v>35.006149999999998</v>
      </c>
      <c r="G92" s="48">
        <v>50.861199999999997</v>
      </c>
      <c r="H92">
        <v>86.91</v>
      </c>
      <c r="I92" s="48">
        <v>4.2359999999999998</v>
      </c>
      <c r="J92" s="49">
        <v>749.38607999999999</v>
      </c>
      <c r="K92" s="49">
        <v>9814.4592599999996</v>
      </c>
      <c r="L92" s="50">
        <v>4.9025744327782173E-2</v>
      </c>
      <c r="M92" s="50">
        <v>4.4132822742334987E-2</v>
      </c>
      <c r="N92" s="50">
        <v>2.4470657007509722E-2</v>
      </c>
      <c r="O92" s="50">
        <v>6.3360452437724035E-2</v>
      </c>
      <c r="P92" s="50">
        <v>2.6008557752814632E-2</v>
      </c>
      <c r="Q92" s="50">
        <v>6.157822442603389E-2</v>
      </c>
      <c r="R92" s="47">
        <v>4.3910142873283452E-2</v>
      </c>
      <c r="S92" s="50">
        <v>4.4968137549597165E-2</v>
      </c>
      <c r="T92" s="50">
        <v>5.7149987521836865E-2</v>
      </c>
      <c r="U92" s="50">
        <v>3.902129862688164E-2</v>
      </c>
      <c r="V92" s="50">
        <v>-9.3741513009079069E-3</v>
      </c>
      <c r="W92" s="50">
        <f t="shared" si="135"/>
        <v>4.3910142873283452E-2</v>
      </c>
      <c r="Y92" s="63">
        <v>7.0000000000000007E-2</v>
      </c>
      <c r="Z92">
        <v>10</v>
      </c>
      <c r="AO92" t="str">
        <f t="shared" si="136"/>
        <v/>
      </c>
      <c r="AQ92" s="3">
        <v>45387</v>
      </c>
      <c r="AR92" s="59">
        <v>4.9025744327782173E-2</v>
      </c>
      <c r="AS92" s="59">
        <v>4.4132822742334987E-2</v>
      </c>
      <c r="AT92" s="59">
        <v>2.4470657007509722E-2</v>
      </c>
      <c r="AU92" s="59">
        <v>6.3360452437724035E-2</v>
      </c>
      <c r="AV92" s="59">
        <v>2.6008557752814632E-2</v>
      </c>
      <c r="AW92" s="59">
        <v>6.157822442603389E-2</v>
      </c>
      <c r="AX92" s="59">
        <v>4.3910142873283452E-2</v>
      </c>
      <c r="AY92" s="59">
        <v>4.4968137549597165E-2</v>
      </c>
      <c r="AZ92" s="59">
        <v>5.7149987521836865E-2</v>
      </c>
      <c r="BA92" s="59">
        <v>3.902129862688164E-2</v>
      </c>
      <c r="BB92" s="59">
        <v>-9.3741513009079069E-3</v>
      </c>
      <c r="BC92" t="s">
        <v>422</v>
      </c>
      <c r="BD92">
        <v>5.8106230133235829E-4</v>
      </c>
      <c r="BE92">
        <v>3.8424820548689373E-4</v>
      </c>
    </row>
    <row r="93" spans="1:58" x14ac:dyDescent="0.45">
      <c r="A93" s="3">
        <v>45379</v>
      </c>
      <c r="B93" s="48">
        <v>121.64466</v>
      </c>
      <c r="C93" s="48">
        <v>109.43397</v>
      </c>
      <c r="D93" s="48">
        <v>147.73408000000001</v>
      </c>
      <c r="E93" s="48">
        <v>121.01555</v>
      </c>
      <c r="F93" s="48">
        <v>34.118769999999998</v>
      </c>
      <c r="G93" s="48">
        <v>47.91093</v>
      </c>
      <c r="H93">
        <v>83.17</v>
      </c>
      <c r="I93" s="48">
        <v>4.0069999999999997</v>
      </c>
      <c r="J93" s="49">
        <v>721.24226999999996</v>
      </c>
      <c r="K93" s="49">
        <v>9907.3320899999999</v>
      </c>
      <c r="L93" s="50">
        <v>3.4544414350292429E-2</v>
      </c>
      <c r="M93" s="50">
        <v>2.423117827050203E-2</v>
      </c>
      <c r="N93" s="50">
        <v>1.9914676928355801E-2</v>
      </c>
      <c r="O93" s="50">
        <v>2.4030744053134434E-2</v>
      </c>
      <c r="P93" s="50">
        <v>-3.1746467672273404E-3</v>
      </c>
      <c r="Q93" s="50">
        <v>3.7420016166202386E-2</v>
      </c>
      <c r="R93" s="47">
        <v>2.0484393730193461E-2</v>
      </c>
      <c r="S93" s="50">
        <v>3.1501922361403922E-2</v>
      </c>
      <c r="T93" s="50">
        <v>-1.2476606363087672E-4</v>
      </c>
      <c r="U93" s="50">
        <v>2.2071931281339552E-2</v>
      </c>
      <c r="V93" s="50">
        <v>3.9592018721958944E-3</v>
      </c>
      <c r="W93" s="50">
        <f t="shared" si="135"/>
        <v>2.0484393730193461E-2</v>
      </c>
      <c r="Y93" s="63">
        <v>0.08</v>
      </c>
      <c r="Z93">
        <v>5</v>
      </c>
      <c r="AO93" t="str">
        <f t="shared" si="136"/>
        <v/>
      </c>
      <c r="AQ93" s="3">
        <v>45379</v>
      </c>
      <c r="AR93" s="59">
        <v>3.4544414350292429E-2</v>
      </c>
      <c r="AS93" s="59">
        <v>2.423117827050203E-2</v>
      </c>
      <c r="AT93" s="59">
        <v>1.9914676928355801E-2</v>
      </c>
      <c r="AU93" s="59">
        <v>2.4030744053134434E-2</v>
      </c>
      <c r="AV93" s="59">
        <v>-3.1746467672273404E-3</v>
      </c>
      <c r="AW93" s="59">
        <v>3.7420016166202386E-2</v>
      </c>
      <c r="AX93" s="59">
        <v>2.0484393730193461E-2</v>
      </c>
      <c r="AY93" s="59">
        <v>3.1501922361403922E-2</v>
      </c>
      <c r="AZ93" s="59">
        <v>-1.2476606363087672E-4</v>
      </c>
      <c r="BA93" s="59">
        <v>2.2071931281339552E-2</v>
      </c>
      <c r="BB93" s="59">
        <v>3.9592018721958944E-3</v>
      </c>
      <c r="BC93" t="s">
        <v>423</v>
      </c>
      <c r="BD93">
        <v>197</v>
      </c>
      <c r="BE93">
        <v>63</v>
      </c>
    </row>
    <row r="94" spans="1:58" x14ac:dyDescent="0.45">
      <c r="A94" s="3">
        <v>45373</v>
      </c>
      <c r="B94" s="48">
        <v>117.58283</v>
      </c>
      <c r="C94" s="48">
        <v>106.84499</v>
      </c>
      <c r="D94" s="48">
        <v>144.84944999999999</v>
      </c>
      <c r="E94" s="48">
        <v>118.17570000000001</v>
      </c>
      <c r="F94" s="48">
        <v>34.227429999999998</v>
      </c>
      <c r="G94" s="48">
        <v>46.182769999999998</v>
      </c>
      <c r="H94">
        <v>80.63</v>
      </c>
      <c r="I94" s="48">
        <v>4.0075000000000003</v>
      </c>
      <c r="J94" s="49">
        <v>705.66683999999998</v>
      </c>
      <c r="K94" s="49">
        <v>9868.2616500000004</v>
      </c>
      <c r="L94" s="50">
        <v>2.4908387615939054E-2</v>
      </c>
      <c r="M94" s="50">
        <v>1.9951511608470751E-2</v>
      </c>
      <c r="N94" s="50">
        <v>-5.7216696526019017E-3</v>
      </c>
      <c r="O94" s="50">
        <v>1.6695123350821461E-2</v>
      </c>
      <c r="P94" s="50">
        <v>8.2688376759705307E-3</v>
      </c>
      <c r="Q94" s="50">
        <v>1.5749552034687309E-2</v>
      </c>
      <c r="R94" s="47">
        <v>1.0988671003469629E-2</v>
      </c>
      <c r="S94" s="50">
        <v>6.2050136510305443E-4</v>
      </c>
      <c r="T94" s="50">
        <v>-2.8367074796945113E-2</v>
      </c>
      <c r="U94" s="50">
        <v>1.757034485618747E-2</v>
      </c>
      <c r="V94" s="50">
        <v>2.3036723753498078E-2</v>
      </c>
      <c r="W94" s="50">
        <f t="shared" si="135"/>
        <v>1.0988671003469629E-2</v>
      </c>
      <c r="Y94" s="63">
        <v>0.09</v>
      </c>
      <c r="Z94">
        <v>5</v>
      </c>
      <c r="AO94" t="str">
        <f t="shared" si="136"/>
        <v/>
      </c>
      <c r="AQ94" s="3">
        <v>45373</v>
      </c>
      <c r="AR94" s="59">
        <v>2.4908387615939054E-2</v>
      </c>
      <c r="AS94" s="59">
        <v>1.9951511608470751E-2</v>
      </c>
      <c r="AT94" s="59">
        <v>-5.7216696526019017E-3</v>
      </c>
      <c r="AU94" s="59">
        <v>1.6695123350821461E-2</v>
      </c>
      <c r="AV94" s="59">
        <v>8.2688376759705307E-3</v>
      </c>
      <c r="AW94" s="59">
        <v>1.5749552034687309E-2</v>
      </c>
      <c r="AX94" s="59">
        <v>1.0988671003469629E-2</v>
      </c>
      <c r="AY94" s="59">
        <v>6.2050136510305443E-4</v>
      </c>
      <c r="AZ94" s="59">
        <v>-2.8367074796945113E-2</v>
      </c>
      <c r="BA94" s="59">
        <v>1.757034485618747E-2</v>
      </c>
      <c r="BB94" s="59">
        <v>2.3036723753498078E-2</v>
      </c>
      <c r="BC94" t="s">
        <v>444</v>
      </c>
      <c r="BD94">
        <v>5.3376589070282807E-4</v>
      </c>
    </row>
    <row r="95" spans="1:58" x14ac:dyDescent="0.45">
      <c r="A95" s="3">
        <v>45366</v>
      </c>
      <c r="B95" s="48">
        <v>114.72521</v>
      </c>
      <c r="C95" s="48">
        <v>104.75497</v>
      </c>
      <c r="D95" s="48">
        <v>145.68299999999999</v>
      </c>
      <c r="E95" s="48">
        <v>116.23514</v>
      </c>
      <c r="F95" s="48">
        <v>33.946730000000002</v>
      </c>
      <c r="G95" s="48">
        <v>45.46669</v>
      </c>
      <c r="H95">
        <v>80.58</v>
      </c>
      <c r="I95" s="48">
        <v>4.1245000000000003</v>
      </c>
      <c r="J95" s="49">
        <v>693.48212000000001</v>
      </c>
      <c r="K95" s="49">
        <v>9646.0483000000004</v>
      </c>
      <c r="L95" s="50">
        <v>6.2300856570803864E-2</v>
      </c>
      <c r="M95" s="50">
        <v>2.6665375596160557E-2</v>
      </c>
      <c r="N95" s="50">
        <v>3.7830301142686817E-2</v>
      </c>
      <c r="O95" s="50">
        <v>3.4282414328222099E-2</v>
      </c>
      <c r="P95" s="50">
        <v>2.9662286768096013E-2</v>
      </c>
      <c r="Q95" s="50">
        <v>4.1293129667494766E-2</v>
      </c>
      <c r="R95" s="47">
        <v>3.3946701500532049E-2</v>
      </c>
      <c r="S95" s="50">
        <v>3.2944494295602977E-2</v>
      </c>
      <c r="T95" s="50">
        <v>5.9874084543235284E-2</v>
      </c>
      <c r="U95" s="50">
        <v>3.7373809796026114E-2</v>
      </c>
      <c r="V95" s="50">
        <v>-1.0396560923391363E-3</v>
      </c>
      <c r="W95" s="50">
        <f t="shared" si="135"/>
        <v>3.3946701500532049E-2</v>
      </c>
      <c r="Y95" s="63">
        <v>9.9999999999999992E-2</v>
      </c>
      <c r="Z95">
        <v>2</v>
      </c>
      <c r="AO95" t="str">
        <f t="shared" si="136"/>
        <v/>
      </c>
      <c r="AQ95" s="3">
        <v>45366</v>
      </c>
      <c r="AR95" s="59">
        <v>6.2300856570803864E-2</v>
      </c>
      <c r="AS95" s="59">
        <v>2.6665375596160557E-2</v>
      </c>
      <c r="AT95" s="59">
        <v>3.7830301142686817E-2</v>
      </c>
      <c r="AU95" s="59">
        <v>3.4282414328222099E-2</v>
      </c>
      <c r="AV95" s="59">
        <v>2.9662286768096013E-2</v>
      </c>
      <c r="AW95" s="59">
        <v>4.1293129667494766E-2</v>
      </c>
      <c r="AX95" s="59">
        <v>3.3946701500532049E-2</v>
      </c>
      <c r="AY95" s="59">
        <v>3.2944494295602977E-2</v>
      </c>
      <c r="AZ95" s="59">
        <v>5.9874084543235284E-2</v>
      </c>
      <c r="BA95" s="59">
        <v>3.7373809796026114E-2</v>
      </c>
      <c r="BB95" s="59">
        <v>-1.0396560923391363E-3</v>
      </c>
      <c r="BC95" t="s">
        <v>430</v>
      </c>
      <c r="BD95">
        <v>0</v>
      </c>
    </row>
    <row r="96" spans="1:58" ht="14.65" thickBot="1" x14ac:dyDescent="0.5">
      <c r="A96" s="3">
        <v>45359</v>
      </c>
      <c r="B96" s="48">
        <v>107.99691</v>
      </c>
      <c r="C96" s="48">
        <v>102.03419</v>
      </c>
      <c r="D96" s="48">
        <v>140.37266</v>
      </c>
      <c r="E96" s="48">
        <v>112.3824</v>
      </c>
      <c r="F96" s="48">
        <v>32.968800000000002</v>
      </c>
      <c r="G96" s="48">
        <v>43.663679999999999</v>
      </c>
      <c r="H96">
        <v>78.010000000000005</v>
      </c>
      <c r="I96" s="48">
        <v>3.8915000000000002</v>
      </c>
      <c r="J96" s="49">
        <v>668.49780999999996</v>
      </c>
      <c r="K96" s="49">
        <v>9656.0873100000008</v>
      </c>
      <c r="L96" s="50">
        <v>-1.0854261691487621E-2</v>
      </c>
      <c r="M96" s="50">
        <v>2.3998496230188238E-2</v>
      </c>
      <c r="N96" s="50">
        <v>-1.9174197636182555E-2</v>
      </c>
      <c r="O96" s="50">
        <v>2.2566685838245171E-2</v>
      </c>
      <c r="P96" s="50">
        <v>2.160508459923105E-2</v>
      </c>
      <c r="Q96" s="50">
        <v>3.9873872929834464E-2</v>
      </c>
      <c r="R96" s="47">
        <v>1.7773988392263275E-2</v>
      </c>
      <c r="S96" s="50">
        <v>-2.4509190946604864E-2</v>
      </c>
      <c r="T96" s="50">
        <v>7.7690016832838715E-3</v>
      </c>
      <c r="U96" s="50">
        <v>1.1634393557394596E-2</v>
      </c>
      <c r="V96" s="50">
        <v>-2.3690029850995664E-3</v>
      </c>
      <c r="W96" s="50">
        <f t="shared" si="135"/>
        <v>1.7773988392263275E-2</v>
      </c>
      <c r="Y96" s="64" t="s">
        <v>410</v>
      </c>
      <c r="Z96" s="64">
        <v>5</v>
      </c>
      <c r="AO96" t="str">
        <f t="shared" si="136"/>
        <v/>
      </c>
      <c r="AQ96" s="3">
        <v>45359</v>
      </c>
      <c r="AR96" s="59">
        <v>-1.0854261691487621E-2</v>
      </c>
      <c r="AS96" s="59">
        <v>2.3998496230188238E-2</v>
      </c>
      <c r="AT96" s="59">
        <v>-1.9174197636182555E-2</v>
      </c>
      <c r="AU96" s="59">
        <v>2.2566685838245171E-2</v>
      </c>
      <c r="AV96" s="59">
        <v>2.160508459923105E-2</v>
      </c>
      <c r="AW96" s="59">
        <v>3.9873872929834464E-2</v>
      </c>
      <c r="AX96" s="59">
        <v>1.7773988392263275E-2</v>
      </c>
      <c r="AY96" s="59">
        <v>-2.4509190946604864E-2</v>
      </c>
      <c r="AZ96" s="59">
        <v>7.7690016832838715E-3</v>
      </c>
      <c r="BA96" s="59">
        <v>1.1634393557394596E-2</v>
      </c>
      <c r="BB96" s="59">
        <v>-2.3690029850995664E-3</v>
      </c>
      <c r="BC96" t="s">
        <v>424</v>
      </c>
      <c r="BD96">
        <v>258</v>
      </c>
    </row>
    <row r="97" spans="1:58" x14ac:dyDescent="0.45">
      <c r="A97" s="3">
        <v>45352</v>
      </c>
      <c r="B97" s="48">
        <v>109.182</v>
      </c>
      <c r="C97" s="48">
        <v>99.642910000000001</v>
      </c>
      <c r="D97" s="48">
        <v>143.11680999999999</v>
      </c>
      <c r="E97" s="48">
        <v>109.90227</v>
      </c>
      <c r="F97" s="48">
        <v>32.271569999999997</v>
      </c>
      <c r="G97" s="48">
        <v>41.989400000000003</v>
      </c>
      <c r="H97">
        <v>79.97</v>
      </c>
      <c r="I97" s="48">
        <v>3.8614999999999999</v>
      </c>
      <c r="J97" s="49">
        <v>660.80969000000005</v>
      </c>
      <c r="K97" s="49">
        <v>9679.0169299999998</v>
      </c>
      <c r="L97" s="50">
        <v>2.448202582120329E-2</v>
      </c>
      <c r="M97" s="50">
        <v>1.9260431745045992E-2</v>
      </c>
      <c r="N97" s="50">
        <v>-1.1961660883075487E-2</v>
      </c>
      <c r="O97" s="50">
        <v>3.7904548940627336E-2</v>
      </c>
      <c r="P97" s="50">
        <v>7.348573408477499E-3</v>
      </c>
      <c r="Q97" s="50">
        <v>1.1622623472004046E-2</v>
      </c>
      <c r="R97" s="47">
        <v>1.2834903336615877E-2</v>
      </c>
      <c r="S97" s="50">
        <v>4.549614328670426E-2</v>
      </c>
      <c r="T97" s="50">
        <v>-4.7680412371133851E-3</v>
      </c>
      <c r="U97" s="50">
        <v>1.2966812119087345E-2</v>
      </c>
      <c r="V97" s="50">
        <v>9.7849640233411694E-3</v>
      </c>
      <c r="W97" s="50">
        <f t="shared" si="135"/>
        <v>1.2834903336615877E-2</v>
      </c>
      <c r="AO97" t="str">
        <f t="shared" si="136"/>
        <v/>
      </c>
      <c r="AQ97" s="3">
        <v>45352</v>
      </c>
      <c r="AR97" s="59">
        <v>2.448202582120329E-2</v>
      </c>
      <c r="AS97" s="59">
        <v>1.9260431745045992E-2</v>
      </c>
      <c r="AT97" s="59">
        <v>-1.1961660883075487E-2</v>
      </c>
      <c r="AU97" s="59">
        <v>3.7904548940627336E-2</v>
      </c>
      <c r="AV97" s="59">
        <v>7.348573408477499E-3</v>
      </c>
      <c r="AW97" s="59">
        <v>1.1622623472004046E-2</v>
      </c>
      <c r="AX97" s="59">
        <v>1.2834903336615877E-2</v>
      </c>
      <c r="AY97" s="59">
        <v>4.549614328670426E-2</v>
      </c>
      <c r="AZ97" s="59">
        <v>-4.7680412371133851E-3</v>
      </c>
      <c r="BA97" s="59">
        <v>1.2966812119087345E-2</v>
      </c>
      <c r="BB97" s="59">
        <v>9.7849640233411694E-3</v>
      </c>
      <c r="BC97" t="s">
        <v>431</v>
      </c>
      <c r="BD97">
        <v>-0.97755913224525404</v>
      </c>
    </row>
    <row r="98" spans="1:58" ht="14.65" thickBot="1" x14ac:dyDescent="0.5">
      <c r="A98" s="3">
        <v>45345</v>
      </c>
      <c r="B98" s="48">
        <v>106.57288</v>
      </c>
      <c r="C98" s="48">
        <v>97.760009999999994</v>
      </c>
      <c r="D98" s="48">
        <v>144.84944999999999</v>
      </c>
      <c r="E98" s="48">
        <v>105.88861</v>
      </c>
      <c r="F98" s="48">
        <v>32.036149999999999</v>
      </c>
      <c r="G98" s="48">
        <v>41.506979999999999</v>
      </c>
      <c r="H98">
        <v>76.489999999999995</v>
      </c>
      <c r="I98" s="48">
        <v>3.88</v>
      </c>
      <c r="J98" s="49">
        <v>652.35077999999999</v>
      </c>
      <c r="K98" s="49">
        <v>9585.2258399999992</v>
      </c>
      <c r="L98" s="50">
        <v>8.5014841330202096E-3</v>
      </c>
      <c r="M98" s="50">
        <v>1.0604522281936202E-3</v>
      </c>
      <c r="N98" s="50">
        <v>1.9396310047081755E-4</v>
      </c>
      <c r="O98" s="50">
        <v>-1.4970065450605308E-2</v>
      </c>
      <c r="P98" s="50">
        <v>-1.9744837385470282E-3</v>
      </c>
      <c r="Q98" s="50">
        <v>9.6641448767917915E-3</v>
      </c>
      <c r="R98" s="47">
        <v>-1.2051977967392213E-3</v>
      </c>
      <c r="S98" s="50">
        <v>-2.5108335457557973E-2</v>
      </c>
      <c r="T98" s="50">
        <v>1.0811514914680131E-2</v>
      </c>
      <c r="U98" s="50">
        <v>4.2461697140900867E-3</v>
      </c>
      <c r="V98" s="50">
        <v>1.6737239085197864E-2</v>
      </c>
      <c r="W98" s="50">
        <f t="shared" si="135"/>
        <v>-1.2051977967392213E-3</v>
      </c>
      <c r="AO98" t="str">
        <f t="shared" si="136"/>
        <v/>
      </c>
      <c r="AQ98" s="3">
        <v>45345</v>
      </c>
      <c r="AR98" s="59">
        <v>8.5014841330202096E-3</v>
      </c>
      <c r="AS98" s="59">
        <v>1.0604522281936202E-3</v>
      </c>
      <c r="AT98" s="59">
        <v>1.9396310047081755E-4</v>
      </c>
      <c r="AU98" s="59">
        <v>-1.4970065450605308E-2</v>
      </c>
      <c r="AV98" s="59">
        <v>-1.9744837385470282E-3</v>
      </c>
      <c r="AW98" s="59">
        <v>9.6641448767917915E-3</v>
      </c>
      <c r="AX98" s="59">
        <v>-1.2051977967392213E-3</v>
      </c>
      <c r="AY98" s="59">
        <v>-2.5108335457557973E-2</v>
      </c>
      <c r="AZ98" s="59">
        <v>1.0811514914680131E-2</v>
      </c>
      <c r="BA98" s="59">
        <v>4.2461697140900867E-3</v>
      </c>
      <c r="BB98" s="59">
        <v>1.6737239085197864E-2</v>
      </c>
      <c r="BC98" t="s">
        <v>432</v>
      </c>
      <c r="BD98" s="73">
        <v>0.1646040692672297</v>
      </c>
      <c r="BF98" t="s">
        <v>445</v>
      </c>
    </row>
    <row r="99" spans="1:58" x14ac:dyDescent="0.45">
      <c r="A99" s="3">
        <v>45338</v>
      </c>
      <c r="B99" s="48">
        <v>105.67449000000001</v>
      </c>
      <c r="C99" s="48">
        <v>97.656450000000007</v>
      </c>
      <c r="D99" s="48">
        <v>144.82136</v>
      </c>
      <c r="E99" s="48">
        <v>107.49786</v>
      </c>
      <c r="F99" s="48">
        <v>32.099530000000001</v>
      </c>
      <c r="G99" s="48">
        <v>41.109690000000001</v>
      </c>
      <c r="H99">
        <v>78.459999999999994</v>
      </c>
      <c r="I99" s="48">
        <v>3.8384999999999998</v>
      </c>
      <c r="J99" s="49">
        <v>649.59249999999997</v>
      </c>
      <c r="K99" s="49">
        <v>9427.4365799999996</v>
      </c>
      <c r="L99" s="50">
        <v>1.7881067862453026E-3</v>
      </c>
      <c r="M99" s="50">
        <v>2.8731798101254036E-2</v>
      </c>
      <c r="N99" s="50">
        <v>3.4939714005721267E-2</v>
      </c>
      <c r="O99" s="50">
        <v>2.2602437076592707E-2</v>
      </c>
      <c r="P99" s="50">
        <v>-1.3127745259023937E-2</v>
      </c>
      <c r="Q99" s="50">
        <v>4.4962713029367496E-2</v>
      </c>
      <c r="R99" s="47">
        <v>2.3621783390782313E-2</v>
      </c>
      <c r="S99" s="50">
        <v>2.2013807476878977E-2</v>
      </c>
      <c r="T99" s="50">
        <v>4.2645660736112978E-2</v>
      </c>
      <c r="U99" s="50">
        <v>2.1679387267135697E-2</v>
      </c>
      <c r="V99" s="50">
        <v>-3.6956719085288192E-3</v>
      </c>
      <c r="W99" s="50">
        <f t="shared" si="135"/>
        <v>2.3621783390782313E-2</v>
      </c>
      <c r="Y99" s="65" t="s">
        <v>409</v>
      </c>
      <c r="Z99" s="65" t="s">
        <v>2</v>
      </c>
      <c r="AO99" t="str">
        <f t="shared" si="136"/>
        <v/>
      </c>
      <c r="AQ99" s="3">
        <v>45338</v>
      </c>
      <c r="AR99" s="59">
        <v>1.7881067862453026E-3</v>
      </c>
      <c r="AS99" s="59">
        <v>2.8731798101254036E-2</v>
      </c>
      <c r="AT99" s="59">
        <v>3.4939714005721267E-2</v>
      </c>
      <c r="AU99" s="59">
        <v>2.2602437076592707E-2</v>
      </c>
      <c r="AV99" s="59">
        <v>-1.3127745259023937E-2</v>
      </c>
      <c r="AW99" s="59">
        <v>4.4962713029367496E-2</v>
      </c>
      <c r="AX99" s="59">
        <v>2.3621783390782313E-2</v>
      </c>
      <c r="AY99" s="59">
        <v>2.2013807476878977E-2</v>
      </c>
      <c r="AZ99" s="59">
        <v>4.2645660736112978E-2</v>
      </c>
      <c r="BA99" s="59">
        <v>2.1679387267135697E-2</v>
      </c>
      <c r="BB99" s="59">
        <v>-3.6956719085288192E-3</v>
      </c>
      <c r="BC99" t="s">
        <v>433</v>
      </c>
      <c r="BD99">
        <v>1.6507811021583365</v>
      </c>
    </row>
    <row r="100" spans="1:58" x14ac:dyDescent="0.45">
      <c r="A100" s="3">
        <v>45331</v>
      </c>
      <c r="B100" s="48">
        <v>105.48587000000001</v>
      </c>
      <c r="C100" s="48">
        <v>94.928970000000007</v>
      </c>
      <c r="D100" s="48">
        <v>139.93217000000001</v>
      </c>
      <c r="E100" s="48">
        <v>105.12184999999999</v>
      </c>
      <c r="F100" s="48">
        <v>32.526530000000001</v>
      </c>
      <c r="G100" s="48">
        <v>39.340820000000001</v>
      </c>
      <c r="H100">
        <v>76.77</v>
      </c>
      <c r="I100" s="48">
        <v>3.6815000000000002</v>
      </c>
      <c r="J100" s="49">
        <v>635.80856000000006</v>
      </c>
      <c r="K100" s="49">
        <v>9462.4065300000002</v>
      </c>
      <c r="L100" s="50">
        <v>4.7907793000994126E-3</v>
      </c>
      <c r="M100" s="50">
        <v>-1.961404199713801E-3</v>
      </c>
      <c r="N100" s="50">
        <v>-7.8822965215373797E-3</v>
      </c>
      <c r="O100" s="50">
        <v>1.8043024221661152E-3</v>
      </c>
      <c r="P100" s="50">
        <v>4.9653622530364316E-2</v>
      </c>
      <c r="Q100" s="50">
        <v>7.0216151890711842E-3</v>
      </c>
      <c r="R100" s="47">
        <v>9.7271678840700863E-3</v>
      </c>
      <c r="S100" s="50">
        <v>6.2119535141117899E-2</v>
      </c>
      <c r="T100" s="50">
        <v>-3.6634829255527857E-2</v>
      </c>
      <c r="U100" s="50">
        <v>-2.4180759034458932E-3</v>
      </c>
      <c r="V100" s="50">
        <v>1.3907275303434607E-2</v>
      </c>
      <c r="W100" s="50">
        <f t="shared" si="135"/>
        <v>9.7271678840700863E-3</v>
      </c>
      <c r="Y100" s="63">
        <v>-0.1</v>
      </c>
      <c r="Z100">
        <v>0</v>
      </c>
      <c r="AO100" t="str">
        <f t="shared" si="136"/>
        <v/>
      </c>
      <c r="AQ100" s="3">
        <v>45331</v>
      </c>
      <c r="AR100" s="59">
        <v>4.7907793000994126E-3</v>
      </c>
      <c r="AS100" s="59">
        <v>-1.961404199713801E-3</v>
      </c>
      <c r="AT100" s="59">
        <v>-7.8822965215373797E-3</v>
      </c>
      <c r="AU100" s="59">
        <v>1.8043024221661152E-3</v>
      </c>
      <c r="AV100" s="59">
        <v>4.9653622530364316E-2</v>
      </c>
      <c r="AW100" s="59">
        <v>7.0216151890711842E-3</v>
      </c>
      <c r="AX100" s="59">
        <v>9.7271678840700863E-3</v>
      </c>
      <c r="AY100" s="59">
        <v>6.2119535141117899E-2</v>
      </c>
      <c r="AZ100" s="59">
        <v>-3.6634829255527857E-2</v>
      </c>
      <c r="BA100" s="59">
        <v>-2.4180759034458932E-3</v>
      </c>
      <c r="BB100" s="59">
        <v>1.3907275303434607E-2</v>
      </c>
      <c r="BC100" t="s">
        <v>434</v>
      </c>
      <c r="BD100" s="73">
        <v>0.3292081385344594</v>
      </c>
    </row>
    <row r="101" spans="1:58" ht="14.65" thickBot="1" x14ac:dyDescent="0.5">
      <c r="A101" s="3">
        <v>45324</v>
      </c>
      <c r="B101" s="48">
        <v>104.98292000000001</v>
      </c>
      <c r="C101" s="48">
        <v>95.115530000000007</v>
      </c>
      <c r="D101" s="48">
        <v>141.04392000000001</v>
      </c>
      <c r="E101" s="48">
        <v>104.93252</v>
      </c>
      <c r="F101" s="48">
        <v>30.987870000000001</v>
      </c>
      <c r="G101" s="48">
        <v>39.066510000000001</v>
      </c>
      <c r="H101">
        <v>72.28</v>
      </c>
      <c r="I101" s="48">
        <v>3.8214999999999999</v>
      </c>
      <c r="J101" s="49">
        <v>637.34972000000005</v>
      </c>
      <c r="K101" s="49">
        <v>9332.61528</v>
      </c>
      <c r="L101" s="50">
        <v>-1.4256452389056373E-2</v>
      </c>
      <c r="M101" s="50">
        <v>-9.9999698156537642E-3</v>
      </c>
      <c r="N101" s="50">
        <v>2.0785847194690232E-2</v>
      </c>
      <c r="O101" s="50">
        <v>-4.0592048287242388E-2</v>
      </c>
      <c r="P101" s="50">
        <v>-2.7785473131432981E-2</v>
      </c>
      <c r="Q101" s="50">
        <v>-3.097125842611903E-2</v>
      </c>
      <c r="R101" s="47">
        <v>-1.7712580493151588E-2</v>
      </c>
      <c r="S101" s="50">
        <v>-7.3452121522881719E-2</v>
      </c>
      <c r="T101" s="50">
        <v>-7.917964693665569E-3</v>
      </c>
      <c r="U101" s="50">
        <v>-1.009234094432121E-2</v>
      </c>
      <c r="V101" s="50">
        <v>1.3991800330693138E-2</v>
      </c>
      <c r="W101" s="50">
        <f t="shared" si="135"/>
        <v>-1.7712580493151588E-2</v>
      </c>
      <c r="Y101" s="63">
        <v>-9.0000000000000011E-2</v>
      </c>
      <c r="Z101">
        <v>1</v>
      </c>
      <c r="AO101" t="str">
        <f t="shared" si="136"/>
        <v/>
      </c>
      <c r="AQ101" s="3">
        <v>45324</v>
      </c>
      <c r="AR101" s="59">
        <v>-1.4256452389056373E-2</v>
      </c>
      <c r="AS101" s="59">
        <v>-9.9999698156537642E-3</v>
      </c>
      <c r="AT101" s="59">
        <v>2.0785847194690232E-2</v>
      </c>
      <c r="AU101" s="59">
        <v>-4.0592048287242388E-2</v>
      </c>
      <c r="AV101" s="59">
        <v>-2.7785473131432981E-2</v>
      </c>
      <c r="AW101" s="59">
        <v>-3.097125842611903E-2</v>
      </c>
      <c r="AX101" s="59">
        <v>-1.7712580493151588E-2</v>
      </c>
      <c r="AY101" s="59">
        <v>-7.3452121522881719E-2</v>
      </c>
      <c r="AZ101" s="59">
        <v>-7.917964693665569E-3</v>
      </c>
      <c r="BA101" s="59">
        <v>-1.009234094432121E-2</v>
      </c>
      <c r="BB101" s="59">
        <v>1.3991800330693138E-2</v>
      </c>
      <c r="BC101" s="64" t="s">
        <v>435</v>
      </c>
      <c r="BD101" s="64">
        <v>1.9692013862339073</v>
      </c>
      <c r="BE101" s="64"/>
    </row>
    <row r="102" spans="1:58" x14ac:dyDescent="0.45">
      <c r="A102" s="3">
        <v>45317</v>
      </c>
      <c r="B102" s="48">
        <v>106.50125</v>
      </c>
      <c r="C102" s="48">
        <v>96.07629</v>
      </c>
      <c r="D102" s="48">
        <v>138.17189999999999</v>
      </c>
      <c r="E102" s="48">
        <v>109.37215999999999</v>
      </c>
      <c r="F102" s="48">
        <v>31.87349</v>
      </c>
      <c r="G102" s="48">
        <v>40.31512</v>
      </c>
      <c r="H102">
        <v>78.010000000000005</v>
      </c>
      <c r="I102" s="48">
        <v>3.8519999999999999</v>
      </c>
      <c r="J102" s="49">
        <v>643.84765000000004</v>
      </c>
      <c r="K102" s="49">
        <v>9203.8370300000006</v>
      </c>
      <c r="L102" s="50">
        <v>4.0419073930432425E-2</v>
      </c>
      <c r="M102" s="50">
        <v>6.2403346920929526E-2</v>
      </c>
      <c r="N102" s="50">
        <v>4.8509497125308387E-2</v>
      </c>
      <c r="O102" s="50">
        <v>4.8742803999239248E-2</v>
      </c>
      <c r="P102" s="50">
        <v>5.2584841531830406E-2</v>
      </c>
      <c r="Q102" s="50">
        <v>4.0273414468311231E-2</v>
      </c>
      <c r="R102" s="47">
        <v>5.0502780809123758E-2</v>
      </c>
      <c r="S102" s="50">
        <v>6.4982935153583776E-2</v>
      </c>
      <c r="T102" s="50">
        <v>1.7298296579955075E-2</v>
      </c>
      <c r="U102" s="50">
        <v>5.1478456616373069E-2</v>
      </c>
      <c r="V102" s="50">
        <v>1.0633099300134452E-2</v>
      </c>
      <c r="W102" s="50">
        <f t="shared" si="135"/>
        <v>5.0502780809123758E-2</v>
      </c>
      <c r="Y102" s="63">
        <v>-8.0000000000000016E-2</v>
      </c>
      <c r="Z102">
        <v>0</v>
      </c>
      <c r="AO102" t="str">
        <f t="shared" si="136"/>
        <v/>
      </c>
      <c r="AQ102" s="3">
        <v>45317</v>
      </c>
      <c r="AR102" s="59">
        <v>4.0419073930432425E-2</v>
      </c>
      <c r="AS102" s="59">
        <v>6.2403346920929526E-2</v>
      </c>
      <c r="AT102" s="59">
        <v>4.8509497125308387E-2</v>
      </c>
      <c r="AU102" s="59">
        <v>4.8742803999239248E-2</v>
      </c>
      <c r="AV102" s="59">
        <v>5.2584841531830406E-2</v>
      </c>
      <c r="AW102" s="59">
        <v>4.0273414468311231E-2</v>
      </c>
      <c r="AX102" s="59">
        <v>5.0502780809123758E-2</v>
      </c>
      <c r="AY102" s="59">
        <v>6.4982935153583776E-2</v>
      </c>
      <c r="AZ102" s="59">
        <v>1.7298296579955075E-2</v>
      </c>
      <c r="BA102" s="59">
        <v>5.1478456616373069E-2</v>
      </c>
      <c r="BB102" s="59">
        <v>1.0633099300134452E-2</v>
      </c>
    </row>
    <row r="103" spans="1:58" x14ac:dyDescent="0.45">
      <c r="A103" s="3">
        <v>45310</v>
      </c>
      <c r="B103" s="48">
        <v>102.3638</v>
      </c>
      <c r="C103" s="48">
        <v>90.432969999999997</v>
      </c>
      <c r="D103" s="48">
        <v>131.77934999999999</v>
      </c>
      <c r="E103" s="48">
        <v>104.28883</v>
      </c>
      <c r="F103" s="48">
        <v>30.28116</v>
      </c>
      <c r="G103" s="48">
        <v>38.754350000000002</v>
      </c>
      <c r="H103">
        <v>73.25</v>
      </c>
      <c r="I103" s="48">
        <v>3.7865000000000002</v>
      </c>
      <c r="J103" s="49">
        <v>612.32605000000001</v>
      </c>
      <c r="K103" s="49">
        <v>9107.0013799999997</v>
      </c>
      <c r="L103" s="50">
        <v>-3.4288285755526338E-2</v>
      </c>
      <c r="M103" s="50">
        <v>-3.0015023922757234E-2</v>
      </c>
      <c r="N103" s="50">
        <v>-3.4154936003470526E-2</v>
      </c>
      <c r="O103" s="50">
        <v>-4.3164771920823464E-2</v>
      </c>
      <c r="P103" s="50">
        <v>-2.8972889564006898E-2</v>
      </c>
      <c r="Q103" s="50">
        <v>-4.2085660803900082E-2</v>
      </c>
      <c r="R103" s="47">
        <v>-3.5678656442991639E-2</v>
      </c>
      <c r="S103" s="50">
        <v>6.3195493886520904E-3</v>
      </c>
      <c r="T103" s="50">
        <v>1.2297821146905585E-2</v>
      </c>
      <c r="U103" s="50">
        <v>-3.0781163005210277E-2</v>
      </c>
      <c r="V103" s="50">
        <v>1.1825020680413578E-2</v>
      </c>
      <c r="W103" s="50">
        <f t="shared" si="135"/>
        <v>-3.5678656442991639E-2</v>
      </c>
      <c r="Y103" s="63">
        <v>-7.0000000000000021E-2</v>
      </c>
      <c r="Z103">
        <v>0</v>
      </c>
      <c r="AO103" t="str">
        <f t="shared" si="136"/>
        <v/>
      </c>
      <c r="AQ103" s="3">
        <v>45310</v>
      </c>
      <c r="AR103" s="59">
        <v>-3.4288285755526338E-2</v>
      </c>
      <c r="AS103" s="59">
        <v>-3.0015023922757234E-2</v>
      </c>
      <c r="AT103" s="59">
        <v>-3.4154936003470526E-2</v>
      </c>
      <c r="AU103" s="59">
        <v>-4.3164771920823464E-2</v>
      </c>
      <c r="AV103" s="59">
        <v>-2.8972889564006898E-2</v>
      </c>
      <c r="AW103" s="59">
        <v>-4.2085660803900082E-2</v>
      </c>
      <c r="AX103" s="59">
        <v>-3.5678656442991639E-2</v>
      </c>
      <c r="AY103" s="59">
        <v>6.3195493886520904E-3</v>
      </c>
      <c r="AZ103" s="59">
        <v>1.2297821146905585E-2</v>
      </c>
      <c r="BA103" s="59">
        <v>-3.0781163005210277E-2</v>
      </c>
      <c r="BB103" s="59">
        <v>1.1825020680413578E-2</v>
      </c>
      <c r="BC103" t="s">
        <v>429</v>
      </c>
    </row>
    <row r="104" spans="1:58" ht="14.65" thickBot="1" x14ac:dyDescent="0.5">
      <c r="A104" s="3">
        <v>45303</v>
      </c>
      <c r="B104" s="48">
        <v>105.9983</v>
      </c>
      <c r="C104" s="48">
        <v>93.231309999999993</v>
      </c>
      <c r="D104" s="48">
        <v>136.43942999999999</v>
      </c>
      <c r="E104" s="48">
        <v>108.99351</v>
      </c>
      <c r="F104" s="48">
        <v>31.184670000000001</v>
      </c>
      <c r="G104" s="48">
        <v>40.457009999999997</v>
      </c>
      <c r="H104">
        <v>72.790000000000006</v>
      </c>
      <c r="I104" s="48">
        <v>3.7404999999999999</v>
      </c>
      <c r="J104" s="49">
        <v>631.77274999999997</v>
      </c>
      <c r="K104" s="49">
        <v>9000.5694600000006</v>
      </c>
      <c r="L104" s="50">
        <v>-4.1448607799333237E-2</v>
      </c>
      <c r="M104" s="50">
        <v>-2.6113232097051853E-2</v>
      </c>
      <c r="N104" s="50">
        <v>-2.0811151259329419E-2</v>
      </c>
      <c r="O104" s="50">
        <v>-3.5969415237295688E-2</v>
      </c>
      <c r="P104" s="50">
        <v>-3.2473072775176304E-2</v>
      </c>
      <c r="Q104" s="50">
        <v>-6.9003106160359651E-2</v>
      </c>
      <c r="R104" s="47">
        <v>-3.6873995505842583E-2</v>
      </c>
      <c r="S104" s="50">
        <v>-1.3819265682156856E-2</v>
      </c>
      <c r="T104" s="50">
        <v>-1.7209668943773071E-2</v>
      </c>
      <c r="U104" s="50">
        <v>-2.3875010687932741E-2</v>
      </c>
      <c r="V104" s="50">
        <v>1.864510879179937E-2</v>
      </c>
      <c r="W104" s="50">
        <f t="shared" si="135"/>
        <v>-3.6873995505842583E-2</v>
      </c>
      <c r="Y104" s="63">
        <v>-6.0000000000000019E-2</v>
      </c>
      <c r="Z104">
        <v>0</v>
      </c>
      <c r="AO104" t="str">
        <f t="shared" si="136"/>
        <v/>
      </c>
      <c r="AQ104" s="3">
        <v>45303</v>
      </c>
      <c r="AR104" s="59">
        <v>-4.1448607799333237E-2</v>
      </c>
      <c r="AS104" s="59">
        <v>-2.6113232097051853E-2</v>
      </c>
      <c r="AT104" s="59">
        <v>-2.0811151259329419E-2</v>
      </c>
      <c r="AU104" s="59">
        <v>-3.5969415237295688E-2</v>
      </c>
      <c r="AV104" s="59">
        <v>-3.2473072775176304E-2</v>
      </c>
      <c r="AW104" s="59">
        <v>-6.9003106160359651E-2</v>
      </c>
      <c r="AX104" s="59">
        <v>-3.6873995505842583E-2</v>
      </c>
      <c r="AY104" s="59">
        <v>-1.3819265682156856E-2</v>
      </c>
      <c r="AZ104" s="59">
        <v>-1.7209668943773071E-2</v>
      </c>
      <c r="BA104" s="59">
        <v>-2.3875010687932741E-2</v>
      </c>
      <c r="BB104" s="59">
        <v>1.864510879179937E-2</v>
      </c>
    </row>
    <row r="105" spans="1:58" x14ac:dyDescent="0.45">
      <c r="A105" s="3">
        <v>45296</v>
      </c>
      <c r="B105" s="48">
        <v>110.58176</v>
      </c>
      <c r="C105" s="48">
        <v>95.731160000000003</v>
      </c>
      <c r="D105" s="48">
        <v>139.33923999999999</v>
      </c>
      <c r="E105" s="48">
        <v>113.06022</v>
      </c>
      <c r="F105" s="48">
        <v>32.231319999999997</v>
      </c>
      <c r="G105" s="48">
        <v>43.455579999999998</v>
      </c>
      <c r="H105">
        <v>73.81</v>
      </c>
      <c r="I105" s="48">
        <v>3.806</v>
      </c>
      <c r="J105" s="49">
        <v>647.22526000000005</v>
      </c>
      <c r="K105" s="49">
        <v>8835.8245499999994</v>
      </c>
      <c r="L105" s="50">
        <v>3.9631308624865635E-3</v>
      </c>
      <c r="M105" s="50">
        <v>2.6505238619633609E-2</v>
      </c>
      <c r="N105" s="50">
        <v>8.3132384782360624E-3</v>
      </c>
      <c r="O105" s="50">
        <v>-4.7127718096752202E-3</v>
      </c>
      <c r="P105" s="50">
        <v>1.7796659944789184E-2</v>
      </c>
      <c r="Q105" s="50">
        <v>1.4128058708724467E-2</v>
      </c>
      <c r="R105" s="47">
        <v>1.2406084788341621E-2</v>
      </c>
      <c r="S105" s="50">
        <v>3.0146545708304107E-2</v>
      </c>
      <c r="T105" s="50">
        <v>-2.1719573319624708E-2</v>
      </c>
      <c r="U105" s="50">
        <v>1.1213548732786682E-2</v>
      </c>
      <c r="V105" s="50">
        <v>-1.507591786951834E-2</v>
      </c>
      <c r="W105" s="50">
        <f t="shared" si="135"/>
        <v>1.2406084788341621E-2</v>
      </c>
      <c r="Y105" s="63">
        <v>-5.0000000000000017E-2</v>
      </c>
      <c r="Z105">
        <v>4</v>
      </c>
      <c r="AO105" t="str">
        <f t="shared" si="136"/>
        <v/>
      </c>
      <c r="AQ105" s="3">
        <v>45296</v>
      </c>
      <c r="AR105" s="59">
        <v>3.9631308624865635E-3</v>
      </c>
      <c r="AS105" s="59">
        <v>2.6505238619633609E-2</v>
      </c>
      <c r="AT105" s="59">
        <v>8.3132384782360624E-3</v>
      </c>
      <c r="AU105" s="59">
        <v>-4.7127718096752202E-3</v>
      </c>
      <c r="AV105" s="59">
        <v>1.7796659944789184E-2</v>
      </c>
      <c r="AW105" s="59">
        <v>1.4128058708724467E-2</v>
      </c>
      <c r="AX105" s="59">
        <v>1.2406084788341621E-2</v>
      </c>
      <c r="AY105" s="59">
        <v>3.0146545708304107E-2</v>
      </c>
      <c r="AZ105" s="59">
        <v>-2.1719573319624708E-2</v>
      </c>
      <c r="BA105" s="59">
        <v>1.1213548732786682E-2</v>
      </c>
      <c r="BB105" s="59">
        <v>-1.507591786951834E-2</v>
      </c>
      <c r="BC105" s="65"/>
      <c r="BD105" s="65" t="s">
        <v>419</v>
      </c>
      <c r="BE105" s="65" t="s">
        <v>420</v>
      </c>
    </row>
    <row r="106" spans="1:58" x14ac:dyDescent="0.45">
      <c r="A106" s="3">
        <v>45289</v>
      </c>
      <c r="B106" s="48">
        <v>110.14524</v>
      </c>
      <c r="C106" s="48">
        <v>93.259299999999996</v>
      </c>
      <c r="D106" s="48">
        <v>138.19042999999999</v>
      </c>
      <c r="E106" s="48">
        <v>113.59557</v>
      </c>
      <c r="F106" s="48">
        <v>31.667739999999998</v>
      </c>
      <c r="G106" s="48">
        <v>42.850189999999998</v>
      </c>
      <c r="H106">
        <v>71.650000000000006</v>
      </c>
      <c r="I106" s="48">
        <v>3.8904999999999998</v>
      </c>
      <c r="J106" s="49">
        <v>640.04804999999999</v>
      </c>
      <c r="K106" s="49">
        <v>8971.0716900000007</v>
      </c>
      <c r="L106" s="50">
        <v>-1.3513523195927912E-2</v>
      </c>
      <c r="M106" s="50">
        <v>-1.8938231988450238E-2</v>
      </c>
      <c r="N106" s="50">
        <v>-1.2512448063990211E-2</v>
      </c>
      <c r="O106" s="50">
        <v>-1.0795722221303095E-2</v>
      </c>
      <c r="P106" s="50">
        <v>1.9813245448838668E-3</v>
      </c>
      <c r="Q106" s="50">
        <v>-1.1132955065480843E-2</v>
      </c>
      <c r="R106" s="47">
        <v>-1.0279606558868105E-2</v>
      </c>
      <c r="S106" s="50">
        <v>-2.5965198477433393E-2</v>
      </c>
      <c r="T106" s="50">
        <v>3.8570326562092916E-4</v>
      </c>
      <c r="U106" s="50">
        <v>-1.3660257603969939E-2</v>
      </c>
      <c r="V106" s="50">
        <v>3.3705150737945999E-3</v>
      </c>
      <c r="W106" s="50">
        <f t="shared" si="135"/>
        <v>-1.0279606558868105E-2</v>
      </c>
      <c r="Y106" s="63">
        <v>-4.0000000000000015E-2</v>
      </c>
      <c r="Z106">
        <v>5</v>
      </c>
      <c r="AO106" t="str">
        <f t="shared" si="136"/>
        <v/>
      </c>
      <c r="AQ106" s="3">
        <v>45289</v>
      </c>
      <c r="AR106" s="59">
        <v>-1.3513523195927912E-2</v>
      </c>
      <c r="AS106" s="59">
        <v>-1.8938231988450238E-2</v>
      </c>
      <c r="AT106" s="59">
        <v>-1.2512448063990211E-2</v>
      </c>
      <c r="AU106" s="59">
        <v>-1.0795722221303095E-2</v>
      </c>
      <c r="AV106" s="59">
        <v>1.9813245448838668E-3</v>
      </c>
      <c r="AW106" s="59">
        <v>-1.1132955065480843E-2</v>
      </c>
      <c r="AX106" s="59">
        <v>-1.0279606558868105E-2</v>
      </c>
      <c r="AY106" s="59">
        <v>-2.5965198477433393E-2</v>
      </c>
      <c r="AZ106" s="59">
        <v>3.8570326562092916E-4</v>
      </c>
      <c r="BA106" s="59">
        <v>-1.3660257603969939E-2</v>
      </c>
      <c r="BB106" s="59">
        <v>3.3705150737945999E-3</v>
      </c>
      <c r="BC106" t="s">
        <v>421</v>
      </c>
      <c r="BD106">
        <v>1.9063796909576487E-3</v>
      </c>
      <c r="BE106">
        <v>5.1752804212653759E-3</v>
      </c>
    </row>
    <row r="107" spans="1:58" x14ac:dyDescent="0.45">
      <c r="A107" s="3">
        <v>45282</v>
      </c>
      <c r="B107" s="48">
        <v>111.65407999999999</v>
      </c>
      <c r="C107" s="48">
        <v>95.059560000000005</v>
      </c>
      <c r="D107" s="48">
        <v>139.94144</v>
      </c>
      <c r="E107" s="48">
        <v>114.8353</v>
      </c>
      <c r="F107" s="48">
        <v>31.605119999999999</v>
      </c>
      <c r="G107" s="48">
        <v>43.332610000000003</v>
      </c>
      <c r="H107">
        <v>73.56</v>
      </c>
      <c r="I107" s="48">
        <v>3.8889999999999998</v>
      </c>
      <c r="J107" s="49">
        <v>648.91236000000004</v>
      </c>
      <c r="K107" s="49">
        <v>8940.93613</v>
      </c>
      <c r="L107" s="50">
        <v>2.7239387436249318E-2</v>
      </c>
      <c r="M107" s="50">
        <v>1.0009939708311322E-2</v>
      </c>
      <c r="N107" s="50">
        <v>1.1382671783320975E-2</v>
      </c>
      <c r="O107" s="50">
        <v>1.7983515863959854E-2</v>
      </c>
      <c r="P107" s="50">
        <v>1.493804582216729E-2</v>
      </c>
      <c r="Q107" s="50">
        <v>2.0949527182528183E-2</v>
      </c>
      <c r="R107" s="47">
        <v>1.5052740072057525E-2</v>
      </c>
      <c r="S107" s="50">
        <v>2.4797993870158797E-2</v>
      </c>
      <c r="T107" s="50">
        <v>1.1584502509975891E-3</v>
      </c>
      <c r="U107" s="50">
        <v>1.6646203049943242E-2</v>
      </c>
      <c r="V107" s="50">
        <v>7.6595112198400983E-3</v>
      </c>
      <c r="W107" s="50">
        <f t="shared" si="135"/>
        <v>1.5052740072057525E-2</v>
      </c>
      <c r="Y107" s="63">
        <v>-3.0000000000000013E-2</v>
      </c>
      <c r="Z107">
        <v>8</v>
      </c>
      <c r="AO107" t="str">
        <f t="shared" si="136"/>
        <v/>
      </c>
      <c r="AQ107" s="3">
        <v>45282</v>
      </c>
      <c r="AR107" s="59">
        <v>2.7239387436249318E-2</v>
      </c>
      <c r="AS107" s="59">
        <v>1.0009939708311322E-2</v>
      </c>
      <c r="AT107" s="59">
        <v>1.1382671783320975E-2</v>
      </c>
      <c r="AU107" s="59">
        <v>1.7983515863959854E-2</v>
      </c>
      <c r="AV107" s="59">
        <v>1.493804582216729E-2</v>
      </c>
      <c r="AW107" s="59">
        <v>2.0949527182528183E-2</v>
      </c>
      <c r="AX107" s="59">
        <v>1.5052740072057525E-2</v>
      </c>
      <c r="AY107" s="59">
        <v>2.4797993870158797E-2</v>
      </c>
      <c r="AZ107" s="59">
        <v>1.1584502509975891E-3</v>
      </c>
      <c r="BA107" s="59">
        <v>1.6646203049943242E-2</v>
      </c>
      <c r="BB107" s="59">
        <v>7.6595112198400983E-3</v>
      </c>
      <c r="BC107" t="s">
        <v>422</v>
      </c>
      <c r="BD107">
        <v>5.8106230133235829E-4</v>
      </c>
      <c r="BE107">
        <v>3.8424820548689373E-4</v>
      </c>
    </row>
    <row r="108" spans="1:58" x14ac:dyDescent="0.45">
      <c r="A108" s="3">
        <v>45275</v>
      </c>
      <c r="B108" s="48">
        <v>108.69334000000001</v>
      </c>
      <c r="C108" s="48">
        <v>94.117450000000005</v>
      </c>
      <c r="D108" s="48">
        <v>138.36645999999999</v>
      </c>
      <c r="E108" s="48">
        <v>112.80664</v>
      </c>
      <c r="F108" s="48">
        <v>31.139949999999999</v>
      </c>
      <c r="G108" s="48">
        <v>42.443440000000002</v>
      </c>
      <c r="H108">
        <v>71.78</v>
      </c>
      <c r="I108" s="48">
        <v>3.8845000000000001</v>
      </c>
      <c r="J108" s="49">
        <v>638.28729999999996</v>
      </c>
      <c r="K108" s="49">
        <v>8872.9734900000003</v>
      </c>
      <c r="L108" s="50">
        <v>2.2039800499147111E-2</v>
      </c>
      <c r="M108" s="50">
        <v>1.3560999459390821E-2</v>
      </c>
      <c r="N108" s="50">
        <v>3.4924838689482263E-2</v>
      </c>
      <c r="O108" s="50">
        <v>2.261375387117659E-2</v>
      </c>
      <c r="P108" s="50">
        <v>-1.3880743346376123E-2</v>
      </c>
      <c r="Q108" s="50">
        <v>3.5725990198492319E-2</v>
      </c>
      <c r="R108" s="47">
        <v>1.8588967774433175E-2</v>
      </c>
      <c r="S108" s="50">
        <v>7.7214656745752119E-3</v>
      </c>
      <c r="T108" s="50">
        <v>1.6884816753926835E-2</v>
      </c>
      <c r="U108" s="50">
        <v>2.4172064843849039E-2</v>
      </c>
      <c r="V108" s="50">
        <v>2.518795189788503E-2</v>
      </c>
      <c r="W108" s="50">
        <f t="shared" si="135"/>
        <v>1.8588967774433175E-2</v>
      </c>
      <c r="Y108" s="63">
        <v>-2.0000000000000011E-2</v>
      </c>
      <c r="Z108">
        <v>22</v>
      </c>
      <c r="AO108" t="str">
        <f t="shared" si="136"/>
        <v/>
      </c>
      <c r="AQ108" s="3">
        <v>45275</v>
      </c>
      <c r="AR108" s="59">
        <v>2.2039800499147111E-2</v>
      </c>
      <c r="AS108" s="59">
        <v>1.3560999459390821E-2</v>
      </c>
      <c r="AT108" s="59">
        <v>3.4924838689482263E-2</v>
      </c>
      <c r="AU108" s="59">
        <v>2.261375387117659E-2</v>
      </c>
      <c r="AV108" s="59">
        <v>-1.3880743346376123E-2</v>
      </c>
      <c r="AW108" s="59">
        <v>3.5725990198492319E-2</v>
      </c>
      <c r="AX108" s="59">
        <v>1.8588967774433175E-2</v>
      </c>
      <c r="AY108" s="59">
        <v>7.7214656745752119E-3</v>
      </c>
      <c r="AZ108" s="59">
        <v>1.6884816753926835E-2</v>
      </c>
      <c r="BA108" s="59">
        <v>2.4172064843849039E-2</v>
      </c>
      <c r="BB108" s="59">
        <v>2.518795189788503E-2</v>
      </c>
      <c r="BC108" t="s">
        <v>423</v>
      </c>
      <c r="BD108">
        <v>197</v>
      </c>
      <c r="BE108">
        <v>63</v>
      </c>
    </row>
    <row r="109" spans="1:58" x14ac:dyDescent="0.45">
      <c r="A109" s="3">
        <v>45268</v>
      </c>
      <c r="B109" s="48">
        <v>106.34941999999999</v>
      </c>
      <c r="C109" s="48">
        <v>92.858199999999997</v>
      </c>
      <c r="D109" s="48">
        <v>133.69711000000001</v>
      </c>
      <c r="E109" s="48">
        <v>110.31207000000001</v>
      </c>
      <c r="F109" s="48">
        <v>31.578279999999999</v>
      </c>
      <c r="G109" s="48">
        <v>40.979410000000001</v>
      </c>
      <c r="H109">
        <v>71.23</v>
      </c>
      <c r="I109" s="48">
        <v>3.82</v>
      </c>
      <c r="J109" s="49">
        <v>623.22271999999998</v>
      </c>
      <c r="K109" s="49">
        <v>8654.9724600000009</v>
      </c>
      <c r="L109" s="50">
        <v>-2.7423336352132788E-2</v>
      </c>
      <c r="M109" s="50">
        <v>-3.3401285936392688E-2</v>
      </c>
      <c r="N109" s="50">
        <v>-3.4528087808959329E-3</v>
      </c>
      <c r="O109" s="50">
        <v>-3.7540452905018507E-2</v>
      </c>
      <c r="P109" s="50">
        <v>-1.8899485779636849E-2</v>
      </c>
      <c r="Q109" s="50">
        <v>-2.3909558130500219E-2</v>
      </c>
      <c r="R109" s="47">
        <v>-2.3440718306488841E-2</v>
      </c>
      <c r="S109" s="50">
        <v>-3.8342108815984766E-2</v>
      </c>
      <c r="T109" s="50">
        <v>-2.2767971348170879E-2</v>
      </c>
      <c r="U109" s="50">
        <v>-3.279852756083057E-2</v>
      </c>
      <c r="V109" s="50">
        <v>2.2992957975604966E-3</v>
      </c>
      <c r="W109" s="50">
        <f t="shared" si="135"/>
        <v>-2.3440718306488841E-2</v>
      </c>
      <c r="Y109" s="63">
        <v>-1.0000000000000011E-2</v>
      </c>
      <c r="Z109">
        <v>27</v>
      </c>
      <c r="AO109" t="str">
        <f t="shared" si="136"/>
        <v/>
      </c>
      <c r="AQ109" s="3">
        <v>45268</v>
      </c>
      <c r="AR109" s="59">
        <v>-2.7423336352132788E-2</v>
      </c>
      <c r="AS109" s="59">
        <v>-3.3401285936392688E-2</v>
      </c>
      <c r="AT109" s="59">
        <v>-3.4528087808959329E-3</v>
      </c>
      <c r="AU109" s="59">
        <v>-3.7540452905018507E-2</v>
      </c>
      <c r="AV109" s="59">
        <v>-1.8899485779636849E-2</v>
      </c>
      <c r="AW109" s="59">
        <v>-2.3909558130500219E-2</v>
      </c>
      <c r="AX109" s="59">
        <v>-2.3440718306488841E-2</v>
      </c>
      <c r="AY109" s="59">
        <v>-3.8342108815984766E-2</v>
      </c>
      <c r="AZ109" s="59">
        <v>-2.2767971348170879E-2</v>
      </c>
      <c r="BA109" s="59">
        <v>-3.279852756083057E-2</v>
      </c>
      <c r="BB109" s="59">
        <v>2.2992957975604966E-3</v>
      </c>
      <c r="BC109" t="s">
        <v>430</v>
      </c>
      <c r="BD109">
        <v>0</v>
      </c>
    </row>
    <row r="110" spans="1:58" x14ac:dyDescent="0.45">
      <c r="A110" s="3">
        <v>45261</v>
      </c>
      <c r="B110" s="48">
        <v>109.34811000000001</v>
      </c>
      <c r="C110" s="48">
        <v>96.066959999999995</v>
      </c>
      <c r="D110" s="48">
        <v>134.16033999999999</v>
      </c>
      <c r="E110" s="48">
        <v>114.61476</v>
      </c>
      <c r="F110" s="48">
        <v>32.186590000000002</v>
      </c>
      <c r="G110" s="48">
        <v>41.98321</v>
      </c>
      <c r="H110">
        <v>74.069999999999993</v>
      </c>
      <c r="I110" s="48">
        <v>3.9089999999999998</v>
      </c>
      <c r="J110" s="49">
        <v>644.35667000000001</v>
      </c>
      <c r="K110" s="49">
        <v>8635.1177700000007</v>
      </c>
      <c r="L110" s="50">
        <v>-2.2512921228773353E-3</v>
      </c>
      <c r="M110" s="50">
        <v>-1.5109479884048538E-2</v>
      </c>
      <c r="N110" s="50">
        <v>-6.2110912897828108E-4</v>
      </c>
      <c r="O110" s="50">
        <v>8.0971320539813263E-4</v>
      </c>
      <c r="P110" s="50">
        <v>4.4667461004523901E-3</v>
      </c>
      <c r="Q110" s="50">
        <v>-3.9691097450540447E-3</v>
      </c>
      <c r="R110" s="47">
        <v>-2.8846478904460682E-3</v>
      </c>
      <c r="S110" s="50">
        <v>-1.945988880063565E-2</v>
      </c>
      <c r="T110" s="50">
        <v>3.1670625494853333E-2</v>
      </c>
      <c r="U110" s="50">
        <v>-1.1251119740567361E-3</v>
      </c>
      <c r="V110" s="50">
        <v>8.1500175976112477E-3</v>
      </c>
      <c r="W110" s="50">
        <f t="shared" si="135"/>
        <v>-2.8846478904460682E-3</v>
      </c>
      <c r="Y110" s="63">
        <v>0</v>
      </c>
      <c r="Z110">
        <v>48</v>
      </c>
      <c r="AO110" t="str">
        <f t="shared" si="136"/>
        <v/>
      </c>
      <c r="AQ110" s="3">
        <v>45261</v>
      </c>
      <c r="AR110" s="59">
        <v>-2.2512921228773353E-3</v>
      </c>
      <c r="AS110" s="59">
        <v>-1.5109479884048538E-2</v>
      </c>
      <c r="AT110" s="59">
        <v>-6.2110912897828108E-4</v>
      </c>
      <c r="AU110" s="59">
        <v>8.0971320539813263E-4</v>
      </c>
      <c r="AV110" s="59">
        <v>4.4667461004523901E-3</v>
      </c>
      <c r="AW110" s="59">
        <v>-3.9691097450540447E-3</v>
      </c>
      <c r="AX110" s="59">
        <v>-2.8846478904460682E-3</v>
      </c>
      <c r="AY110" s="59">
        <v>-1.945988880063565E-2</v>
      </c>
      <c r="AZ110" s="59">
        <v>3.1670625494853333E-2</v>
      </c>
      <c r="BA110" s="59">
        <v>-1.1251119740567361E-3</v>
      </c>
      <c r="BB110" s="59">
        <v>8.1500175976112477E-3</v>
      </c>
      <c r="BC110" t="s">
        <v>424</v>
      </c>
      <c r="BD110">
        <v>127</v>
      </c>
    </row>
    <row r="111" spans="1:58" x14ac:dyDescent="0.45">
      <c r="A111" s="3">
        <v>45254</v>
      </c>
      <c r="B111" s="48">
        <v>109.59484</v>
      </c>
      <c r="C111" s="48">
        <v>97.540750000000003</v>
      </c>
      <c r="D111" s="48">
        <v>134.24372</v>
      </c>
      <c r="E111" s="48">
        <v>114.52203</v>
      </c>
      <c r="F111" s="48">
        <v>32.043460000000003</v>
      </c>
      <c r="G111" s="48">
        <v>42.150509999999997</v>
      </c>
      <c r="H111">
        <v>75.540000000000006</v>
      </c>
      <c r="I111" s="48">
        <v>3.7890000000000001</v>
      </c>
      <c r="J111" s="49">
        <v>645.08245999999997</v>
      </c>
      <c r="K111" s="49">
        <v>8565.31034</v>
      </c>
      <c r="L111" s="50">
        <v>7.8540911698445903E-3</v>
      </c>
      <c r="M111" s="50">
        <v>-3.7157623129631112E-3</v>
      </c>
      <c r="N111" s="50">
        <v>3.0458154482706501E-3</v>
      </c>
      <c r="O111" s="50">
        <v>-4.032241232125644E-3</v>
      </c>
      <c r="P111" s="50">
        <v>5.8972362787077515E-3</v>
      </c>
      <c r="Q111" s="50">
        <v>-2.2058922941070591E-4</v>
      </c>
      <c r="R111" s="47">
        <v>1.9489179049578809E-4</v>
      </c>
      <c r="S111" s="50">
        <v>-6.575486586007373E-3</v>
      </c>
      <c r="T111" s="50">
        <v>1.350809148054033E-2</v>
      </c>
      <c r="U111" s="50">
        <v>2.4628373534181236E-3</v>
      </c>
      <c r="V111" s="50">
        <v>1.0181138882641383E-2</v>
      </c>
      <c r="W111" s="50">
        <f t="shared" si="135"/>
        <v>1.9489179049578809E-4</v>
      </c>
      <c r="Y111" s="63">
        <v>0.01</v>
      </c>
      <c r="Z111">
        <v>45</v>
      </c>
      <c r="AO111" t="str">
        <f t="shared" si="136"/>
        <v/>
      </c>
      <c r="AQ111" s="3">
        <v>45254</v>
      </c>
      <c r="AR111" s="59">
        <v>7.8540911698445903E-3</v>
      </c>
      <c r="AS111" s="59">
        <v>-3.7157623129631112E-3</v>
      </c>
      <c r="AT111" s="59">
        <v>3.0458154482706501E-3</v>
      </c>
      <c r="AU111" s="59">
        <v>-4.032241232125644E-3</v>
      </c>
      <c r="AV111" s="59">
        <v>5.8972362787077515E-3</v>
      </c>
      <c r="AW111" s="59">
        <v>-2.2058922941070591E-4</v>
      </c>
      <c r="AX111" s="59">
        <v>1.9489179049578809E-4</v>
      </c>
      <c r="AY111" s="59">
        <v>-6.575486586007373E-3</v>
      </c>
      <c r="AZ111" s="59">
        <v>1.350809148054033E-2</v>
      </c>
      <c r="BA111" s="59">
        <v>2.4628373534181236E-3</v>
      </c>
      <c r="BB111" s="59">
        <v>1.0181138882641383E-2</v>
      </c>
      <c r="BC111" t="s">
        <v>431</v>
      </c>
      <c r="BD111">
        <v>-1.0866954599489984</v>
      </c>
    </row>
    <row r="112" spans="1:58" x14ac:dyDescent="0.45">
      <c r="A112" s="3">
        <v>45247</v>
      </c>
      <c r="B112" s="48">
        <v>108.74078</v>
      </c>
      <c r="C112" s="48">
        <v>97.904539999999997</v>
      </c>
      <c r="D112" s="48">
        <v>133.83608000000001</v>
      </c>
      <c r="E112" s="48">
        <v>114.98568</v>
      </c>
      <c r="F112" s="48">
        <v>31.855599999999999</v>
      </c>
      <c r="G112" s="48">
        <v>42.15981</v>
      </c>
      <c r="H112">
        <v>76.040000000000006</v>
      </c>
      <c r="I112" s="48">
        <v>3.7385000000000002</v>
      </c>
      <c r="J112" s="49">
        <v>643.49762999999996</v>
      </c>
      <c r="K112" s="49">
        <v>8478.9846199999993</v>
      </c>
      <c r="L112" s="50">
        <v>-3.8250863516404721E-3</v>
      </c>
      <c r="M112" s="50">
        <v>2.0913576217466368E-2</v>
      </c>
      <c r="N112" s="50">
        <v>2.115634846867076E-2</v>
      </c>
      <c r="O112" s="50">
        <v>1.0594902328779687E-2</v>
      </c>
      <c r="P112" s="50">
        <v>1.5108274052084258E-2</v>
      </c>
      <c r="Q112" s="50">
        <v>-5.6990962103663501E-3</v>
      </c>
      <c r="R112" s="47">
        <v>1.2414800971326944E-2</v>
      </c>
      <c r="S112" s="50">
        <v>-1.438755670771219E-2</v>
      </c>
      <c r="T112" s="50">
        <v>4.223585168664612E-2</v>
      </c>
      <c r="U112" s="50">
        <v>8.80645027733018E-3</v>
      </c>
      <c r="V112" s="50">
        <v>2.2882165261548071E-2</v>
      </c>
      <c r="W112" s="50">
        <f t="shared" si="135"/>
        <v>1.2414800971326944E-2</v>
      </c>
      <c r="Y112" s="63">
        <v>0.02</v>
      </c>
      <c r="Z112">
        <v>58</v>
      </c>
      <c r="AO112" t="str">
        <f t="shared" si="136"/>
        <v/>
      </c>
      <c r="AQ112" s="3">
        <v>45247</v>
      </c>
      <c r="AR112" s="59">
        <v>-3.8250863516404721E-3</v>
      </c>
      <c r="AS112" s="59">
        <v>2.0913576217466368E-2</v>
      </c>
      <c r="AT112" s="59">
        <v>2.115634846867076E-2</v>
      </c>
      <c r="AU112" s="59">
        <v>1.0594902328779687E-2</v>
      </c>
      <c r="AV112" s="59">
        <v>1.5108274052084258E-2</v>
      </c>
      <c r="AW112" s="59">
        <v>-5.6990962103663501E-3</v>
      </c>
      <c r="AX112" s="59">
        <v>1.2414800971326944E-2</v>
      </c>
      <c r="AY112" s="59">
        <v>-1.438755670771219E-2</v>
      </c>
      <c r="AZ112" s="59">
        <v>4.223585168664612E-2</v>
      </c>
      <c r="BA112" s="59">
        <v>8.80645027733018E-3</v>
      </c>
      <c r="BB112" s="59">
        <v>2.2882165261548071E-2</v>
      </c>
      <c r="BC112" t="s">
        <v>432</v>
      </c>
      <c r="BD112">
        <v>0.13961482145655313</v>
      </c>
    </row>
    <row r="113" spans="1:57" x14ac:dyDescent="0.45">
      <c r="A113" s="3">
        <v>45240</v>
      </c>
      <c r="B113" s="48">
        <v>109.15832</v>
      </c>
      <c r="C113" s="48">
        <v>95.898949999999999</v>
      </c>
      <c r="D113" s="48">
        <v>131.06326000000001</v>
      </c>
      <c r="E113" s="48">
        <v>113.78019</v>
      </c>
      <c r="F113" s="48">
        <v>31.38148</v>
      </c>
      <c r="G113" s="48">
        <v>42.40146</v>
      </c>
      <c r="H113">
        <v>77.150000000000006</v>
      </c>
      <c r="I113" s="48">
        <v>3.5870000000000002</v>
      </c>
      <c r="J113" s="49">
        <v>637.88017000000002</v>
      </c>
      <c r="K113" s="49">
        <v>8289.3073199999999</v>
      </c>
      <c r="L113" s="50">
        <v>-3.4572067659886407E-2</v>
      </c>
      <c r="M113" s="50">
        <v>-3.7390993876073475E-2</v>
      </c>
      <c r="N113" s="50">
        <v>-3.156970252579927E-2</v>
      </c>
      <c r="O113" s="50">
        <v>-4.2603001415225328E-2</v>
      </c>
      <c r="P113" s="50">
        <v>-1.8816388182704147E-2</v>
      </c>
      <c r="Q113" s="50">
        <v>-3.6332863713295249E-2</v>
      </c>
      <c r="R113" s="47">
        <v>-3.3342589942619495E-2</v>
      </c>
      <c r="S113" s="50">
        <v>-4.1733946093652996E-2</v>
      </c>
      <c r="T113" s="50">
        <v>-2.5668884965367345E-2</v>
      </c>
      <c r="U113" s="50">
        <v>-3.8230232525284347E-2</v>
      </c>
      <c r="V113" s="50">
        <v>1.3371687575318703E-2</v>
      </c>
      <c r="W113" s="50">
        <f t="shared" si="135"/>
        <v>-3.3342589942619495E-2</v>
      </c>
      <c r="Y113" s="63">
        <v>0.03</v>
      </c>
      <c r="Z113">
        <v>21</v>
      </c>
      <c r="AO113" t="str">
        <f t="shared" si="136"/>
        <v/>
      </c>
      <c r="AQ113" s="3">
        <v>45240</v>
      </c>
      <c r="AR113" s="59">
        <v>-3.4572067659886407E-2</v>
      </c>
      <c r="AS113" s="59">
        <v>-3.7390993876073475E-2</v>
      </c>
      <c r="AT113" s="59">
        <v>-3.156970252579927E-2</v>
      </c>
      <c r="AU113" s="59">
        <v>-4.2603001415225328E-2</v>
      </c>
      <c r="AV113" s="59">
        <v>-1.8816388182704147E-2</v>
      </c>
      <c r="AW113" s="59">
        <v>-3.6332863713295249E-2</v>
      </c>
      <c r="AX113" s="59">
        <v>-3.3342589942619495E-2</v>
      </c>
      <c r="AY113" s="59">
        <v>-4.1733946093652996E-2</v>
      </c>
      <c r="AZ113" s="59">
        <v>-2.5668884965367345E-2</v>
      </c>
      <c r="BA113" s="59">
        <v>-3.8230232525284347E-2</v>
      </c>
      <c r="BB113" s="59">
        <v>1.3371687575318703E-2</v>
      </c>
      <c r="BC113" t="s">
        <v>433</v>
      </c>
      <c r="BD113">
        <v>1.6569403435420673</v>
      </c>
    </row>
    <row r="114" spans="1:57" x14ac:dyDescent="0.45">
      <c r="A114" s="3">
        <v>45233</v>
      </c>
      <c r="B114" s="48">
        <v>113.06729</v>
      </c>
      <c r="C114" s="48">
        <v>99.623990000000006</v>
      </c>
      <c r="D114" s="48">
        <v>135.33577</v>
      </c>
      <c r="E114" s="48">
        <v>118.84327</v>
      </c>
      <c r="F114" s="48">
        <v>31.98329</v>
      </c>
      <c r="G114" s="48">
        <v>44.000109999999999</v>
      </c>
      <c r="H114">
        <v>80.510000000000005</v>
      </c>
      <c r="I114" s="48">
        <v>3.6815000000000002</v>
      </c>
      <c r="J114" s="49">
        <v>663.23582999999996</v>
      </c>
      <c r="K114" s="49">
        <v>8179.9278800000002</v>
      </c>
      <c r="L114" s="50">
        <v>1.6553487306173009E-2</v>
      </c>
      <c r="M114" s="50">
        <v>2.1127430410420978E-2</v>
      </c>
      <c r="N114" s="50">
        <v>2.2583990476539473E-2</v>
      </c>
      <c r="O114" s="50">
        <v>1.722359352849967E-2</v>
      </c>
      <c r="P114" s="50">
        <v>-6.3147004297422149E-2</v>
      </c>
      <c r="Q114" s="50">
        <v>1.2187163060414008E-2</v>
      </c>
      <c r="R114" s="47">
        <v>1.9950346356903959E-3</v>
      </c>
      <c r="S114" s="50">
        <v>-5.8802899228431182E-2</v>
      </c>
      <c r="T114" s="50">
        <v>9.7366977509600883E-3</v>
      </c>
      <c r="U114" s="50">
        <v>2.2600706234776613E-2</v>
      </c>
      <c r="V114" s="50">
        <v>5.8726646923001002E-2</v>
      </c>
      <c r="W114" s="50">
        <f t="shared" si="135"/>
        <v>1.9950346356903959E-3</v>
      </c>
      <c r="Y114" s="63">
        <v>0.04</v>
      </c>
      <c r="Z114">
        <v>7</v>
      </c>
      <c r="AO114" t="str">
        <f t="shared" si="136"/>
        <v/>
      </c>
      <c r="AQ114" s="3">
        <v>45233</v>
      </c>
      <c r="AR114" s="59">
        <v>1.6553487306173009E-2</v>
      </c>
      <c r="AS114" s="59">
        <v>2.1127430410420978E-2</v>
      </c>
      <c r="AT114" s="59">
        <v>2.2583990476539473E-2</v>
      </c>
      <c r="AU114" s="59">
        <v>1.722359352849967E-2</v>
      </c>
      <c r="AV114" s="59">
        <v>-6.3147004297422149E-2</v>
      </c>
      <c r="AW114" s="59">
        <v>1.2187163060414008E-2</v>
      </c>
      <c r="AX114" s="59">
        <v>1.9950346356903959E-3</v>
      </c>
      <c r="AY114" s="59">
        <v>-5.8802899228431182E-2</v>
      </c>
      <c r="AZ114" s="59">
        <v>9.7366977509600883E-3</v>
      </c>
      <c r="BA114" s="59">
        <v>2.2600706234776613E-2</v>
      </c>
      <c r="BB114" s="59">
        <v>5.8726646923001002E-2</v>
      </c>
      <c r="BC114" t="s">
        <v>434</v>
      </c>
      <c r="BD114">
        <v>0.27922964291310626</v>
      </c>
    </row>
    <row r="115" spans="1:57" ht="14.65" thickBot="1" x14ac:dyDescent="0.5">
      <c r="A115" s="3">
        <v>45226</v>
      </c>
      <c r="B115" s="48">
        <v>111.22611000000001</v>
      </c>
      <c r="C115" s="48">
        <v>97.562740000000005</v>
      </c>
      <c r="D115" s="48">
        <v>132.34684999999999</v>
      </c>
      <c r="E115" s="48">
        <v>116.83102</v>
      </c>
      <c r="F115" s="48">
        <v>34.139069999999997</v>
      </c>
      <c r="G115" s="48">
        <v>43.470329999999997</v>
      </c>
      <c r="H115">
        <v>85.54</v>
      </c>
      <c r="I115" s="48">
        <v>3.6459999999999999</v>
      </c>
      <c r="J115" s="49">
        <v>648.57752000000005</v>
      </c>
      <c r="K115" s="49">
        <v>7726.1943899999997</v>
      </c>
      <c r="L115" s="50">
        <v>-5.0459475705194823E-2</v>
      </c>
      <c r="M115" s="50">
        <v>-4.9783942948900428E-2</v>
      </c>
      <c r="N115" s="50">
        <v>-0.13474795657383953</v>
      </c>
      <c r="O115" s="50">
        <v>-5.4342112611872495E-2</v>
      </c>
      <c r="P115" s="50">
        <v>-2.4488742739186886E-2</v>
      </c>
      <c r="Q115" s="50">
        <v>-3.2077686142160888E-2</v>
      </c>
      <c r="R115" s="47">
        <v>-5.9088088203192043E-2</v>
      </c>
      <c r="S115" s="50">
        <v>-2.8837420526793722E-2</v>
      </c>
      <c r="T115" s="50">
        <v>2.3294976143699131E-2</v>
      </c>
      <c r="U115" s="50">
        <v>-6.1528639069809765E-2</v>
      </c>
      <c r="V115" s="50">
        <v>-2.5237891387655753E-2</v>
      </c>
      <c r="W115" s="50">
        <f t="shared" si="135"/>
        <v>-5.9088088203192043E-2</v>
      </c>
      <c r="Y115" s="63">
        <v>0.05</v>
      </c>
      <c r="Z115">
        <v>6</v>
      </c>
      <c r="AO115" t="str">
        <f t="shared" si="136"/>
        <v/>
      </c>
      <c r="AQ115" s="3">
        <v>45226</v>
      </c>
      <c r="AR115" s="59">
        <v>-5.0459475705194823E-2</v>
      </c>
      <c r="AS115" s="59">
        <v>-4.9783942948900428E-2</v>
      </c>
      <c r="AT115" s="59">
        <v>-0.13474795657383953</v>
      </c>
      <c r="AU115" s="59">
        <v>-5.4342112611872495E-2</v>
      </c>
      <c r="AV115" s="59">
        <v>-2.4488742739186886E-2</v>
      </c>
      <c r="AW115" s="59">
        <v>-3.2077686142160888E-2</v>
      </c>
      <c r="AX115" s="59">
        <v>-5.9088088203192043E-2</v>
      </c>
      <c r="AY115" s="59">
        <v>-2.8837420526793722E-2</v>
      </c>
      <c r="AZ115" s="59">
        <v>2.3294976143699131E-2</v>
      </c>
      <c r="BA115" s="59">
        <v>-6.1528639069809765E-2</v>
      </c>
      <c r="BB115" s="59">
        <v>-2.5237891387655753E-2</v>
      </c>
      <c r="BC115" s="64" t="s">
        <v>435</v>
      </c>
      <c r="BD115" s="64">
        <v>1.9788195347028543</v>
      </c>
      <c r="BE115" s="64"/>
    </row>
    <row r="116" spans="1:57" x14ac:dyDescent="0.45">
      <c r="A116" s="3">
        <v>45219</v>
      </c>
      <c r="B116" s="48">
        <v>117.13677</v>
      </c>
      <c r="C116" s="48">
        <v>102.67427000000001</v>
      </c>
      <c r="D116" s="48">
        <v>152.95757</v>
      </c>
      <c r="E116" s="48">
        <v>123.54470000000001</v>
      </c>
      <c r="F116" s="48">
        <v>34.996079999999999</v>
      </c>
      <c r="G116" s="48">
        <v>44.910969999999999</v>
      </c>
      <c r="H116">
        <v>88.08</v>
      </c>
      <c r="I116" s="48">
        <v>3.5630000000000002</v>
      </c>
      <c r="J116" s="49">
        <v>691.09996000000001</v>
      </c>
      <c r="K116" s="49">
        <v>7926.2358700000004</v>
      </c>
      <c r="L116" s="50">
        <v>-6.4071288225201473E-3</v>
      </c>
      <c r="M116" s="50">
        <v>1.1013055577409947E-2</v>
      </c>
      <c r="N116" s="50">
        <v>1.6884094246761849E-2</v>
      </c>
      <c r="O116" s="50">
        <v>1.6163562901003736E-3</v>
      </c>
      <c r="P116" s="50">
        <v>-9.9975982680373665E-3</v>
      </c>
      <c r="Q116" s="50">
        <v>-1.4467703248217667E-3</v>
      </c>
      <c r="R116" s="47">
        <v>3.6138275042826074E-3</v>
      </c>
      <c r="S116" s="50">
        <v>2.0034742327736055E-2</v>
      </c>
      <c r="T116" s="50">
        <v>-2.2402688322599174E-3</v>
      </c>
      <c r="U116" s="50">
        <v>6.7893824169140693E-3</v>
      </c>
      <c r="V116" s="50">
        <v>-2.3843210731680831E-2</v>
      </c>
      <c r="W116" s="50">
        <f t="shared" si="135"/>
        <v>3.6138275042826074E-3</v>
      </c>
      <c r="Y116" s="63">
        <v>6.0000000000000005E-2</v>
      </c>
      <c r="Z116">
        <v>4</v>
      </c>
      <c r="AO116" t="str">
        <f t="shared" si="136"/>
        <v/>
      </c>
      <c r="AQ116" s="3">
        <v>45219</v>
      </c>
      <c r="AR116" s="59">
        <v>-6.4071288225201473E-3</v>
      </c>
      <c r="AS116" s="59">
        <v>1.1013055577409947E-2</v>
      </c>
      <c r="AT116" s="59">
        <v>1.6884094246761849E-2</v>
      </c>
      <c r="AU116" s="59">
        <v>1.6163562901003736E-3</v>
      </c>
      <c r="AV116" s="59">
        <v>-9.9975982680373665E-3</v>
      </c>
      <c r="AW116" s="59">
        <v>-1.4467703248217667E-3</v>
      </c>
      <c r="AX116" s="59">
        <v>3.6138275042826074E-3</v>
      </c>
      <c r="AY116" s="59">
        <v>2.0034742327736055E-2</v>
      </c>
      <c r="AZ116" s="59">
        <v>-2.2402688322599174E-3</v>
      </c>
      <c r="BA116" s="59">
        <v>6.7893824169140693E-3</v>
      </c>
      <c r="BB116" s="59">
        <v>-2.3843210731680831E-2</v>
      </c>
    </row>
    <row r="117" spans="1:57" x14ac:dyDescent="0.45">
      <c r="A117" s="3">
        <v>45212</v>
      </c>
      <c r="B117" s="48">
        <v>117.89212000000001</v>
      </c>
      <c r="C117" s="48">
        <v>101.55583</v>
      </c>
      <c r="D117" s="48">
        <v>150.4179</v>
      </c>
      <c r="E117" s="48">
        <v>123.34533</v>
      </c>
      <c r="F117" s="48">
        <v>35.349490000000003</v>
      </c>
      <c r="G117" s="48">
        <v>44.976039999999998</v>
      </c>
      <c r="H117">
        <v>86.35</v>
      </c>
      <c r="I117" s="48">
        <v>3.5710000000000002</v>
      </c>
      <c r="J117" s="49">
        <v>686.43946000000005</v>
      </c>
      <c r="K117" s="49">
        <v>8119.8388999999997</v>
      </c>
      <c r="L117" s="50">
        <v>8.2632414381147878E-2</v>
      </c>
      <c r="M117" s="50">
        <v>2.5193581879292548E-2</v>
      </c>
      <c r="N117" s="50">
        <v>1.1280282441711975E-2</v>
      </c>
      <c r="O117" s="50">
        <v>0.10904875080956433</v>
      </c>
      <c r="P117" s="50">
        <v>7.3517742148554666E-2</v>
      </c>
      <c r="Q117" s="50">
        <v>0.10732276105622973</v>
      </c>
      <c r="R117" s="47">
        <v>6.5272623667070651E-2</v>
      </c>
      <c r="S117" s="50">
        <v>6.2376968503936814E-2</v>
      </c>
      <c r="T117" s="50">
        <v>-1.5575465196416172E-2</v>
      </c>
      <c r="U117" s="50">
        <v>4.5150701108269686E-2</v>
      </c>
      <c r="V117" s="50">
        <v>4.6009620262048578E-3</v>
      </c>
      <c r="W117" s="50">
        <f t="shared" si="135"/>
        <v>6.5272623667070651E-2</v>
      </c>
      <c r="Y117" s="63">
        <v>7.0000000000000007E-2</v>
      </c>
      <c r="Z117">
        <v>3</v>
      </c>
      <c r="AO117" t="str">
        <f t="shared" si="136"/>
        <v/>
      </c>
      <c r="AQ117" s="3">
        <v>45212</v>
      </c>
      <c r="AR117" s="59">
        <v>8.2632414381147878E-2</v>
      </c>
      <c r="AS117" s="59">
        <v>2.5193581879292548E-2</v>
      </c>
      <c r="AT117" s="59">
        <v>1.1280282441711975E-2</v>
      </c>
      <c r="AU117" s="59">
        <v>0.10904875080956433</v>
      </c>
      <c r="AV117" s="59">
        <v>7.3517742148554666E-2</v>
      </c>
      <c r="AW117" s="59">
        <v>0.10732276105622973</v>
      </c>
      <c r="AX117" s="59">
        <v>6.5272623667070651E-2</v>
      </c>
      <c r="AY117" s="59">
        <v>6.2376968503936814E-2</v>
      </c>
      <c r="AZ117" s="59">
        <v>-1.5575465196416172E-2</v>
      </c>
      <c r="BA117" s="59">
        <v>4.5150701108269686E-2</v>
      </c>
      <c r="BB117" s="59">
        <v>4.6009620262048578E-3</v>
      </c>
    </row>
    <row r="118" spans="1:57" x14ac:dyDescent="0.45">
      <c r="A118" s="3">
        <v>45205</v>
      </c>
      <c r="B118" s="48">
        <v>108.89395</v>
      </c>
      <c r="C118" s="48">
        <v>99.060149999999993</v>
      </c>
      <c r="D118" s="48">
        <v>148.74007</v>
      </c>
      <c r="E118" s="48">
        <v>111.21723</v>
      </c>
      <c r="F118" s="48">
        <v>32.928649999999998</v>
      </c>
      <c r="G118" s="48">
        <v>40.61692</v>
      </c>
      <c r="H118">
        <v>81.28</v>
      </c>
      <c r="I118" s="48">
        <v>3.6274999999999999</v>
      </c>
      <c r="J118" s="49">
        <v>656.78515000000004</v>
      </c>
      <c r="K118" s="49">
        <v>8082.6509299999998</v>
      </c>
      <c r="L118" s="50">
        <v>-3.7312192512896303E-2</v>
      </c>
      <c r="M118" s="50">
        <v>-8.8535410382491686E-2</v>
      </c>
      <c r="N118" s="50">
        <v>-3.7895850625412564E-2</v>
      </c>
      <c r="O118" s="50">
        <v>-4.796462058707518E-2</v>
      </c>
      <c r="P118" s="50">
        <v>-3.7448388251887343E-2</v>
      </c>
      <c r="Q118" s="50">
        <v>-8.3857527463802595E-2</v>
      </c>
      <c r="R118" s="47">
        <v>-5.9140359462133876E-2</v>
      </c>
      <c r="S118" s="50">
        <v>-0.10474721885670235</v>
      </c>
      <c r="T118" s="50">
        <v>-2.9431438127090259E-2</v>
      </c>
      <c r="U118" s="50">
        <v>-5.3884580182617103E-2</v>
      </c>
      <c r="V118" s="50">
        <v>5.0706205823944916E-3</v>
      </c>
      <c r="W118" s="50">
        <f t="shared" si="135"/>
        <v>-5.9140359462133876E-2</v>
      </c>
      <c r="Y118" s="63">
        <v>0.08</v>
      </c>
      <c r="Z118">
        <v>1</v>
      </c>
      <c r="AO118" t="str">
        <f t="shared" si="136"/>
        <v/>
      </c>
      <c r="AQ118" s="3">
        <v>45205</v>
      </c>
      <c r="AR118" s="59">
        <v>-3.7312192512896303E-2</v>
      </c>
      <c r="AS118" s="59">
        <v>-8.8535410382491686E-2</v>
      </c>
      <c r="AT118" s="59">
        <v>-3.7895850625412564E-2</v>
      </c>
      <c r="AU118" s="59">
        <v>-4.796462058707518E-2</v>
      </c>
      <c r="AV118" s="59">
        <v>-3.7448388251887343E-2</v>
      </c>
      <c r="AW118" s="59">
        <v>-8.3857527463802595E-2</v>
      </c>
      <c r="AX118" s="59">
        <v>-5.9140359462133876E-2</v>
      </c>
      <c r="AY118" s="59">
        <v>-0.10474721885670235</v>
      </c>
      <c r="AZ118" s="59">
        <v>-2.9431438127090259E-2</v>
      </c>
      <c r="BA118" s="59">
        <v>-5.3884580182617103E-2</v>
      </c>
      <c r="BB118" s="59">
        <v>5.0706205823944916E-3</v>
      </c>
    </row>
    <row r="119" spans="1:57" x14ac:dyDescent="0.45">
      <c r="A119" s="3">
        <v>45198</v>
      </c>
      <c r="B119" s="48">
        <v>113.11450000000001</v>
      </c>
      <c r="C119" s="48">
        <v>108.68239</v>
      </c>
      <c r="D119" s="48">
        <v>154.59871999999999</v>
      </c>
      <c r="E119" s="48">
        <v>116.82048</v>
      </c>
      <c r="F119" s="48">
        <v>34.20975</v>
      </c>
      <c r="G119" s="48">
        <v>44.334719999999997</v>
      </c>
      <c r="H119">
        <v>90.79</v>
      </c>
      <c r="I119" s="48">
        <v>3.7374999999999998</v>
      </c>
      <c r="J119" s="49">
        <v>694.19136000000003</v>
      </c>
      <c r="K119" s="49">
        <v>8041.8736399999998</v>
      </c>
      <c r="L119" s="50">
        <v>1.0417128189150304E-2</v>
      </c>
      <c r="M119" s="50">
        <v>2.2968469111653178E-2</v>
      </c>
      <c r="N119" s="50">
        <v>1.4072637325659443E-2</v>
      </c>
      <c r="O119" s="50">
        <v>3.3762809487110745E-2</v>
      </c>
      <c r="P119" s="50">
        <v>7.2839439650413951E-3</v>
      </c>
      <c r="Q119" s="50">
        <v>2.3824891699264494E-2</v>
      </c>
      <c r="R119" s="47">
        <v>2.038255031774585E-2</v>
      </c>
      <c r="S119" s="50">
        <v>8.4416305675887315E-3</v>
      </c>
      <c r="T119" s="50">
        <v>2.0338520338520238E-2</v>
      </c>
      <c r="U119" s="50">
        <v>1.271405229573408E-2</v>
      </c>
      <c r="V119" s="50">
        <v>-7.2252153429870347E-3</v>
      </c>
      <c r="W119" s="50">
        <f t="shared" si="135"/>
        <v>2.038255031774585E-2</v>
      </c>
      <c r="Y119" s="63">
        <v>0.09</v>
      </c>
      <c r="Z119">
        <v>0</v>
      </c>
      <c r="AO119" t="str">
        <f t="shared" si="136"/>
        <v/>
      </c>
      <c r="AQ119" s="3">
        <v>45198</v>
      </c>
      <c r="AR119" s="59">
        <v>1.0417128189150304E-2</v>
      </c>
      <c r="AS119" s="59">
        <v>2.2968469111653178E-2</v>
      </c>
      <c r="AT119" s="59">
        <v>1.4072637325659443E-2</v>
      </c>
      <c r="AU119" s="59">
        <v>3.3762809487110745E-2</v>
      </c>
      <c r="AV119" s="59">
        <v>7.2839439650413951E-3</v>
      </c>
      <c r="AW119" s="59">
        <v>2.3824891699264494E-2</v>
      </c>
      <c r="AX119" s="59">
        <v>2.038255031774585E-2</v>
      </c>
      <c r="AY119" s="59">
        <v>8.4416305675887315E-3</v>
      </c>
      <c r="AZ119" s="59">
        <v>2.0338520338520238E-2</v>
      </c>
      <c r="BA119" s="59">
        <v>1.271405229573408E-2</v>
      </c>
      <c r="BB119" s="59">
        <v>-7.2252153429870347E-3</v>
      </c>
    </row>
    <row r="120" spans="1:57" x14ac:dyDescent="0.45">
      <c r="A120" s="3">
        <v>45191</v>
      </c>
      <c r="B120" s="48">
        <v>111.94832</v>
      </c>
      <c r="C120" s="48">
        <v>106.24217</v>
      </c>
      <c r="D120" s="48">
        <v>152.45330000000001</v>
      </c>
      <c r="E120" s="48">
        <v>113.00511</v>
      </c>
      <c r="F120" s="48">
        <v>33.96237</v>
      </c>
      <c r="G120" s="48">
        <v>43.30303</v>
      </c>
      <c r="H120">
        <v>90.03</v>
      </c>
      <c r="I120" s="48">
        <v>3.6629999999999998</v>
      </c>
      <c r="J120" s="49">
        <v>685.47618</v>
      </c>
      <c r="K120" s="49">
        <v>8100.4007799999999</v>
      </c>
      <c r="L120" s="50">
        <v>-3.5688253274876014E-2</v>
      </c>
      <c r="M120" s="50">
        <v>-1.5081351469161897E-2</v>
      </c>
      <c r="N120" s="50">
        <v>-1.3213454311128414E-3</v>
      </c>
      <c r="O120" s="50">
        <v>-7.2325613105525322E-2</v>
      </c>
      <c r="P120" s="50">
        <v>-7.9999976632961767E-3</v>
      </c>
      <c r="Q120" s="50">
        <v>-6.2198118766788046E-2</v>
      </c>
      <c r="R120" s="47">
        <v>-3.1785285287176855E-2</v>
      </c>
      <c r="S120" s="50">
        <v>1.1108642523893764E-4</v>
      </c>
      <c r="T120" s="50">
        <v>-2.851080758520097E-2</v>
      </c>
      <c r="U120" s="50">
        <v>-2.3315626829031433E-2</v>
      </c>
      <c r="V120" s="50">
        <v>-2.9180748826766911E-2</v>
      </c>
      <c r="W120" s="50">
        <f t="shared" si="135"/>
        <v>-3.1785285287176855E-2</v>
      </c>
      <c r="Y120" s="63">
        <v>9.9999999999999992E-2</v>
      </c>
      <c r="Z120">
        <v>0</v>
      </c>
      <c r="AO120" t="str">
        <f t="shared" si="136"/>
        <v/>
      </c>
      <c r="AQ120" s="3">
        <v>45191</v>
      </c>
      <c r="AR120" s="59">
        <v>-3.5688253274876014E-2</v>
      </c>
      <c r="AS120" s="59">
        <v>-1.5081351469161897E-2</v>
      </c>
      <c r="AT120" s="59">
        <v>-1.3213454311128414E-3</v>
      </c>
      <c r="AU120" s="59">
        <v>-7.2325613105525322E-2</v>
      </c>
      <c r="AV120" s="59">
        <v>-7.9999976632961767E-3</v>
      </c>
      <c r="AW120" s="59">
        <v>-6.2198118766788046E-2</v>
      </c>
      <c r="AX120" s="59">
        <v>-3.1785285287176855E-2</v>
      </c>
      <c r="AY120" s="59">
        <v>1.1108642523893764E-4</v>
      </c>
      <c r="AZ120" s="59">
        <v>-2.851080758520097E-2</v>
      </c>
      <c r="BA120" s="59">
        <v>-2.3315626829031433E-2</v>
      </c>
      <c r="BB120" s="59">
        <v>-2.9180748826766911E-2</v>
      </c>
    </row>
    <row r="121" spans="1:57" ht="14.65" thickBot="1" x14ac:dyDescent="0.5">
      <c r="A121" s="3">
        <v>45184</v>
      </c>
      <c r="B121" s="48">
        <v>116.09142</v>
      </c>
      <c r="C121" s="48">
        <v>107.86897999999999</v>
      </c>
      <c r="D121" s="48">
        <v>152.65501</v>
      </c>
      <c r="E121" s="48">
        <v>121.81549</v>
      </c>
      <c r="F121" s="48">
        <v>34.236260000000001</v>
      </c>
      <c r="G121" s="48">
        <v>46.17503</v>
      </c>
      <c r="H121">
        <v>90.02</v>
      </c>
      <c r="I121" s="48">
        <v>3.7705000000000002</v>
      </c>
      <c r="J121" s="49">
        <v>701.84001999999998</v>
      </c>
      <c r="K121" s="49">
        <v>8343.8814899999998</v>
      </c>
      <c r="L121" s="50">
        <v>6.9263612681651487E-3</v>
      </c>
      <c r="M121" s="50">
        <v>9.4281877275317338E-3</v>
      </c>
      <c r="N121" s="50">
        <v>-4.2461490573393323E-3</v>
      </c>
      <c r="O121" s="50">
        <v>-4.1437231917370587E-3</v>
      </c>
      <c r="P121" s="50">
        <v>2.0690420209585891E-3</v>
      </c>
      <c r="Q121" s="50">
        <v>-4.7373413699823952E-2</v>
      </c>
      <c r="R121" s="47">
        <v>-8.8532112400820043E-3</v>
      </c>
      <c r="S121" s="50">
        <v>2.8682436292994939E-2</v>
      </c>
      <c r="T121" s="50">
        <v>2.0985648524235012E-2</v>
      </c>
      <c r="U121" s="50">
        <v>1.2458794404928142E-3</v>
      </c>
      <c r="V121" s="50">
        <v>-1.3508728548334847E-3</v>
      </c>
      <c r="W121" s="50">
        <f t="shared" si="135"/>
        <v>-8.8532112400820043E-3</v>
      </c>
      <c r="Y121" s="64" t="s">
        <v>410</v>
      </c>
      <c r="Z121" s="64">
        <v>0</v>
      </c>
      <c r="AO121" t="str">
        <f t="shared" si="136"/>
        <v/>
      </c>
      <c r="AQ121" s="3">
        <v>45184</v>
      </c>
      <c r="AR121" s="59">
        <v>6.9263612681651487E-3</v>
      </c>
      <c r="AS121" s="59">
        <v>9.4281877275317338E-3</v>
      </c>
      <c r="AT121" s="59">
        <v>-4.2461490573393323E-3</v>
      </c>
      <c r="AU121" s="59">
        <v>-4.1437231917370587E-3</v>
      </c>
      <c r="AV121" s="59">
        <v>2.0690420209585891E-3</v>
      </c>
      <c r="AW121" s="59">
        <v>-4.7373413699823952E-2</v>
      </c>
      <c r="AX121" s="59">
        <v>-8.8532112400820043E-3</v>
      </c>
      <c r="AY121" s="59">
        <v>2.8682436292994939E-2</v>
      </c>
      <c r="AZ121" s="59">
        <v>2.0985648524235012E-2</v>
      </c>
      <c r="BA121" s="59">
        <v>1.2458794404928142E-3</v>
      </c>
      <c r="BB121" s="59">
        <v>-1.3508728548334847E-3</v>
      </c>
    </row>
    <row r="122" spans="1:57" x14ac:dyDescent="0.45">
      <c r="A122" s="3">
        <v>45177</v>
      </c>
      <c r="B122" s="48">
        <v>115.29286</v>
      </c>
      <c r="C122" s="48">
        <v>106.86147</v>
      </c>
      <c r="D122" s="48">
        <v>153.30597</v>
      </c>
      <c r="E122" s="48">
        <v>122.32236</v>
      </c>
      <c r="F122" s="48">
        <v>34.165570000000002</v>
      </c>
      <c r="G122" s="48">
        <v>48.47128</v>
      </c>
      <c r="H122">
        <v>87.51</v>
      </c>
      <c r="I122" s="48">
        <v>3.6930000000000001</v>
      </c>
      <c r="J122" s="49">
        <v>700.96669999999995</v>
      </c>
      <c r="K122" s="49">
        <v>8355.1682600000004</v>
      </c>
      <c r="L122" s="50">
        <v>4.7485807374196831E-3</v>
      </c>
      <c r="M122" s="50">
        <v>1.8410911999871882E-2</v>
      </c>
      <c r="N122" s="50">
        <v>1.7711473104885078E-2</v>
      </c>
      <c r="O122" s="50">
        <v>1.3360828527445801E-2</v>
      </c>
      <c r="P122" s="50">
        <v>1.4161814365029279E-2</v>
      </c>
      <c r="Q122" s="50">
        <v>-4.9130989969329297E-3</v>
      </c>
      <c r="R122" s="47">
        <v>1.1746385800059822E-2</v>
      </c>
      <c r="S122" s="50">
        <v>2.2910578609000698E-2</v>
      </c>
      <c r="T122" s="50">
        <v>-3.1344262295081915E-2</v>
      </c>
      <c r="U122" s="50">
        <v>1.3856900216250967E-2</v>
      </c>
      <c r="V122" s="50">
        <v>-1.2713438917331343E-2</v>
      </c>
      <c r="W122" s="50">
        <f t="shared" si="135"/>
        <v>1.1746385800059822E-2</v>
      </c>
      <c r="X122" s="73" t="s">
        <v>446</v>
      </c>
      <c r="AO122" t="str">
        <f t="shared" si="136"/>
        <v/>
      </c>
      <c r="AQ122" s="3">
        <v>45177</v>
      </c>
      <c r="AR122" s="59">
        <v>4.7485807374196831E-3</v>
      </c>
      <c r="AS122" s="59">
        <v>1.8410911999871882E-2</v>
      </c>
      <c r="AT122" s="59">
        <v>1.7711473104885078E-2</v>
      </c>
      <c r="AU122" s="59">
        <v>1.3360828527445801E-2</v>
      </c>
      <c r="AV122" s="59">
        <v>1.4161814365029279E-2</v>
      </c>
      <c r="AW122" s="59">
        <v>-4.9130989969329297E-3</v>
      </c>
      <c r="AX122" s="59">
        <v>1.1746385800059822E-2</v>
      </c>
      <c r="AY122" s="59">
        <v>2.2910578609000698E-2</v>
      </c>
      <c r="AZ122" s="59">
        <v>-3.1344262295081915E-2</v>
      </c>
      <c r="BA122" s="59">
        <v>1.3856900216250967E-2</v>
      </c>
      <c r="BB122" s="59">
        <v>-1.2713438917331343E-2</v>
      </c>
    </row>
    <row r="123" spans="1:57" x14ac:dyDescent="0.45">
      <c r="A123" s="3">
        <v>45170</v>
      </c>
      <c r="B123" s="48">
        <v>114.74797</v>
      </c>
      <c r="C123" s="48">
        <v>104.92962</v>
      </c>
      <c r="D123" s="48">
        <v>150.63794999999999</v>
      </c>
      <c r="E123" s="48">
        <v>120.70958</v>
      </c>
      <c r="F123" s="48">
        <v>33.688479999999998</v>
      </c>
      <c r="G123" s="48">
        <v>48.710599999999999</v>
      </c>
      <c r="H123">
        <v>85.55</v>
      </c>
      <c r="I123" s="48">
        <v>3.8125</v>
      </c>
      <c r="J123" s="49">
        <v>691.38622999999995</v>
      </c>
      <c r="K123" s="49">
        <v>8462.7590299999993</v>
      </c>
      <c r="L123" s="50">
        <v>4.8232137785540807E-2</v>
      </c>
      <c r="M123" s="50">
        <v>4.8683559064794268E-2</v>
      </c>
      <c r="N123" s="50">
        <v>3.255406793727933E-2</v>
      </c>
      <c r="O123" s="50">
        <v>3.0689305649752807E-2</v>
      </c>
      <c r="P123" s="50">
        <v>5.4772033409822507E-2</v>
      </c>
      <c r="Q123" s="50">
        <v>4.9375402047366235E-2</v>
      </c>
      <c r="R123" s="47">
        <v>4.3214873621803027E-2</v>
      </c>
      <c r="S123" s="50">
        <v>7.1652261054741206E-2</v>
      </c>
      <c r="T123" s="50">
        <v>1.3423710792131782E-2</v>
      </c>
      <c r="U123" s="50">
        <v>3.7836327249550772E-2</v>
      </c>
      <c r="V123" s="50">
        <v>2.533429163807277E-2</v>
      </c>
      <c r="W123" s="50">
        <f t="shared" si="135"/>
        <v>4.3214873621803027E-2</v>
      </c>
      <c r="X123" t="s">
        <v>418</v>
      </c>
      <c r="AO123" t="str">
        <f t="shared" si="136"/>
        <v/>
      </c>
      <c r="AQ123" s="3">
        <v>45170</v>
      </c>
      <c r="AR123" s="59">
        <v>4.8232137785540807E-2</v>
      </c>
      <c r="AS123" s="59">
        <v>4.8683559064794268E-2</v>
      </c>
      <c r="AT123" s="59">
        <v>3.255406793727933E-2</v>
      </c>
      <c r="AU123" s="59">
        <v>3.0689305649752807E-2</v>
      </c>
      <c r="AV123" s="59">
        <v>5.4772033409822507E-2</v>
      </c>
      <c r="AW123" s="59">
        <v>4.9375402047366235E-2</v>
      </c>
      <c r="AX123" s="59">
        <v>4.3214873621803027E-2</v>
      </c>
      <c r="AY123" s="59">
        <v>7.1652261054741206E-2</v>
      </c>
      <c r="AZ123" s="59">
        <v>1.3423710792131782E-2</v>
      </c>
      <c r="BA123" s="59">
        <v>3.7836327249550772E-2</v>
      </c>
      <c r="BB123" s="59">
        <v>2.533429163807277E-2</v>
      </c>
    </row>
    <row r="124" spans="1:57" ht="14.65" thickBot="1" x14ac:dyDescent="0.5">
      <c r="A124" s="3">
        <v>45163</v>
      </c>
      <c r="B124" s="48">
        <v>109.46809</v>
      </c>
      <c r="C124" s="48">
        <v>100.05842</v>
      </c>
      <c r="D124" s="48">
        <v>145.88867999999999</v>
      </c>
      <c r="E124" s="48">
        <v>117.11539</v>
      </c>
      <c r="F124" s="48">
        <v>31.939109999999999</v>
      </c>
      <c r="G124" s="48">
        <v>46.418660000000003</v>
      </c>
      <c r="H124">
        <v>79.83</v>
      </c>
      <c r="I124" s="48">
        <v>3.762</v>
      </c>
      <c r="J124" s="49">
        <v>666.18041000000005</v>
      </c>
      <c r="K124" s="49">
        <v>8253.6584399999992</v>
      </c>
      <c r="L124" s="50">
        <v>-6.56493527766977E-3</v>
      </c>
      <c r="M124" s="50">
        <v>-1.6266853676576321E-2</v>
      </c>
      <c r="N124" s="50">
        <v>-1.1062788692594805E-2</v>
      </c>
      <c r="O124" s="50">
        <v>-2.7176017217137027E-2</v>
      </c>
      <c r="P124" s="50">
        <v>-2.4835541058441102E-3</v>
      </c>
      <c r="Q124" s="50">
        <v>8.8017340937451838E-3</v>
      </c>
      <c r="R124" s="47">
        <v>-9.6374959196814155E-3</v>
      </c>
      <c r="S124" s="50">
        <v>-1.0290106620381878E-2</v>
      </c>
      <c r="T124" s="50">
        <v>1.5110631408526753E-2</v>
      </c>
      <c r="U124" s="50">
        <v>-1.3696007965993462E-2</v>
      </c>
      <c r="V124" s="50">
        <v>8.3794830304828594E-3</v>
      </c>
      <c r="W124" s="50">
        <f t="shared" si="135"/>
        <v>-9.6374959196814155E-3</v>
      </c>
      <c r="AO124" t="str">
        <f t="shared" si="136"/>
        <v/>
      </c>
      <c r="AQ124" s="3">
        <v>45163</v>
      </c>
      <c r="AR124" s="59">
        <v>-6.56493527766977E-3</v>
      </c>
      <c r="AS124" s="59">
        <v>-1.6266853676576321E-2</v>
      </c>
      <c r="AT124" s="59">
        <v>-1.1062788692594805E-2</v>
      </c>
      <c r="AU124" s="59">
        <v>-2.7176017217137027E-2</v>
      </c>
      <c r="AV124" s="59">
        <v>-2.4835541058441102E-3</v>
      </c>
      <c r="AW124" s="59">
        <v>8.8017340937451838E-3</v>
      </c>
      <c r="AX124" s="59">
        <v>-9.6374959196814155E-3</v>
      </c>
      <c r="AY124" s="59">
        <v>-1.0290106620381878E-2</v>
      </c>
      <c r="AZ124" s="59">
        <v>1.5110631408526753E-2</v>
      </c>
      <c r="BA124" s="59">
        <v>-1.3696007965993462E-2</v>
      </c>
      <c r="BB124" s="59">
        <v>8.3794830304828594E-3</v>
      </c>
    </row>
    <row r="125" spans="1:57" x14ac:dyDescent="0.45">
      <c r="A125" s="3">
        <v>45156</v>
      </c>
      <c r="B125" s="48">
        <v>110.19149</v>
      </c>
      <c r="C125" s="48">
        <v>101.71297</v>
      </c>
      <c r="D125" s="48">
        <v>147.52067</v>
      </c>
      <c r="E125" s="48">
        <v>120.38703</v>
      </c>
      <c r="F125" s="48">
        <v>32.018630000000002</v>
      </c>
      <c r="G125" s="48">
        <v>46.013660000000002</v>
      </c>
      <c r="H125">
        <v>80.66</v>
      </c>
      <c r="I125" s="48">
        <v>3.706</v>
      </c>
      <c r="J125" s="49">
        <v>675.43111999999996</v>
      </c>
      <c r="K125" s="49">
        <v>8185.0717699999996</v>
      </c>
      <c r="L125" s="50">
        <v>-8.0852701079159317E-5</v>
      </c>
      <c r="M125" s="50">
        <v>-7.940148477889486E-3</v>
      </c>
      <c r="N125" s="50">
        <v>-1.0378700161939758E-2</v>
      </c>
      <c r="O125" s="50">
        <v>-1.2846675538337293E-2</v>
      </c>
      <c r="P125" s="50">
        <v>-2.3180473756385656E-2</v>
      </c>
      <c r="Q125" s="50">
        <v>-8.3316361442017373E-3</v>
      </c>
      <c r="R125" s="47">
        <v>-1.2535526815750786E-2</v>
      </c>
      <c r="S125" s="50">
        <v>-2.3131888094949704E-2</v>
      </c>
      <c r="T125" s="50">
        <v>-3.4955633234740047E-3</v>
      </c>
      <c r="U125" s="50">
        <v>-1.661720957650159E-2</v>
      </c>
      <c r="V125" s="50">
        <v>-2.0696061838822333E-2</v>
      </c>
      <c r="W125" s="50">
        <f t="shared" si="135"/>
        <v>-1.2535526815750786E-2</v>
      </c>
      <c r="X125" s="65"/>
      <c r="Y125" s="65" t="s">
        <v>419</v>
      </c>
      <c r="Z125" s="65" t="s">
        <v>420</v>
      </c>
      <c r="AO125" t="str">
        <f t="shared" si="136"/>
        <v/>
      </c>
      <c r="AQ125" s="3">
        <v>45156</v>
      </c>
      <c r="AR125" s="59">
        <v>-8.0852701079159317E-5</v>
      </c>
      <c r="AS125" s="59">
        <v>-7.940148477889486E-3</v>
      </c>
      <c r="AT125" s="59">
        <v>-1.0378700161939758E-2</v>
      </c>
      <c r="AU125" s="59">
        <v>-1.2846675538337293E-2</v>
      </c>
      <c r="AV125" s="59">
        <v>-2.3180473756385656E-2</v>
      </c>
      <c r="AW125" s="59">
        <v>-8.3316361442017373E-3</v>
      </c>
      <c r="AX125" s="59">
        <v>-1.2535526815750786E-2</v>
      </c>
      <c r="AY125" s="59">
        <v>-2.3131888094949704E-2</v>
      </c>
      <c r="AZ125" s="59">
        <v>-3.4955633234740047E-3</v>
      </c>
      <c r="BA125" s="59">
        <v>-1.661720957650159E-2</v>
      </c>
      <c r="BB125" s="59">
        <v>-2.0696061838822333E-2</v>
      </c>
    </row>
    <row r="126" spans="1:57" x14ac:dyDescent="0.45">
      <c r="A126" s="3">
        <v>45149</v>
      </c>
      <c r="B126" s="48">
        <v>110.2004</v>
      </c>
      <c r="C126" s="48">
        <v>102.52705</v>
      </c>
      <c r="D126" s="48">
        <v>149.06780000000001</v>
      </c>
      <c r="E126" s="48">
        <v>121.95372999999999</v>
      </c>
      <c r="F126" s="48">
        <v>32.778449999999999</v>
      </c>
      <c r="G126" s="48">
        <v>46.40025</v>
      </c>
      <c r="H126">
        <v>82.57</v>
      </c>
      <c r="I126" s="48">
        <v>3.7189999999999999</v>
      </c>
      <c r="J126" s="49">
        <v>686.84456</v>
      </c>
      <c r="K126" s="49">
        <v>8358.0504999999994</v>
      </c>
      <c r="L126" s="50">
        <v>3.6056613613302035E-2</v>
      </c>
      <c r="M126" s="50">
        <v>4.1053812749717311E-2</v>
      </c>
      <c r="N126" s="50">
        <v>3.0380961801243389E-2</v>
      </c>
      <c r="O126" s="50">
        <v>1.9491547173009938E-2</v>
      </c>
      <c r="P126" s="50">
        <v>1.9904638451911927E-2</v>
      </c>
      <c r="Q126" s="50">
        <v>-7.6772008435553873E-3</v>
      </c>
      <c r="R126" s="47">
        <v>2.0630751866465437E-2</v>
      </c>
      <c r="S126" s="50">
        <v>-3.0185945423810701E-3</v>
      </c>
      <c r="T126" s="50">
        <v>-3.8396897220426718E-2</v>
      </c>
      <c r="U126" s="50">
        <v>3.5369565721396823E-2</v>
      </c>
      <c r="V126" s="50">
        <v>-2.8499421566982042E-3</v>
      </c>
      <c r="W126" s="50">
        <f t="shared" si="135"/>
        <v>2.0630751866465437E-2</v>
      </c>
      <c r="X126" t="s">
        <v>421</v>
      </c>
      <c r="Y126">
        <v>5.6772258878823928E-3</v>
      </c>
      <c r="Z126">
        <v>2.6984594833014443E-3</v>
      </c>
      <c r="AO126" t="str">
        <f t="shared" si="136"/>
        <v/>
      </c>
      <c r="AQ126" s="3">
        <v>45149</v>
      </c>
      <c r="AR126" s="59">
        <v>3.6056613613302035E-2</v>
      </c>
      <c r="AS126" s="59">
        <v>4.1053812749717311E-2</v>
      </c>
      <c r="AT126" s="59">
        <v>3.0380961801243389E-2</v>
      </c>
      <c r="AU126" s="59">
        <v>1.9491547173009938E-2</v>
      </c>
      <c r="AV126" s="59">
        <v>1.9904638451911927E-2</v>
      </c>
      <c r="AW126" s="59">
        <v>-7.6772008435553873E-3</v>
      </c>
      <c r="AX126" s="59">
        <v>2.0630751866465437E-2</v>
      </c>
      <c r="AY126" s="59">
        <v>-3.0185945423810701E-3</v>
      </c>
      <c r="AZ126" s="59">
        <v>-3.8396897220426718E-2</v>
      </c>
      <c r="BA126" s="59">
        <v>3.5369565721396823E-2</v>
      </c>
      <c r="BB126" s="59">
        <v>-2.8499421566982042E-3</v>
      </c>
    </row>
    <row r="127" spans="1:57" x14ac:dyDescent="0.45">
      <c r="A127" s="3">
        <v>45142</v>
      </c>
      <c r="B127" s="48">
        <v>106.36523</v>
      </c>
      <c r="C127" s="48">
        <v>98.483909999999995</v>
      </c>
      <c r="D127" s="48">
        <v>144.67250999999999</v>
      </c>
      <c r="E127" s="48">
        <v>119.62211000000001</v>
      </c>
      <c r="F127" s="48">
        <v>32.138739999999999</v>
      </c>
      <c r="G127" s="48">
        <v>46.759230000000002</v>
      </c>
      <c r="H127">
        <v>82.82</v>
      </c>
      <c r="I127" s="48">
        <v>3.8675000000000002</v>
      </c>
      <c r="J127" s="49">
        <v>663.38106000000005</v>
      </c>
      <c r="K127" s="49">
        <v>8381.9385399999992</v>
      </c>
      <c r="L127" s="50">
        <v>-1.91494370760803E-2</v>
      </c>
      <c r="M127" s="50">
        <v>3.1298045658887164E-2</v>
      </c>
      <c r="N127" s="50">
        <v>2.769611735202071E-3</v>
      </c>
      <c r="O127" s="50">
        <v>-6.886005774604409E-3</v>
      </c>
      <c r="P127" s="50">
        <v>2.4516424444809282E-3</v>
      </c>
      <c r="Q127" s="50">
        <v>-4.1509512088330092E-2</v>
      </c>
      <c r="R127" s="47">
        <v>-2.3752436048728675E-3</v>
      </c>
      <c r="S127" s="50">
        <v>2.779846115661444E-2</v>
      </c>
      <c r="T127" s="50">
        <v>-1.5026104673373175E-2</v>
      </c>
      <c r="U127" s="50">
        <v>1.1474803319787563E-2</v>
      </c>
      <c r="V127" s="50">
        <v>-2.2612656334219938E-2</v>
      </c>
      <c r="W127" s="50">
        <f t="shared" si="135"/>
        <v>-2.3752436048728675E-3</v>
      </c>
      <c r="X127" t="s">
        <v>422</v>
      </c>
      <c r="Y127">
        <v>2.7054335795431844E-3</v>
      </c>
      <c r="Z127">
        <v>5.3367443302326496E-4</v>
      </c>
      <c r="AO127" t="str">
        <f t="shared" si="136"/>
        <v/>
      </c>
      <c r="AQ127" s="3">
        <v>45142</v>
      </c>
      <c r="AR127" s="59">
        <v>-1.91494370760803E-2</v>
      </c>
      <c r="AS127" s="59">
        <v>3.1298045658887164E-2</v>
      </c>
      <c r="AT127" s="59">
        <v>2.769611735202071E-3</v>
      </c>
      <c r="AU127" s="59">
        <v>-6.886005774604409E-3</v>
      </c>
      <c r="AV127" s="59">
        <v>2.4516424444809282E-3</v>
      </c>
      <c r="AW127" s="59">
        <v>-4.1509512088330092E-2</v>
      </c>
      <c r="AX127" s="59">
        <v>-2.3752436048728675E-3</v>
      </c>
      <c r="AY127" s="59">
        <v>2.779846115661444E-2</v>
      </c>
      <c r="AZ127" s="59">
        <v>-1.5026104673373175E-2</v>
      </c>
      <c r="BA127" s="59">
        <v>1.1474803319787563E-2</v>
      </c>
      <c r="BB127" s="59">
        <v>-2.2612656334219938E-2</v>
      </c>
    </row>
    <row r="128" spans="1:57" x14ac:dyDescent="0.45">
      <c r="A128" s="3">
        <v>45135</v>
      </c>
      <c r="B128" s="48">
        <v>108.44183</v>
      </c>
      <c r="C128" s="48">
        <v>95.495099999999994</v>
      </c>
      <c r="D128" s="48">
        <v>144.27293</v>
      </c>
      <c r="E128" s="48">
        <v>120.45153999999999</v>
      </c>
      <c r="F128" s="48">
        <v>32.060139999999997</v>
      </c>
      <c r="G128" s="48">
        <v>48.784239999999997</v>
      </c>
      <c r="H128">
        <v>80.58</v>
      </c>
      <c r="I128" s="48">
        <v>3.9264999999999999</v>
      </c>
      <c r="J128" s="49">
        <v>655.85524999999996</v>
      </c>
      <c r="K128" s="49">
        <v>8575.8615499999996</v>
      </c>
      <c r="L128" s="50">
        <v>2.692887065583216E-2</v>
      </c>
      <c r="M128" s="50">
        <v>2.5988064577395775E-3</v>
      </c>
      <c r="N128" s="50">
        <v>1.1342766023636486E-3</v>
      </c>
      <c r="O128" s="50">
        <v>4.8872478678205766E-2</v>
      </c>
      <c r="P128" s="50">
        <v>2.7237491267939618E-4</v>
      </c>
      <c r="Q128" s="50">
        <v>1.4160002162022733E-2</v>
      </c>
      <c r="R128" s="47">
        <v>1.3407587762602225E-2</v>
      </c>
      <c r="S128" s="50">
        <v>4.5543012845465247E-2</v>
      </c>
      <c r="T128" s="50">
        <v>2.8418019905709802E-2</v>
      </c>
      <c r="U128" s="50">
        <v>1.6825352012010519E-2</v>
      </c>
      <c r="V128" s="50">
        <v>1.0267512365327303E-2</v>
      </c>
      <c r="W128" s="50">
        <f t="shared" si="135"/>
        <v>1.3407587762602225E-2</v>
      </c>
      <c r="X128" t="s">
        <v>423</v>
      </c>
      <c r="Y128">
        <v>260</v>
      </c>
      <c r="Z128">
        <v>260</v>
      </c>
      <c r="AO128" t="str">
        <f t="shared" si="136"/>
        <v/>
      </c>
      <c r="AQ128" s="3">
        <v>45135</v>
      </c>
      <c r="AR128" s="59">
        <v>2.692887065583216E-2</v>
      </c>
      <c r="AS128" s="59">
        <v>2.5988064577395775E-3</v>
      </c>
      <c r="AT128" s="59">
        <v>1.1342766023636486E-3</v>
      </c>
      <c r="AU128" s="59">
        <v>4.8872478678205766E-2</v>
      </c>
      <c r="AV128" s="59">
        <v>2.7237491267939618E-4</v>
      </c>
      <c r="AW128" s="59">
        <v>1.4160002162022733E-2</v>
      </c>
      <c r="AX128" s="59">
        <v>1.3407587762602225E-2</v>
      </c>
      <c r="AY128" s="59">
        <v>4.5543012845465247E-2</v>
      </c>
      <c r="AZ128" s="59">
        <v>2.8418019905709802E-2</v>
      </c>
      <c r="BA128" s="59">
        <v>1.6825352012010519E-2</v>
      </c>
      <c r="BB128" s="59">
        <v>1.0267512365327303E-2</v>
      </c>
    </row>
    <row r="129" spans="1:54" x14ac:dyDescent="0.45">
      <c r="A129" s="3">
        <v>45128</v>
      </c>
      <c r="B129" s="48">
        <v>105.59819</v>
      </c>
      <c r="C129" s="48">
        <v>95.247569999999996</v>
      </c>
      <c r="D129" s="48">
        <v>144.10946999999999</v>
      </c>
      <c r="E129" s="48">
        <v>114.83907000000001</v>
      </c>
      <c r="F129" s="48">
        <v>32.051409999999997</v>
      </c>
      <c r="G129" s="48">
        <v>48.103099999999998</v>
      </c>
      <c r="H129">
        <v>77.069999999999993</v>
      </c>
      <c r="I129" s="48">
        <v>3.8180000000000001</v>
      </c>
      <c r="J129" s="49">
        <v>645.00284999999997</v>
      </c>
      <c r="K129" s="49">
        <v>8488.7036800000005</v>
      </c>
      <c r="L129" s="50">
        <v>5.4159995280157247E-2</v>
      </c>
      <c r="M129" s="50">
        <v>2.9225342562487544E-2</v>
      </c>
      <c r="N129" s="50">
        <v>3.32725599627961E-2</v>
      </c>
      <c r="O129" s="50">
        <v>4.7759192259073435E-2</v>
      </c>
      <c r="P129" s="50">
        <v>3.3220860665738927E-2</v>
      </c>
      <c r="Q129" s="50">
        <v>6.871173658686569E-2</v>
      </c>
      <c r="R129" s="47">
        <v>4.2437938407392337E-2</v>
      </c>
      <c r="S129" s="50">
        <v>2.3234200743494471E-2</v>
      </c>
      <c r="T129" s="50">
        <v>-2.9239766081871288E-2</v>
      </c>
      <c r="U129" s="50">
        <v>3.5291785347498106E-2</v>
      </c>
      <c r="V129" s="50">
        <v>6.9436735440371322E-3</v>
      </c>
      <c r="W129" s="50">
        <f t="shared" si="135"/>
        <v>4.2437938407392337E-2</v>
      </c>
      <c r="X129" t="s">
        <v>424</v>
      </c>
      <c r="Y129">
        <v>259</v>
      </c>
      <c r="Z129">
        <v>259</v>
      </c>
      <c r="AO129" t="str">
        <f t="shared" si="136"/>
        <v/>
      </c>
      <c r="AQ129" s="3">
        <v>45128</v>
      </c>
      <c r="AR129" s="59">
        <v>5.4159995280157247E-2</v>
      </c>
      <c r="AS129" s="59">
        <v>2.9225342562487544E-2</v>
      </c>
      <c r="AT129" s="59">
        <v>3.32725599627961E-2</v>
      </c>
      <c r="AU129" s="59">
        <v>4.7759192259073435E-2</v>
      </c>
      <c r="AV129" s="59">
        <v>3.3220860665738927E-2</v>
      </c>
      <c r="AW129" s="59">
        <v>6.871173658686569E-2</v>
      </c>
      <c r="AX129" s="59">
        <v>4.2437938407392337E-2</v>
      </c>
      <c r="AY129" s="59">
        <v>2.3234200743494471E-2</v>
      </c>
      <c r="AZ129" s="59">
        <v>-2.9239766081871288E-2</v>
      </c>
      <c r="BA129" s="59">
        <v>3.5291785347498106E-2</v>
      </c>
      <c r="BB129" s="59">
        <v>6.9436735440371322E-3</v>
      </c>
    </row>
    <row r="130" spans="1:54" x14ac:dyDescent="0.45">
      <c r="A130" s="3">
        <v>45121</v>
      </c>
      <c r="B130" s="48">
        <v>100.17283</v>
      </c>
      <c r="C130" s="48">
        <v>92.542969999999997</v>
      </c>
      <c r="D130" s="48">
        <v>139.46897999999999</v>
      </c>
      <c r="E130" s="48">
        <v>109.60445</v>
      </c>
      <c r="F130" s="48">
        <v>31.020869999999999</v>
      </c>
      <c r="G130" s="48">
        <v>45.010359999999999</v>
      </c>
      <c r="H130">
        <v>75.319999999999993</v>
      </c>
      <c r="I130" s="48">
        <v>3.9329999999999998</v>
      </c>
      <c r="J130" s="49">
        <v>623.01552000000004</v>
      </c>
      <c r="K130" s="49">
        <v>8430.1673499999997</v>
      </c>
      <c r="L130" s="50">
        <v>3.7392290871733902E-2</v>
      </c>
      <c r="M130" s="50">
        <v>-2.1519949239936498E-2</v>
      </c>
      <c r="N130" s="50">
        <v>-4.1499411139637177E-3</v>
      </c>
      <c r="O130" s="50">
        <v>3.0429626582199942E-2</v>
      </c>
      <c r="P130" s="50">
        <v>7.6595570515187728E-3</v>
      </c>
      <c r="Q130" s="50">
        <v>1.0234777158966146E-3</v>
      </c>
      <c r="R130" s="47">
        <v>2.6885541991430229E-3</v>
      </c>
      <c r="S130" s="50">
        <v>2.1011251186118907E-2</v>
      </c>
      <c r="T130" s="50">
        <v>3.9925965097831861E-2</v>
      </c>
      <c r="U130" s="50">
        <v>5.8422155087738403E-3</v>
      </c>
      <c r="V130" s="50">
        <v>2.4335573302981528E-2</v>
      </c>
      <c r="W130" s="50">
        <f t="shared" si="135"/>
        <v>2.6885541991430229E-3</v>
      </c>
      <c r="X130" t="s">
        <v>425</v>
      </c>
      <c r="Y130" s="74">
        <v>5.0694457372014368</v>
      </c>
      <c r="AO130" t="str">
        <f t="shared" si="136"/>
        <v/>
      </c>
      <c r="AQ130" s="3">
        <v>45121</v>
      </c>
      <c r="AR130" s="59">
        <v>3.7392290871733902E-2</v>
      </c>
      <c r="AS130" s="59">
        <v>-2.1519949239936498E-2</v>
      </c>
      <c r="AT130" s="59">
        <v>-4.1499411139637177E-3</v>
      </c>
      <c r="AU130" s="59">
        <v>3.0429626582199942E-2</v>
      </c>
      <c r="AV130" s="59">
        <v>7.6595570515187728E-3</v>
      </c>
      <c r="AW130" s="59">
        <v>1.0234777158966146E-3</v>
      </c>
      <c r="AX130" s="59">
        <v>2.6885541991430229E-3</v>
      </c>
      <c r="AY130" s="59">
        <v>2.1011251186118907E-2</v>
      </c>
      <c r="AZ130" s="59">
        <v>3.9925965097831861E-2</v>
      </c>
      <c r="BA130" s="59">
        <v>5.8422155087738403E-3</v>
      </c>
      <c r="BB130" s="59">
        <v>2.4335573302981528E-2</v>
      </c>
    </row>
    <row r="131" spans="1:54" x14ac:dyDescent="0.45">
      <c r="A131" s="3">
        <v>45114</v>
      </c>
      <c r="B131" s="48">
        <v>96.562150000000003</v>
      </c>
      <c r="C131" s="48">
        <v>94.578289999999996</v>
      </c>
      <c r="D131" s="48">
        <v>140.05018000000001</v>
      </c>
      <c r="E131" s="48">
        <v>106.36772000000001</v>
      </c>
      <c r="F131" s="48">
        <v>30.785070000000001</v>
      </c>
      <c r="G131" s="48">
        <v>44.96434</v>
      </c>
      <c r="H131">
        <v>73.77</v>
      </c>
      <c r="I131" s="48">
        <v>3.782</v>
      </c>
      <c r="J131" s="49">
        <v>619.39687000000004</v>
      </c>
      <c r="K131" s="49">
        <v>8229.8883000000005</v>
      </c>
      <c r="L131" s="50">
        <v>-3.667651317443732E-3</v>
      </c>
      <c r="M131" s="50">
        <v>-3.8135201501504512E-2</v>
      </c>
      <c r="N131" s="50">
        <v>-1.9891934214363416E-2</v>
      </c>
      <c r="O131" s="50">
        <v>1.5379263787002051E-2</v>
      </c>
      <c r="P131" s="50">
        <v>-1.1333549643088858E-3</v>
      </c>
      <c r="Q131" s="50">
        <v>1.0550422632706224E-2</v>
      </c>
      <c r="R131" s="47">
        <v>-6.646160852093708E-3</v>
      </c>
      <c r="S131" s="50">
        <v>4.4309173272933045E-2</v>
      </c>
      <c r="T131" s="50">
        <v>5.9848384093630358E-3</v>
      </c>
      <c r="U131" s="50">
        <v>-6.6716910665992613E-3</v>
      </c>
      <c r="V131" s="50">
        <v>-1.1269945601929066E-2</v>
      </c>
      <c r="W131" s="50">
        <f t="shared" si="135"/>
        <v>-6.646160852093708E-3</v>
      </c>
      <c r="X131" t="s">
        <v>426</v>
      </c>
      <c r="Y131" s="74">
        <v>9.7497111319449805E-36</v>
      </c>
      <c r="AA131" t="s">
        <v>447</v>
      </c>
      <c r="AO131" t="str">
        <f t="shared" si="136"/>
        <v/>
      </c>
      <c r="AQ131" s="3">
        <v>45114</v>
      </c>
      <c r="AR131" s="59">
        <v>-3.667651317443732E-3</v>
      </c>
      <c r="AS131" s="59">
        <v>-3.8135201501504512E-2</v>
      </c>
      <c r="AT131" s="59">
        <v>-1.9891934214363416E-2</v>
      </c>
      <c r="AU131" s="59">
        <v>1.5379263787002051E-2</v>
      </c>
      <c r="AV131" s="59">
        <v>-1.1333549643088858E-3</v>
      </c>
      <c r="AW131" s="59">
        <v>1.0550422632706224E-2</v>
      </c>
      <c r="AX131" s="59">
        <v>-6.646160852093708E-3</v>
      </c>
      <c r="AY131" s="59">
        <v>4.4309173272933045E-2</v>
      </c>
      <c r="AZ131" s="59">
        <v>5.9848384093630358E-3</v>
      </c>
      <c r="BA131" s="59">
        <v>-6.6716910665992613E-3</v>
      </c>
      <c r="BB131" s="59">
        <v>-1.1269945601929066E-2</v>
      </c>
    </row>
    <row r="132" spans="1:54" ht="14.65" thickBot="1" x14ac:dyDescent="0.5">
      <c r="A132" s="3">
        <v>45107</v>
      </c>
      <c r="B132" s="48">
        <v>96.917609999999996</v>
      </c>
      <c r="C132" s="48">
        <v>98.328050000000005</v>
      </c>
      <c r="D132" s="48">
        <v>142.89259000000001</v>
      </c>
      <c r="E132" s="48">
        <v>104.75664</v>
      </c>
      <c r="F132" s="48">
        <v>30.82</v>
      </c>
      <c r="G132" s="48">
        <v>44.494900000000001</v>
      </c>
      <c r="H132">
        <v>70.64</v>
      </c>
      <c r="I132" s="48">
        <v>3.7595000000000001</v>
      </c>
      <c r="J132" s="49">
        <v>623.55705</v>
      </c>
      <c r="K132" s="49">
        <v>8323.6959000000006</v>
      </c>
      <c r="L132" s="50">
        <v>3.7552578781055557E-2</v>
      </c>
      <c r="M132" s="50">
        <v>4.7363208435483362E-2</v>
      </c>
      <c r="N132" s="50">
        <v>3.9643161994553644E-2</v>
      </c>
      <c r="O132" s="50">
        <v>7.1334929614944365E-2</v>
      </c>
      <c r="P132" s="50">
        <v>1.3789110812873373E-2</v>
      </c>
      <c r="Q132" s="50">
        <v>2.5238504722167709E-2</v>
      </c>
      <c r="R132" s="47">
        <v>3.9473783116004489E-2</v>
      </c>
      <c r="S132" s="50">
        <v>2.139965297860047E-2</v>
      </c>
      <c r="T132" s="50">
        <v>-1.1568292362297838E-2</v>
      </c>
      <c r="U132" s="50">
        <v>4.7692038914190826E-2</v>
      </c>
      <c r="V132" s="50">
        <v>2.3593239997386828E-2</v>
      </c>
      <c r="W132" s="50">
        <f t="shared" si="135"/>
        <v>3.9473783116004489E-2</v>
      </c>
      <c r="X132" s="64" t="s">
        <v>427</v>
      </c>
      <c r="Y132" s="75">
        <v>1.2272651018611282</v>
      </c>
      <c r="Z132" s="64"/>
      <c r="AO132" t="str">
        <f t="shared" si="136"/>
        <v/>
      </c>
      <c r="AQ132" s="3">
        <v>45107</v>
      </c>
      <c r="AR132" s="59">
        <v>3.7552578781055557E-2</v>
      </c>
      <c r="AS132" s="59">
        <v>4.7363208435483362E-2</v>
      </c>
      <c r="AT132" s="59">
        <v>3.9643161994553644E-2</v>
      </c>
      <c r="AU132" s="59">
        <v>7.1334929614944365E-2</v>
      </c>
      <c r="AV132" s="59">
        <v>1.3789110812873373E-2</v>
      </c>
      <c r="AW132" s="59">
        <v>2.5238504722167709E-2</v>
      </c>
      <c r="AX132" s="59">
        <v>3.9473783116004489E-2</v>
      </c>
      <c r="AY132" s="59">
        <v>2.139965297860047E-2</v>
      </c>
      <c r="AZ132" s="59">
        <v>-1.1568292362297838E-2</v>
      </c>
      <c r="BA132" s="59">
        <v>4.7692038914190826E-2</v>
      </c>
      <c r="BB132" s="59">
        <v>2.3593239997386828E-2</v>
      </c>
    </row>
    <row r="133" spans="1:54" x14ac:dyDescent="0.45">
      <c r="A133" s="3">
        <v>45100</v>
      </c>
      <c r="B133" s="48">
        <v>93.409829999999999</v>
      </c>
      <c r="C133" s="48">
        <v>93.881519999999995</v>
      </c>
      <c r="D133" s="48">
        <v>137.44388000000001</v>
      </c>
      <c r="E133" s="48">
        <v>97.781409999999994</v>
      </c>
      <c r="F133" s="48">
        <v>30.4008</v>
      </c>
      <c r="G133" s="48">
        <v>43.399560000000001</v>
      </c>
      <c r="H133">
        <v>69.16</v>
      </c>
      <c r="I133" s="48">
        <v>3.8035000000000001</v>
      </c>
      <c r="J133" s="49">
        <v>595.17208000000005</v>
      </c>
      <c r="K133" s="49">
        <v>8131.8394600000001</v>
      </c>
      <c r="L133" s="50">
        <v>-4.2508556294828415E-2</v>
      </c>
      <c r="M133" s="50">
        <v>-2.5967788774138967E-2</v>
      </c>
      <c r="N133" s="50">
        <v>-3.7581035503882476E-2</v>
      </c>
      <c r="O133" s="50">
        <v>-5.8107694555800338E-2</v>
      </c>
      <c r="P133" s="50">
        <v>-1.5275780308625087E-2</v>
      </c>
      <c r="Q133" s="50">
        <v>-5.3212815265330948E-2</v>
      </c>
      <c r="R133" s="47">
        <v>-3.802902288155556E-2</v>
      </c>
      <c r="S133" s="50">
        <v>-3.8509662171555825E-2</v>
      </c>
      <c r="T133" s="50">
        <v>-2.198508614039596E-2</v>
      </c>
      <c r="U133" s="50">
        <v>-3.4478176025545926E-2</v>
      </c>
      <c r="V133" s="50">
        <v>-1.3776488866490189E-2</v>
      </c>
      <c r="W133" s="50">
        <f t="shared" si="135"/>
        <v>-3.802902288155556E-2</v>
      </c>
      <c r="AO133" t="str">
        <f t="shared" si="136"/>
        <v/>
      </c>
      <c r="AQ133" s="3">
        <v>45100</v>
      </c>
      <c r="AR133" s="59">
        <v>-4.2508556294828415E-2</v>
      </c>
      <c r="AS133" s="59">
        <v>-2.5967788774138967E-2</v>
      </c>
      <c r="AT133" s="59">
        <v>-3.7581035503882476E-2</v>
      </c>
      <c r="AU133" s="59">
        <v>-5.8107694555800338E-2</v>
      </c>
      <c r="AV133" s="59">
        <v>-1.5275780308625087E-2</v>
      </c>
      <c r="AW133" s="59">
        <v>-5.3212815265330948E-2</v>
      </c>
      <c r="AX133" s="59">
        <v>-3.802902288155556E-2</v>
      </c>
      <c r="AY133" s="59">
        <v>-3.8509662171555825E-2</v>
      </c>
      <c r="AZ133" s="59">
        <v>-2.198508614039596E-2</v>
      </c>
      <c r="BA133" s="59">
        <v>-3.4478176025545926E-2</v>
      </c>
      <c r="BB133" s="59">
        <v>-1.3776488866490189E-2</v>
      </c>
    </row>
    <row r="134" spans="1:54" x14ac:dyDescent="0.45">
      <c r="A134" s="3">
        <v>45093</v>
      </c>
      <c r="B134" s="48">
        <v>97.556830000000005</v>
      </c>
      <c r="C134" s="48">
        <v>96.384410000000003</v>
      </c>
      <c r="D134" s="48">
        <v>142.81085999999999</v>
      </c>
      <c r="E134" s="48">
        <v>103.81379</v>
      </c>
      <c r="F134" s="48">
        <v>30.872399999999999</v>
      </c>
      <c r="G134" s="48">
        <v>45.838769999999997</v>
      </c>
      <c r="H134">
        <v>71.930000000000007</v>
      </c>
      <c r="I134" s="48">
        <v>3.8889999999999998</v>
      </c>
      <c r="J134" s="49">
        <v>616.42529999999999</v>
      </c>
      <c r="K134" s="49">
        <v>8245.4325700000009</v>
      </c>
      <c r="L134" s="50">
        <v>9.9143770579253054E-3</v>
      </c>
      <c r="M134" s="50">
        <v>-2.1044846140540807E-2</v>
      </c>
      <c r="N134" s="50">
        <v>-1.0071753942515693E-2</v>
      </c>
      <c r="O134" s="50">
        <v>-2.44301732797223E-2</v>
      </c>
      <c r="P134" s="50">
        <v>-3.3831334013403325E-3</v>
      </c>
      <c r="Q134" s="50">
        <v>1.3071716307555103E-2</v>
      </c>
      <c r="R134" s="47">
        <v>-9.1716380913128056E-3</v>
      </c>
      <c r="S134" s="50">
        <v>2.2749893359875095E-2</v>
      </c>
      <c r="T134" s="50">
        <v>2.6392187912377851E-2</v>
      </c>
      <c r="U134" s="50">
        <v>-7.0764163959233795E-3</v>
      </c>
      <c r="V134" s="50">
        <v>2.6095867837642173E-2</v>
      </c>
      <c r="W134" s="50">
        <f t="shared" si="135"/>
        <v>-9.1716380913128056E-3</v>
      </c>
      <c r="X134" t="s">
        <v>429</v>
      </c>
      <c r="AO134" t="str">
        <f t="shared" si="136"/>
        <v/>
      </c>
      <c r="AQ134" s="3">
        <v>45093</v>
      </c>
      <c r="AR134" s="59">
        <v>9.9143770579253054E-3</v>
      </c>
      <c r="AS134" s="59">
        <v>-2.1044846140540807E-2</v>
      </c>
      <c r="AT134" s="59">
        <v>-1.0071753942515693E-2</v>
      </c>
      <c r="AU134" s="59">
        <v>-2.44301732797223E-2</v>
      </c>
      <c r="AV134" s="59">
        <v>-3.3831334013403325E-3</v>
      </c>
      <c r="AW134" s="59">
        <v>1.3071716307555103E-2</v>
      </c>
      <c r="AX134" s="59">
        <v>-9.1716380913128056E-3</v>
      </c>
      <c r="AY134" s="59">
        <v>2.2749893359875095E-2</v>
      </c>
      <c r="AZ134" s="59">
        <v>2.6392187912377851E-2</v>
      </c>
      <c r="BA134" s="59">
        <v>-7.0764163959233795E-3</v>
      </c>
      <c r="BB134" s="59">
        <v>2.6095867837642173E-2</v>
      </c>
    </row>
    <row r="135" spans="1:54" ht="14.65" thickBot="1" x14ac:dyDescent="0.5">
      <c r="A135" s="3">
        <v>45086</v>
      </c>
      <c r="B135" s="48">
        <v>96.599109999999996</v>
      </c>
      <c r="C135" s="48">
        <v>98.456410000000005</v>
      </c>
      <c r="D135" s="48">
        <v>144.26384999999999</v>
      </c>
      <c r="E135" s="48">
        <v>106.41349</v>
      </c>
      <c r="F135" s="48">
        <v>30.9772</v>
      </c>
      <c r="G135" s="48">
        <v>45.247309999999999</v>
      </c>
      <c r="H135">
        <v>70.33</v>
      </c>
      <c r="I135" s="48">
        <v>3.7890000000000001</v>
      </c>
      <c r="J135" s="49">
        <v>620.81847000000005</v>
      </c>
      <c r="K135" s="49">
        <v>8035.7331400000003</v>
      </c>
      <c r="L135" s="50">
        <v>1.5046362091809096E-2</v>
      </c>
      <c r="M135" s="50">
        <v>1.5412326478414284E-2</v>
      </c>
      <c r="N135" s="50">
        <v>1.6638931707731563E-2</v>
      </c>
      <c r="O135" s="50">
        <v>3.8688384865690706E-2</v>
      </c>
      <c r="P135" s="50">
        <v>-5.0490775476642602E-3</v>
      </c>
      <c r="Q135" s="50">
        <v>2.7611577430991074E-2</v>
      </c>
      <c r="R135" s="47">
        <v>1.8660428587032672E-2</v>
      </c>
      <c r="S135" s="50">
        <v>-1.965430722051853E-2</v>
      </c>
      <c r="T135" s="50">
        <v>1.6498993963782738E-2</v>
      </c>
      <c r="U135" s="50">
        <v>1.7047455893309138E-2</v>
      </c>
      <c r="V135" s="50">
        <v>4.0010909591263744E-3</v>
      </c>
      <c r="W135" s="50">
        <f t="shared" si="135"/>
        <v>1.8660428587032672E-2</v>
      </c>
      <c r="AO135" t="str">
        <f t="shared" si="136"/>
        <v/>
      </c>
      <c r="AQ135" s="3">
        <v>45086</v>
      </c>
      <c r="AR135" s="59">
        <v>1.5046362091809096E-2</v>
      </c>
      <c r="AS135" s="59">
        <v>1.5412326478414284E-2</v>
      </c>
      <c r="AT135" s="59">
        <v>1.6638931707731563E-2</v>
      </c>
      <c r="AU135" s="59">
        <v>3.8688384865690706E-2</v>
      </c>
      <c r="AV135" s="59">
        <v>-5.0490775476642602E-3</v>
      </c>
      <c r="AW135" s="59">
        <v>2.7611577430991074E-2</v>
      </c>
      <c r="AX135" s="59">
        <v>1.8660428587032672E-2</v>
      </c>
      <c r="AY135" s="59">
        <v>-1.965430722051853E-2</v>
      </c>
      <c r="AZ135" s="59">
        <v>1.6498993963782738E-2</v>
      </c>
      <c r="BA135" s="59">
        <v>1.7047455893309138E-2</v>
      </c>
      <c r="BB135" s="59">
        <v>4.0010909591263744E-3</v>
      </c>
    </row>
    <row r="136" spans="1:54" x14ac:dyDescent="0.45">
      <c r="A136" s="3">
        <v>45079</v>
      </c>
      <c r="B136" s="48">
        <v>95.167190000000005</v>
      </c>
      <c r="C136" s="48">
        <v>96.962000000000003</v>
      </c>
      <c r="D136" s="48">
        <v>141.90273999999999</v>
      </c>
      <c r="E136" s="48">
        <v>102.44987</v>
      </c>
      <c r="F136" s="48">
        <v>31.134399999999999</v>
      </c>
      <c r="G136" s="48">
        <v>44.031529999999997</v>
      </c>
      <c r="H136">
        <v>71.739999999999995</v>
      </c>
      <c r="I136" s="48">
        <v>3.7275</v>
      </c>
      <c r="J136" s="49">
        <v>610.41249000000005</v>
      </c>
      <c r="K136" s="49">
        <v>8003.70957</v>
      </c>
      <c r="L136" s="50">
        <v>4.9091743092142259E-3</v>
      </c>
      <c r="M136" s="50">
        <v>7.5259472065631883E-3</v>
      </c>
      <c r="N136" s="50">
        <v>1.41484919138406E-2</v>
      </c>
      <c r="O136" s="50">
        <v>1.6345777442511533E-2</v>
      </c>
      <c r="P136" s="50">
        <v>2.8128258157693597E-3</v>
      </c>
      <c r="Q136" s="50">
        <v>9.5695984973687143E-3</v>
      </c>
      <c r="R136" s="47">
        <v>1.0080528175210679E-2</v>
      </c>
      <c r="S136" s="50">
        <v>-1.2797578092748174E-2</v>
      </c>
      <c r="T136" s="50">
        <v>1.2357414448669335E-2</v>
      </c>
      <c r="U136" s="50">
        <v>1.3113678273446672E-2</v>
      </c>
      <c r="V136" s="50">
        <v>1.865685807571027E-2</v>
      </c>
      <c r="W136" s="50">
        <f t="shared" si="135"/>
        <v>1.0080528175210679E-2</v>
      </c>
      <c r="X136" s="65"/>
      <c r="Y136" s="65" t="s">
        <v>419</v>
      </c>
      <c r="Z136" s="65" t="s">
        <v>420</v>
      </c>
      <c r="AO136" t="str">
        <f t="shared" si="136"/>
        <v/>
      </c>
      <c r="AQ136" s="3">
        <v>45079</v>
      </c>
      <c r="AR136" s="59">
        <v>4.9091743092142259E-3</v>
      </c>
      <c r="AS136" s="59">
        <v>7.5259472065631883E-3</v>
      </c>
      <c r="AT136" s="59">
        <v>1.41484919138406E-2</v>
      </c>
      <c r="AU136" s="59">
        <v>1.6345777442511533E-2</v>
      </c>
      <c r="AV136" s="59">
        <v>2.8128258157693597E-3</v>
      </c>
      <c r="AW136" s="59">
        <v>9.5695984973687143E-3</v>
      </c>
      <c r="AX136" s="59">
        <v>1.0080528175210679E-2</v>
      </c>
      <c r="AY136" s="59">
        <v>-1.2797578092748174E-2</v>
      </c>
      <c r="AZ136" s="59">
        <v>1.2357414448669335E-2</v>
      </c>
      <c r="BA136" s="59">
        <v>1.3113678273446672E-2</v>
      </c>
      <c r="BB136" s="59">
        <v>1.865685807571027E-2</v>
      </c>
    </row>
    <row r="137" spans="1:54" x14ac:dyDescent="0.45">
      <c r="A137" s="3">
        <v>45072</v>
      </c>
      <c r="B137" s="48">
        <v>94.702280000000002</v>
      </c>
      <c r="C137" s="48">
        <v>96.237719999999996</v>
      </c>
      <c r="D137" s="48">
        <v>139.92303999999999</v>
      </c>
      <c r="E137" s="48">
        <v>100.80218000000001</v>
      </c>
      <c r="F137" s="48">
        <v>31.047070000000001</v>
      </c>
      <c r="G137" s="48">
        <v>43.614159999999998</v>
      </c>
      <c r="H137">
        <v>72.67</v>
      </c>
      <c r="I137" s="48">
        <v>3.6819999999999999</v>
      </c>
      <c r="J137" s="49">
        <v>602.51134999999999</v>
      </c>
      <c r="K137" s="49">
        <v>7857.12039</v>
      </c>
      <c r="L137" s="50">
        <v>-7.3099848898815489E-3</v>
      </c>
      <c r="M137" s="50">
        <v>-1.2140063873679163E-2</v>
      </c>
      <c r="N137" s="50">
        <v>-7.4083805771236744E-3</v>
      </c>
      <c r="O137" s="50">
        <v>-3.9008636818424702E-2</v>
      </c>
      <c r="P137" s="50">
        <v>-1.3322201837078218E-2</v>
      </c>
      <c r="Q137" s="50">
        <v>-2.296759232086798E-2</v>
      </c>
      <c r="R137" s="47">
        <v>-1.8969375085434746E-2</v>
      </c>
      <c r="S137" s="50">
        <v>1.3669967917422365E-2</v>
      </c>
      <c r="T137" s="50">
        <v>-1.3397642015005484E-2</v>
      </c>
      <c r="U137" s="50">
        <v>-1.113405966315717E-2</v>
      </c>
      <c r="V137" s="50">
        <v>3.3925834662913434E-3</v>
      </c>
      <c r="W137" s="50">
        <f t="shared" ref="W137:W200" si="137">AVERAGE(M137:Q137)</f>
        <v>-1.8969375085434746E-2</v>
      </c>
      <c r="X137" t="s">
        <v>421</v>
      </c>
      <c r="Y137">
        <v>5.6772258878823928E-3</v>
      </c>
      <c r="Z137">
        <v>2.6984594833014443E-3</v>
      </c>
      <c r="AO137" t="str">
        <f t="shared" ref="AO137:AO200" si="138">IF(A137&lt;$AP$3,"",IF(A137&lt;=$AP$4,1,""))</f>
        <v/>
      </c>
      <c r="AQ137" s="3">
        <v>45072</v>
      </c>
      <c r="AR137" s="59">
        <v>-7.3099848898815489E-3</v>
      </c>
      <c r="AS137" s="59">
        <v>-1.2140063873679163E-2</v>
      </c>
      <c r="AT137" s="59">
        <v>-7.4083805771236744E-3</v>
      </c>
      <c r="AU137" s="59">
        <v>-3.9008636818424702E-2</v>
      </c>
      <c r="AV137" s="59">
        <v>-1.3322201837078218E-2</v>
      </c>
      <c r="AW137" s="59">
        <v>-2.296759232086798E-2</v>
      </c>
      <c r="AX137" s="59">
        <v>-1.8969375085434746E-2</v>
      </c>
      <c r="AY137" s="59">
        <v>1.3669967917422365E-2</v>
      </c>
      <c r="AZ137" s="59">
        <v>-1.3397642015005484E-2</v>
      </c>
      <c r="BA137" s="59">
        <v>-1.113405966315717E-2</v>
      </c>
      <c r="BB137" s="59">
        <v>3.3925834662913434E-3</v>
      </c>
    </row>
    <row r="138" spans="1:54" x14ac:dyDescent="0.45">
      <c r="A138" s="3">
        <v>45065</v>
      </c>
      <c r="B138" s="48">
        <v>95.399649999999994</v>
      </c>
      <c r="C138" s="48">
        <v>97.420410000000004</v>
      </c>
      <c r="D138" s="48">
        <v>140.96737999999999</v>
      </c>
      <c r="E138" s="48">
        <v>104.89395</v>
      </c>
      <c r="F138" s="48">
        <v>31.466270000000002</v>
      </c>
      <c r="G138" s="48">
        <v>44.639420000000001</v>
      </c>
      <c r="H138">
        <v>71.69</v>
      </c>
      <c r="I138" s="48">
        <v>3.7320000000000002</v>
      </c>
      <c r="J138" s="49">
        <v>609.29528000000005</v>
      </c>
      <c r="K138" s="49">
        <v>7830.55458</v>
      </c>
      <c r="L138" s="50">
        <v>3.7201871319088475E-2</v>
      </c>
      <c r="M138" s="50">
        <v>1.3254524055281047E-2</v>
      </c>
      <c r="N138" s="50">
        <v>8.3059762915804747E-4</v>
      </c>
      <c r="O138" s="50">
        <v>3.7764950786426832E-2</v>
      </c>
      <c r="P138" s="50">
        <v>6.143414335294306E-3</v>
      </c>
      <c r="Q138" s="50">
        <v>3.5353466240984899E-2</v>
      </c>
      <c r="R138" s="47">
        <v>1.8669390609429026E-2</v>
      </c>
      <c r="S138" s="50">
        <v>2.3850328477577953E-2</v>
      </c>
      <c r="T138" s="50">
        <v>9.387153010593785E-4</v>
      </c>
      <c r="U138" s="50">
        <v>9.0362354128092903E-3</v>
      </c>
      <c r="V138" s="50">
        <v>1.6881461255058516E-2</v>
      </c>
      <c r="W138" s="50">
        <f t="shared" si="137"/>
        <v>1.8669390609429026E-2</v>
      </c>
      <c r="X138" t="s">
        <v>422</v>
      </c>
      <c r="Y138">
        <v>2.7054335795431844E-3</v>
      </c>
      <c r="Z138">
        <v>5.3367443302326496E-4</v>
      </c>
      <c r="AO138" t="str">
        <f t="shared" si="138"/>
        <v/>
      </c>
      <c r="AQ138" s="3">
        <v>45065</v>
      </c>
      <c r="AR138" s="59">
        <v>3.7201871319088475E-2</v>
      </c>
      <c r="AS138" s="59">
        <v>1.3254524055281047E-2</v>
      </c>
      <c r="AT138" s="59">
        <v>8.3059762915804747E-4</v>
      </c>
      <c r="AU138" s="59">
        <v>3.7764950786426832E-2</v>
      </c>
      <c r="AV138" s="59">
        <v>6.143414335294306E-3</v>
      </c>
      <c r="AW138" s="59">
        <v>3.5353466240984899E-2</v>
      </c>
      <c r="AX138" s="59">
        <v>1.8669390609429026E-2</v>
      </c>
      <c r="AY138" s="59">
        <v>2.3850328477577953E-2</v>
      </c>
      <c r="AZ138" s="59">
        <v>9.387153010593785E-4</v>
      </c>
      <c r="BA138" s="59">
        <v>9.0362354128092903E-3</v>
      </c>
      <c r="BB138" s="59">
        <v>1.6881461255058516E-2</v>
      </c>
    </row>
    <row r="139" spans="1:54" x14ac:dyDescent="0.45">
      <c r="A139" s="3">
        <v>45058</v>
      </c>
      <c r="B139" s="48">
        <v>91.977900000000005</v>
      </c>
      <c r="C139" s="48">
        <v>96.146039999999999</v>
      </c>
      <c r="D139" s="48">
        <v>140.85039</v>
      </c>
      <c r="E139" s="48">
        <v>101.07679</v>
      </c>
      <c r="F139" s="48">
        <v>31.274139999999999</v>
      </c>
      <c r="G139" s="48">
        <v>43.11515</v>
      </c>
      <c r="H139">
        <v>70.02</v>
      </c>
      <c r="I139" s="48">
        <v>3.7284999999999999</v>
      </c>
      <c r="J139" s="49">
        <v>603.83884999999998</v>
      </c>
      <c r="K139" s="49">
        <v>7700.5579100000004</v>
      </c>
      <c r="L139" s="50">
        <v>-9.365362215117301E-3</v>
      </c>
      <c r="M139" s="50">
        <v>-2.6683830401352804E-2</v>
      </c>
      <c r="N139" s="50">
        <v>-2.2408066356966017E-2</v>
      </c>
      <c r="O139" s="50">
        <v>-3.2845820987165819E-2</v>
      </c>
      <c r="P139" s="50">
        <v>-2.5163170820733827E-2</v>
      </c>
      <c r="Q139" s="50">
        <v>-5.6393815182519291E-2</v>
      </c>
      <c r="R139" s="47">
        <v>-3.2698940749747551E-2</v>
      </c>
      <c r="S139" s="50">
        <v>-1.850294365012628E-2</v>
      </c>
      <c r="T139" s="50">
        <v>-3.9788823074942026E-2</v>
      </c>
      <c r="U139" s="50">
        <v>-2.1567142158006369E-2</v>
      </c>
      <c r="V139" s="50">
        <v>-2.5560641170973009E-3</v>
      </c>
      <c r="W139" s="50">
        <f t="shared" si="137"/>
        <v>-3.2698940749747551E-2</v>
      </c>
      <c r="X139" t="s">
        <v>423</v>
      </c>
      <c r="Y139">
        <v>260</v>
      </c>
      <c r="Z139">
        <v>260</v>
      </c>
      <c r="AO139" t="str">
        <f t="shared" si="138"/>
        <v/>
      </c>
      <c r="AQ139" s="3">
        <v>45058</v>
      </c>
      <c r="AR139" s="59">
        <v>-9.365362215117301E-3</v>
      </c>
      <c r="AS139" s="59">
        <v>-2.6683830401352804E-2</v>
      </c>
      <c r="AT139" s="59">
        <v>-2.2408066356966017E-2</v>
      </c>
      <c r="AU139" s="59">
        <v>-3.2845820987165819E-2</v>
      </c>
      <c r="AV139" s="59">
        <v>-2.5163170820733827E-2</v>
      </c>
      <c r="AW139" s="59">
        <v>-5.6393815182519291E-2</v>
      </c>
      <c r="AX139" s="59">
        <v>-3.2698940749747551E-2</v>
      </c>
      <c r="AY139" s="59">
        <v>-1.850294365012628E-2</v>
      </c>
      <c r="AZ139" s="59">
        <v>-3.9788823074942026E-2</v>
      </c>
      <c r="BA139" s="59">
        <v>-2.1567142158006369E-2</v>
      </c>
      <c r="BB139" s="59">
        <v>-2.5560641170973009E-3</v>
      </c>
    </row>
    <row r="140" spans="1:54" x14ac:dyDescent="0.45">
      <c r="A140" s="3">
        <v>45051</v>
      </c>
      <c r="B140" s="48">
        <v>92.847449999999995</v>
      </c>
      <c r="C140" s="48">
        <v>98.78192</v>
      </c>
      <c r="D140" s="48">
        <v>144.07892000000001</v>
      </c>
      <c r="E140" s="48">
        <v>104.50949</v>
      </c>
      <c r="F140" s="48">
        <v>32.081409999999998</v>
      </c>
      <c r="G140" s="48">
        <v>45.691890000000001</v>
      </c>
      <c r="H140">
        <v>71.34</v>
      </c>
      <c r="I140" s="48">
        <v>3.883</v>
      </c>
      <c r="J140" s="49">
        <v>617.14899000000003</v>
      </c>
      <c r="K140" s="49">
        <v>7720.2914700000001</v>
      </c>
      <c r="L140" s="50">
        <v>-2.4492170402206082E-2</v>
      </c>
      <c r="M140" s="50">
        <v>-8.1629194215473433E-2</v>
      </c>
      <c r="N140" s="50">
        <v>-4.9650024138199522E-2</v>
      </c>
      <c r="O140" s="50">
        <v>-4.4362603388062416E-2</v>
      </c>
      <c r="P140" s="50">
        <v>-7.8202516442500869E-2</v>
      </c>
      <c r="Q140" s="50">
        <v>-5.7458415605483149E-2</v>
      </c>
      <c r="R140" s="47">
        <v>-6.2260550757943879E-2</v>
      </c>
      <c r="S140" s="50">
        <v>-7.0851784318832989E-2</v>
      </c>
      <c r="T140" s="50">
        <v>-1.9277727798483468E-3</v>
      </c>
      <c r="U140" s="50">
        <v>-5.8069862865797739E-2</v>
      </c>
      <c r="V140" s="50">
        <v>-7.8390657386039342E-3</v>
      </c>
      <c r="W140" s="50">
        <f t="shared" si="137"/>
        <v>-6.2260550757943879E-2</v>
      </c>
      <c r="X140" t="s">
        <v>430</v>
      </c>
      <c r="Y140">
        <v>0</v>
      </c>
      <c r="AO140" t="str">
        <f t="shared" si="138"/>
        <v/>
      </c>
      <c r="AQ140" s="3">
        <v>45051</v>
      </c>
      <c r="AR140" s="59">
        <v>-2.4492170402206082E-2</v>
      </c>
      <c r="AS140" s="59">
        <v>-8.1629194215473433E-2</v>
      </c>
      <c r="AT140" s="59">
        <v>-4.9650024138199522E-2</v>
      </c>
      <c r="AU140" s="59">
        <v>-4.4362603388062416E-2</v>
      </c>
      <c r="AV140" s="59">
        <v>-7.8202516442500869E-2</v>
      </c>
      <c r="AW140" s="59">
        <v>-5.7458415605483149E-2</v>
      </c>
      <c r="AX140" s="59">
        <v>-6.2260550757943879E-2</v>
      </c>
      <c r="AY140" s="59">
        <v>-7.0851784318832989E-2</v>
      </c>
      <c r="AZ140" s="59">
        <v>-1.9277727798483468E-3</v>
      </c>
      <c r="BA140" s="59">
        <v>-5.8069862865797739E-2</v>
      </c>
      <c r="BB140" s="59">
        <v>-7.8390657386039342E-3</v>
      </c>
    </row>
    <row r="141" spans="1:54" x14ac:dyDescent="0.45">
      <c r="A141" s="3">
        <v>45044</v>
      </c>
      <c r="B141" s="48">
        <v>95.178579999999997</v>
      </c>
      <c r="C141" s="48">
        <v>107.56213</v>
      </c>
      <c r="D141" s="48">
        <v>151.60616999999999</v>
      </c>
      <c r="E141" s="48">
        <v>109.36103</v>
      </c>
      <c r="F141" s="48">
        <v>34.803100000000001</v>
      </c>
      <c r="G141" s="48">
        <v>48.477319999999999</v>
      </c>
      <c r="H141">
        <v>76.78</v>
      </c>
      <c r="I141" s="48">
        <v>3.8904999999999998</v>
      </c>
      <c r="J141" s="49">
        <v>655.19614000000001</v>
      </c>
      <c r="K141" s="49">
        <v>7781.2895099999996</v>
      </c>
      <c r="L141" s="50">
        <v>6.1607386374447071E-3</v>
      </c>
      <c r="M141" s="50">
        <v>2.0084435067828199E-2</v>
      </c>
      <c r="N141" s="50">
        <v>-3.1930058030742448E-3</v>
      </c>
      <c r="O141" s="50">
        <v>1.8412740096737101E-2</v>
      </c>
      <c r="P141" s="50">
        <v>1.6145344892222191E-2</v>
      </c>
      <c r="Q141" s="50">
        <v>-3.7292344773132147E-3</v>
      </c>
      <c r="R141" s="47">
        <v>9.5440559552800071E-3</v>
      </c>
      <c r="S141" s="50">
        <v>-1.3997688455117507E-2</v>
      </c>
      <c r="T141" s="50">
        <v>-2.2487437185929715E-2</v>
      </c>
      <c r="U141" s="50">
        <v>2.9096490640494466E-3</v>
      </c>
      <c r="V141" s="50">
        <v>8.8262582822318247E-3</v>
      </c>
      <c r="W141" s="50">
        <f t="shared" si="137"/>
        <v>9.5440559552800071E-3</v>
      </c>
      <c r="X141" t="s">
        <v>424</v>
      </c>
      <c r="Y141">
        <v>357</v>
      </c>
      <c r="AO141" t="str">
        <f t="shared" si="138"/>
        <v/>
      </c>
      <c r="AQ141" s="3">
        <v>45044</v>
      </c>
      <c r="AR141" s="59">
        <v>6.1607386374447071E-3</v>
      </c>
      <c r="AS141" s="59">
        <v>2.0084435067828199E-2</v>
      </c>
      <c r="AT141" s="59">
        <v>-3.1930058030742448E-3</v>
      </c>
      <c r="AU141" s="59">
        <v>1.8412740096737101E-2</v>
      </c>
      <c r="AV141" s="59">
        <v>1.6145344892222191E-2</v>
      </c>
      <c r="AW141" s="59">
        <v>-3.7292344773132147E-3</v>
      </c>
      <c r="AX141" s="59">
        <v>9.5440559552800071E-3</v>
      </c>
      <c r="AY141" s="59">
        <v>-1.3997688455117507E-2</v>
      </c>
      <c r="AZ141" s="59">
        <v>-2.2487437185929715E-2</v>
      </c>
      <c r="BA141" s="59">
        <v>2.9096490640494466E-3</v>
      </c>
      <c r="BB141" s="59">
        <v>8.8262582822318247E-3</v>
      </c>
    </row>
    <row r="142" spans="1:54" x14ac:dyDescent="0.45">
      <c r="A142" s="3">
        <v>45037</v>
      </c>
      <c r="B142" s="48">
        <v>94.595799999999997</v>
      </c>
      <c r="C142" s="48">
        <v>105.44434</v>
      </c>
      <c r="D142" s="48">
        <v>152.09180000000001</v>
      </c>
      <c r="E142" s="48">
        <v>107.38379999999999</v>
      </c>
      <c r="F142" s="48">
        <v>34.250120000000003</v>
      </c>
      <c r="G142" s="48">
        <v>48.65878</v>
      </c>
      <c r="H142">
        <v>77.87</v>
      </c>
      <c r="I142" s="48">
        <v>3.98</v>
      </c>
      <c r="J142" s="49">
        <v>653.29528000000005</v>
      </c>
      <c r="K142" s="49">
        <v>7713.21072</v>
      </c>
      <c r="L142" s="50">
        <v>-5.751148870776901E-2</v>
      </c>
      <c r="M142" s="50">
        <v>-3.4470761001781369E-4</v>
      </c>
      <c r="N142" s="50">
        <v>-1.9253080652824384E-2</v>
      </c>
      <c r="O142" s="50">
        <v>-3.5358891196052511E-2</v>
      </c>
      <c r="P142" s="50">
        <v>-2.3164189695430659E-2</v>
      </c>
      <c r="Q142" s="50">
        <v>-3.7163340054494842E-2</v>
      </c>
      <c r="R142" s="47">
        <v>-2.3056841841764042E-2</v>
      </c>
      <c r="S142" s="50">
        <v>-5.5319665170447729E-2</v>
      </c>
      <c r="T142" s="50">
        <v>-3.0804821624254131E-2</v>
      </c>
      <c r="U142" s="50">
        <v>-2.5393377750036805E-2</v>
      </c>
      <c r="V142" s="50">
        <v>-8.9543126431512743E-4</v>
      </c>
      <c r="W142" s="50">
        <f t="shared" si="137"/>
        <v>-2.3056841841764042E-2</v>
      </c>
      <c r="X142" t="s">
        <v>431</v>
      </c>
      <c r="Y142">
        <v>0.84393773489103363</v>
      </c>
      <c r="AO142" t="str">
        <f t="shared" si="138"/>
        <v/>
      </c>
      <c r="AQ142" s="3">
        <v>45037</v>
      </c>
      <c r="AR142" s="59">
        <v>-5.751148870776901E-2</v>
      </c>
      <c r="AS142" s="59">
        <v>-3.4470761001781369E-4</v>
      </c>
      <c r="AT142" s="59">
        <v>-1.9253080652824384E-2</v>
      </c>
      <c r="AU142" s="59">
        <v>-3.5358891196052511E-2</v>
      </c>
      <c r="AV142" s="59">
        <v>-2.3164189695430659E-2</v>
      </c>
      <c r="AW142" s="59">
        <v>-3.7163340054494842E-2</v>
      </c>
      <c r="AX142" s="59">
        <v>-2.3056841841764042E-2</v>
      </c>
      <c r="AY142" s="59">
        <v>-5.5319665170447729E-2</v>
      </c>
      <c r="AZ142" s="59">
        <v>-3.0804821624254131E-2</v>
      </c>
      <c r="BA142" s="59">
        <v>-2.5393377750036805E-2</v>
      </c>
      <c r="BB142" s="59">
        <v>-8.9543126431512743E-4</v>
      </c>
    </row>
    <row r="143" spans="1:54" x14ac:dyDescent="0.45">
      <c r="A143" s="3">
        <v>45030</v>
      </c>
      <c r="B143" s="48">
        <v>100.36812</v>
      </c>
      <c r="C143" s="48">
        <v>105.4807</v>
      </c>
      <c r="D143" s="48">
        <v>155.07751999999999</v>
      </c>
      <c r="E143" s="48">
        <v>111.31995000000001</v>
      </c>
      <c r="F143" s="48">
        <v>35.062309999999997</v>
      </c>
      <c r="G143" s="48">
        <v>50.536900000000003</v>
      </c>
      <c r="H143">
        <v>82.43</v>
      </c>
      <c r="I143" s="48">
        <v>4.1064999999999996</v>
      </c>
      <c r="J143" s="49">
        <v>670.31688999999994</v>
      </c>
      <c r="K143" s="49">
        <v>7720.12356</v>
      </c>
      <c r="L143" s="50">
        <v>2.1080306311517694E-2</v>
      </c>
      <c r="M143" s="50">
        <v>8.6919251725394719E-3</v>
      </c>
      <c r="N143" s="50">
        <v>2.8571436151574314E-2</v>
      </c>
      <c r="O143" s="50">
        <v>2.568356284226514E-2</v>
      </c>
      <c r="P143" s="50">
        <v>2.7081710010603999E-2</v>
      </c>
      <c r="Q143" s="50">
        <v>5.2731019266117896E-2</v>
      </c>
      <c r="R143" s="47">
        <v>2.8551930688620164E-2</v>
      </c>
      <c r="S143" s="50">
        <v>2.1690629647991955E-2</v>
      </c>
      <c r="T143" s="50">
        <v>2.2662184036857047E-2</v>
      </c>
      <c r="U143" s="50">
        <v>2.4733473967311959E-2</v>
      </c>
      <c r="V143" s="50">
        <v>8.0894659545189818E-3</v>
      </c>
      <c r="W143" s="50">
        <f t="shared" si="137"/>
        <v>2.8551930688620164E-2</v>
      </c>
      <c r="X143" t="s">
        <v>432</v>
      </c>
      <c r="Y143" s="76">
        <v>0.19963467149269321</v>
      </c>
      <c r="AA143" t="s">
        <v>448</v>
      </c>
      <c r="AO143" t="str">
        <f t="shared" si="138"/>
        <v/>
      </c>
      <c r="AQ143" s="3">
        <v>45030</v>
      </c>
      <c r="AR143" s="59">
        <v>2.1080306311517694E-2</v>
      </c>
      <c r="AS143" s="59">
        <v>8.6919251725394719E-3</v>
      </c>
      <c r="AT143" s="59">
        <v>2.8571436151574314E-2</v>
      </c>
      <c r="AU143" s="59">
        <v>2.568356284226514E-2</v>
      </c>
      <c r="AV143" s="59">
        <v>2.7081710010603999E-2</v>
      </c>
      <c r="AW143" s="59">
        <v>5.2731019266117896E-2</v>
      </c>
      <c r="AX143" s="59">
        <v>2.8551930688620164E-2</v>
      </c>
      <c r="AY143" s="59">
        <v>2.1690629647991955E-2</v>
      </c>
      <c r="AZ143" s="59">
        <v>2.2662184036857047E-2</v>
      </c>
      <c r="BA143" s="59">
        <v>2.4733473967311959E-2</v>
      </c>
      <c r="BB143" s="59">
        <v>8.0894659545189818E-3</v>
      </c>
    </row>
    <row r="144" spans="1:54" x14ac:dyDescent="0.45">
      <c r="A144" s="3">
        <v>45022</v>
      </c>
      <c r="B144" s="48">
        <v>98.296009999999995</v>
      </c>
      <c r="C144" s="48">
        <v>104.57177</v>
      </c>
      <c r="D144" s="48">
        <v>150.76981000000001</v>
      </c>
      <c r="E144" s="48">
        <v>108.53245</v>
      </c>
      <c r="F144" s="48">
        <v>34.137799999999999</v>
      </c>
      <c r="G144" s="48">
        <v>48.005519999999997</v>
      </c>
      <c r="H144">
        <v>80.680000000000007</v>
      </c>
      <c r="I144" s="48">
        <v>4.0155000000000003</v>
      </c>
      <c r="J144" s="49">
        <v>654.13779</v>
      </c>
      <c r="K144" s="49">
        <v>7658.1730299999999</v>
      </c>
      <c r="L144" s="50">
        <v>7.1061436638260478E-2</v>
      </c>
      <c r="M144" s="50">
        <v>4.9151888877863925E-2</v>
      </c>
      <c r="N144" s="50">
        <v>2.7518964860401951E-2</v>
      </c>
      <c r="O144" s="50">
        <v>4.1350457035356669E-2</v>
      </c>
      <c r="P144" s="50">
        <v>4.1381252160151094E-2</v>
      </c>
      <c r="Q144" s="50">
        <v>4.5445517645090971E-2</v>
      </c>
      <c r="R144" s="47">
        <v>4.0969616115772919E-2</v>
      </c>
      <c r="S144" s="50">
        <v>6.6208537068851658E-2</v>
      </c>
      <c r="T144" s="50">
        <v>-1.9294175112956391E-2</v>
      </c>
      <c r="U144" s="50">
        <v>3.029886501519341E-2</v>
      </c>
      <c r="V144" s="50">
        <v>-7.4602579557470072E-4</v>
      </c>
      <c r="W144" s="50">
        <f t="shared" si="137"/>
        <v>4.0969616115772919E-2</v>
      </c>
      <c r="X144" t="s">
        <v>433</v>
      </c>
      <c r="Y144">
        <v>1.6491330528048029</v>
      </c>
      <c r="AO144" t="str">
        <f t="shared" si="138"/>
        <v/>
      </c>
      <c r="AQ144" s="3">
        <v>45022</v>
      </c>
      <c r="AR144" s="59">
        <v>7.1061436638260478E-2</v>
      </c>
      <c r="AS144" s="59">
        <v>4.9151888877863925E-2</v>
      </c>
      <c r="AT144" s="59">
        <v>2.7518964860401951E-2</v>
      </c>
      <c r="AU144" s="59">
        <v>4.1350457035356669E-2</v>
      </c>
      <c r="AV144" s="59">
        <v>4.1381252160151094E-2</v>
      </c>
      <c r="AW144" s="59">
        <v>4.5445517645090971E-2</v>
      </c>
      <c r="AX144" s="59">
        <v>4.0969616115772919E-2</v>
      </c>
      <c r="AY144" s="59">
        <v>6.6208537068851658E-2</v>
      </c>
      <c r="AZ144" s="59">
        <v>-1.9294175112956391E-2</v>
      </c>
      <c r="BA144" s="59">
        <v>3.029886501519341E-2</v>
      </c>
      <c r="BB144" s="59">
        <v>-7.4602579557470072E-4</v>
      </c>
    </row>
    <row r="145" spans="1:54" x14ac:dyDescent="0.45">
      <c r="A145" s="3">
        <v>45016</v>
      </c>
      <c r="B145" s="48">
        <v>91.774389999999997</v>
      </c>
      <c r="C145" s="48">
        <v>99.672669999999997</v>
      </c>
      <c r="D145" s="48">
        <v>146.7319</v>
      </c>
      <c r="E145" s="48">
        <v>104.22279</v>
      </c>
      <c r="F145" s="48">
        <v>32.781269999999999</v>
      </c>
      <c r="G145" s="48">
        <v>45.91872</v>
      </c>
      <c r="H145">
        <v>75.67</v>
      </c>
      <c r="I145" s="48">
        <v>4.0945</v>
      </c>
      <c r="J145" s="49">
        <v>634.90101000000004</v>
      </c>
      <c r="K145" s="49">
        <v>7663.8904899999998</v>
      </c>
      <c r="L145" s="50">
        <v>4.6048673757618674E-2</v>
      </c>
      <c r="M145" s="50">
        <v>5.9209916668225171E-2</v>
      </c>
      <c r="N145" s="50">
        <v>4.5495308121782374E-2</v>
      </c>
      <c r="O145" s="50">
        <v>8.6643247431177128E-2</v>
      </c>
      <c r="P145" s="50">
        <v>5.741359172191407E-2</v>
      </c>
      <c r="Q145" s="50">
        <v>8.6751042110173371E-2</v>
      </c>
      <c r="R145" s="47">
        <v>6.7102621210654426E-2</v>
      </c>
      <c r="S145" s="50">
        <v>9.2549812301472745E-2</v>
      </c>
      <c r="T145" s="50">
        <v>4.7852760736195599E-3</v>
      </c>
      <c r="U145" s="50">
        <v>6.1654575907880593E-2</v>
      </c>
      <c r="V145" s="50">
        <v>3.4976150791827365E-2</v>
      </c>
      <c r="W145" s="50">
        <f t="shared" si="137"/>
        <v>6.7102621210654426E-2</v>
      </c>
      <c r="X145" t="s">
        <v>434</v>
      </c>
      <c r="Y145" s="76">
        <v>0.39926934298538641</v>
      </c>
      <c r="AO145" t="str">
        <f t="shared" si="138"/>
        <v/>
      </c>
      <c r="AQ145" s="3">
        <v>45016</v>
      </c>
      <c r="AR145" s="59">
        <v>4.6048673757618674E-2</v>
      </c>
      <c r="AS145" s="59">
        <v>5.9209916668225171E-2</v>
      </c>
      <c r="AT145" s="59">
        <v>4.5495308121782374E-2</v>
      </c>
      <c r="AU145" s="59">
        <v>8.6643247431177128E-2</v>
      </c>
      <c r="AV145" s="59">
        <v>5.741359172191407E-2</v>
      </c>
      <c r="AW145" s="59">
        <v>8.6751042110173371E-2</v>
      </c>
      <c r="AX145" s="59">
        <v>6.7102621210654426E-2</v>
      </c>
      <c r="AY145" s="59">
        <v>9.2549812301472745E-2</v>
      </c>
      <c r="AZ145" s="59">
        <v>4.7852760736195599E-3</v>
      </c>
      <c r="BA145" s="59">
        <v>6.1654575907880593E-2</v>
      </c>
      <c r="BB145" s="59">
        <v>3.4976150791827365E-2</v>
      </c>
    </row>
    <row r="146" spans="1:54" ht="14.65" thickBot="1" x14ac:dyDescent="0.5">
      <c r="A146" s="3">
        <v>45009</v>
      </c>
      <c r="B146" s="48">
        <v>87.734340000000003</v>
      </c>
      <c r="C146" s="48">
        <v>94.100960000000001</v>
      </c>
      <c r="D146" s="48">
        <v>140.34678</v>
      </c>
      <c r="E146" s="48">
        <v>95.912610000000001</v>
      </c>
      <c r="F146" s="48">
        <v>31.001370000000001</v>
      </c>
      <c r="G146" s="48">
        <v>42.253210000000003</v>
      </c>
      <c r="H146">
        <v>69.260000000000005</v>
      </c>
      <c r="I146" s="48">
        <v>4.0750000000000002</v>
      </c>
      <c r="J146" s="49">
        <v>598.02973999999995</v>
      </c>
      <c r="K146" s="49">
        <v>7404.8957399999999</v>
      </c>
      <c r="L146" s="50">
        <v>1.101808852706232E-2</v>
      </c>
      <c r="M146" s="50">
        <v>3.6959115907154283E-2</v>
      </c>
      <c r="N146" s="50">
        <v>2.4419106004299307E-2</v>
      </c>
      <c r="O146" s="50">
        <v>2.6666703774521849E-2</v>
      </c>
      <c r="P146" s="50">
        <v>2.0187633832007501E-2</v>
      </c>
      <c r="Q146" s="50">
        <v>9.1008006755803894E-3</v>
      </c>
      <c r="R146" s="47">
        <v>2.3466672038712666E-2</v>
      </c>
      <c r="S146" s="50">
        <v>3.4812490661885631E-2</v>
      </c>
      <c r="T146" s="50">
        <v>4.6885035324341739E-2</v>
      </c>
      <c r="U146" s="50">
        <v>2.2900508749674753E-2</v>
      </c>
      <c r="V146" s="50">
        <v>1.4053211568034962E-2</v>
      </c>
      <c r="W146" s="50">
        <f t="shared" si="137"/>
        <v>2.3466672038712666E-2</v>
      </c>
      <c r="X146" s="64" t="s">
        <v>435</v>
      </c>
      <c r="Y146" s="64">
        <v>1.9666312043657332</v>
      </c>
      <c r="Z146" s="64"/>
      <c r="AO146" t="str">
        <f t="shared" si="138"/>
        <v/>
      </c>
      <c r="AQ146" s="3">
        <v>45009</v>
      </c>
      <c r="AR146" s="59">
        <v>1.101808852706232E-2</v>
      </c>
      <c r="AS146" s="59">
        <v>3.6959115907154283E-2</v>
      </c>
      <c r="AT146" s="59">
        <v>2.4419106004299307E-2</v>
      </c>
      <c r="AU146" s="59">
        <v>2.6666703774521849E-2</v>
      </c>
      <c r="AV146" s="59">
        <v>2.0187633832007501E-2</v>
      </c>
      <c r="AW146" s="59">
        <v>9.1008006755803894E-3</v>
      </c>
      <c r="AX146" s="59">
        <v>2.3466672038712666E-2</v>
      </c>
      <c r="AY146" s="59">
        <v>3.4812490661885631E-2</v>
      </c>
      <c r="AZ146" s="59">
        <v>4.6885035324341739E-2</v>
      </c>
      <c r="BA146" s="59">
        <v>2.2900508749674753E-2</v>
      </c>
      <c r="BB146" s="59">
        <v>1.4053211568034962E-2</v>
      </c>
    </row>
    <row r="147" spans="1:54" x14ac:dyDescent="0.45">
      <c r="A147" s="3">
        <v>45002</v>
      </c>
      <c r="B147" s="48">
        <v>86.778210000000001</v>
      </c>
      <c r="C147" s="48">
        <v>90.747029999999995</v>
      </c>
      <c r="D147" s="48">
        <v>137.00133</v>
      </c>
      <c r="E147" s="48">
        <v>93.421369999999996</v>
      </c>
      <c r="F147" s="48">
        <v>30.387910000000002</v>
      </c>
      <c r="G147" s="48">
        <v>41.872140000000002</v>
      </c>
      <c r="H147">
        <v>66.930000000000007</v>
      </c>
      <c r="I147" s="48">
        <v>3.8925000000000001</v>
      </c>
      <c r="J147" s="49">
        <v>584.64116000000001</v>
      </c>
      <c r="K147" s="49">
        <v>7302.2753199999997</v>
      </c>
      <c r="L147" s="50">
        <v>-9.4319613665806989E-2</v>
      </c>
      <c r="M147" s="50">
        <v>-7.3668573185487141E-2</v>
      </c>
      <c r="N147" s="50">
        <v>-4.5907159032291811E-2</v>
      </c>
      <c r="O147" s="50">
        <v>-7.5596074457853324E-2</v>
      </c>
      <c r="P147" s="50">
        <v>-9.8436232598681728E-2</v>
      </c>
      <c r="Q147" s="50">
        <v>-9.2219852377820155E-2</v>
      </c>
      <c r="R147" s="47">
        <v>-7.7165578330426837E-2</v>
      </c>
      <c r="S147" s="50">
        <v>-0.12828861682729875</v>
      </c>
      <c r="T147" s="50">
        <v>-3.4238928172683258E-2</v>
      </c>
      <c r="U147" s="50">
        <v>-7.0203844011800354E-2</v>
      </c>
      <c r="V147" s="50">
        <v>1.4586050305973153E-2</v>
      </c>
      <c r="W147" s="50">
        <f t="shared" si="137"/>
        <v>-7.7165578330426837E-2</v>
      </c>
      <c r="AO147" t="str">
        <f t="shared" si="138"/>
        <v/>
      </c>
      <c r="AQ147" s="3">
        <v>45002</v>
      </c>
      <c r="AR147" s="59">
        <v>-9.4319613665806989E-2</v>
      </c>
      <c r="AS147" s="59">
        <v>-7.3668573185487141E-2</v>
      </c>
      <c r="AT147" s="59">
        <v>-4.5907159032291811E-2</v>
      </c>
      <c r="AU147" s="59">
        <v>-7.5596074457853324E-2</v>
      </c>
      <c r="AV147" s="59">
        <v>-9.8436232598681728E-2</v>
      </c>
      <c r="AW147" s="59">
        <v>-9.2219852377820155E-2</v>
      </c>
      <c r="AX147" s="59">
        <v>-7.7165578330426837E-2</v>
      </c>
      <c r="AY147" s="59">
        <v>-0.12828861682729875</v>
      </c>
      <c r="AZ147" s="59">
        <v>-3.4238928172683258E-2</v>
      </c>
      <c r="BA147" s="59">
        <v>-7.0203844011800354E-2</v>
      </c>
      <c r="BB147" s="59">
        <v>1.4586050305973153E-2</v>
      </c>
    </row>
    <row r="148" spans="1:54" x14ac:dyDescent="0.45">
      <c r="A148" s="3">
        <v>44995</v>
      </c>
      <c r="B148" s="48">
        <v>95.815489999999997</v>
      </c>
      <c r="C148" s="48">
        <v>97.963890000000006</v>
      </c>
      <c r="D148" s="48">
        <v>143.59329</v>
      </c>
      <c r="E148" s="48">
        <v>101.0612</v>
      </c>
      <c r="F148" s="48">
        <v>33.705779999999997</v>
      </c>
      <c r="G148" s="48">
        <v>46.125860000000003</v>
      </c>
      <c r="H148">
        <v>76.78</v>
      </c>
      <c r="I148" s="48">
        <v>4.0305</v>
      </c>
      <c r="J148" s="49">
        <v>628.78422999999998</v>
      </c>
      <c r="K148" s="49">
        <v>7197.2952100000002</v>
      </c>
      <c r="L148" s="50">
        <v>-4.0684904323288529E-2</v>
      </c>
      <c r="M148" s="50">
        <v>-4.4588240319623051E-2</v>
      </c>
      <c r="N148" s="50">
        <v>-3.2068411424661103E-2</v>
      </c>
      <c r="O148" s="50">
        <v>-7.8755026860362287E-2</v>
      </c>
      <c r="P148" s="50">
        <v>-3.0084664556047858E-2</v>
      </c>
      <c r="Q148" s="50">
        <v>-8.6641954480469741E-2</v>
      </c>
      <c r="R148" s="47">
        <v>-5.4427659528232808E-2</v>
      </c>
      <c r="S148" s="50">
        <v>-3.6395582329317389E-2</v>
      </c>
      <c r="T148" s="50">
        <v>-8.9746742070322405E-3</v>
      </c>
      <c r="U148" s="50">
        <v>-5.346735435714145E-2</v>
      </c>
      <c r="V148" s="50">
        <v>-4.5228709404543044E-2</v>
      </c>
      <c r="W148" s="50">
        <f t="shared" si="137"/>
        <v>-5.4427659528232808E-2</v>
      </c>
      <c r="X148" s="73" t="s">
        <v>449</v>
      </c>
      <c r="AO148" t="str">
        <f t="shared" si="138"/>
        <v/>
      </c>
      <c r="AQ148" s="3">
        <v>44995</v>
      </c>
      <c r="AR148" s="59">
        <v>-4.0684904323288529E-2</v>
      </c>
      <c r="AS148" s="59">
        <v>-4.4588240319623051E-2</v>
      </c>
      <c r="AT148" s="59">
        <v>-3.2068411424661103E-2</v>
      </c>
      <c r="AU148" s="59">
        <v>-7.8755026860362287E-2</v>
      </c>
      <c r="AV148" s="59">
        <v>-3.0084664556047858E-2</v>
      </c>
      <c r="AW148" s="59">
        <v>-8.6641954480469741E-2</v>
      </c>
      <c r="AX148" s="59">
        <v>-5.4427659528232808E-2</v>
      </c>
      <c r="AY148" s="59">
        <v>-3.6395582329317389E-2</v>
      </c>
      <c r="AZ148" s="59">
        <v>-8.9746742070322405E-3</v>
      </c>
      <c r="BA148" s="59">
        <v>-5.346735435714145E-2</v>
      </c>
      <c r="BB148" s="59">
        <v>-4.5228709404543044E-2</v>
      </c>
    </row>
    <row r="149" spans="1:54" x14ac:dyDescent="0.45">
      <c r="A149" s="3">
        <v>44988</v>
      </c>
      <c r="B149" s="48">
        <v>99.879059999999996</v>
      </c>
      <c r="C149" s="48">
        <v>102.53578</v>
      </c>
      <c r="D149" s="48">
        <v>148.35066</v>
      </c>
      <c r="E149" s="48">
        <v>109.70068000000001</v>
      </c>
      <c r="F149" s="48">
        <v>34.751260000000002</v>
      </c>
      <c r="G149" s="48">
        <v>50.501399999999997</v>
      </c>
      <c r="H149">
        <v>79.680000000000007</v>
      </c>
      <c r="I149" s="48">
        <v>4.0670000000000002</v>
      </c>
      <c r="J149" s="49">
        <v>664.30273999999997</v>
      </c>
      <c r="K149" s="49">
        <v>7538.2400799999996</v>
      </c>
      <c r="L149" s="50">
        <v>3.2209091896513886E-2</v>
      </c>
      <c r="M149" s="50">
        <v>1.8600404913801993E-2</v>
      </c>
      <c r="N149" s="50">
        <v>1.5701017839492071E-2</v>
      </c>
      <c r="O149" s="50">
        <v>6.5727278096943564E-2</v>
      </c>
      <c r="P149" s="50">
        <v>1.3098376885752216E-2</v>
      </c>
      <c r="Q149" s="50">
        <v>3.0363669527257775E-2</v>
      </c>
      <c r="R149" s="47">
        <v>2.8698149452649525E-2</v>
      </c>
      <c r="S149" s="50">
        <v>4.4025157232704615E-2</v>
      </c>
      <c r="T149" s="50">
        <v>2.8838856564634474E-2</v>
      </c>
      <c r="U149" s="50">
        <v>2.941709540015025E-2</v>
      </c>
      <c r="V149" s="50">
        <v>1.9415761412130861E-2</v>
      </c>
      <c r="W149" s="50">
        <f t="shared" si="137"/>
        <v>2.8698149452649525E-2</v>
      </c>
      <c r="AO149" t="str">
        <f t="shared" si="138"/>
        <v/>
      </c>
      <c r="AQ149" s="3">
        <v>44988</v>
      </c>
      <c r="AR149" s="59">
        <v>3.2209091896513886E-2</v>
      </c>
      <c r="AS149" s="59">
        <v>1.8600404913801993E-2</v>
      </c>
      <c r="AT149" s="59">
        <v>1.5701017839492071E-2</v>
      </c>
      <c r="AU149" s="59">
        <v>6.5727278096943564E-2</v>
      </c>
      <c r="AV149" s="59">
        <v>1.3098376885752216E-2</v>
      </c>
      <c r="AW149" s="59">
        <v>3.0363669527257775E-2</v>
      </c>
      <c r="AX149" s="59">
        <v>2.8698149452649525E-2</v>
      </c>
      <c r="AY149" s="59">
        <v>4.4025157232704615E-2</v>
      </c>
      <c r="AZ149" s="59">
        <v>2.8838856564634474E-2</v>
      </c>
      <c r="BA149" s="59">
        <v>2.941709540015025E-2</v>
      </c>
      <c r="BB149" s="59">
        <v>1.9415761412130861E-2</v>
      </c>
    </row>
    <row r="150" spans="1:54" x14ac:dyDescent="0.45">
      <c r="A150" s="3">
        <v>44981</v>
      </c>
      <c r="B150" s="48">
        <v>96.762429999999995</v>
      </c>
      <c r="C150" s="48">
        <v>100.6634</v>
      </c>
      <c r="D150" s="48">
        <v>146.05741</v>
      </c>
      <c r="E150" s="48">
        <v>102.93504</v>
      </c>
      <c r="F150" s="48">
        <v>34.301960000000001</v>
      </c>
      <c r="G150" s="48">
        <v>49.013179999999998</v>
      </c>
      <c r="H150">
        <v>76.319999999999993</v>
      </c>
      <c r="I150" s="48">
        <v>3.9529999999999998</v>
      </c>
      <c r="J150" s="49">
        <v>645.31931999999995</v>
      </c>
      <c r="K150" s="49">
        <v>7394.6669899999997</v>
      </c>
      <c r="L150" s="50">
        <v>1.0852814082551676E-2</v>
      </c>
      <c r="M150" s="50">
        <v>-4.7627602040750672E-3</v>
      </c>
      <c r="N150" s="50">
        <v>-2.7018886795917574E-3</v>
      </c>
      <c r="O150" s="50">
        <v>-3.5129213053435526E-2</v>
      </c>
      <c r="P150" s="50">
        <v>-7.996020642914714E-3</v>
      </c>
      <c r="Q150" s="50">
        <v>3.1314492426716356E-2</v>
      </c>
      <c r="R150" s="47">
        <v>-3.8550780306601416E-3</v>
      </c>
      <c r="S150" s="50">
        <v>-3.004572175049014E-3</v>
      </c>
      <c r="T150" s="50">
        <v>-3.7848363149568076E-2</v>
      </c>
      <c r="U150" s="50">
        <v>1.7352490673452348E-3</v>
      </c>
      <c r="V150" s="50">
        <v>-2.6631633761203366E-2</v>
      </c>
      <c r="W150" s="50">
        <f t="shared" si="137"/>
        <v>-3.8550780306601416E-3</v>
      </c>
      <c r="X150" t="s">
        <v>418</v>
      </c>
      <c r="AO150" t="str">
        <f t="shared" si="138"/>
        <v/>
      </c>
      <c r="AQ150" s="3">
        <v>44981</v>
      </c>
      <c r="AR150" s="59">
        <v>1.0852814082551676E-2</v>
      </c>
      <c r="AS150" s="59">
        <v>-4.7627602040750672E-3</v>
      </c>
      <c r="AT150" s="59">
        <v>-2.7018886795917574E-3</v>
      </c>
      <c r="AU150" s="59">
        <v>-3.5129213053435526E-2</v>
      </c>
      <c r="AV150" s="59">
        <v>-7.996020642914714E-3</v>
      </c>
      <c r="AW150" s="59">
        <v>3.1314492426716356E-2</v>
      </c>
      <c r="AX150" s="59">
        <v>-3.8550780306601416E-3</v>
      </c>
      <c r="AY150" s="59">
        <v>-3.004572175049014E-3</v>
      </c>
      <c r="AZ150" s="59">
        <v>-3.7848363149568076E-2</v>
      </c>
      <c r="BA150" s="59">
        <v>1.7352490673452348E-3</v>
      </c>
      <c r="BB150" s="59">
        <v>-2.6631633761203366E-2</v>
      </c>
    </row>
    <row r="151" spans="1:54" ht="14.65" thickBot="1" x14ac:dyDescent="0.5">
      <c r="A151" s="3">
        <v>44974</v>
      </c>
      <c r="B151" s="48">
        <v>95.723560000000006</v>
      </c>
      <c r="C151" s="48">
        <v>101.14512999999999</v>
      </c>
      <c r="D151" s="48">
        <v>146.45311000000001</v>
      </c>
      <c r="E151" s="48">
        <v>106.68272</v>
      </c>
      <c r="F151" s="48">
        <v>34.578449999999997</v>
      </c>
      <c r="G151" s="48">
        <v>47.52496</v>
      </c>
      <c r="H151">
        <v>76.55</v>
      </c>
      <c r="I151" s="48">
        <v>4.1085000000000003</v>
      </c>
      <c r="J151" s="49">
        <v>644.20146999999997</v>
      </c>
      <c r="K151" s="49">
        <v>7596.9871700000003</v>
      </c>
      <c r="L151" s="50">
        <v>-9.1051904019714192E-2</v>
      </c>
      <c r="M151" s="50">
        <v>-5.9022460070954019E-2</v>
      </c>
      <c r="N151" s="50">
        <v>-4.4661096399182698E-2</v>
      </c>
      <c r="O151" s="50">
        <v>-0.11719098458830857</v>
      </c>
      <c r="P151" s="50">
        <v>-5.9761964035309756E-3</v>
      </c>
      <c r="Q151" s="50">
        <v>-0.16068620869853012</v>
      </c>
      <c r="R151" s="47">
        <v>-7.7507389232101279E-2</v>
      </c>
      <c r="S151" s="50">
        <v>-4.2167167167167174E-2</v>
      </c>
      <c r="T151" s="50">
        <v>2.2905514751649481E-2</v>
      </c>
      <c r="U151" s="50">
        <v>-6.9202699664343004E-2</v>
      </c>
      <c r="V151" s="50">
        <v>-2.2180898748956901E-3</v>
      </c>
      <c r="W151" s="50">
        <f t="shared" si="137"/>
        <v>-7.7507389232101279E-2</v>
      </c>
      <c r="AO151" t="str">
        <f t="shared" si="138"/>
        <v/>
      </c>
      <c r="AQ151" s="3">
        <v>44974</v>
      </c>
      <c r="AR151" s="59">
        <v>-9.1051904019714192E-2</v>
      </c>
      <c r="AS151" s="59">
        <v>-5.9022460070954019E-2</v>
      </c>
      <c r="AT151" s="59">
        <v>-4.4661096399182698E-2</v>
      </c>
      <c r="AU151" s="59">
        <v>-0.11719098458830857</v>
      </c>
      <c r="AV151" s="59">
        <v>-5.9761964035309756E-3</v>
      </c>
      <c r="AW151" s="59">
        <v>-0.16068620869853012</v>
      </c>
      <c r="AX151" s="59">
        <v>-7.7507389232101279E-2</v>
      </c>
      <c r="AY151" s="59">
        <v>-4.2167167167167174E-2</v>
      </c>
      <c r="AZ151" s="59">
        <v>2.2905514751649481E-2</v>
      </c>
      <c r="BA151" s="59">
        <v>-6.9202699664343004E-2</v>
      </c>
      <c r="BB151" s="59">
        <v>-2.2180898748956901E-3</v>
      </c>
    </row>
    <row r="152" spans="1:54" x14ac:dyDescent="0.45">
      <c r="A152" s="3">
        <v>44967</v>
      </c>
      <c r="B152" s="48">
        <v>105.31246</v>
      </c>
      <c r="C152" s="48">
        <v>107.48942</v>
      </c>
      <c r="D152" s="48">
        <v>153.29964000000001</v>
      </c>
      <c r="E152" s="48">
        <v>120.84462000000001</v>
      </c>
      <c r="F152" s="48">
        <v>34.786340000000003</v>
      </c>
      <c r="G152" s="48">
        <v>56.62359</v>
      </c>
      <c r="H152">
        <v>79.92</v>
      </c>
      <c r="I152" s="48">
        <v>4.0164999999999997</v>
      </c>
      <c r="J152" s="49">
        <v>692.09640999999999</v>
      </c>
      <c r="K152" s="49">
        <v>7613.8754300000001</v>
      </c>
      <c r="L152" s="50">
        <v>6.4286302598501877E-2</v>
      </c>
      <c r="M152" s="50">
        <v>6.477837948355436E-2</v>
      </c>
      <c r="N152" s="50">
        <v>1.4871644916166327E-2</v>
      </c>
      <c r="O152" s="50">
        <v>7.639224642418796E-2</v>
      </c>
      <c r="P152" s="50">
        <v>0.15647230524240618</v>
      </c>
      <c r="Q152" s="50">
        <v>4.4207065193337503E-2</v>
      </c>
      <c r="R152" s="47">
        <v>7.1344328251930461E-2</v>
      </c>
      <c r="S152" s="50">
        <v>8.8976699822864269E-2</v>
      </c>
      <c r="T152" s="50">
        <v>-9.8607173671885207E-3</v>
      </c>
      <c r="U152" s="50">
        <v>5.0298719040175355E-2</v>
      </c>
      <c r="V152" s="50">
        <v>-1.0797304583568312E-2</v>
      </c>
      <c r="W152" s="50">
        <f t="shared" si="137"/>
        <v>7.1344328251930461E-2</v>
      </c>
      <c r="X152" s="65"/>
      <c r="Y152" s="65" t="s">
        <v>419</v>
      </c>
      <c r="Z152" s="65" t="s">
        <v>420</v>
      </c>
      <c r="AO152" t="str">
        <f t="shared" si="138"/>
        <v/>
      </c>
      <c r="AQ152" s="3">
        <v>44967</v>
      </c>
      <c r="AR152" s="59">
        <v>6.4286302598501877E-2</v>
      </c>
      <c r="AS152" s="59">
        <v>6.477837948355436E-2</v>
      </c>
      <c r="AT152" s="59">
        <v>1.4871644916166327E-2</v>
      </c>
      <c r="AU152" s="59">
        <v>7.639224642418796E-2</v>
      </c>
      <c r="AV152" s="59">
        <v>0.15647230524240618</v>
      </c>
      <c r="AW152" s="59">
        <v>4.4207065193337503E-2</v>
      </c>
      <c r="AX152" s="59">
        <v>7.1344328251930461E-2</v>
      </c>
      <c r="AY152" s="59">
        <v>8.8976699822864269E-2</v>
      </c>
      <c r="AZ152" s="59">
        <v>-9.8607173671885207E-3</v>
      </c>
      <c r="BA152" s="59">
        <v>5.0298719040175355E-2</v>
      </c>
      <c r="BB152" s="59">
        <v>-1.0797304583568312E-2</v>
      </c>
    </row>
    <row r="153" spans="1:54" x14ac:dyDescent="0.45">
      <c r="A153" s="3">
        <v>44960</v>
      </c>
      <c r="B153" s="48">
        <v>98.951250000000002</v>
      </c>
      <c r="C153" s="48">
        <v>100.95004</v>
      </c>
      <c r="D153" s="48">
        <v>151.05323000000001</v>
      </c>
      <c r="E153" s="48">
        <v>112.26819999999999</v>
      </c>
      <c r="F153" s="48">
        <v>30.079699999999999</v>
      </c>
      <c r="G153" s="48">
        <v>54.226399999999998</v>
      </c>
      <c r="H153">
        <v>73.39</v>
      </c>
      <c r="I153" s="48">
        <v>4.0564999999999998</v>
      </c>
      <c r="J153" s="49">
        <v>658.95196999999996</v>
      </c>
      <c r="K153" s="49">
        <v>7696.9820900000004</v>
      </c>
      <c r="L153" s="50">
        <v>-0.12539432992219335</v>
      </c>
      <c r="M153" s="50">
        <v>-3.1917648110307839E-2</v>
      </c>
      <c r="N153" s="50">
        <v>-5.5725801889195514E-2</v>
      </c>
      <c r="O153" s="50">
        <v>-7.4558159763151721E-2</v>
      </c>
      <c r="P153" s="50">
        <v>-3.2213643542841175E-2</v>
      </c>
      <c r="Q153" s="50">
        <v>-6.771874905441877E-2</v>
      </c>
      <c r="R153" s="47">
        <v>-5.2426800471983004E-2</v>
      </c>
      <c r="S153" s="50">
        <v>-7.8940763052208873E-2</v>
      </c>
      <c r="T153" s="50">
        <v>-3.9313203078744863E-2</v>
      </c>
      <c r="U153" s="50">
        <v>-5.9421931968268171E-2</v>
      </c>
      <c r="V153" s="50">
        <v>1.6349441594833758E-2</v>
      </c>
      <c r="W153" s="50">
        <f t="shared" si="137"/>
        <v>-5.2426800471983004E-2</v>
      </c>
      <c r="X153" t="s">
        <v>421</v>
      </c>
      <c r="Y153">
        <v>5.6772258878823928E-3</v>
      </c>
      <c r="Z153">
        <v>5.9385752185822866E-3</v>
      </c>
      <c r="AO153" t="str">
        <f t="shared" si="138"/>
        <v/>
      </c>
      <c r="AQ153" s="3">
        <v>44960</v>
      </c>
      <c r="AR153" s="59">
        <v>-0.12539432992219335</v>
      </c>
      <c r="AS153" s="59">
        <v>-3.1917648110307839E-2</v>
      </c>
      <c r="AT153" s="59">
        <v>-5.5725801889195514E-2</v>
      </c>
      <c r="AU153" s="59">
        <v>-7.4558159763151721E-2</v>
      </c>
      <c r="AV153" s="59">
        <v>-3.2213643542841175E-2</v>
      </c>
      <c r="AW153" s="59">
        <v>-6.771874905441877E-2</v>
      </c>
      <c r="AX153" s="59">
        <v>-5.2426800471983004E-2</v>
      </c>
      <c r="AY153" s="59">
        <v>-7.8940763052208873E-2</v>
      </c>
      <c r="AZ153" s="59">
        <v>-3.9313203078744863E-2</v>
      </c>
      <c r="BA153" s="59">
        <v>-5.9421931968268171E-2</v>
      </c>
      <c r="BB153" s="59">
        <v>1.6349441594833758E-2</v>
      </c>
    </row>
    <row r="154" spans="1:54" x14ac:dyDescent="0.45">
      <c r="A154" s="3">
        <v>44953</v>
      </c>
      <c r="B154" s="48">
        <v>113.13813</v>
      </c>
      <c r="C154" s="48">
        <v>104.27836000000001</v>
      </c>
      <c r="D154" s="48">
        <v>159.96754999999999</v>
      </c>
      <c r="E154" s="48">
        <v>121.31308</v>
      </c>
      <c r="F154" s="48">
        <v>31.080929999999999</v>
      </c>
      <c r="G154" s="48">
        <v>58.165280000000003</v>
      </c>
      <c r="H154">
        <v>79.680000000000007</v>
      </c>
      <c r="I154" s="48">
        <v>4.2225000000000001</v>
      </c>
      <c r="J154" s="49">
        <v>700.58190000000002</v>
      </c>
      <c r="K154" s="49">
        <v>7573.16507</v>
      </c>
      <c r="L154" s="50">
        <v>1.486040684608847E-2</v>
      </c>
      <c r="M154" s="50">
        <v>1.9938307824530765E-2</v>
      </c>
      <c r="N154" s="50">
        <v>-8.0154964528430517E-3</v>
      </c>
      <c r="O154" s="50">
        <v>1.438795562159112E-2</v>
      </c>
      <c r="P154" s="50">
        <v>2.3098691506461044E-2</v>
      </c>
      <c r="Q154" s="50">
        <v>8.0309341740685269E-3</v>
      </c>
      <c r="R154" s="47">
        <v>1.1488078534761682E-2</v>
      </c>
      <c r="S154" s="50">
        <v>-2.4007839294463373E-2</v>
      </c>
      <c r="T154" s="50">
        <v>-6.8211219569563886E-3</v>
      </c>
      <c r="U154" s="50">
        <v>7.5617260757772087E-3</v>
      </c>
      <c r="V154" s="50">
        <v>2.4744249477257174E-2</v>
      </c>
      <c r="W154" s="50">
        <f t="shared" si="137"/>
        <v>1.1488078534761682E-2</v>
      </c>
      <c r="X154" t="s">
        <v>422</v>
      </c>
      <c r="Y154">
        <v>2.7054335795431844E-3</v>
      </c>
      <c r="Z154">
        <v>1.9662070247294908E-3</v>
      </c>
      <c r="AO154" t="str">
        <f t="shared" si="138"/>
        <v/>
      </c>
      <c r="AQ154" s="3">
        <v>44953</v>
      </c>
      <c r="AR154" s="59">
        <v>1.486040684608847E-2</v>
      </c>
      <c r="AS154" s="59">
        <v>1.9938307824530765E-2</v>
      </c>
      <c r="AT154" s="59">
        <v>-8.0154964528430517E-3</v>
      </c>
      <c r="AU154" s="59">
        <v>1.438795562159112E-2</v>
      </c>
      <c r="AV154" s="59">
        <v>2.3098691506461044E-2</v>
      </c>
      <c r="AW154" s="59">
        <v>8.0309341740685269E-3</v>
      </c>
      <c r="AX154" s="59">
        <v>1.1488078534761682E-2</v>
      </c>
      <c r="AY154" s="59">
        <v>-2.4007839294463373E-2</v>
      </c>
      <c r="AZ154" s="59">
        <v>-6.8211219569563886E-3</v>
      </c>
      <c r="BA154" s="59">
        <v>7.5617260757772087E-3</v>
      </c>
      <c r="BB154" s="59">
        <v>2.4744249477257174E-2</v>
      </c>
    </row>
    <row r="155" spans="1:54" x14ac:dyDescent="0.45">
      <c r="A155" s="3">
        <v>44946</v>
      </c>
      <c r="B155" s="48">
        <v>111.48147</v>
      </c>
      <c r="C155" s="48">
        <v>102.23987</v>
      </c>
      <c r="D155" s="48">
        <v>161.26013</v>
      </c>
      <c r="E155" s="48">
        <v>119.59238999999999</v>
      </c>
      <c r="F155" s="48">
        <v>30.37921</v>
      </c>
      <c r="G155" s="48">
        <v>57.701880000000003</v>
      </c>
      <c r="H155">
        <v>81.64</v>
      </c>
      <c r="I155" s="48">
        <v>4.2515000000000001</v>
      </c>
      <c r="J155" s="49">
        <v>695.32405000000006</v>
      </c>
      <c r="K155" s="49">
        <v>7390.2977000000001</v>
      </c>
      <c r="L155" s="50">
        <v>2.7166895890724518E-3</v>
      </c>
      <c r="M155" s="50">
        <v>1.7674987174145507E-3</v>
      </c>
      <c r="N155" s="50">
        <v>1.881051472759987E-2</v>
      </c>
      <c r="O155" s="50">
        <v>2.5413260980508445E-2</v>
      </c>
      <c r="P155" s="50">
        <v>-1.6874484071275342E-3</v>
      </c>
      <c r="Q155" s="50">
        <v>1.8241816611271222E-2</v>
      </c>
      <c r="R155" s="47">
        <v>1.250912852593331E-2</v>
      </c>
      <c r="S155" s="50">
        <v>1.9098739233553985E-2</v>
      </c>
      <c r="T155" s="50">
        <v>8.4203036053129843E-3</v>
      </c>
      <c r="U155" s="50">
        <v>7.4126080955243534E-3</v>
      </c>
      <c r="V155" s="50">
        <v>-6.5173079067789574E-3</v>
      </c>
      <c r="W155" s="50">
        <f t="shared" si="137"/>
        <v>1.250912852593331E-2</v>
      </c>
      <c r="X155" t="s">
        <v>423</v>
      </c>
      <c r="Y155">
        <v>260</v>
      </c>
      <c r="Z155">
        <v>260</v>
      </c>
      <c r="AO155" t="str">
        <f t="shared" si="138"/>
        <v/>
      </c>
      <c r="AQ155" s="3">
        <v>44946</v>
      </c>
      <c r="AR155" s="59">
        <v>2.7166895890724518E-3</v>
      </c>
      <c r="AS155" s="59">
        <v>1.7674987174145507E-3</v>
      </c>
      <c r="AT155" s="59">
        <v>1.881051472759987E-2</v>
      </c>
      <c r="AU155" s="59">
        <v>2.5413260980508445E-2</v>
      </c>
      <c r="AV155" s="59">
        <v>-1.6874484071275342E-3</v>
      </c>
      <c r="AW155" s="59">
        <v>1.8241816611271222E-2</v>
      </c>
      <c r="AX155" s="59">
        <v>1.250912852593331E-2</v>
      </c>
      <c r="AY155" s="59">
        <v>1.9098739233553985E-2</v>
      </c>
      <c r="AZ155" s="59">
        <v>8.4203036053129843E-3</v>
      </c>
      <c r="BA155" s="59">
        <v>7.4126080955243534E-3</v>
      </c>
      <c r="BB155" s="59">
        <v>-6.5173079067789574E-3</v>
      </c>
    </row>
    <row r="156" spans="1:54" x14ac:dyDescent="0.45">
      <c r="A156" s="3">
        <v>44939</v>
      </c>
      <c r="B156" s="48">
        <v>111.17943</v>
      </c>
      <c r="C156" s="48">
        <v>102.05947999999999</v>
      </c>
      <c r="D156" s="48">
        <v>158.28274999999999</v>
      </c>
      <c r="E156" s="48">
        <v>116.62848</v>
      </c>
      <c r="F156" s="48">
        <v>30.43056</v>
      </c>
      <c r="G156" s="48">
        <v>56.668149999999997</v>
      </c>
      <c r="H156">
        <v>80.11</v>
      </c>
      <c r="I156" s="48">
        <v>4.2160000000000002</v>
      </c>
      <c r="J156" s="49">
        <v>690.20780999999999</v>
      </c>
      <c r="K156" s="49">
        <v>7438.7785100000001</v>
      </c>
      <c r="L156" s="50">
        <v>2.7404240360596965E-2</v>
      </c>
      <c r="M156" s="50">
        <v>2.3703993769877751E-2</v>
      </c>
      <c r="N156" s="50">
        <v>5.6638451004695778E-3</v>
      </c>
      <c r="O156" s="50">
        <v>2.2075380772516029E-2</v>
      </c>
      <c r="P156" s="50">
        <v>3.1921145448694288E-2</v>
      </c>
      <c r="Q156" s="50">
        <v>3.8543177096543646E-2</v>
      </c>
      <c r="R156" s="47">
        <v>2.4381508437620259E-2</v>
      </c>
      <c r="S156" s="50">
        <v>8.5942795174190012E-2</v>
      </c>
      <c r="T156" s="50">
        <v>7.7985170033239681E-2</v>
      </c>
      <c r="U156" s="50">
        <v>2.6565327084969503E-2</v>
      </c>
      <c r="V156" s="50">
        <v>2.6965637657829333E-2</v>
      </c>
      <c r="W156" s="50">
        <f t="shared" si="137"/>
        <v>2.4381508437620259E-2</v>
      </c>
      <c r="X156" t="s">
        <v>424</v>
      </c>
      <c r="Y156">
        <v>259</v>
      </c>
      <c r="Z156">
        <v>259</v>
      </c>
      <c r="AO156" t="str">
        <f t="shared" si="138"/>
        <v/>
      </c>
      <c r="AQ156" s="3">
        <v>44939</v>
      </c>
      <c r="AR156" s="59">
        <v>2.7404240360596965E-2</v>
      </c>
      <c r="AS156" s="59">
        <v>2.3703993769877751E-2</v>
      </c>
      <c r="AT156" s="59">
        <v>5.6638451004695778E-3</v>
      </c>
      <c r="AU156" s="59">
        <v>2.2075380772516029E-2</v>
      </c>
      <c r="AV156" s="59">
        <v>3.1921145448694288E-2</v>
      </c>
      <c r="AW156" s="59">
        <v>3.8543177096543646E-2</v>
      </c>
      <c r="AX156" s="59">
        <v>2.4381508437620259E-2</v>
      </c>
      <c r="AY156" s="59">
        <v>8.5942795174190012E-2</v>
      </c>
      <c r="AZ156" s="59">
        <v>7.7985170033239681E-2</v>
      </c>
      <c r="BA156" s="59">
        <v>2.6565327084969503E-2</v>
      </c>
      <c r="BB156" s="59">
        <v>2.6965637657829333E-2</v>
      </c>
    </row>
    <row r="157" spans="1:54" x14ac:dyDescent="0.45">
      <c r="A157" s="3">
        <v>44932</v>
      </c>
      <c r="B157" s="48">
        <v>108.21391</v>
      </c>
      <c r="C157" s="48">
        <v>99.696280000000002</v>
      </c>
      <c r="D157" s="48">
        <v>157.39131</v>
      </c>
      <c r="E157" s="48">
        <v>114.10947</v>
      </c>
      <c r="F157" s="48">
        <v>29.489229999999999</v>
      </c>
      <c r="G157" s="48">
        <v>54.565040000000003</v>
      </c>
      <c r="H157">
        <v>73.77</v>
      </c>
      <c r="I157" s="48">
        <v>3.911</v>
      </c>
      <c r="J157" s="49">
        <v>672.34670000000006</v>
      </c>
      <c r="K157" s="49">
        <v>7243.4541499999996</v>
      </c>
      <c r="L157" s="50">
        <v>1.9491980760975025E-3</v>
      </c>
      <c r="M157" s="50">
        <v>2.0852594291498328E-3</v>
      </c>
      <c r="N157" s="50">
        <v>-1.6324047498797012E-2</v>
      </c>
      <c r="O157" s="50">
        <v>-1.5827730154942099E-2</v>
      </c>
      <c r="P157" s="50">
        <v>-1.3455361620370754E-2</v>
      </c>
      <c r="Q157" s="50">
        <v>-4.5520752150522981E-3</v>
      </c>
      <c r="R157" s="47">
        <v>-9.614791012002466E-3</v>
      </c>
      <c r="S157" s="50">
        <v>-8.0862197856965023E-2</v>
      </c>
      <c r="T157" s="50">
        <v>2.6374491536543809E-2</v>
      </c>
      <c r="U157" s="50">
        <v>4.6256111403408795E-6</v>
      </c>
      <c r="V157" s="50">
        <v>1.4664858348324206E-2</v>
      </c>
      <c r="W157" s="50">
        <f t="shared" si="137"/>
        <v>-9.614791012002466E-3</v>
      </c>
      <c r="X157" t="s">
        <v>425</v>
      </c>
      <c r="Y157">
        <v>1.3759657785351447</v>
      </c>
      <c r="AO157" t="str">
        <f t="shared" si="138"/>
        <v/>
      </c>
      <c r="AQ157" s="3">
        <v>44932</v>
      </c>
      <c r="AR157" s="59">
        <v>1.9491980760975025E-3</v>
      </c>
      <c r="AS157" s="59">
        <v>2.0852594291498328E-3</v>
      </c>
      <c r="AT157" s="59">
        <v>-1.6324047498797012E-2</v>
      </c>
      <c r="AU157" s="59">
        <v>-1.5827730154942099E-2</v>
      </c>
      <c r="AV157" s="59">
        <v>-1.3455361620370754E-2</v>
      </c>
      <c r="AW157" s="59">
        <v>-4.5520752150522981E-3</v>
      </c>
      <c r="AX157" s="59">
        <v>-9.614791012002466E-3</v>
      </c>
      <c r="AY157" s="59">
        <v>-8.0862197856965023E-2</v>
      </c>
      <c r="AZ157" s="59">
        <v>2.6374491536543809E-2</v>
      </c>
      <c r="BA157" s="59">
        <v>4.6256111403408795E-6</v>
      </c>
      <c r="BB157" s="59">
        <v>1.4664858348324206E-2</v>
      </c>
    </row>
    <row r="158" spans="1:54" x14ac:dyDescent="0.45">
      <c r="A158" s="3">
        <v>44925</v>
      </c>
      <c r="B158" s="48">
        <v>108.00339</v>
      </c>
      <c r="C158" s="48">
        <v>99.488820000000004</v>
      </c>
      <c r="D158" s="48">
        <v>160.00321</v>
      </c>
      <c r="E158" s="48">
        <v>115.94461</v>
      </c>
      <c r="F158" s="48">
        <v>29.89143</v>
      </c>
      <c r="G158" s="48">
        <v>54.81456</v>
      </c>
      <c r="H158">
        <v>80.260000000000005</v>
      </c>
      <c r="I158" s="48">
        <v>3.8105000000000002</v>
      </c>
      <c r="J158" s="49">
        <v>672.34358999999995</v>
      </c>
      <c r="K158" s="49">
        <v>7138.7651699999997</v>
      </c>
      <c r="L158" s="50">
        <v>8.1161066881922928E-3</v>
      </c>
      <c r="M158" s="50">
        <v>1.4906106555081955E-2</v>
      </c>
      <c r="N158" s="50">
        <v>1.1781260821099648E-2</v>
      </c>
      <c r="O158" s="50">
        <v>-8.3454241844620469E-3</v>
      </c>
      <c r="P158" s="50">
        <v>-2.2850551186937018E-3</v>
      </c>
      <c r="Q158" s="50">
        <v>-1.599746237863231E-2</v>
      </c>
      <c r="R158" s="47">
        <v>1.1885138878708901E-5</v>
      </c>
      <c r="S158" s="50">
        <v>8.7983911513322965E-3</v>
      </c>
      <c r="T158" s="50">
        <v>1.5770797739520503E-3</v>
      </c>
      <c r="U158" s="50">
        <v>6.0093904581339785E-3</v>
      </c>
      <c r="V158" s="50">
        <v>-1.1882179700399842E-3</v>
      </c>
      <c r="W158" s="50">
        <f t="shared" si="137"/>
        <v>1.1885138878708901E-5</v>
      </c>
      <c r="X158" t="s">
        <v>426</v>
      </c>
      <c r="Y158">
        <v>5.2294279938604792E-3</v>
      </c>
      <c r="AA158" t="s">
        <v>447</v>
      </c>
      <c r="AO158" t="str">
        <f t="shared" si="138"/>
        <v/>
      </c>
      <c r="AQ158" s="3">
        <v>44925</v>
      </c>
      <c r="AR158" s="59">
        <v>8.1161066881922928E-3</v>
      </c>
      <c r="AS158" s="59">
        <v>1.4906106555081955E-2</v>
      </c>
      <c r="AT158" s="59">
        <v>1.1781260821099648E-2</v>
      </c>
      <c r="AU158" s="59">
        <v>-8.3454241844620469E-3</v>
      </c>
      <c r="AV158" s="59">
        <v>-2.2850551186937018E-3</v>
      </c>
      <c r="AW158" s="59">
        <v>-1.599746237863231E-2</v>
      </c>
      <c r="AX158" s="59">
        <v>1.1885138878708901E-5</v>
      </c>
      <c r="AY158" s="59">
        <v>8.7983911513322965E-3</v>
      </c>
      <c r="AZ158" s="59">
        <v>1.5770797739520503E-3</v>
      </c>
      <c r="BA158" s="59">
        <v>6.0093904581339785E-3</v>
      </c>
      <c r="BB158" s="59">
        <v>-1.1882179700399842E-3</v>
      </c>
    </row>
    <row r="159" spans="1:54" ht="14.65" thickBot="1" x14ac:dyDescent="0.5">
      <c r="A159" s="3">
        <v>44918</v>
      </c>
      <c r="B159" s="48">
        <v>107.13388</v>
      </c>
      <c r="C159" s="48">
        <v>98.027609999999996</v>
      </c>
      <c r="D159" s="48">
        <v>158.14012</v>
      </c>
      <c r="E159" s="48">
        <v>116.92036</v>
      </c>
      <c r="F159" s="48">
        <v>29.959890000000001</v>
      </c>
      <c r="G159" s="48">
        <v>55.705710000000003</v>
      </c>
      <c r="H159">
        <v>79.56</v>
      </c>
      <c r="I159" s="48">
        <v>3.8045</v>
      </c>
      <c r="J159" s="49">
        <v>668.32735000000002</v>
      </c>
      <c r="K159" s="49">
        <v>7147.25767</v>
      </c>
      <c r="L159" s="50">
        <v>6.646378076536541E-2</v>
      </c>
      <c r="M159" s="50">
        <v>3.8013416462554961E-2</v>
      </c>
      <c r="N159" s="50">
        <v>5.1446226152653818E-2</v>
      </c>
      <c r="O159" s="50">
        <v>3.8482903010862879E-2</v>
      </c>
      <c r="P159" s="50">
        <v>3.9489288294183522E-2</v>
      </c>
      <c r="Q159" s="50">
        <v>4.044604224637105E-2</v>
      </c>
      <c r="R159" s="47">
        <v>4.1575575233325245E-2</v>
      </c>
      <c r="S159" s="50">
        <v>6.8493150684931559E-2</v>
      </c>
      <c r="T159" s="50">
        <v>1.1431609730160774E-2</v>
      </c>
      <c r="U159" s="50">
        <v>4.3809172503421312E-2</v>
      </c>
      <c r="V159" s="50">
        <v>-1.7687204917247179E-3</v>
      </c>
      <c r="W159" s="50">
        <f t="shared" si="137"/>
        <v>4.1575575233325245E-2</v>
      </c>
      <c r="X159" s="64" t="s">
        <v>427</v>
      </c>
      <c r="Y159" s="64">
        <v>1.2272651018611282</v>
      </c>
      <c r="Z159" s="64"/>
      <c r="AO159" t="str">
        <f t="shared" si="138"/>
        <v/>
      </c>
      <c r="AQ159" s="3">
        <v>44918</v>
      </c>
      <c r="AR159" s="59">
        <v>6.646378076536541E-2</v>
      </c>
      <c r="AS159" s="59">
        <v>3.8013416462554961E-2</v>
      </c>
      <c r="AT159" s="59">
        <v>5.1446226152653818E-2</v>
      </c>
      <c r="AU159" s="59">
        <v>3.8482903010862879E-2</v>
      </c>
      <c r="AV159" s="59">
        <v>3.9489288294183522E-2</v>
      </c>
      <c r="AW159" s="59">
        <v>4.044604224637105E-2</v>
      </c>
      <c r="AX159" s="59">
        <v>4.1575575233325245E-2</v>
      </c>
      <c r="AY159" s="59">
        <v>6.8493150684931559E-2</v>
      </c>
      <c r="AZ159" s="59">
        <v>1.1431609730160774E-2</v>
      </c>
      <c r="BA159" s="59">
        <v>4.3809172503421312E-2</v>
      </c>
      <c r="BB159" s="59">
        <v>-1.7687204917247179E-3</v>
      </c>
    </row>
    <row r="160" spans="1:54" x14ac:dyDescent="0.45">
      <c r="A160" s="3">
        <v>44911</v>
      </c>
      <c r="B160" s="48">
        <v>100.45712</v>
      </c>
      <c r="C160" s="48">
        <v>94.437709999999996</v>
      </c>
      <c r="D160" s="48">
        <v>150.40248</v>
      </c>
      <c r="E160" s="48">
        <v>112.58766</v>
      </c>
      <c r="F160" s="48">
        <v>28.821739999999998</v>
      </c>
      <c r="G160" s="48">
        <v>53.540219999999998</v>
      </c>
      <c r="H160">
        <v>74.459999999999994</v>
      </c>
      <c r="I160" s="48">
        <v>3.7614999999999998</v>
      </c>
      <c r="J160" s="49">
        <v>640.27733000000001</v>
      </c>
      <c r="K160" s="49">
        <v>7159.9215700000004</v>
      </c>
      <c r="L160" s="50">
        <v>3.8175337956263267E-3</v>
      </c>
      <c r="M160" s="50">
        <v>1.1203385836020763E-2</v>
      </c>
      <c r="N160" s="50">
        <v>4.2857052236351389E-3</v>
      </c>
      <c r="O160" s="50">
        <v>4.600754341430302E-2</v>
      </c>
      <c r="P160" s="50">
        <v>-8.9020092611402646E-4</v>
      </c>
      <c r="Q160" s="50">
        <v>7.7155611234194232E-3</v>
      </c>
      <c r="R160" s="47">
        <v>1.3664398934252864E-2</v>
      </c>
      <c r="S160" s="50">
        <v>4.8437059983103214E-2</v>
      </c>
      <c r="T160" s="50">
        <v>-2.9916183107672523E-2</v>
      </c>
      <c r="U160" s="50">
        <v>1.7166980520046282E-2</v>
      </c>
      <c r="V160" s="50">
        <v>-2.058093338026179E-2</v>
      </c>
      <c r="W160" s="50">
        <f t="shared" si="137"/>
        <v>1.3664398934252864E-2</v>
      </c>
      <c r="AO160" t="str">
        <f t="shared" si="138"/>
        <v/>
      </c>
      <c r="AQ160" s="3">
        <v>44911</v>
      </c>
      <c r="AR160" s="59">
        <v>3.8175337956263267E-3</v>
      </c>
      <c r="AS160" s="59">
        <v>1.1203385836020763E-2</v>
      </c>
      <c r="AT160" s="59">
        <v>4.2857052236351389E-3</v>
      </c>
      <c r="AU160" s="59">
        <v>4.600754341430302E-2</v>
      </c>
      <c r="AV160" s="59">
        <v>-8.9020092611402646E-4</v>
      </c>
      <c r="AW160" s="59">
        <v>7.7155611234194232E-3</v>
      </c>
      <c r="AX160" s="59">
        <v>1.3664398934252864E-2</v>
      </c>
      <c r="AY160" s="59">
        <v>4.8437059983103214E-2</v>
      </c>
      <c r="AZ160" s="59">
        <v>-2.9916183107672523E-2</v>
      </c>
      <c r="BA160" s="59">
        <v>1.7166980520046282E-2</v>
      </c>
      <c r="BB160" s="59">
        <v>-2.058093338026179E-2</v>
      </c>
    </row>
    <row r="161" spans="1:54" x14ac:dyDescent="0.45">
      <c r="A161" s="3">
        <v>44904</v>
      </c>
      <c r="B161" s="48">
        <v>100.07508</v>
      </c>
      <c r="C161" s="48">
        <v>93.391409999999993</v>
      </c>
      <c r="D161" s="48">
        <v>149.76065</v>
      </c>
      <c r="E161" s="48">
        <v>107.63561</v>
      </c>
      <c r="F161" s="48">
        <v>28.84742</v>
      </c>
      <c r="G161" s="48">
        <v>53.130290000000002</v>
      </c>
      <c r="H161">
        <v>71.02</v>
      </c>
      <c r="I161" s="48">
        <v>3.8774999999999999</v>
      </c>
      <c r="J161" s="49">
        <v>629.47121000000004</v>
      </c>
      <c r="K161" s="49">
        <v>7310.3759300000002</v>
      </c>
      <c r="L161" s="50">
        <v>-9.9525337982535267E-2</v>
      </c>
      <c r="M161" s="50">
        <v>-5.752778101551137E-2</v>
      </c>
      <c r="N161" s="50">
        <v>-7.1977050865426051E-2</v>
      </c>
      <c r="O161" s="50">
        <v>-0.12448730109112494</v>
      </c>
      <c r="P161" s="50">
        <v>-4.6662839757946384E-2</v>
      </c>
      <c r="Q161" s="50">
        <v>-0.11020963969464925</v>
      </c>
      <c r="R161" s="47">
        <v>-8.2172922484931604E-2</v>
      </c>
      <c r="S161" s="50">
        <v>-0.11202800700175053</v>
      </c>
      <c r="T161" s="50">
        <v>7.6663201663202951E-3</v>
      </c>
      <c r="U161" s="50">
        <v>-8.4006219380197811E-2</v>
      </c>
      <c r="V161" s="50">
        <v>-3.3550552939298761E-2</v>
      </c>
      <c r="W161" s="50">
        <f t="shared" si="137"/>
        <v>-8.2172922484931604E-2</v>
      </c>
      <c r="X161" t="s">
        <v>429</v>
      </c>
      <c r="AO161" t="str">
        <f t="shared" si="138"/>
        <v/>
      </c>
      <c r="AQ161" s="3">
        <v>44904</v>
      </c>
      <c r="AR161" s="59">
        <v>-9.9525337982535267E-2</v>
      </c>
      <c r="AS161" s="59">
        <v>-5.752778101551137E-2</v>
      </c>
      <c r="AT161" s="59">
        <v>-7.1977050865426051E-2</v>
      </c>
      <c r="AU161" s="59">
        <v>-0.12448730109112494</v>
      </c>
      <c r="AV161" s="59">
        <v>-4.6662839757946384E-2</v>
      </c>
      <c r="AW161" s="59">
        <v>-0.11020963969464925</v>
      </c>
      <c r="AX161" s="59">
        <v>-8.2172922484931604E-2</v>
      </c>
      <c r="AY161" s="59">
        <v>-0.11202800700175053</v>
      </c>
      <c r="AZ161" s="59">
        <v>7.6663201663202951E-3</v>
      </c>
      <c r="BA161" s="59">
        <v>-8.4006219380197811E-2</v>
      </c>
      <c r="BB161" s="59">
        <v>-3.3550552939298761E-2</v>
      </c>
    </row>
    <row r="162" spans="1:54" ht="14.65" thickBot="1" x14ac:dyDescent="0.5">
      <c r="A162" s="3">
        <v>44897</v>
      </c>
      <c r="B162" s="48">
        <v>111.13592</v>
      </c>
      <c r="C162" s="48">
        <v>99.091949999999997</v>
      </c>
      <c r="D162" s="48">
        <v>161.37602000000001</v>
      </c>
      <c r="E162" s="48">
        <v>122.94009</v>
      </c>
      <c r="F162" s="48">
        <v>30.259409999999999</v>
      </c>
      <c r="G162" s="48">
        <v>59.711019999999998</v>
      </c>
      <c r="H162">
        <v>79.98</v>
      </c>
      <c r="I162" s="48">
        <v>3.8479999999999999</v>
      </c>
      <c r="J162" s="49">
        <v>687.20030999999994</v>
      </c>
      <c r="K162" s="49">
        <v>7564.1575999999995</v>
      </c>
      <c r="L162" s="50">
        <v>-3.6511269434768345E-2</v>
      </c>
      <c r="M162" s="50">
        <v>-2.9591063286379171E-2</v>
      </c>
      <c r="N162" s="50">
        <v>-1.4534538979729117E-2</v>
      </c>
      <c r="O162" s="50">
        <v>-2.5729085999196766E-2</v>
      </c>
      <c r="P162" s="50">
        <v>2.5518191236677534E-3</v>
      </c>
      <c r="Q162" s="50">
        <v>1.609324352160435E-3</v>
      </c>
      <c r="R162" s="47">
        <v>-1.3138708957895373E-2</v>
      </c>
      <c r="S162" s="50">
        <v>4.8505506030414258E-2</v>
      </c>
      <c r="T162" s="50">
        <v>6.0785665058580296E-2</v>
      </c>
      <c r="U162" s="50">
        <v>-1.9692376981862547E-2</v>
      </c>
      <c r="V162" s="50">
        <v>1.1749017033880316E-2</v>
      </c>
      <c r="W162" s="50">
        <f t="shared" si="137"/>
        <v>-1.3138708957895373E-2</v>
      </c>
      <c r="AO162" t="str">
        <f t="shared" si="138"/>
        <v/>
      </c>
      <c r="AQ162" s="3">
        <v>44897</v>
      </c>
      <c r="AR162" s="59">
        <v>-3.6511269434768345E-2</v>
      </c>
      <c r="AS162" s="59">
        <v>-2.9591063286379171E-2</v>
      </c>
      <c r="AT162" s="59">
        <v>-1.4534538979729117E-2</v>
      </c>
      <c r="AU162" s="59">
        <v>-2.5729085999196766E-2</v>
      </c>
      <c r="AV162" s="59">
        <v>2.5518191236677534E-3</v>
      </c>
      <c r="AW162" s="59">
        <v>1.609324352160435E-3</v>
      </c>
      <c r="AX162" s="59">
        <v>-1.3138708957895373E-2</v>
      </c>
      <c r="AY162" s="59">
        <v>4.8505506030414258E-2</v>
      </c>
      <c r="AZ162" s="59">
        <v>6.0785665058580296E-2</v>
      </c>
      <c r="BA162" s="59">
        <v>-1.9692376981862547E-2</v>
      </c>
      <c r="BB162" s="59">
        <v>1.1749017033880316E-2</v>
      </c>
    </row>
    <row r="163" spans="1:54" x14ac:dyDescent="0.45">
      <c r="A163" s="3">
        <v>44890</v>
      </c>
      <c r="B163" s="48">
        <v>115.34739999999999</v>
      </c>
      <c r="C163" s="48">
        <v>102.11360000000001</v>
      </c>
      <c r="D163" s="48">
        <v>163.75613999999999</v>
      </c>
      <c r="E163" s="48">
        <v>126.18676000000001</v>
      </c>
      <c r="F163" s="48">
        <v>30.182390000000002</v>
      </c>
      <c r="G163" s="48">
        <v>59.615079999999999</v>
      </c>
      <c r="H163">
        <v>76.28</v>
      </c>
      <c r="I163" s="48">
        <v>3.6274999999999999</v>
      </c>
      <c r="J163" s="49">
        <v>701.00476000000003</v>
      </c>
      <c r="K163" s="49">
        <v>7476.3182100000004</v>
      </c>
      <c r="L163" s="50">
        <v>-1.3842424967832723E-2</v>
      </c>
      <c r="M163" s="50">
        <v>1.008216581836674E-2</v>
      </c>
      <c r="N163" s="50">
        <v>3.8799501456658891E-3</v>
      </c>
      <c r="O163" s="50">
        <v>1.148776284006825E-2</v>
      </c>
      <c r="P163" s="50">
        <v>3.6134118279522065E-2</v>
      </c>
      <c r="Q163" s="50">
        <v>-1.8241918436540661E-2</v>
      </c>
      <c r="R163" s="47">
        <v>8.6684157294164565E-3</v>
      </c>
      <c r="S163" s="50">
        <v>-4.7809262264386421E-2</v>
      </c>
      <c r="T163" s="50">
        <v>-1.2389867841410274E-3</v>
      </c>
      <c r="U163" s="50">
        <v>2.5965644467056403E-3</v>
      </c>
      <c r="V163" s="50">
        <v>1.5483838125715632E-2</v>
      </c>
      <c r="W163" s="50">
        <f t="shared" si="137"/>
        <v>8.6684157294164565E-3</v>
      </c>
      <c r="X163" s="65"/>
      <c r="Y163" s="65" t="s">
        <v>419</v>
      </c>
      <c r="Z163" s="65" t="s">
        <v>420</v>
      </c>
      <c r="AO163" t="str">
        <f t="shared" si="138"/>
        <v/>
      </c>
      <c r="AQ163" s="3">
        <v>44890</v>
      </c>
      <c r="AR163" s="59">
        <v>-1.3842424967832723E-2</v>
      </c>
      <c r="AS163" s="59">
        <v>1.008216581836674E-2</v>
      </c>
      <c r="AT163" s="59">
        <v>3.8799501456658891E-3</v>
      </c>
      <c r="AU163" s="59">
        <v>1.148776284006825E-2</v>
      </c>
      <c r="AV163" s="59">
        <v>3.6134118279522065E-2</v>
      </c>
      <c r="AW163" s="59">
        <v>-1.8241918436540661E-2</v>
      </c>
      <c r="AX163" s="59">
        <v>8.6684157294164565E-3</v>
      </c>
      <c r="AY163" s="59">
        <v>-4.7809262264386421E-2</v>
      </c>
      <c r="AZ163" s="59">
        <v>-1.2389867841410274E-3</v>
      </c>
      <c r="BA163" s="59">
        <v>2.5965644467056403E-3</v>
      </c>
      <c r="BB163" s="59">
        <v>1.5483838125715632E-2</v>
      </c>
    </row>
    <row r="164" spans="1:54" x14ac:dyDescent="0.45">
      <c r="A164" s="3">
        <v>44883</v>
      </c>
      <c r="B164" s="48">
        <v>116.9665</v>
      </c>
      <c r="C164" s="48">
        <v>101.09435000000001</v>
      </c>
      <c r="D164" s="48">
        <v>163.12323000000001</v>
      </c>
      <c r="E164" s="48">
        <v>124.75362</v>
      </c>
      <c r="F164" s="48">
        <v>29.129809999999999</v>
      </c>
      <c r="G164" s="48">
        <v>60.72278</v>
      </c>
      <c r="H164">
        <v>80.11</v>
      </c>
      <c r="I164" s="48">
        <v>3.6320000000000001</v>
      </c>
      <c r="J164" s="49">
        <v>699.18926999999996</v>
      </c>
      <c r="K164" s="49">
        <v>7362.3212199999998</v>
      </c>
      <c r="L164" s="50">
        <v>-3.6418172591508924E-2</v>
      </c>
      <c r="M164" s="50">
        <v>-8.4926225178318937E-3</v>
      </c>
      <c r="N164" s="50">
        <v>-1.101833023524823E-2</v>
      </c>
      <c r="O164" s="50">
        <v>-4.1397590231836867E-2</v>
      </c>
      <c r="P164" s="50">
        <v>5.9101491574542475E-3</v>
      </c>
      <c r="Q164" s="50">
        <v>-3.0362074202009537E-2</v>
      </c>
      <c r="R164" s="47">
        <v>-1.7072093605894456E-2</v>
      </c>
      <c r="S164" s="50">
        <v>-9.1311252268602483E-2</v>
      </c>
      <c r="T164" s="50">
        <v>-7.193049699757248E-2</v>
      </c>
      <c r="U164" s="50">
        <v>-2.350465396137158E-2</v>
      </c>
      <c r="V164" s="50">
        <v>-6.3747255216443088E-3</v>
      </c>
      <c r="W164" s="50">
        <f t="shared" si="137"/>
        <v>-1.7072093605894456E-2</v>
      </c>
      <c r="X164" t="s">
        <v>421</v>
      </c>
      <c r="Y164">
        <v>5.6772258878823928E-3</v>
      </c>
      <c r="Z164">
        <v>5.9385752185822866E-3</v>
      </c>
      <c r="AO164" t="str">
        <f t="shared" si="138"/>
        <v/>
      </c>
      <c r="AQ164" s="3">
        <v>44883</v>
      </c>
      <c r="AR164" s="59">
        <v>-3.6418172591508924E-2</v>
      </c>
      <c r="AS164" s="59">
        <v>-8.4926225178318937E-3</v>
      </c>
      <c r="AT164" s="59">
        <v>-1.101833023524823E-2</v>
      </c>
      <c r="AU164" s="59">
        <v>-4.1397590231836867E-2</v>
      </c>
      <c r="AV164" s="59">
        <v>5.9101491574542475E-3</v>
      </c>
      <c r="AW164" s="59">
        <v>-3.0362074202009537E-2</v>
      </c>
      <c r="AX164" s="59">
        <v>-1.7072093605894456E-2</v>
      </c>
      <c r="AY164" s="59">
        <v>-9.1311252268602483E-2</v>
      </c>
      <c r="AZ164" s="59">
        <v>-7.193049699757248E-2</v>
      </c>
      <c r="BA164" s="59">
        <v>-2.350465396137158E-2</v>
      </c>
      <c r="BB164" s="59">
        <v>-6.3747255216443088E-3</v>
      </c>
    </row>
    <row r="165" spans="1:54" x14ac:dyDescent="0.45">
      <c r="A165" s="3">
        <v>44876</v>
      </c>
      <c r="B165" s="48">
        <v>121.38720000000001</v>
      </c>
      <c r="C165" s="48">
        <v>101.96026000000001</v>
      </c>
      <c r="D165" s="48">
        <v>164.94059999999999</v>
      </c>
      <c r="E165" s="48">
        <v>130.14115000000001</v>
      </c>
      <c r="F165" s="48">
        <v>28.958659999999998</v>
      </c>
      <c r="G165" s="48">
        <v>62.624180000000003</v>
      </c>
      <c r="H165">
        <v>88.16</v>
      </c>
      <c r="I165" s="48">
        <v>3.9135</v>
      </c>
      <c r="J165" s="49">
        <v>716.01904999999999</v>
      </c>
      <c r="K165" s="49">
        <v>7409.5550999999996</v>
      </c>
      <c r="L165" s="50">
        <v>1.2394212831372986E-2</v>
      </c>
      <c r="M165" s="50">
        <v>1.460243627355684E-2</v>
      </c>
      <c r="N165" s="50">
        <v>1.6573965902924037E-2</v>
      </c>
      <c r="O165" s="50">
        <v>3.4310610729824775E-2</v>
      </c>
      <c r="P165" s="50">
        <v>8.263898826341709E-3</v>
      </c>
      <c r="Q165" s="50">
        <v>4.4766964770917017E-3</v>
      </c>
      <c r="R165" s="47">
        <v>1.5645521641947813E-2</v>
      </c>
      <c r="S165" s="50">
        <v>-4.8050966418313412E-2</v>
      </c>
      <c r="T165" s="50">
        <v>6.1576020615760063E-2</v>
      </c>
      <c r="U165" s="50">
        <v>1.9988507770446029E-2</v>
      </c>
      <c r="V165" s="50">
        <v>5.9213720860015417E-2</v>
      </c>
      <c r="W165" s="50">
        <f t="shared" si="137"/>
        <v>1.5645521641947813E-2</v>
      </c>
      <c r="X165" t="s">
        <v>422</v>
      </c>
      <c r="Y165">
        <v>2.7054335795431844E-3</v>
      </c>
      <c r="Z165">
        <v>1.9662070247294908E-3</v>
      </c>
      <c r="AO165" t="str">
        <f t="shared" si="138"/>
        <v/>
      </c>
      <c r="AQ165" s="3">
        <v>44876</v>
      </c>
      <c r="AR165" s="59">
        <v>1.2394212831372986E-2</v>
      </c>
      <c r="AS165" s="59">
        <v>1.460243627355684E-2</v>
      </c>
      <c r="AT165" s="59">
        <v>1.6573965902924037E-2</v>
      </c>
      <c r="AU165" s="59">
        <v>3.4310610729824775E-2</v>
      </c>
      <c r="AV165" s="59">
        <v>8.263898826341709E-3</v>
      </c>
      <c r="AW165" s="59">
        <v>4.4766964770917017E-3</v>
      </c>
      <c r="AX165" s="59">
        <v>1.5645521641947813E-2</v>
      </c>
      <c r="AY165" s="59">
        <v>-4.8050966418313412E-2</v>
      </c>
      <c r="AZ165" s="59">
        <v>6.1576020615760063E-2</v>
      </c>
      <c r="BA165" s="59">
        <v>1.9988507770446029E-2</v>
      </c>
      <c r="BB165" s="59">
        <v>5.9213720860015417E-2</v>
      </c>
    </row>
    <row r="166" spans="1:54" x14ac:dyDescent="0.45">
      <c r="A166" s="3">
        <v>44869</v>
      </c>
      <c r="B166" s="48">
        <v>119.90112000000001</v>
      </c>
      <c r="C166" s="48">
        <v>100.49281999999999</v>
      </c>
      <c r="D166" s="48">
        <v>162.25145000000001</v>
      </c>
      <c r="E166" s="48">
        <v>125.82405</v>
      </c>
      <c r="F166" s="48">
        <v>28.721309999999999</v>
      </c>
      <c r="G166" s="48">
        <v>62.345080000000003</v>
      </c>
      <c r="H166">
        <v>92.61</v>
      </c>
      <c r="I166" s="48">
        <v>3.6865000000000001</v>
      </c>
      <c r="J166" s="49">
        <v>701.98737000000006</v>
      </c>
      <c r="K166" s="49">
        <v>6995.3352699999996</v>
      </c>
      <c r="L166" s="50">
        <v>4.0496997122475564E-2</v>
      </c>
      <c r="M166" s="50">
        <v>1.4543843641263043E-2</v>
      </c>
      <c r="N166" s="50">
        <v>1.9113243102784949E-2</v>
      </c>
      <c r="O166" s="50">
        <v>6.3879142755099538E-2</v>
      </c>
      <c r="P166" s="50">
        <v>2.322785161877805E-2</v>
      </c>
      <c r="Q166" s="50">
        <v>-5.9597418613687392E-2</v>
      </c>
      <c r="R166" s="47">
        <v>1.2233332500847637E-2</v>
      </c>
      <c r="S166" s="50">
        <v>5.3583617747440249E-2</v>
      </c>
      <c r="T166" s="50">
        <v>7.5094779819189439E-2</v>
      </c>
      <c r="U166" s="50">
        <v>2.3731112039907076E-2</v>
      </c>
      <c r="V166" s="50">
        <v>-3.3189338520817957E-2</v>
      </c>
      <c r="W166" s="50">
        <f t="shared" si="137"/>
        <v>1.2233332500847637E-2</v>
      </c>
      <c r="X166" t="s">
        <v>423</v>
      </c>
      <c r="Y166">
        <v>260</v>
      </c>
      <c r="Z166">
        <v>260</v>
      </c>
      <c r="AO166" t="str">
        <f t="shared" si="138"/>
        <v/>
      </c>
      <c r="AQ166" s="3">
        <v>44869</v>
      </c>
      <c r="AR166" s="59">
        <v>4.0496997122475564E-2</v>
      </c>
      <c r="AS166" s="59">
        <v>1.4543843641263043E-2</v>
      </c>
      <c r="AT166" s="59">
        <v>1.9113243102784949E-2</v>
      </c>
      <c r="AU166" s="59">
        <v>6.3879142755099538E-2</v>
      </c>
      <c r="AV166" s="59">
        <v>2.322785161877805E-2</v>
      </c>
      <c r="AW166" s="59">
        <v>-5.9597418613687392E-2</v>
      </c>
      <c r="AX166" s="59">
        <v>1.2233332500847637E-2</v>
      </c>
      <c r="AY166" s="59">
        <v>5.3583617747440249E-2</v>
      </c>
      <c r="AZ166" s="59">
        <v>7.5094779819189439E-2</v>
      </c>
      <c r="BA166" s="59">
        <v>2.3731112039907076E-2</v>
      </c>
      <c r="BB166" s="59">
        <v>-3.3189338520817957E-2</v>
      </c>
    </row>
    <row r="167" spans="1:54" x14ac:dyDescent="0.45">
      <c r="A167" s="3">
        <v>44862</v>
      </c>
      <c r="B167" s="48">
        <v>115.23447</v>
      </c>
      <c r="C167" s="48">
        <v>99.052220000000005</v>
      </c>
      <c r="D167" s="48">
        <v>159.20846</v>
      </c>
      <c r="E167" s="48">
        <v>118.26912</v>
      </c>
      <c r="F167" s="48">
        <v>28.069320000000001</v>
      </c>
      <c r="G167" s="48">
        <v>66.29616</v>
      </c>
      <c r="H167">
        <v>87.9</v>
      </c>
      <c r="I167" s="48">
        <v>3.4289999999999998</v>
      </c>
      <c r="J167" s="49">
        <v>685.71460000000002</v>
      </c>
      <c r="K167" s="49">
        <v>7235.4759299999996</v>
      </c>
      <c r="L167" s="50">
        <v>2.1527753707448749E-2</v>
      </c>
      <c r="M167" s="50">
        <v>4.5720780545236428E-2</v>
      </c>
      <c r="N167" s="50">
        <v>3.9205467810167205E-2</v>
      </c>
      <c r="O167" s="50">
        <v>-9.7037529383807719E-3</v>
      </c>
      <c r="P167" s="50">
        <v>5.7079137113301925E-2</v>
      </c>
      <c r="Q167" s="50">
        <v>2.3152520133582488E-2</v>
      </c>
      <c r="R167" s="47">
        <v>3.1090830532781454E-2</v>
      </c>
      <c r="S167" s="50">
        <v>3.3509700176366897E-2</v>
      </c>
      <c r="T167" s="50">
        <v>-1.3095409411426173E-2</v>
      </c>
      <c r="U167" s="50">
        <v>2.7518693339327216E-2</v>
      </c>
      <c r="V167" s="50">
        <v>3.9618267684388364E-2</v>
      </c>
      <c r="W167" s="50">
        <f t="shared" si="137"/>
        <v>3.1090830532781454E-2</v>
      </c>
      <c r="X167" t="s">
        <v>430</v>
      </c>
      <c r="Y167">
        <v>0</v>
      </c>
      <c r="AO167" t="str">
        <f t="shared" si="138"/>
        <v/>
      </c>
      <c r="AQ167" s="3">
        <v>44862</v>
      </c>
      <c r="AR167" s="59">
        <v>2.1527753707448749E-2</v>
      </c>
      <c r="AS167" s="59">
        <v>4.5720780545236428E-2</v>
      </c>
      <c r="AT167" s="59">
        <v>3.9205467810167205E-2</v>
      </c>
      <c r="AU167" s="59">
        <v>-9.7037529383807719E-3</v>
      </c>
      <c r="AV167" s="59">
        <v>5.7079137113301925E-2</v>
      </c>
      <c r="AW167" s="59">
        <v>2.3152520133582488E-2</v>
      </c>
      <c r="AX167" s="59">
        <v>3.1090830532781454E-2</v>
      </c>
      <c r="AY167" s="59">
        <v>3.3509700176366897E-2</v>
      </c>
      <c r="AZ167" s="59">
        <v>-1.3095409411426173E-2</v>
      </c>
      <c r="BA167" s="59">
        <v>2.7518693339327216E-2</v>
      </c>
      <c r="BB167" s="59">
        <v>3.9618267684388364E-2</v>
      </c>
    </row>
    <row r="168" spans="1:54" x14ac:dyDescent="0.45">
      <c r="A168" s="3">
        <v>44855</v>
      </c>
      <c r="B168" s="48">
        <v>112.80601</v>
      </c>
      <c r="C168" s="48">
        <v>94.72148</v>
      </c>
      <c r="D168" s="48">
        <v>153.2021</v>
      </c>
      <c r="E168" s="48">
        <v>119.42802</v>
      </c>
      <c r="F168" s="48">
        <v>26.553660000000001</v>
      </c>
      <c r="G168" s="48">
        <v>64.795969999999997</v>
      </c>
      <c r="H168">
        <v>85.05</v>
      </c>
      <c r="I168" s="48">
        <v>3.4744999999999999</v>
      </c>
      <c r="J168" s="49">
        <v>667.35</v>
      </c>
      <c r="K168" s="49">
        <v>6959.7429700000002</v>
      </c>
      <c r="L168" s="50">
        <v>5.5357769676321888E-2</v>
      </c>
      <c r="M168" s="50">
        <v>6.7244598229023733E-2</v>
      </c>
      <c r="N168" s="50">
        <v>8.1491223240165445E-2</v>
      </c>
      <c r="O168" s="50">
        <v>0.11968153002991011</v>
      </c>
      <c r="P168" s="50">
        <v>3.3959425314613378E-2</v>
      </c>
      <c r="Q168" s="50">
        <v>9.2178889127677355E-2</v>
      </c>
      <c r="R168" s="47">
        <v>7.8911133188277999E-2</v>
      </c>
      <c r="S168" s="50">
        <v>4.7253396337860742E-3</v>
      </c>
      <c r="T168" s="50">
        <v>1.4897035197896757E-2</v>
      </c>
      <c r="U168" s="50">
        <v>8.0760108860163271E-2</v>
      </c>
      <c r="V168" s="50">
        <v>4.7467541424265791E-2</v>
      </c>
      <c r="W168" s="50">
        <f t="shared" si="137"/>
        <v>7.8911133188277999E-2</v>
      </c>
      <c r="X168" t="s">
        <v>424</v>
      </c>
      <c r="Y168">
        <v>505</v>
      </c>
      <c r="AO168" t="str">
        <f t="shared" si="138"/>
        <v/>
      </c>
      <c r="AQ168" s="3">
        <v>44855</v>
      </c>
      <c r="AR168" s="59">
        <v>5.5357769676321888E-2</v>
      </c>
      <c r="AS168" s="59">
        <v>6.7244598229023733E-2</v>
      </c>
      <c r="AT168" s="59">
        <v>8.1491223240165445E-2</v>
      </c>
      <c r="AU168" s="59">
        <v>0.11968153002991011</v>
      </c>
      <c r="AV168" s="59">
        <v>3.3959425314613378E-2</v>
      </c>
      <c r="AW168" s="59">
        <v>9.2178889127677355E-2</v>
      </c>
      <c r="AX168" s="59">
        <v>7.8911133188277999E-2</v>
      </c>
      <c r="AY168" s="59">
        <v>4.7253396337860742E-3</v>
      </c>
      <c r="AZ168" s="59">
        <v>1.4897035197896757E-2</v>
      </c>
      <c r="BA168" s="59">
        <v>8.0760108860163271E-2</v>
      </c>
      <c r="BB168" s="59">
        <v>4.7467541424265791E-2</v>
      </c>
    </row>
    <row r="169" spans="1:54" x14ac:dyDescent="0.45">
      <c r="A169" s="3">
        <v>44848</v>
      </c>
      <c r="B169" s="48">
        <v>106.88888</v>
      </c>
      <c r="C169" s="48">
        <v>88.753299999999996</v>
      </c>
      <c r="D169" s="48">
        <v>141.65819999999999</v>
      </c>
      <c r="E169" s="48">
        <v>106.66249000000001</v>
      </c>
      <c r="F169" s="48">
        <v>25.681529999999999</v>
      </c>
      <c r="G169" s="48">
        <v>59.327249999999999</v>
      </c>
      <c r="H169">
        <v>84.65</v>
      </c>
      <c r="I169" s="48">
        <v>3.4235000000000002</v>
      </c>
      <c r="J169" s="49">
        <v>617.48208</v>
      </c>
      <c r="K169" s="49">
        <v>6644.3519200000001</v>
      </c>
      <c r="L169" s="50">
        <v>-4.6409602032866371E-3</v>
      </c>
      <c r="M169" s="50">
        <v>-1.8212341214887018E-2</v>
      </c>
      <c r="N169" s="50">
        <v>6.8733668689580085E-4</v>
      </c>
      <c r="O169" s="50">
        <v>-4.8377108659575008E-2</v>
      </c>
      <c r="P169" s="50">
        <v>-2.4131175099500024E-2</v>
      </c>
      <c r="Q169" s="50">
        <v>-5.5802389521132922E-2</v>
      </c>
      <c r="R169" s="47">
        <v>-2.9167135561639836E-2</v>
      </c>
      <c r="S169" s="50">
        <v>-7.3344280240831838E-2</v>
      </c>
      <c r="T169" s="50">
        <v>1.0925734534179998E-2</v>
      </c>
      <c r="U169" s="50">
        <v>-1.8524937660616914E-2</v>
      </c>
      <c r="V169" s="50">
        <v>-1.5402970514753922E-2</v>
      </c>
      <c r="W169" s="50">
        <f t="shared" si="137"/>
        <v>-2.9167135561639836E-2</v>
      </c>
      <c r="X169" t="s">
        <v>431</v>
      </c>
      <c r="Y169">
        <v>-6.1655717197326813E-2</v>
      </c>
      <c r="AO169" t="str">
        <f t="shared" si="138"/>
        <v/>
      </c>
      <c r="AQ169" s="3">
        <v>44848</v>
      </c>
      <c r="AR169" s="59">
        <v>-4.6409602032866371E-3</v>
      </c>
      <c r="AS169" s="59">
        <v>-1.8212341214887018E-2</v>
      </c>
      <c r="AT169" s="59">
        <v>6.8733668689580085E-4</v>
      </c>
      <c r="AU169" s="59">
        <v>-4.8377108659575008E-2</v>
      </c>
      <c r="AV169" s="59">
        <v>-2.4131175099500024E-2</v>
      </c>
      <c r="AW169" s="59">
        <v>-5.5802389521132922E-2</v>
      </c>
      <c r="AX169" s="59">
        <v>-2.9167135561639836E-2</v>
      </c>
      <c r="AY169" s="59">
        <v>-7.3344280240831838E-2</v>
      </c>
      <c r="AZ169" s="59">
        <v>1.0925734534179998E-2</v>
      </c>
      <c r="BA169" s="59">
        <v>-1.8524937660616914E-2</v>
      </c>
      <c r="BB169" s="59">
        <v>-1.5402970514753922E-2</v>
      </c>
    </row>
    <row r="170" spans="1:54" x14ac:dyDescent="0.45">
      <c r="A170" s="3">
        <v>44841</v>
      </c>
      <c r="B170" s="48">
        <v>107.38726</v>
      </c>
      <c r="C170" s="48">
        <v>90.399690000000007</v>
      </c>
      <c r="D170" s="48">
        <v>141.5609</v>
      </c>
      <c r="E170" s="48">
        <v>112.08483</v>
      </c>
      <c r="F170" s="48">
        <v>26.316579999999998</v>
      </c>
      <c r="G170" s="48">
        <v>62.833509999999997</v>
      </c>
      <c r="H170">
        <v>91.35</v>
      </c>
      <c r="I170" s="48">
        <v>3.3864999999999998</v>
      </c>
      <c r="J170" s="49">
        <v>629.13679999999999</v>
      </c>
      <c r="K170" s="49">
        <v>6748.2957200000001</v>
      </c>
      <c r="L170" s="50">
        <v>0.15800277543867258</v>
      </c>
      <c r="M170" s="50">
        <v>0.15714121139275994</v>
      </c>
      <c r="N170" s="50">
        <v>0.11387208067794385</v>
      </c>
      <c r="O170" s="50">
        <v>0.14069630157782398</v>
      </c>
      <c r="P170" s="50">
        <v>8.8616726916526556E-2</v>
      </c>
      <c r="Q170" s="50">
        <v>0.19807087614835717</v>
      </c>
      <c r="R170" s="47">
        <v>0.13967943934268229</v>
      </c>
      <c r="S170" s="50">
        <v>0.16044207317073167</v>
      </c>
      <c r="T170" s="50">
        <v>-7.6190476190476364E-3</v>
      </c>
      <c r="U170" s="50">
        <v>0.13858316454507014</v>
      </c>
      <c r="V170" s="50">
        <v>1.5412228886733992E-2</v>
      </c>
      <c r="W170" s="50">
        <f t="shared" si="137"/>
        <v>0.13967943934268229</v>
      </c>
      <c r="X170" t="s">
        <v>432</v>
      </c>
      <c r="Y170" s="73">
        <v>0.47543069950930494</v>
      </c>
      <c r="AA170" t="s">
        <v>450</v>
      </c>
      <c r="AO170" t="str">
        <f t="shared" si="138"/>
        <v/>
      </c>
      <c r="AQ170" s="3">
        <v>44841</v>
      </c>
      <c r="AR170" s="59">
        <v>0.15800277543867258</v>
      </c>
      <c r="AS170" s="59">
        <v>0.15714121139275994</v>
      </c>
      <c r="AT170" s="59">
        <v>0.11387208067794385</v>
      </c>
      <c r="AU170" s="59">
        <v>0.14069630157782398</v>
      </c>
      <c r="AV170" s="59">
        <v>8.8616726916526556E-2</v>
      </c>
      <c r="AW170" s="59">
        <v>0.19807087614835717</v>
      </c>
      <c r="AX170" s="59">
        <v>0.13967943934268229</v>
      </c>
      <c r="AY170" s="59">
        <v>0.16044207317073167</v>
      </c>
      <c r="AZ170" s="59">
        <v>-7.6190476190476364E-3</v>
      </c>
      <c r="BA170" s="59">
        <v>0.13858316454507014</v>
      </c>
      <c r="BB170" s="59">
        <v>1.5412228886733992E-2</v>
      </c>
    </row>
    <row r="171" spans="1:54" x14ac:dyDescent="0.45">
      <c r="A171" s="3">
        <v>44834</v>
      </c>
      <c r="B171" s="48">
        <v>92.734889999999993</v>
      </c>
      <c r="C171" s="48">
        <v>78.1233</v>
      </c>
      <c r="D171" s="48">
        <v>127.08901</v>
      </c>
      <c r="E171" s="48">
        <v>98.260009999999994</v>
      </c>
      <c r="F171" s="48">
        <v>24.174330000000001</v>
      </c>
      <c r="G171" s="48">
        <v>52.445569999999996</v>
      </c>
      <c r="H171">
        <v>78.72</v>
      </c>
      <c r="I171" s="48">
        <v>3.4125000000000001</v>
      </c>
      <c r="J171" s="49">
        <v>552.56113000000005</v>
      </c>
      <c r="K171" s="49">
        <v>6645.8680800000002</v>
      </c>
      <c r="L171" s="50">
        <v>3.2027099048343777E-2</v>
      </c>
      <c r="M171" s="50">
        <v>1.8192448490396584E-2</v>
      </c>
      <c r="N171" s="50">
        <v>-7.5982691516910394E-3</v>
      </c>
      <c r="O171" s="50">
        <v>2.3918594207638977E-2</v>
      </c>
      <c r="P171" s="50">
        <v>1.6737626475362033E-2</v>
      </c>
      <c r="Q171" s="50">
        <v>4.2294911899263488E-2</v>
      </c>
      <c r="R171" s="47">
        <v>1.8709062384194008E-2</v>
      </c>
      <c r="S171" s="50">
        <v>-2.5400050800095109E-4</v>
      </c>
      <c r="T171" s="50">
        <v>1.2911843276936841E-2</v>
      </c>
      <c r="U171" s="50">
        <v>1.8344595562145516E-2</v>
      </c>
      <c r="V171" s="50">
        <v>-2.8923520146834525E-2</v>
      </c>
      <c r="W171" s="50">
        <f t="shared" si="137"/>
        <v>1.8709062384194008E-2</v>
      </c>
      <c r="X171" t="s">
        <v>433</v>
      </c>
      <c r="Y171">
        <v>1.6478765681170349</v>
      </c>
      <c r="AO171" t="str">
        <f t="shared" si="138"/>
        <v/>
      </c>
      <c r="AQ171" s="3">
        <v>44834</v>
      </c>
      <c r="AR171" s="59">
        <v>3.2027099048343777E-2</v>
      </c>
      <c r="AS171" s="59">
        <v>1.8192448490396584E-2</v>
      </c>
      <c r="AT171" s="59">
        <v>-7.5982691516910394E-3</v>
      </c>
      <c r="AU171" s="59">
        <v>2.3918594207638977E-2</v>
      </c>
      <c r="AV171" s="59">
        <v>1.6737626475362033E-2</v>
      </c>
      <c r="AW171" s="59">
        <v>4.2294911899263488E-2</v>
      </c>
      <c r="AX171" s="59">
        <v>1.8709062384194008E-2</v>
      </c>
      <c r="AY171" s="59">
        <v>-2.5400050800095109E-4</v>
      </c>
      <c r="AZ171" s="59">
        <v>1.2911843276936841E-2</v>
      </c>
      <c r="BA171" s="59">
        <v>1.8344595562145516E-2</v>
      </c>
      <c r="BB171" s="59">
        <v>-2.8923520146834525E-2</v>
      </c>
    </row>
    <row r="172" spans="1:54" x14ac:dyDescent="0.45">
      <c r="A172" s="3">
        <v>44827</v>
      </c>
      <c r="B172" s="48">
        <v>89.857029999999995</v>
      </c>
      <c r="C172" s="48">
        <v>76.727440000000001</v>
      </c>
      <c r="D172" s="48">
        <v>128.06206</v>
      </c>
      <c r="E172" s="48">
        <v>95.964669999999998</v>
      </c>
      <c r="F172" s="48">
        <v>23.77637</v>
      </c>
      <c r="G172" s="48">
        <v>50.317399999999999</v>
      </c>
      <c r="H172">
        <v>78.739999999999995</v>
      </c>
      <c r="I172" s="48">
        <v>3.3690000000000002</v>
      </c>
      <c r="J172" s="49">
        <v>542.60721999999998</v>
      </c>
      <c r="K172" s="49">
        <v>6843.81531</v>
      </c>
      <c r="L172" s="50">
        <v>-0.11084593051129243</v>
      </c>
      <c r="M172" s="50">
        <v>-8.0034401842342673E-2</v>
      </c>
      <c r="N172" s="50">
        <v>-7.4656383373679414E-2</v>
      </c>
      <c r="O172" s="50">
        <v>-0.10152321666748743</v>
      </c>
      <c r="P172" s="50">
        <v>-9.4485687985555233E-2</v>
      </c>
      <c r="Q172" s="50">
        <v>-0.13663566664796412</v>
      </c>
      <c r="R172" s="47">
        <v>-9.7467071303405775E-2</v>
      </c>
      <c r="S172" s="50">
        <v>-7.1024067956583448E-2</v>
      </c>
      <c r="T172" s="50">
        <v>-4.9110922946655311E-2</v>
      </c>
      <c r="U172" s="50">
        <v>-9.0003845378583303E-2</v>
      </c>
      <c r="V172" s="50">
        <v>-4.6392255316787367E-2</v>
      </c>
      <c r="W172" s="50">
        <f t="shared" si="137"/>
        <v>-9.7467071303405775E-2</v>
      </c>
      <c r="X172" t="s">
        <v>434</v>
      </c>
      <c r="Y172" s="73">
        <v>0.95086139901860989</v>
      </c>
      <c r="AO172" t="str">
        <f t="shared" si="138"/>
        <v/>
      </c>
      <c r="AQ172" s="3">
        <v>44827</v>
      </c>
      <c r="AR172" s="59">
        <v>-0.11084593051129243</v>
      </c>
      <c r="AS172" s="59">
        <v>-8.0034401842342673E-2</v>
      </c>
      <c r="AT172" s="59">
        <v>-7.4656383373679414E-2</v>
      </c>
      <c r="AU172" s="59">
        <v>-0.10152321666748743</v>
      </c>
      <c r="AV172" s="59">
        <v>-9.4485687985555233E-2</v>
      </c>
      <c r="AW172" s="59">
        <v>-0.13663566664796412</v>
      </c>
      <c r="AX172" s="59">
        <v>-9.7467071303405775E-2</v>
      </c>
      <c r="AY172" s="59">
        <v>-7.1024067956583448E-2</v>
      </c>
      <c r="AZ172" s="59">
        <v>-4.9110922946655311E-2</v>
      </c>
      <c r="BA172" s="59">
        <v>-9.0003845378583303E-2</v>
      </c>
      <c r="BB172" s="59">
        <v>-4.6392255316787367E-2</v>
      </c>
    </row>
    <row r="173" spans="1:54" ht="14.65" thickBot="1" x14ac:dyDescent="0.5">
      <c r="A173" s="3">
        <v>44820</v>
      </c>
      <c r="B173" s="48">
        <v>101.05901</v>
      </c>
      <c r="C173" s="48">
        <v>83.402510000000007</v>
      </c>
      <c r="D173" s="48">
        <v>138.39406</v>
      </c>
      <c r="E173" s="48">
        <v>106.80817999999999</v>
      </c>
      <c r="F173" s="48">
        <v>26.25731</v>
      </c>
      <c r="G173" s="48">
        <v>58.280610000000003</v>
      </c>
      <c r="H173">
        <v>84.76</v>
      </c>
      <c r="I173" s="48">
        <v>3.5430000000000001</v>
      </c>
      <c r="J173" s="49">
        <v>596.27418999999998</v>
      </c>
      <c r="K173" s="49">
        <v>7176.7614599999997</v>
      </c>
      <c r="L173" s="50">
        <v>1.0359940005666646E-2</v>
      </c>
      <c r="M173" s="50">
        <v>-3.4093280618495148E-2</v>
      </c>
      <c r="N173" s="50">
        <v>-2.2004154964722189E-2</v>
      </c>
      <c r="O173" s="50">
        <v>-3.3195874133757908E-3</v>
      </c>
      <c r="P173" s="50">
        <v>-2.1457834338124981E-2</v>
      </c>
      <c r="Q173" s="50">
        <v>-2.4667879292366024E-2</v>
      </c>
      <c r="R173" s="47">
        <v>-2.1108547325416827E-2</v>
      </c>
      <c r="S173" s="50">
        <v>-1.154518950437311E-2</v>
      </c>
      <c r="T173" s="50">
        <v>-1.0611561016475757E-2</v>
      </c>
      <c r="U173" s="50">
        <v>-2.5998249628555015E-2</v>
      </c>
      <c r="V173" s="50">
        <v>-4.7425081252051915E-2</v>
      </c>
      <c r="W173" s="50">
        <f t="shared" si="137"/>
        <v>-2.1108547325416827E-2</v>
      </c>
      <c r="X173" s="64" t="s">
        <v>435</v>
      </c>
      <c r="Y173" s="64">
        <v>1.9646726387396165</v>
      </c>
      <c r="Z173" s="64"/>
      <c r="AO173" t="str">
        <f t="shared" si="138"/>
        <v/>
      </c>
      <c r="AQ173" s="3">
        <v>44820</v>
      </c>
      <c r="AR173" s="59">
        <v>1.0359940005666646E-2</v>
      </c>
      <c r="AS173" s="59">
        <v>-3.4093280618495148E-2</v>
      </c>
      <c r="AT173" s="59">
        <v>-2.2004154964722189E-2</v>
      </c>
      <c r="AU173" s="59">
        <v>-3.3195874133757908E-3</v>
      </c>
      <c r="AV173" s="59">
        <v>-2.1457834338124981E-2</v>
      </c>
      <c r="AW173" s="59">
        <v>-2.4667879292366024E-2</v>
      </c>
      <c r="AX173" s="59">
        <v>-2.1108547325416827E-2</v>
      </c>
      <c r="AY173" s="59">
        <v>-1.154518950437311E-2</v>
      </c>
      <c r="AZ173" s="59">
        <v>-1.0611561016475757E-2</v>
      </c>
      <c r="BA173" s="59">
        <v>-2.5998249628555015E-2</v>
      </c>
      <c r="BB173" s="59">
        <v>-4.7425081252051915E-2</v>
      </c>
    </row>
    <row r="174" spans="1:54" x14ac:dyDescent="0.45">
      <c r="A174" s="3">
        <v>44813</v>
      </c>
      <c r="B174" s="48">
        <v>100.02278</v>
      </c>
      <c r="C174" s="48">
        <v>86.346339999999998</v>
      </c>
      <c r="D174" s="48">
        <v>141.50782000000001</v>
      </c>
      <c r="E174" s="48">
        <v>107.16392</v>
      </c>
      <c r="F174" s="48">
        <v>26.833089999999999</v>
      </c>
      <c r="G174" s="48">
        <v>59.754629999999999</v>
      </c>
      <c r="H174">
        <v>85.75</v>
      </c>
      <c r="I174" s="48">
        <v>3.581</v>
      </c>
      <c r="J174" s="49">
        <v>612.19006000000002</v>
      </c>
      <c r="K174" s="49">
        <v>7534.0651099999995</v>
      </c>
      <c r="L174" s="50">
        <v>1.5508769763899366E-2</v>
      </c>
      <c r="M174" s="50">
        <v>9.5199368470870738E-3</v>
      </c>
      <c r="N174" s="50">
        <v>1.3430470229385927E-2</v>
      </c>
      <c r="O174" s="50">
        <v>1.5141499827121541E-2</v>
      </c>
      <c r="P174" s="50">
        <v>1.7988976786605715E-2</v>
      </c>
      <c r="Q174" s="50">
        <v>-3.6045875659487248E-3</v>
      </c>
      <c r="R174" s="47">
        <v>1.0495259224850307E-2</v>
      </c>
      <c r="S174" s="50">
        <v>-1.2892828364222453E-2</v>
      </c>
      <c r="T174" s="50">
        <v>4.6616980856349466E-2</v>
      </c>
      <c r="U174" s="50">
        <v>5.9922584664489076E-3</v>
      </c>
      <c r="V174" s="50">
        <v>3.6674188663156304E-2</v>
      </c>
      <c r="W174" s="50">
        <f t="shared" si="137"/>
        <v>1.0495259224850307E-2</v>
      </c>
      <c r="AO174" t="str">
        <f t="shared" si="138"/>
        <v/>
      </c>
      <c r="AQ174" s="3">
        <v>44813</v>
      </c>
      <c r="AR174" s="59">
        <v>1.5508769763899366E-2</v>
      </c>
      <c r="AS174" s="59">
        <v>9.5199368470870738E-3</v>
      </c>
      <c r="AT174" s="59">
        <v>1.3430470229385927E-2</v>
      </c>
      <c r="AU174" s="59">
        <v>1.5141499827121541E-2</v>
      </c>
      <c r="AV174" s="59">
        <v>1.7988976786605715E-2</v>
      </c>
      <c r="AW174" s="59">
        <v>-3.6045875659487248E-3</v>
      </c>
      <c r="AX174" s="59">
        <v>1.0495259224850307E-2</v>
      </c>
      <c r="AY174" s="59">
        <v>-1.2892828364222453E-2</v>
      </c>
      <c r="AZ174" s="59">
        <v>4.6616980856349466E-2</v>
      </c>
      <c r="BA174" s="59">
        <v>5.9922584664489076E-3</v>
      </c>
      <c r="BB174" s="59">
        <v>3.6674188663156304E-2</v>
      </c>
    </row>
    <row r="175" spans="1:54" x14ac:dyDescent="0.45">
      <c r="A175" s="3">
        <v>44806</v>
      </c>
      <c r="B175" s="48">
        <v>98.495239999999995</v>
      </c>
      <c r="C175" s="48">
        <v>85.532079999999993</v>
      </c>
      <c r="D175" s="48">
        <v>139.63248999999999</v>
      </c>
      <c r="E175" s="48">
        <v>105.5655</v>
      </c>
      <c r="F175" s="48">
        <v>26.358920000000001</v>
      </c>
      <c r="G175" s="48">
        <v>59.970799999999997</v>
      </c>
      <c r="H175">
        <v>86.87</v>
      </c>
      <c r="I175" s="48">
        <v>3.4215</v>
      </c>
      <c r="J175" s="49">
        <v>608.54350999999997</v>
      </c>
      <c r="K175" s="49">
        <v>7267.5341900000003</v>
      </c>
      <c r="L175" s="50">
        <v>-1.6589292965418112E-2</v>
      </c>
      <c r="M175" s="50">
        <v>-2.3296211194011707E-2</v>
      </c>
      <c r="N175" s="50">
        <v>-3.4024852576059694E-2</v>
      </c>
      <c r="O175" s="50">
        <v>-2.448420765094983E-2</v>
      </c>
      <c r="P175" s="50">
        <v>-3.7117077625570705E-2</v>
      </c>
      <c r="Q175" s="50">
        <v>-3.339287308812755E-2</v>
      </c>
      <c r="R175" s="47">
        <v>-3.0463044426943899E-2</v>
      </c>
      <c r="S175" s="50">
        <v>-6.6516226090694186E-2</v>
      </c>
      <c r="T175" s="50">
        <v>-7.4519880984582065E-2</v>
      </c>
      <c r="U175" s="50">
        <v>-3.3106989032388068E-2</v>
      </c>
      <c r="V175" s="50">
        <v>-3.2481344873652396E-2</v>
      </c>
      <c r="W175" s="50">
        <f t="shared" si="137"/>
        <v>-3.0463044426943899E-2</v>
      </c>
      <c r="AO175" t="str">
        <f t="shared" si="138"/>
        <v/>
      </c>
      <c r="AQ175" s="3">
        <v>44806</v>
      </c>
      <c r="AR175" s="59">
        <v>-1.6589292965418112E-2</v>
      </c>
      <c r="AS175" s="59">
        <v>-2.3296211194011707E-2</v>
      </c>
      <c r="AT175" s="59">
        <v>-3.4024852576059694E-2</v>
      </c>
      <c r="AU175" s="59">
        <v>-2.448420765094983E-2</v>
      </c>
      <c r="AV175" s="59">
        <v>-3.7117077625570705E-2</v>
      </c>
      <c r="AW175" s="59">
        <v>-3.339287308812755E-2</v>
      </c>
      <c r="AX175" s="59">
        <v>-3.0463044426943899E-2</v>
      </c>
      <c r="AY175" s="59">
        <v>-6.6516226090694186E-2</v>
      </c>
      <c r="AZ175" s="59">
        <v>-7.4519880984582065E-2</v>
      </c>
      <c r="BA175" s="59">
        <v>-3.3106989032388068E-2</v>
      </c>
      <c r="BB175" s="59">
        <v>-3.2481344873652396E-2</v>
      </c>
    </row>
    <row r="176" spans="1:54" x14ac:dyDescent="0.45">
      <c r="A176" s="3">
        <v>44799</v>
      </c>
      <c r="B176" s="48">
        <v>100.15676999999999</v>
      </c>
      <c r="C176" s="48">
        <v>87.572180000000003</v>
      </c>
      <c r="D176" s="48">
        <v>144.55081000000001</v>
      </c>
      <c r="E176" s="48">
        <v>108.21505999999999</v>
      </c>
      <c r="F176" s="48">
        <v>27.375</v>
      </c>
      <c r="G176" s="48">
        <v>62.042580000000001</v>
      </c>
      <c r="H176">
        <v>93.06</v>
      </c>
      <c r="I176" s="48">
        <v>3.6970000000000001</v>
      </c>
      <c r="J176" s="49">
        <v>629.38040000000001</v>
      </c>
      <c r="K176" s="49">
        <v>7511.5184099999997</v>
      </c>
      <c r="L176" s="50">
        <v>6.6387646539867173E-2</v>
      </c>
      <c r="M176" s="50">
        <v>4.0284757944699434E-2</v>
      </c>
      <c r="N176" s="50">
        <v>3.6273676803141974E-2</v>
      </c>
      <c r="O176" s="50">
        <v>4.9010471002192801E-2</v>
      </c>
      <c r="P176" s="50">
        <v>2.6023324742847631E-2</v>
      </c>
      <c r="Q176" s="50">
        <v>6.2180697774392613E-2</v>
      </c>
      <c r="R176" s="47">
        <v>4.2754585653454892E-2</v>
      </c>
      <c r="S176" s="50">
        <v>2.8969482529854096E-2</v>
      </c>
      <c r="T176" s="50">
        <v>8.8688770637195269E-3</v>
      </c>
      <c r="U176" s="50">
        <v>4.2703293298840483E-2</v>
      </c>
      <c r="V176" s="50">
        <v>-4.0269028458777889E-2</v>
      </c>
      <c r="W176" s="50">
        <f t="shared" si="137"/>
        <v>4.2754585653454892E-2</v>
      </c>
      <c r="AO176" t="str">
        <f t="shared" si="138"/>
        <v/>
      </c>
      <c r="AQ176" s="3">
        <v>44799</v>
      </c>
      <c r="AR176" s="59">
        <v>6.6387646539867173E-2</v>
      </c>
      <c r="AS176" s="59">
        <v>4.0284757944699434E-2</v>
      </c>
      <c r="AT176" s="59">
        <v>3.6273676803141974E-2</v>
      </c>
      <c r="AU176" s="59">
        <v>4.9010471002192801E-2</v>
      </c>
      <c r="AV176" s="59">
        <v>2.6023324742847631E-2</v>
      </c>
      <c r="AW176" s="59">
        <v>6.2180697774392613E-2</v>
      </c>
      <c r="AX176" s="59">
        <v>4.2754585653454892E-2</v>
      </c>
      <c r="AY176" s="59">
        <v>2.8969482529854096E-2</v>
      </c>
      <c r="AZ176" s="59">
        <v>8.8688770637195269E-3</v>
      </c>
      <c r="BA176" s="59">
        <v>4.2703293298840483E-2</v>
      </c>
      <c r="BB176" s="59">
        <v>-4.0269028458777889E-2</v>
      </c>
    </row>
    <row r="177" spans="1:54" x14ac:dyDescent="0.45">
      <c r="A177" s="3">
        <v>44792</v>
      </c>
      <c r="B177" s="48">
        <v>93.921539999999993</v>
      </c>
      <c r="C177" s="48">
        <v>84.180970000000002</v>
      </c>
      <c r="D177" s="48">
        <v>139.49096</v>
      </c>
      <c r="E177" s="48">
        <v>103.15918000000001</v>
      </c>
      <c r="F177" s="48">
        <v>26.680679999999999</v>
      </c>
      <c r="G177" s="48">
        <v>58.41057</v>
      </c>
      <c r="H177">
        <v>90.44</v>
      </c>
      <c r="I177" s="48">
        <v>3.6644999999999999</v>
      </c>
      <c r="J177" s="49">
        <v>603.60450000000003</v>
      </c>
      <c r="K177" s="49">
        <v>7826.6916799999999</v>
      </c>
      <c r="L177" s="50">
        <v>2.7861911555421059E-2</v>
      </c>
      <c r="M177" s="50">
        <v>8.5115358120591011E-4</v>
      </c>
      <c r="N177" s="50">
        <v>-4.5491839164972792E-3</v>
      </c>
      <c r="O177" s="50">
        <v>3.7208491422752621E-2</v>
      </c>
      <c r="P177" s="50">
        <v>-5.0518064673713559E-3</v>
      </c>
      <c r="Q177" s="50">
        <v>4.5156362168464304E-2</v>
      </c>
      <c r="R177" s="47">
        <v>1.472300335771084E-2</v>
      </c>
      <c r="S177" s="50">
        <v>-1.1152416356877248E-2</v>
      </c>
      <c r="T177" s="50">
        <v>-1.0903639089545614E-3</v>
      </c>
      <c r="U177" s="50">
        <v>9.8745283752970092E-3</v>
      </c>
      <c r="V177" s="50">
        <v>-1.1764342655660842E-2</v>
      </c>
      <c r="W177" s="50">
        <f t="shared" si="137"/>
        <v>1.472300335771084E-2</v>
      </c>
      <c r="AO177" t="str">
        <f t="shared" si="138"/>
        <v/>
      </c>
      <c r="AQ177" s="3">
        <v>44792</v>
      </c>
      <c r="AR177" s="59">
        <v>2.7861911555421059E-2</v>
      </c>
      <c r="AS177" s="59">
        <v>8.5115358120591011E-4</v>
      </c>
      <c r="AT177" s="59">
        <v>-4.5491839164972792E-3</v>
      </c>
      <c r="AU177" s="59">
        <v>3.7208491422752621E-2</v>
      </c>
      <c r="AV177" s="59">
        <v>-5.0518064673713559E-3</v>
      </c>
      <c r="AW177" s="59">
        <v>4.5156362168464304E-2</v>
      </c>
      <c r="AX177" s="59">
        <v>1.472300335771084E-2</v>
      </c>
      <c r="AY177" s="59">
        <v>-1.1152416356877248E-2</v>
      </c>
      <c r="AZ177" s="59">
        <v>-1.0903639089545614E-3</v>
      </c>
      <c r="BA177" s="59">
        <v>9.8745283752970092E-3</v>
      </c>
      <c r="BB177" s="59">
        <v>-1.1764342655660842E-2</v>
      </c>
    </row>
    <row r="178" spans="1:54" x14ac:dyDescent="0.45">
      <c r="A178" s="3">
        <v>44785</v>
      </c>
      <c r="B178" s="48">
        <v>91.375640000000004</v>
      </c>
      <c r="C178" s="48">
        <v>84.109380000000002</v>
      </c>
      <c r="D178" s="48">
        <v>140.12843000000001</v>
      </c>
      <c r="E178" s="48">
        <v>99.458479999999994</v>
      </c>
      <c r="F178" s="48">
        <v>26.81615</v>
      </c>
      <c r="G178" s="48">
        <v>55.886920000000003</v>
      </c>
      <c r="H178">
        <v>91.46</v>
      </c>
      <c r="I178" s="48">
        <v>3.6684999999999999</v>
      </c>
      <c r="J178" s="49">
        <v>597.70246999999995</v>
      </c>
      <c r="K178" s="49">
        <v>7919.8636699999997</v>
      </c>
      <c r="L178" s="50">
        <v>0.10662363651601114</v>
      </c>
      <c r="M178" s="50">
        <v>7.3073241392737076E-2</v>
      </c>
      <c r="N178" s="50">
        <v>4.0419174903379984E-2</v>
      </c>
      <c r="O178" s="50">
        <v>6.990009630969185E-2</v>
      </c>
      <c r="P178" s="50">
        <v>8.0231384783953086E-2</v>
      </c>
      <c r="Q178" s="50">
        <v>0.15710520175300036</v>
      </c>
      <c r="R178" s="47">
        <v>8.4145819828552473E-2</v>
      </c>
      <c r="S178" s="50">
        <v>2.7524997191326728E-2</v>
      </c>
      <c r="T178" s="50">
        <v>3.2798423423423317E-2</v>
      </c>
      <c r="U178" s="50">
        <v>7.1379748937882681E-2</v>
      </c>
      <c r="V178" s="50">
        <v>3.2934740344742197E-2</v>
      </c>
      <c r="W178" s="50">
        <f t="shared" si="137"/>
        <v>8.4145819828552473E-2</v>
      </c>
      <c r="AO178" t="str">
        <f t="shared" si="138"/>
        <v/>
      </c>
      <c r="AQ178" s="3">
        <v>44785</v>
      </c>
      <c r="AR178" s="59">
        <v>0.10662363651601114</v>
      </c>
      <c r="AS178" s="59">
        <v>7.3073241392737076E-2</v>
      </c>
      <c r="AT178" s="59">
        <v>4.0419174903379984E-2</v>
      </c>
      <c r="AU178" s="59">
        <v>6.990009630969185E-2</v>
      </c>
      <c r="AV178" s="59">
        <v>8.0231384783953086E-2</v>
      </c>
      <c r="AW178" s="59">
        <v>0.15710520175300036</v>
      </c>
      <c r="AX178" s="59">
        <v>8.4145819828552473E-2</v>
      </c>
      <c r="AY178" s="59">
        <v>2.7524997191326728E-2</v>
      </c>
      <c r="AZ178" s="59">
        <v>3.2798423423423317E-2</v>
      </c>
      <c r="BA178" s="59">
        <v>7.1379748937882681E-2</v>
      </c>
      <c r="BB178" s="59">
        <v>3.2934740344742197E-2</v>
      </c>
    </row>
    <row r="179" spans="1:54" x14ac:dyDescent="0.45">
      <c r="A179" s="3">
        <v>44778</v>
      </c>
      <c r="B179" s="48">
        <v>82.571560000000005</v>
      </c>
      <c r="C179" s="48">
        <v>78.381770000000003</v>
      </c>
      <c r="D179" s="48">
        <v>134.68458999999999</v>
      </c>
      <c r="E179" s="48">
        <v>92.960530000000006</v>
      </c>
      <c r="F179" s="48">
        <v>24.824449999999999</v>
      </c>
      <c r="G179" s="48">
        <v>48.298909999999999</v>
      </c>
      <c r="H179">
        <v>89.01</v>
      </c>
      <c r="I179" s="48">
        <v>3.552</v>
      </c>
      <c r="J179" s="49">
        <v>557.88106000000005</v>
      </c>
      <c r="K179" s="49">
        <v>7667.3417600000002</v>
      </c>
      <c r="L179" s="50">
        <v>-4.7008144539022356E-2</v>
      </c>
      <c r="M179" s="50">
        <v>-8.7485869622161538E-2</v>
      </c>
      <c r="N179" s="50">
        <v>-6.1912304744689783E-2</v>
      </c>
      <c r="O179" s="50">
        <v>-3.7852962911596011E-2</v>
      </c>
      <c r="P179" s="50">
        <v>9.5302581120044749E-3</v>
      </c>
      <c r="Q179" s="50">
        <v>-9.8647679739867322E-2</v>
      </c>
      <c r="R179" s="47">
        <v>-5.5273711781262037E-2</v>
      </c>
      <c r="S179" s="50">
        <v>-9.744473737578585E-2</v>
      </c>
      <c r="T179" s="50">
        <v>-6.0165104239541245E-3</v>
      </c>
      <c r="U179" s="50">
        <v>-6.8234179690132457E-2</v>
      </c>
      <c r="V179" s="50">
        <v>3.7781877958282806E-3</v>
      </c>
      <c r="W179" s="50">
        <f t="shared" si="137"/>
        <v>-5.5273711781262037E-2</v>
      </c>
      <c r="AO179" t="str">
        <f t="shared" si="138"/>
        <v/>
      </c>
      <c r="AQ179" s="3">
        <v>44778</v>
      </c>
      <c r="AR179" s="59">
        <v>-4.7008144539022356E-2</v>
      </c>
      <c r="AS179" s="59">
        <v>-8.7485869622161538E-2</v>
      </c>
      <c r="AT179" s="59">
        <v>-6.1912304744689783E-2</v>
      </c>
      <c r="AU179" s="59">
        <v>-3.7852962911596011E-2</v>
      </c>
      <c r="AV179" s="59">
        <v>9.5302581120044749E-3</v>
      </c>
      <c r="AW179" s="59">
        <v>-9.8647679739867322E-2</v>
      </c>
      <c r="AX179" s="59">
        <v>-5.5273711781262037E-2</v>
      </c>
      <c r="AY179" s="59">
        <v>-9.744473737578585E-2</v>
      </c>
      <c r="AZ179" s="59">
        <v>-6.0165104239541245E-3</v>
      </c>
      <c r="BA179" s="59">
        <v>-6.8234179690132457E-2</v>
      </c>
      <c r="BB179" s="59">
        <v>3.7781877958282806E-3</v>
      </c>
    </row>
    <row r="180" spans="1:54" x14ac:dyDescent="0.45">
      <c r="A180" s="3">
        <v>44771</v>
      </c>
      <c r="B180" s="48">
        <v>86.644559999999998</v>
      </c>
      <c r="C180" s="48">
        <v>85.896500000000003</v>
      </c>
      <c r="D180" s="48">
        <v>143.57355999999999</v>
      </c>
      <c r="E180" s="48">
        <v>96.617800000000003</v>
      </c>
      <c r="F180" s="48">
        <v>24.5901</v>
      </c>
      <c r="G180" s="48">
        <v>53.584940000000003</v>
      </c>
      <c r="H180">
        <v>98.62</v>
      </c>
      <c r="I180" s="48">
        <v>3.5735000000000001</v>
      </c>
      <c r="J180" s="49">
        <v>598.73527000000001</v>
      </c>
      <c r="K180" s="49">
        <v>7638.4821400000001</v>
      </c>
      <c r="L180" s="50">
        <v>0.10552598653176837</v>
      </c>
      <c r="M180" s="50">
        <v>0.11311439550112401</v>
      </c>
      <c r="N180" s="50">
        <v>0.13586236888796854</v>
      </c>
      <c r="O180" s="50">
        <v>0.10118818654156003</v>
      </c>
      <c r="P180" s="50">
        <v>6.6424672950696984E-2</v>
      </c>
      <c r="Q180" s="50">
        <v>0.13879331340451673</v>
      </c>
      <c r="R180" s="47">
        <v>0.11107658745717326</v>
      </c>
      <c r="S180" s="50">
        <v>4.1393875395987267E-2</v>
      </c>
      <c r="T180" s="50">
        <v>6.6875653082549613E-2</v>
      </c>
      <c r="U180" s="50">
        <v>0.10304415805796663</v>
      </c>
      <c r="V180" s="50">
        <v>4.2753948325353841E-2</v>
      </c>
      <c r="W180" s="50">
        <f t="shared" si="137"/>
        <v>0.11107658745717326</v>
      </c>
      <c r="AO180" t="str">
        <f t="shared" si="138"/>
        <v/>
      </c>
      <c r="AQ180" s="3">
        <v>44771</v>
      </c>
      <c r="AR180" s="59">
        <v>0.10552598653176837</v>
      </c>
      <c r="AS180" s="59">
        <v>0.11311439550112401</v>
      </c>
      <c r="AT180" s="59">
        <v>0.13586236888796854</v>
      </c>
      <c r="AU180" s="59">
        <v>0.10118818654156003</v>
      </c>
      <c r="AV180" s="59">
        <v>6.6424672950696984E-2</v>
      </c>
      <c r="AW180" s="59">
        <v>0.13879331340451673</v>
      </c>
      <c r="AX180" s="59">
        <v>0.11107658745717326</v>
      </c>
      <c r="AY180" s="59">
        <v>4.1393875395987267E-2</v>
      </c>
      <c r="AZ180" s="59">
        <v>6.6875653082549613E-2</v>
      </c>
      <c r="BA180" s="59">
        <v>0.10304415805796663</v>
      </c>
      <c r="BB180" s="59">
        <v>4.2753948325353841E-2</v>
      </c>
    </row>
    <row r="181" spans="1:54" x14ac:dyDescent="0.45">
      <c r="A181" s="3">
        <v>44764</v>
      </c>
      <c r="B181" s="48">
        <v>78.37406</v>
      </c>
      <c r="C181" s="48">
        <v>77.167720000000003</v>
      </c>
      <c r="D181" s="48">
        <v>126.40049</v>
      </c>
      <c r="E181" s="48">
        <v>87.739590000000007</v>
      </c>
      <c r="F181" s="48">
        <v>23.058450000000001</v>
      </c>
      <c r="G181" s="48">
        <v>47.054139999999997</v>
      </c>
      <c r="H181">
        <v>94.7</v>
      </c>
      <c r="I181" s="48">
        <v>3.3494999999999999</v>
      </c>
      <c r="J181" s="49">
        <v>542.80263000000002</v>
      </c>
      <c r="K181" s="49">
        <v>7325.2967799999997</v>
      </c>
      <c r="L181" s="50">
        <v>6.3216238189340412E-2</v>
      </c>
      <c r="M181" s="50">
        <v>3.0044909789987306E-2</v>
      </c>
      <c r="N181" s="50">
        <v>4.7511854075534599E-2</v>
      </c>
      <c r="O181" s="50">
        <v>3.8240048279452932E-2</v>
      </c>
      <c r="P181" s="50">
        <v>3.3383302970616535E-2</v>
      </c>
      <c r="Q181" s="50">
        <v>4.7049904394174114E-2</v>
      </c>
      <c r="R181" s="47">
        <v>3.9246003901953097E-2</v>
      </c>
      <c r="S181" s="50">
        <v>1.3746431214973764E-3</v>
      </c>
      <c r="T181" s="50">
        <v>3.5714285714285587E-2</v>
      </c>
      <c r="U181" s="50">
        <v>3.5356549088652267E-2</v>
      </c>
      <c r="V181" s="50">
        <v>2.5602285777604594E-2</v>
      </c>
      <c r="W181" s="50">
        <f t="shared" si="137"/>
        <v>3.9246003901953097E-2</v>
      </c>
      <c r="AO181" t="str">
        <f t="shared" si="138"/>
        <v/>
      </c>
      <c r="AQ181" s="3">
        <v>44764</v>
      </c>
      <c r="AR181" s="59">
        <v>6.3216238189340412E-2</v>
      </c>
      <c r="AS181" s="59">
        <v>3.0044909789987306E-2</v>
      </c>
      <c r="AT181" s="59">
        <v>4.7511854075534599E-2</v>
      </c>
      <c r="AU181" s="59">
        <v>3.8240048279452932E-2</v>
      </c>
      <c r="AV181" s="59">
        <v>3.3383302970616535E-2</v>
      </c>
      <c r="AW181" s="59">
        <v>4.7049904394174114E-2</v>
      </c>
      <c r="AX181" s="59">
        <v>3.9246003901953097E-2</v>
      </c>
      <c r="AY181" s="59">
        <v>1.3746431214973764E-3</v>
      </c>
      <c r="AZ181" s="59">
        <v>3.5714285714285587E-2</v>
      </c>
      <c r="BA181" s="59">
        <v>3.5356549088652267E-2</v>
      </c>
      <c r="BB181" s="59">
        <v>2.5602285777604594E-2</v>
      </c>
    </row>
    <row r="182" spans="1:54" x14ac:dyDescent="0.45">
      <c r="A182" s="3">
        <v>44757</v>
      </c>
      <c r="B182" s="48">
        <v>73.714129999999997</v>
      </c>
      <c r="C182" s="48">
        <v>74.916849999999997</v>
      </c>
      <c r="D182" s="48">
        <v>120.66736</v>
      </c>
      <c r="E182" s="48">
        <v>84.507999999999996</v>
      </c>
      <c r="F182" s="48">
        <v>22.313549999999999</v>
      </c>
      <c r="G182" s="48">
        <v>44.939729999999997</v>
      </c>
      <c r="H182">
        <v>94.57</v>
      </c>
      <c r="I182" s="48">
        <v>3.234</v>
      </c>
      <c r="J182" s="49">
        <v>524.26638000000003</v>
      </c>
      <c r="K182" s="49">
        <v>7142.4341400000003</v>
      </c>
      <c r="L182" s="50">
        <v>-4.129072936767364E-2</v>
      </c>
      <c r="M182" s="50">
        <v>-1.7890302438794192E-2</v>
      </c>
      <c r="N182" s="50">
        <v>-3.5861896160046425E-2</v>
      </c>
      <c r="O182" s="50">
        <v>-7.1079745036078279E-2</v>
      </c>
      <c r="P182" s="50">
        <v>-4.2384996118220664E-2</v>
      </c>
      <c r="Q182" s="50">
        <v>-3.2489099290164858E-2</v>
      </c>
      <c r="R182" s="47">
        <v>-3.9941207808660881E-2</v>
      </c>
      <c r="S182" s="50">
        <v>-6.8551167142716474E-2</v>
      </c>
      <c r="T182" s="50">
        <v>-8.1771720613287857E-2</v>
      </c>
      <c r="U182" s="50">
        <v>-3.0701033165536296E-2</v>
      </c>
      <c r="V182" s="50">
        <v>-9.1594491908414399E-3</v>
      </c>
      <c r="W182" s="50">
        <f t="shared" si="137"/>
        <v>-3.9941207808660881E-2</v>
      </c>
      <c r="AO182" t="str">
        <f t="shared" si="138"/>
        <v/>
      </c>
      <c r="AQ182" s="3">
        <v>44757</v>
      </c>
      <c r="AR182" s="59">
        <v>-4.129072936767364E-2</v>
      </c>
      <c r="AS182" s="59">
        <v>-1.7890302438794192E-2</v>
      </c>
      <c r="AT182" s="59">
        <v>-3.5861896160046425E-2</v>
      </c>
      <c r="AU182" s="59">
        <v>-7.1079745036078279E-2</v>
      </c>
      <c r="AV182" s="59">
        <v>-4.2384996118220664E-2</v>
      </c>
      <c r="AW182" s="59">
        <v>-3.2489099290164858E-2</v>
      </c>
      <c r="AX182" s="59">
        <v>-3.9941207808660881E-2</v>
      </c>
      <c r="AY182" s="59">
        <v>-6.8551167142716474E-2</v>
      </c>
      <c r="AZ182" s="59">
        <v>-8.1771720613287857E-2</v>
      </c>
      <c r="BA182" s="59">
        <v>-3.0701033165536296E-2</v>
      </c>
      <c r="BB182" s="59">
        <v>-9.1594491908414399E-3</v>
      </c>
    </row>
    <row r="183" spans="1:54" x14ac:dyDescent="0.45">
      <c r="A183" s="3">
        <v>44750</v>
      </c>
      <c r="B183" s="48">
        <v>76.888930000000002</v>
      </c>
      <c r="C183" s="48">
        <v>76.281549999999996</v>
      </c>
      <c r="D183" s="48">
        <v>125.15568</v>
      </c>
      <c r="E183" s="48">
        <v>90.974440000000001</v>
      </c>
      <c r="F183" s="48">
        <v>23.301169999999999</v>
      </c>
      <c r="G183" s="48">
        <v>46.448810000000002</v>
      </c>
      <c r="H183">
        <v>101.53</v>
      </c>
      <c r="I183" s="48">
        <v>3.5219999999999998</v>
      </c>
      <c r="J183" s="49">
        <v>540.87170000000003</v>
      </c>
      <c r="K183" s="49">
        <v>7208.4596600000004</v>
      </c>
      <c r="L183" s="50">
        <v>-4.96812636782481E-2</v>
      </c>
      <c r="M183" s="50">
        <v>-1.6790398872348122E-2</v>
      </c>
      <c r="N183" s="50">
        <v>-2.5527300893079419E-2</v>
      </c>
      <c r="O183" s="50">
        <v>-5.4649738687888361E-2</v>
      </c>
      <c r="P183" s="50">
        <v>-1.5558880987467494E-2</v>
      </c>
      <c r="Q183" s="50">
        <v>-1.1431507261854823E-2</v>
      </c>
      <c r="R183" s="47">
        <v>-2.4791565340527642E-2</v>
      </c>
      <c r="S183" s="50">
        <v>-6.3635525223646683E-2</v>
      </c>
      <c r="T183" s="50">
        <v>-2.2752497225305257E-2</v>
      </c>
      <c r="U183" s="50">
        <v>-2.387521494728273E-2</v>
      </c>
      <c r="V183" s="50">
        <v>1.9638650176568184E-2</v>
      </c>
      <c r="W183" s="50">
        <f t="shared" si="137"/>
        <v>-2.4791565340527642E-2</v>
      </c>
      <c r="AO183" t="str">
        <f t="shared" si="138"/>
        <v/>
      </c>
      <c r="AQ183" s="3">
        <v>44750</v>
      </c>
      <c r="AR183" s="59">
        <v>-4.96812636782481E-2</v>
      </c>
      <c r="AS183" s="59">
        <v>-1.6790398872348122E-2</v>
      </c>
      <c r="AT183" s="59">
        <v>-2.5527300893079419E-2</v>
      </c>
      <c r="AU183" s="59">
        <v>-5.4649738687888361E-2</v>
      </c>
      <c r="AV183" s="59">
        <v>-1.5558880987467494E-2</v>
      </c>
      <c r="AW183" s="59">
        <v>-1.1431507261854823E-2</v>
      </c>
      <c r="AX183" s="59">
        <v>-2.4791565340527642E-2</v>
      </c>
      <c r="AY183" s="59">
        <v>-6.3635525223646683E-2</v>
      </c>
      <c r="AZ183" s="59">
        <v>-2.2752497225305257E-2</v>
      </c>
      <c r="BA183" s="59">
        <v>-2.387521494728273E-2</v>
      </c>
      <c r="BB183" s="59">
        <v>1.9638650176568184E-2</v>
      </c>
    </row>
    <row r="184" spans="1:54" x14ac:dyDescent="0.45">
      <c r="A184" s="3">
        <v>44743</v>
      </c>
      <c r="B184" s="48">
        <v>80.908569999999997</v>
      </c>
      <c r="C184" s="48">
        <v>77.584220000000002</v>
      </c>
      <c r="D184" s="48">
        <v>128.43425999999999</v>
      </c>
      <c r="E184" s="48">
        <v>96.233580000000003</v>
      </c>
      <c r="F184" s="48">
        <v>23.669440000000002</v>
      </c>
      <c r="G184" s="48">
        <v>46.985930000000003</v>
      </c>
      <c r="H184">
        <v>108.43</v>
      </c>
      <c r="I184" s="48">
        <v>3.6040000000000001</v>
      </c>
      <c r="J184" s="49">
        <v>554.10098000000005</v>
      </c>
      <c r="K184" s="49">
        <v>7069.62183</v>
      </c>
      <c r="L184" s="50">
        <v>8.5356205346018843E-3</v>
      </c>
      <c r="M184" s="50">
        <v>7.4798518235912326E-3</v>
      </c>
      <c r="N184" s="50">
        <v>1.2019091170337726E-2</v>
      </c>
      <c r="O184" s="50">
        <v>9.3137006065096006E-3</v>
      </c>
      <c r="P184" s="50">
        <v>1.7712343916582718E-3</v>
      </c>
      <c r="Q184" s="50">
        <v>2.4920888405698838E-2</v>
      </c>
      <c r="R184" s="47">
        <v>1.1100953279559133E-2</v>
      </c>
      <c r="S184" s="50">
        <v>7.5264820665303933E-3</v>
      </c>
      <c r="T184" s="50">
        <v>-3.6492447533752137E-2</v>
      </c>
      <c r="U184" s="50">
        <v>1.2946089901557878E-2</v>
      </c>
      <c r="V184" s="50">
        <v>-2.1871688678691714E-2</v>
      </c>
      <c r="W184" s="50">
        <f t="shared" si="137"/>
        <v>1.1100953279559133E-2</v>
      </c>
      <c r="AO184" t="str">
        <f t="shared" si="138"/>
        <v/>
      </c>
      <c r="AQ184" s="3">
        <v>44743</v>
      </c>
      <c r="AR184" s="59">
        <v>8.5356205346018843E-3</v>
      </c>
      <c r="AS184" s="59">
        <v>7.4798518235912326E-3</v>
      </c>
      <c r="AT184" s="59">
        <v>1.2019091170337726E-2</v>
      </c>
      <c r="AU184" s="59">
        <v>9.3137006065096006E-3</v>
      </c>
      <c r="AV184" s="59">
        <v>1.7712343916582718E-3</v>
      </c>
      <c r="AW184" s="59">
        <v>2.4920888405698838E-2</v>
      </c>
      <c r="AX184" s="59">
        <v>1.1100953279559133E-2</v>
      </c>
      <c r="AY184" s="59">
        <v>7.5264820665303933E-3</v>
      </c>
      <c r="AZ184" s="59">
        <v>-3.6492447533752137E-2</v>
      </c>
      <c r="BA184" s="59">
        <v>1.2946089901557878E-2</v>
      </c>
      <c r="BB184" s="59">
        <v>-2.1871688678691714E-2</v>
      </c>
    </row>
    <row r="185" spans="1:54" x14ac:dyDescent="0.45">
      <c r="A185" s="3">
        <v>44736</v>
      </c>
      <c r="B185" s="48">
        <v>80.22381</v>
      </c>
      <c r="C185" s="48">
        <v>77.008210000000005</v>
      </c>
      <c r="D185" s="48">
        <v>126.90893</v>
      </c>
      <c r="E185" s="48">
        <v>95.345560000000006</v>
      </c>
      <c r="F185" s="48">
        <v>23.627590000000001</v>
      </c>
      <c r="G185" s="48">
        <v>45.843470000000003</v>
      </c>
      <c r="H185">
        <v>107.62</v>
      </c>
      <c r="I185" s="48">
        <v>3.7404999999999999</v>
      </c>
      <c r="J185" s="49">
        <v>547.01922000000002</v>
      </c>
      <c r="K185" s="49">
        <v>7227.7039199999999</v>
      </c>
      <c r="L185" s="50">
        <v>-3.0189860755078901E-2</v>
      </c>
      <c r="M185" s="50">
        <v>9.0570908185596544E-3</v>
      </c>
      <c r="N185" s="50">
        <v>-2.4329390896872694E-2</v>
      </c>
      <c r="O185" s="50">
        <v>-9.671396056511683E-3</v>
      </c>
      <c r="P185" s="50">
        <v>1.6930630767893362E-2</v>
      </c>
      <c r="Q185" s="50">
        <v>-7.3250523834600512E-2</v>
      </c>
      <c r="R185" s="47">
        <v>-1.6252717840306373E-2</v>
      </c>
      <c r="S185" s="50">
        <v>-3.4262431706638674E-3</v>
      </c>
      <c r="T185" s="50">
        <v>-6.8020431045222263E-2</v>
      </c>
      <c r="U185" s="50">
        <v>-1.5540842497540064E-2</v>
      </c>
      <c r="V185" s="50">
        <v>6.4564495940067967E-2</v>
      </c>
      <c r="W185" s="50">
        <f t="shared" si="137"/>
        <v>-1.6252717840306373E-2</v>
      </c>
      <c r="AO185" t="str">
        <f t="shared" si="138"/>
        <v/>
      </c>
      <c r="AQ185" s="3">
        <v>44736</v>
      </c>
      <c r="AR185" s="59">
        <v>-3.0189860755078901E-2</v>
      </c>
      <c r="AS185" s="59">
        <v>9.0570908185596544E-3</v>
      </c>
      <c r="AT185" s="59">
        <v>-2.4329390896872694E-2</v>
      </c>
      <c r="AU185" s="59">
        <v>-9.671396056511683E-3</v>
      </c>
      <c r="AV185" s="59">
        <v>1.6930630767893362E-2</v>
      </c>
      <c r="AW185" s="59">
        <v>-7.3250523834600512E-2</v>
      </c>
      <c r="AX185" s="59">
        <v>-1.6252717840306373E-2</v>
      </c>
      <c r="AY185" s="59">
        <v>-3.4262431706638674E-3</v>
      </c>
      <c r="AZ185" s="59">
        <v>-6.8020431045222263E-2</v>
      </c>
      <c r="BA185" s="59">
        <v>-1.5540842497540064E-2</v>
      </c>
      <c r="BB185" s="59">
        <v>6.4564495940067967E-2</v>
      </c>
    </row>
    <row r="186" spans="1:54" x14ac:dyDescent="0.45">
      <c r="A186" s="3">
        <v>44729</v>
      </c>
      <c r="B186" s="48">
        <v>82.721149999999994</v>
      </c>
      <c r="C186" s="48">
        <v>76.316999999999993</v>
      </c>
      <c r="D186" s="48">
        <v>130.07354000000001</v>
      </c>
      <c r="E186" s="48">
        <v>96.276690000000002</v>
      </c>
      <c r="F186" s="48">
        <v>23.234220000000001</v>
      </c>
      <c r="G186" s="48">
        <v>49.466949999999997</v>
      </c>
      <c r="H186">
        <v>107.99</v>
      </c>
      <c r="I186" s="48">
        <v>4.0134999999999996</v>
      </c>
      <c r="J186" s="49">
        <v>555.65455999999995</v>
      </c>
      <c r="K186" s="49">
        <v>6789.3527800000002</v>
      </c>
      <c r="L186" s="50">
        <v>-0.19763758379366858</v>
      </c>
      <c r="M186" s="50">
        <v>-0.14274333813949136</v>
      </c>
      <c r="N186" s="50">
        <v>-0.15404792691776537</v>
      </c>
      <c r="O186" s="50">
        <v>-0.2138526569762319</v>
      </c>
      <c r="P186" s="50">
        <v>-0.14479335216924638</v>
      </c>
      <c r="Q186" s="50">
        <v>-0.21658121696653643</v>
      </c>
      <c r="R186" s="47">
        <v>-0.17440369823385429</v>
      </c>
      <c r="S186" s="50">
        <v>-0.10507997016657</v>
      </c>
      <c r="T186" s="50">
        <v>-6.5432529980207321E-2</v>
      </c>
      <c r="U186" s="50">
        <v>-0.17155362277007902</v>
      </c>
      <c r="V186" s="50">
        <v>-5.7601845661880868E-2</v>
      </c>
      <c r="W186" s="50">
        <f t="shared" si="137"/>
        <v>-0.17440369823385429</v>
      </c>
      <c r="AO186" t="str">
        <f t="shared" si="138"/>
        <v/>
      </c>
      <c r="AQ186" s="3">
        <v>44729</v>
      </c>
      <c r="AR186" s="59">
        <v>-0.19763758379366858</v>
      </c>
      <c r="AS186" s="59">
        <v>-0.14274333813949136</v>
      </c>
      <c r="AT186" s="59">
        <v>-0.15404792691776537</v>
      </c>
      <c r="AU186" s="59">
        <v>-0.2138526569762319</v>
      </c>
      <c r="AV186" s="59">
        <v>-0.14479335216924638</v>
      </c>
      <c r="AW186" s="59">
        <v>-0.21658121696653643</v>
      </c>
      <c r="AX186" s="59">
        <v>-0.17440369823385429</v>
      </c>
      <c r="AY186" s="59">
        <v>-0.10507997016657</v>
      </c>
      <c r="AZ186" s="59">
        <v>-6.5432529980207321E-2</v>
      </c>
      <c r="BA186" s="59">
        <v>-0.17155362277007902</v>
      </c>
      <c r="BB186" s="59">
        <v>-5.7601845661880868E-2</v>
      </c>
    </row>
    <row r="187" spans="1:54" x14ac:dyDescent="0.45">
      <c r="A187" s="3">
        <v>44722</v>
      </c>
      <c r="B187" s="48">
        <v>103.09699000000001</v>
      </c>
      <c r="C187" s="48">
        <v>89.024680000000004</v>
      </c>
      <c r="D187" s="48">
        <v>153.75994</v>
      </c>
      <c r="E187" s="48">
        <v>122.46647</v>
      </c>
      <c r="F187" s="48">
        <v>27.167960000000001</v>
      </c>
      <c r="G187" s="48">
        <v>63.142409999999998</v>
      </c>
      <c r="H187">
        <v>120.67</v>
      </c>
      <c r="I187" s="48">
        <v>4.2945000000000002</v>
      </c>
      <c r="J187" s="49">
        <v>670.71879999999999</v>
      </c>
      <c r="K187" s="49">
        <v>7204.3358200000002</v>
      </c>
      <c r="L187" s="50">
        <v>-1.0921055093113696E-2</v>
      </c>
      <c r="M187" s="50">
        <v>1.3825774852088024E-2</v>
      </c>
      <c r="N187" s="50">
        <v>-1.2387362432847548E-2</v>
      </c>
      <c r="O187" s="50">
        <v>1.0668233782627601E-2</v>
      </c>
      <c r="P187" s="50">
        <v>-1.5767023944342595E-2</v>
      </c>
      <c r="Q187" s="50">
        <v>-2.2484929906144147E-2</v>
      </c>
      <c r="R187" s="47">
        <v>-5.2290615297237329E-3</v>
      </c>
      <c r="S187" s="50">
        <v>1.514259274838059E-2</v>
      </c>
      <c r="T187" s="50">
        <v>-3.9691413237924911E-2</v>
      </c>
      <c r="U187" s="50">
        <v>-9.1765524768865347E-3</v>
      </c>
      <c r="V187" s="50">
        <v>-5.0413080711929736E-2</v>
      </c>
      <c r="W187" s="50">
        <f t="shared" si="137"/>
        <v>-5.2290615297237329E-3</v>
      </c>
      <c r="AO187" t="str">
        <f t="shared" si="138"/>
        <v/>
      </c>
      <c r="AQ187" s="3">
        <v>44722</v>
      </c>
      <c r="AR187" s="59">
        <v>-1.0921055093113696E-2</v>
      </c>
      <c r="AS187" s="59">
        <v>1.3825774852088024E-2</v>
      </c>
      <c r="AT187" s="59">
        <v>-1.2387362432847548E-2</v>
      </c>
      <c r="AU187" s="59">
        <v>1.0668233782627601E-2</v>
      </c>
      <c r="AV187" s="59">
        <v>-1.5767023944342595E-2</v>
      </c>
      <c r="AW187" s="59">
        <v>-2.2484929906144147E-2</v>
      </c>
      <c r="AX187" s="59">
        <v>-5.2290615297237329E-3</v>
      </c>
      <c r="AY187" s="59">
        <v>1.514259274838059E-2</v>
      </c>
      <c r="AZ187" s="59">
        <v>-3.9691413237924911E-2</v>
      </c>
      <c r="BA187" s="59">
        <v>-9.1765524768865347E-3</v>
      </c>
      <c r="BB187" s="59">
        <v>-5.0413080711929736E-2</v>
      </c>
    </row>
    <row r="188" spans="1:54" x14ac:dyDescent="0.45">
      <c r="A188" s="3">
        <v>44715</v>
      </c>
      <c r="B188" s="48">
        <v>104.23535</v>
      </c>
      <c r="C188" s="48">
        <v>87.810630000000003</v>
      </c>
      <c r="D188" s="48">
        <v>155.68851000000001</v>
      </c>
      <c r="E188" s="48">
        <v>121.17376</v>
      </c>
      <c r="F188" s="48">
        <v>27.603179999999998</v>
      </c>
      <c r="G188" s="48">
        <v>64.594819999999999</v>
      </c>
      <c r="H188">
        <v>118.87</v>
      </c>
      <c r="I188" s="48">
        <v>4.4720000000000004</v>
      </c>
      <c r="J188" s="49">
        <v>676.93069000000003</v>
      </c>
      <c r="K188" s="49">
        <v>7586.8103000000001</v>
      </c>
      <c r="L188" s="50">
        <v>3.0715485312242441E-2</v>
      </c>
      <c r="M188" s="50">
        <v>1.5370478057875392E-2</v>
      </c>
      <c r="N188" s="50">
        <v>-3.8142588822878132E-3</v>
      </c>
      <c r="O188" s="50">
        <v>4.1139858541004104E-2</v>
      </c>
      <c r="P188" s="50">
        <v>1.2899030737943962E-2</v>
      </c>
      <c r="Q188" s="50">
        <v>1.6094912762986802E-2</v>
      </c>
      <c r="R188" s="47">
        <v>1.6338004243504491E-2</v>
      </c>
      <c r="S188" s="50">
        <v>3.3023377074824056E-2</v>
      </c>
      <c r="T188" s="50">
        <v>3.8430279809590351E-2</v>
      </c>
      <c r="U188" s="50">
        <v>1.1805980433435392E-2</v>
      </c>
      <c r="V188" s="50">
        <v>-1.1652810924542401E-2</v>
      </c>
      <c r="W188" s="50">
        <f t="shared" si="137"/>
        <v>1.6338004243504491E-2</v>
      </c>
      <c r="AO188" t="str">
        <f t="shared" si="138"/>
        <v/>
      </c>
      <c r="AQ188" s="3">
        <v>44715</v>
      </c>
      <c r="AR188" s="59">
        <v>3.0715485312242441E-2</v>
      </c>
      <c r="AS188" s="59">
        <v>1.5370478057875392E-2</v>
      </c>
      <c r="AT188" s="59">
        <v>-3.8142588822878132E-3</v>
      </c>
      <c r="AU188" s="59">
        <v>4.1139858541004104E-2</v>
      </c>
      <c r="AV188" s="59">
        <v>1.2899030737943962E-2</v>
      </c>
      <c r="AW188" s="59">
        <v>1.6094912762986802E-2</v>
      </c>
      <c r="AX188" s="59">
        <v>1.6338004243504491E-2</v>
      </c>
      <c r="AY188" s="59">
        <v>3.3023377074824056E-2</v>
      </c>
      <c r="AZ188" s="59">
        <v>3.8430279809590351E-2</v>
      </c>
      <c r="BA188" s="59">
        <v>1.1805980433435392E-2</v>
      </c>
      <c r="BB188" s="59">
        <v>-1.1652810924542401E-2</v>
      </c>
    </row>
    <row r="189" spans="1:54" x14ac:dyDescent="0.45">
      <c r="A189" s="3">
        <v>44708</v>
      </c>
      <c r="B189" s="48">
        <v>101.12912</v>
      </c>
      <c r="C189" s="48">
        <v>86.481369999999998</v>
      </c>
      <c r="D189" s="48">
        <v>156.28461999999999</v>
      </c>
      <c r="E189" s="48">
        <v>116.38567</v>
      </c>
      <c r="F189" s="48">
        <v>27.251660000000001</v>
      </c>
      <c r="G189" s="48">
        <v>63.571640000000002</v>
      </c>
      <c r="H189">
        <v>115.07</v>
      </c>
      <c r="I189" s="48">
        <v>4.3064999999999998</v>
      </c>
      <c r="J189" s="49">
        <v>669.03210999999999</v>
      </c>
      <c r="K189" s="49">
        <v>7676.2603099999997</v>
      </c>
      <c r="L189" s="50">
        <v>9.1220716821605707E-2</v>
      </c>
      <c r="M189" s="50">
        <v>6.2377447096332972E-2</v>
      </c>
      <c r="N189" s="50">
        <v>6.2328739561236191E-2</v>
      </c>
      <c r="O189" s="50">
        <v>0.12126186778791248</v>
      </c>
      <c r="P189" s="50">
        <v>4.09207825414033E-2</v>
      </c>
      <c r="Q189" s="50">
        <v>8.409620564179332E-2</v>
      </c>
      <c r="R189" s="47">
        <v>7.4197008525735658E-2</v>
      </c>
      <c r="S189" s="50">
        <v>4.343489299963732E-2</v>
      </c>
      <c r="T189" s="50">
        <v>7.3684210526314686E-3</v>
      </c>
      <c r="U189" s="50">
        <v>8.0942886591655272E-2</v>
      </c>
      <c r="V189" s="50">
        <v>6.6110222389675677E-2</v>
      </c>
      <c r="W189" s="50">
        <f t="shared" si="137"/>
        <v>7.4197008525735658E-2</v>
      </c>
      <c r="AO189" t="str">
        <f t="shared" si="138"/>
        <v/>
      </c>
      <c r="AQ189" s="3">
        <v>44708</v>
      </c>
      <c r="AR189" s="59">
        <v>9.1220716821605707E-2</v>
      </c>
      <c r="AS189" s="59">
        <v>6.2377447096332972E-2</v>
      </c>
      <c r="AT189" s="59">
        <v>6.2328739561236191E-2</v>
      </c>
      <c r="AU189" s="59">
        <v>0.12126186778791248</v>
      </c>
      <c r="AV189" s="59">
        <v>4.09207825414033E-2</v>
      </c>
      <c r="AW189" s="59">
        <v>8.409620564179332E-2</v>
      </c>
      <c r="AX189" s="59">
        <v>7.4197008525735658E-2</v>
      </c>
      <c r="AY189" s="59">
        <v>4.343489299963732E-2</v>
      </c>
      <c r="AZ189" s="59">
        <v>7.3684210526314686E-3</v>
      </c>
      <c r="BA189" s="59">
        <v>8.0942886591655272E-2</v>
      </c>
      <c r="BB189" s="59">
        <v>6.6110222389675677E-2</v>
      </c>
    </row>
    <row r="190" spans="1:54" x14ac:dyDescent="0.45">
      <c r="A190" s="3">
        <v>44701</v>
      </c>
      <c r="B190" s="48">
        <v>92.675219999999996</v>
      </c>
      <c r="C190" s="48">
        <v>81.403620000000004</v>
      </c>
      <c r="D190" s="48">
        <v>147.11511999999999</v>
      </c>
      <c r="E190" s="48">
        <v>103.79883</v>
      </c>
      <c r="F190" s="48">
        <v>26.180340000000001</v>
      </c>
      <c r="G190" s="48">
        <v>58.640219999999999</v>
      </c>
      <c r="H190">
        <v>110.28</v>
      </c>
      <c r="I190" s="48">
        <v>4.2750000000000004</v>
      </c>
      <c r="J190" s="49">
        <v>618.93381999999997</v>
      </c>
      <c r="K190" s="49">
        <v>7200.2501700000003</v>
      </c>
      <c r="L190" s="50">
        <v>2.5085358132505231E-2</v>
      </c>
      <c r="M190" s="50">
        <v>3.3761084816706255E-2</v>
      </c>
      <c r="N190" s="50">
        <v>7.926309866365111E-3</v>
      </c>
      <c r="O190" s="50">
        <v>-1.7943360995222535E-2</v>
      </c>
      <c r="P190" s="50">
        <v>2.5909964050512713E-2</v>
      </c>
      <c r="Q190" s="50">
        <v>1.7758288173082004E-2</v>
      </c>
      <c r="R190" s="47">
        <v>1.348245718228871E-2</v>
      </c>
      <c r="S190" s="50">
        <v>1.5189174261253768E-2</v>
      </c>
      <c r="T190" s="50">
        <v>2.3952095808383422E-2</v>
      </c>
      <c r="U190" s="50">
        <v>1.0923981069951516E-2</v>
      </c>
      <c r="V190" s="50">
        <v>-3.0131946583711211E-2</v>
      </c>
      <c r="W190" s="50">
        <f t="shared" si="137"/>
        <v>1.348245718228871E-2</v>
      </c>
      <c r="AO190" t="str">
        <f t="shared" si="138"/>
        <v/>
      </c>
      <c r="AQ190" s="3">
        <v>44701</v>
      </c>
      <c r="AR190" s="59">
        <v>2.5085358132505231E-2</v>
      </c>
      <c r="AS190" s="59">
        <v>3.3761084816706255E-2</v>
      </c>
      <c r="AT190" s="59">
        <v>7.926309866365111E-3</v>
      </c>
      <c r="AU190" s="59">
        <v>-1.7943360995222535E-2</v>
      </c>
      <c r="AV190" s="59">
        <v>2.5909964050512713E-2</v>
      </c>
      <c r="AW190" s="59">
        <v>1.7758288173082004E-2</v>
      </c>
      <c r="AX190" s="59">
        <v>1.348245718228871E-2</v>
      </c>
      <c r="AY190" s="59">
        <v>1.5189174261253768E-2</v>
      </c>
      <c r="AZ190" s="59">
        <v>2.3952095808383422E-2</v>
      </c>
      <c r="BA190" s="59">
        <v>1.0923981069951516E-2</v>
      </c>
      <c r="BB190" s="59">
        <v>-3.0131946583711211E-2</v>
      </c>
    </row>
    <row r="191" spans="1:54" x14ac:dyDescent="0.45">
      <c r="A191" s="3">
        <v>44694</v>
      </c>
      <c r="B191" s="48">
        <v>90.407319999999999</v>
      </c>
      <c r="C191" s="48">
        <v>78.745099999999994</v>
      </c>
      <c r="D191" s="48">
        <v>145.95821000000001</v>
      </c>
      <c r="E191" s="48">
        <v>105.69535999999999</v>
      </c>
      <c r="F191" s="48">
        <v>25.51914</v>
      </c>
      <c r="G191" s="48">
        <v>57.617040000000003</v>
      </c>
      <c r="H191">
        <v>108.63</v>
      </c>
      <c r="I191" s="48">
        <v>4.1749999999999998</v>
      </c>
      <c r="J191" s="49">
        <v>612.24566000000004</v>
      </c>
      <c r="K191" s="49">
        <v>7423.9481800000003</v>
      </c>
      <c r="L191" s="50">
        <v>-4.4386654248927071E-2</v>
      </c>
      <c r="M191" s="50">
        <v>-2.0937817165949002E-2</v>
      </c>
      <c r="N191" s="50">
        <v>-1.6521177935844289E-2</v>
      </c>
      <c r="O191" s="50">
        <v>-6.0051474445572794E-2</v>
      </c>
      <c r="P191" s="50">
        <v>-3.267412452541818E-2</v>
      </c>
      <c r="Q191" s="50">
        <v>-1.4205781513030535E-2</v>
      </c>
      <c r="R191" s="47">
        <v>-2.8878075117162959E-2</v>
      </c>
      <c r="S191" s="50">
        <v>-1.0385351188849423E-2</v>
      </c>
      <c r="T191" s="50">
        <v>-2.1560815561284419E-2</v>
      </c>
      <c r="U191" s="50">
        <v>-2.9142117412206292E-2</v>
      </c>
      <c r="V191" s="50">
        <v>-2.3717123554790165E-2</v>
      </c>
      <c r="W191" s="50">
        <f t="shared" si="137"/>
        <v>-2.8878075117162959E-2</v>
      </c>
      <c r="AO191" t="str">
        <f t="shared" si="138"/>
        <v/>
      </c>
      <c r="AQ191" s="3">
        <v>44694</v>
      </c>
      <c r="AR191" s="59">
        <v>-4.4386654248927071E-2</v>
      </c>
      <c r="AS191" s="59">
        <v>-2.0937817165949002E-2</v>
      </c>
      <c r="AT191" s="59">
        <v>-1.6521177935844289E-2</v>
      </c>
      <c r="AU191" s="59">
        <v>-6.0051474445572794E-2</v>
      </c>
      <c r="AV191" s="59">
        <v>-3.267412452541818E-2</v>
      </c>
      <c r="AW191" s="59">
        <v>-1.4205781513030535E-2</v>
      </c>
      <c r="AX191" s="59">
        <v>-2.8878075117162959E-2</v>
      </c>
      <c r="AY191" s="59">
        <v>-1.0385351188849423E-2</v>
      </c>
      <c r="AZ191" s="59">
        <v>-2.1560815561284419E-2</v>
      </c>
      <c r="BA191" s="59">
        <v>-2.9142117412206292E-2</v>
      </c>
      <c r="BB191" s="59">
        <v>-2.3717123554790165E-2</v>
      </c>
    </row>
    <row r="192" spans="1:54" x14ac:dyDescent="0.45">
      <c r="A192" s="3">
        <v>44687</v>
      </c>
      <c r="B192" s="48">
        <v>94.606589999999997</v>
      </c>
      <c r="C192" s="48">
        <v>80.429109999999994</v>
      </c>
      <c r="D192" s="48">
        <v>148.41012000000001</v>
      </c>
      <c r="E192" s="48">
        <v>112.44803</v>
      </c>
      <c r="F192" s="48">
        <v>26.381119999999999</v>
      </c>
      <c r="G192" s="48">
        <v>58.447330000000001</v>
      </c>
      <c r="H192">
        <v>109.77</v>
      </c>
      <c r="I192" s="48">
        <v>4.2670000000000003</v>
      </c>
      <c r="J192" s="49">
        <v>630.62336000000005</v>
      </c>
      <c r="K192" s="49">
        <v>7604.3003099999996</v>
      </c>
      <c r="L192" s="50">
        <v>0.12740787895962513</v>
      </c>
      <c r="M192" s="50">
        <v>7.5542484331380333E-2</v>
      </c>
      <c r="N192" s="50">
        <v>8.9487434786620801E-2</v>
      </c>
      <c r="O192" s="50">
        <v>0.13240840448060909</v>
      </c>
      <c r="P192" s="50">
        <v>0.10933135977730224</v>
      </c>
      <c r="Q192" s="50">
        <v>0.19804028960898035</v>
      </c>
      <c r="R192" s="47">
        <v>0.12096199459697857</v>
      </c>
      <c r="S192" s="50">
        <v>4.8524214347120065E-2</v>
      </c>
      <c r="T192" s="50">
        <v>-3.2097085176363782E-2</v>
      </c>
      <c r="U192" s="50">
        <v>0.1016973844426281</v>
      </c>
      <c r="V192" s="50">
        <v>-1.8858467246889443E-3</v>
      </c>
      <c r="W192" s="50">
        <f t="shared" si="137"/>
        <v>0.12096199459697857</v>
      </c>
      <c r="AO192" t="str">
        <f t="shared" si="138"/>
        <v/>
      </c>
      <c r="AQ192" s="3">
        <v>44687</v>
      </c>
      <c r="AR192" s="59">
        <v>0.12740787895962513</v>
      </c>
      <c r="AS192" s="59">
        <v>7.5542484331380333E-2</v>
      </c>
      <c r="AT192" s="59">
        <v>8.9487434786620801E-2</v>
      </c>
      <c r="AU192" s="59">
        <v>0.13240840448060909</v>
      </c>
      <c r="AV192" s="59">
        <v>0.10933135977730224</v>
      </c>
      <c r="AW192" s="59">
        <v>0.19804028960898035</v>
      </c>
      <c r="AX192" s="59">
        <v>0.12096199459697857</v>
      </c>
      <c r="AY192" s="59">
        <v>4.8524214347120065E-2</v>
      </c>
      <c r="AZ192" s="59">
        <v>-3.2097085176363782E-2</v>
      </c>
      <c r="BA192" s="59">
        <v>0.1016973844426281</v>
      </c>
      <c r="BB192" s="59">
        <v>-1.8858467246889443E-3</v>
      </c>
    </row>
    <row r="193" spans="1:54" x14ac:dyDescent="0.45">
      <c r="A193" s="3">
        <v>44680</v>
      </c>
      <c r="B193" s="48">
        <v>83.915139999999994</v>
      </c>
      <c r="C193" s="48">
        <v>74.78004</v>
      </c>
      <c r="D193" s="48">
        <v>136.22013000000001</v>
      </c>
      <c r="E193" s="48">
        <v>99.299890000000005</v>
      </c>
      <c r="F193" s="48">
        <v>23.781099999999999</v>
      </c>
      <c r="G193" s="48">
        <v>48.785780000000003</v>
      </c>
      <c r="H193">
        <v>104.69</v>
      </c>
      <c r="I193" s="48">
        <v>4.4085000000000001</v>
      </c>
      <c r="J193" s="49">
        <v>572.41069000000005</v>
      </c>
      <c r="K193" s="49">
        <v>7618.66795</v>
      </c>
      <c r="L193" s="50">
        <v>-5.1036443983273339E-3</v>
      </c>
      <c r="M193" s="50">
        <v>1.4097130797992019E-3</v>
      </c>
      <c r="N193" s="50">
        <v>-2.6592117404512061E-2</v>
      </c>
      <c r="O193" s="50">
        <v>5.5114849183237613E-3</v>
      </c>
      <c r="P193" s="50">
        <v>-3.882203348042701E-2</v>
      </c>
      <c r="Q193" s="50">
        <v>1.7221090507539838E-3</v>
      </c>
      <c r="R193" s="47">
        <v>-1.1354168767212425E-2</v>
      </c>
      <c r="S193" s="50">
        <v>2.5668658763593699E-2</v>
      </c>
      <c r="T193" s="50">
        <v>-3.7760558768962116E-2</v>
      </c>
      <c r="U193" s="50">
        <v>-1.2907323540777282E-2</v>
      </c>
      <c r="V193" s="50">
        <v>-3.2626551728956343E-2</v>
      </c>
      <c r="W193" s="50">
        <f t="shared" si="137"/>
        <v>-1.1354168767212425E-2</v>
      </c>
      <c r="AO193" t="str">
        <f t="shared" si="138"/>
        <v/>
      </c>
      <c r="AQ193" s="3">
        <v>44680</v>
      </c>
      <c r="AR193" s="59">
        <v>-5.1036443983273339E-3</v>
      </c>
      <c r="AS193" s="59">
        <v>1.4097130797992019E-3</v>
      </c>
      <c r="AT193" s="59">
        <v>-2.6592117404512061E-2</v>
      </c>
      <c r="AU193" s="59">
        <v>5.5114849183237613E-3</v>
      </c>
      <c r="AV193" s="59">
        <v>-3.882203348042701E-2</v>
      </c>
      <c r="AW193" s="59">
        <v>1.7221090507539838E-3</v>
      </c>
      <c r="AX193" s="59">
        <v>-1.1354168767212425E-2</v>
      </c>
      <c r="AY193" s="59">
        <v>2.5668658763593699E-2</v>
      </c>
      <c r="AZ193" s="59">
        <v>-3.7760558768962116E-2</v>
      </c>
      <c r="BA193" s="59">
        <v>-1.2907323540777282E-2</v>
      </c>
      <c r="BB193" s="59">
        <v>-3.2626551728956343E-2</v>
      </c>
    </row>
    <row r="194" spans="1:54" x14ac:dyDescent="0.45">
      <c r="A194" s="3">
        <v>44673</v>
      </c>
      <c r="B194" s="48">
        <v>84.345609999999994</v>
      </c>
      <c r="C194" s="48">
        <v>74.674769999999995</v>
      </c>
      <c r="D194" s="48">
        <v>139.94147000000001</v>
      </c>
      <c r="E194" s="48">
        <v>98.755600000000001</v>
      </c>
      <c r="F194" s="48">
        <v>24.741620000000001</v>
      </c>
      <c r="G194" s="48">
        <v>48.701909999999998</v>
      </c>
      <c r="H194">
        <v>102.07</v>
      </c>
      <c r="I194" s="48">
        <v>4.5815000000000001</v>
      </c>
      <c r="J194" s="49">
        <v>579.89558999999997</v>
      </c>
      <c r="K194" s="49">
        <v>7875.6223499999996</v>
      </c>
      <c r="L194" s="50">
        <v>-5.2875539796401028E-2</v>
      </c>
      <c r="M194" s="50">
        <v>-3.0741206520967457E-2</v>
      </c>
      <c r="N194" s="50">
        <v>-6.2008282579604113E-2</v>
      </c>
      <c r="O194" s="50">
        <v>-5.5474232646219868E-2</v>
      </c>
      <c r="P194" s="50">
        <v>-4.5062090057794268E-2</v>
      </c>
      <c r="Q194" s="50">
        <v>-7.1771191232984588E-2</v>
      </c>
      <c r="R194" s="47">
        <v>-5.301140060751406E-2</v>
      </c>
      <c r="S194" s="50">
        <v>-4.0515134423763866E-2</v>
      </c>
      <c r="T194" s="50">
        <v>-3.0062453689001734E-2</v>
      </c>
      <c r="U194" s="50">
        <v>-4.5646283903677753E-2</v>
      </c>
      <c r="V194" s="50">
        <v>-2.7417429420805273E-2</v>
      </c>
      <c r="W194" s="50">
        <f t="shared" si="137"/>
        <v>-5.301140060751406E-2</v>
      </c>
      <c r="AO194" t="str">
        <f t="shared" si="138"/>
        <v/>
      </c>
      <c r="AQ194" s="3">
        <v>44673</v>
      </c>
      <c r="AR194" s="59">
        <v>-5.2875539796401028E-2</v>
      </c>
      <c r="AS194" s="59">
        <v>-3.0741206520967457E-2</v>
      </c>
      <c r="AT194" s="59">
        <v>-6.2008282579604113E-2</v>
      </c>
      <c r="AU194" s="59">
        <v>-5.5474232646219868E-2</v>
      </c>
      <c r="AV194" s="59">
        <v>-4.5062090057794268E-2</v>
      </c>
      <c r="AW194" s="59">
        <v>-7.1771191232984588E-2</v>
      </c>
      <c r="AX194" s="59">
        <v>-5.301140060751406E-2</v>
      </c>
      <c r="AY194" s="59">
        <v>-4.0515134423763866E-2</v>
      </c>
      <c r="AZ194" s="59">
        <v>-3.0062453689001734E-2</v>
      </c>
      <c r="BA194" s="59">
        <v>-4.5646283903677753E-2</v>
      </c>
      <c r="BB194" s="59">
        <v>-2.7417429420805273E-2</v>
      </c>
    </row>
    <row r="195" spans="1:54" x14ac:dyDescent="0.45">
      <c r="A195" s="3">
        <v>44665</v>
      </c>
      <c r="B195" s="48">
        <v>89.054410000000004</v>
      </c>
      <c r="C195" s="48">
        <v>77.043170000000003</v>
      </c>
      <c r="D195" s="48">
        <v>149.19264999999999</v>
      </c>
      <c r="E195" s="48">
        <v>104.55575</v>
      </c>
      <c r="F195" s="48">
        <v>25.909140000000001</v>
      </c>
      <c r="G195" s="48">
        <v>52.467570000000002</v>
      </c>
      <c r="H195">
        <v>106.38</v>
      </c>
      <c r="I195" s="48">
        <v>4.7234999999999996</v>
      </c>
      <c r="J195" s="49">
        <v>607.63171999999997</v>
      </c>
      <c r="K195" s="49">
        <v>8097.63879</v>
      </c>
      <c r="L195" s="50">
        <v>-1.6302827196769787E-2</v>
      </c>
      <c r="M195" s="50">
        <v>1.1400232833027601E-2</v>
      </c>
      <c r="N195" s="50">
        <v>9.7687759239770688E-3</v>
      </c>
      <c r="O195" s="50">
        <v>-2.5183836674734783E-2</v>
      </c>
      <c r="P195" s="50">
        <v>2.691144249580657E-2</v>
      </c>
      <c r="Q195" s="50">
        <v>3.0463663263633478E-3</v>
      </c>
      <c r="R195" s="47">
        <v>5.188596180887961E-3</v>
      </c>
      <c r="S195" s="50">
        <v>8.850915788396585E-2</v>
      </c>
      <c r="T195" s="50">
        <v>-3.1746031746038295E-4</v>
      </c>
      <c r="U195" s="50">
        <v>3.1763832776385836E-3</v>
      </c>
      <c r="V195" s="50">
        <v>-2.1168711151603015E-2</v>
      </c>
      <c r="W195" s="50">
        <f t="shared" si="137"/>
        <v>5.188596180887961E-3</v>
      </c>
      <c r="AO195" t="str">
        <f t="shared" si="138"/>
        <v/>
      </c>
      <c r="AQ195" s="3">
        <v>44665</v>
      </c>
      <c r="AR195" s="59">
        <v>-1.6302827196769787E-2</v>
      </c>
      <c r="AS195" s="59">
        <v>1.1400232833027601E-2</v>
      </c>
      <c r="AT195" s="59">
        <v>9.7687759239770688E-3</v>
      </c>
      <c r="AU195" s="59">
        <v>-2.5183836674734783E-2</v>
      </c>
      <c r="AV195" s="59">
        <v>2.691144249580657E-2</v>
      </c>
      <c r="AW195" s="59">
        <v>3.0463663263633478E-3</v>
      </c>
      <c r="AX195" s="59">
        <v>5.188596180887961E-3</v>
      </c>
      <c r="AY195" s="59">
        <v>8.850915788396585E-2</v>
      </c>
      <c r="AZ195" s="59">
        <v>-3.1746031746038295E-4</v>
      </c>
      <c r="BA195" s="59">
        <v>3.1763832776385836E-3</v>
      </c>
      <c r="BB195" s="59">
        <v>-2.1168711151603015E-2</v>
      </c>
    </row>
    <row r="196" spans="1:54" x14ac:dyDescent="0.45">
      <c r="A196" s="3">
        <v>44659</v>
      </c>
      <c r="B196" s="48">
        <v>90.53031</v>
      </c>
      <c r="C196" s="48">
        <v>76.174760000000006</v>
      </c>
      <c r="D196" s="48">
        <v>147.74932000000001</v>
      </c>
      <c r="E196" s="48">
        <v>107.25689</v>
      </c>
      <c r="F196" s="48">
        <v>25.230160000000001</v>
      </c>
      <c r="G196" s="48">
        <v>52.308219999999999</v>
      </c>
      <c r="H196">
        <v>97.73</v>
      </c>
      <c r="I196" s="48">
        <v>4.7249999999999996</v>
      </c>
      <c r="J196" s="49">
        <v>605.70776000000001</v>
      </c>
      <c r="K196" s="49">
        <v>8272.7625100000005</v>
      </c>
      <c r="L196" s="50">
        <v>2.4557610033183463E-2</v>
      </c>
      <c r="M196" s="50">
        <v>4.4754588534092532E-2</v>
      </c>
      <c r="N196" s="50">
        <v>3.477040667679665E-2</v>
      </c>
      <c r="O196" s="50">
        <v>5.443359122122704E-2</v>
      </c>
      <c r="P196" s="50">
        <v>2.1112572596474921E-2</v>
      </c>
      <c r="Q196" s="50">
        <v>3.3471509613232309E-2</v>
      </c>
      <c r="R196" s="47">
        <v>3.770853372836469E-2</v>
      </c>
      <c r="S196" s="50">
        <v>-1.5513246700916583E-2</v>
      </c>
      <c r="T196" s="50">
        <v>7.7850058654151955E-3</v>
      </c>
      <c r="U196" s="50">
        <v>3.2058069859741023E-2</v>
      </c>
      <c r="V196" s="50">
        <v>-1.2448343913323834E-2</v>
      </c>
      <c r="W196" s="50">
        <f t="shared" si="137"/>
        <v>3.770853372836469E-2</v>
      </c>
      <c r="AO196" t="str">
        <f t="shared" si="138"/>
        <v/>
      </c>
      <c r="AQ196" s="3">
        <v>44659</v>
      </c>
      <c r="AR196" s="59">
        <v>2.4557610033183463E-2</v>
      </c>
      <c r="AS196" s="59">
        <v>4.4754588534092532E-2</v>
      </c>
      <c r="AT196" s="59">
        <v>3.477040667679665E-2</v>
      </c>
      <c r="AU196" s="59">
        <v>5.443359122122704E-2</v>
      </c>
      <c r="AV196" s="59">
        <v>2.1112572596474921E-2</v>
      </c>
      <c r="AW196" s="59">
        <v>3.3471509613232309E-2</v>
      </c>
      <c r="AX196" s="59">
        <v>3.770853372836469E-2</v>
      </c>
      <c r="AY196" s="59">
        <v>-1.5513246700916583E-2</v>
      </c>
      <c r="AZ196" s="59">
        <v>7.7850058654151955E-3</v>
      </c>
      <c r="BA196" s="59">
        <v>3.2058069859741023E-2</v>
      </c>
      <c r="BB196" s="59">
        <v>-1.2448343913323834E-2</v>
      </c>
    </row>
    <row r="197" spans="1:54" x14ac:dyDescent="0.45">
      <c r="A197" s="3">
        <v>44652</v>
      </c>
      <c r="B197" s="48">
        <v>88.360389999999995</v>
      </c>
      <c r="C197" s="48">
        <v>72.911630000000002</v>
      </c>
      <c r="D197" s="48">
        <v>142.78464</v>
      </c>
      <c r="E197" s="48">
        <v>101.71991</v>
      </c>
      <c r="F197" s="48">
        <v>24.708500000000001</v>
      </c>
      <c r="G197" s="48">
        <v>50.614089999999997</v>
      </c>
      <c r="H197">
        <v>99.27</v>
      </c>
      <c r="I197" s="48">
        <v>4.6885000000000003</v>
      </c>
      <c r="J197" s="49">
        <v>586.8931</v>
      </c>
      <c r="K197" s="49">
        <v>8377.0428200000006</v>
      </c>
      <c r="L197" s="50">
        <v>-6.157609701705502E-2</v>
      </c>
      <c r="M197" s="50">
        <v>-2.4413209238149491E-2</v>
      </c>
      <c r="N197" s="50">
        <v>-3.0063191931268385E-2</v>
      </c>
      <c r="O197" s="50">
        <v>-3.3571542514101438E-2</v>
      </c>
      <c r="P197" s="50">
        <v>-3.8969413957453791E-2</v>
      </c>
      <c r="Q197" s="50">
        <v>-3.4400125912748325E-2</v>
      </c>
      <c r="R197" s="47">
        <v>-3.2283496710744285E-2</v>
      </c>
      <c r="S197" s="50">
        <v>-0.12844600526777883</v>
      </c>
      <c r="T197" s="50">
        <v>-2.1283388315419538E-3</v>
      </c>
      <c r="U197" s="50">
        <v>-2.4018685314597832E-2</v>
      </c>
      <c r="V197" s="50">
        <v>7.3858000260251799E-4</v>
      </c>
      <c r="W197" s="50">
        <f t="shared" si="137"/>
        <v>-3.2283496710744285E-2</v>
      </c>
      <c r="AO197" t="str">
        <f t="shared" si="138"/>
        <v/>
      </c>
      <c r="AQ197" s="3">
        <v>44652</v>
      </c>
      <c r="AR197" s="59">
        <v>-6.157609701705502E-2</v>
      </c>
      <c r="AS197" s="59">
        <v>-2.4413209238149491E-2</v>
      </c>
      <c r="AT197" s="59">
        <v>-3.0063191931268385E-2</v>
      </c>
      <c r="AU197" s="59">
        <v>-3.3571542514101438E-2</v>
      </c>
      <c r="AV197" s="59">
        <v>-3.8969413957453791E-2</v>
      </c>
      <c r="AW197" s="59">
        <v>-3.4400125912748325E-2</v>
      </c>
      <c r="AX197" s="59">
        <v>-3.2283496710744285E-2</v>
      </c>
      <c r="AY197" s="59">
        <v>-0.12844600526777883</v>
      </c>
      <c r="AZ197" s="59">
        <v>-2.1283388315419538E-3</v>
      </c>
      <c r="BA197" s="59">
        <v>-2.4018685314597832E-2</v>
      </c>
      <c r="BB197" s="59">
        <v>7.3858000260251799E-4</v>
      </c>
    </row>
    <row r="198" spans="1:54" x14ac:dyDescent="0.45">
      <c r="A198" s="3">
        <v>44645</v>
      </c>
      <c r="B198" s="48">
        <v>94.158289999999994</v>
      </c>
      <c r="C198" s="48">
        <v>74.736180000000004</v>
      </c>
      <c r="D198" s="48">
        <v>147.21025</v>
      </c>
      <c r="E198" s="48">
        <v>105.25342999999999</v>
      </c>
      <c r="F198" s="48">
        <v>25.710419999999999</v>
      </c>
      <c r="G198" s="48">
        <v>52.417250000000003</v>
      </c>
      <c r="H198">
        <v>113.9</v>
      </c>
      <c r="I198" s="48">
        <v>4.6985000000000001</v>
      </c>
      <c r="J198" s="49">
        <v>601.33641</v>
      </c>
      <c r="K198" s="49">
        <v>8370.8602699999992</v>
      </c>
      <c r="L198" s="50">
        <v>7.9317275866515713E-2</v>
      </c>
      <c r="M198" s="50">
        <v>8.3004966369194522E-2</v>
      </c>
      <c r="N198" s="50">
        <v>4.6868271966257868E-2</v>
      </c>
      <c r="O198" s="50">
        <v>7.5215871283130342E-2</v>
      </c>
      <c r="P198" s="50">
        <v>8.0375969738201158E-2</v>
      </c>
      <c r="Q198" s="50">
        <v>7.2593112494155454E-2</v>
      </c>
      <c r="R198" s="47">
        <v>7.1611638370187872E-2</v>
      </c>
      <c r="S198" s="50">
        <v>0.10485983121544273</v>
      </c>
      <c r="T198" s="50">
        <v>-8.6507015507963914E-3</v>
      </c>
      <c r="U198" s="50">
        <v>7.4232011704829404E-2</v>
      </c>
      <c r="V198" s="50">
        <v>1.8054050614016548E-2</v>
      </c>
      <c r="W198" s="50">
        <f t="shared" si="137"/>
        <v>7.1611638370187872E-2</v>
      </c>
      <c r="AO198" t="str">
        <f t="shared" si="138"/>
        <v/>
      </c>
      <c r="AQ198" s="3">
        <v>44645</v>
      </c>
      <c r="AR198" s="59">
        <v>7.9317275866515713E-2</v>
      </c>
      <c r="AS198" s="59">
        <v>8.3004966369194522E-2</v>
      </c>
      <c r="AT198" s="59">
        <v>4.6868271966257868E-2</v>
      </c>
      <c r="AU198" s="59">
        <v>7.5215871283130342E-2</v>
      </c>
      <c r="AV198" s="59">
        <v>8.0375969738201158E-2</v>
      </c>
      <c r="AW198" s="59">
        <v>7.2593112494155454E-2</v>
      </c>
      <c r="AX198" s="59">
        <v>7.1611638370187872E-2</v>
      </c>
      <c r="AY198" s="59">
        <v>0.10485983121544273</v>
      </c>
      <c r="AZ198" s="59">
        <v>-8.6507015507963914E-3</v>
      </c>
      <c r="BA198" s="59">
        <v>7.4232011704829404E-2</v>
      </c>
      <c r="BB198" s="59">
        <v>1.8054050614016548E-2</v>
      </c>
    </row>
    <row r="199" spans="1:54" x14ac:dyDescent="0.45">
      <c r="A199" s="3">
        <v>44638</v>
      </c>
      <c r="B199" s="48">
        <v>87.238749999999996</v>
      </c>
      <c r="C199" s="48">
        <v>69.008160000000004</v>
      </c>
      <c r="D199" s="48">
        <v>140.61965000000001</v>
      </c>
      <c r="E199" s="48">
        <v>97.890510000000006</v>
      </c>
      <c r="F199" s="48">
        <v>23.79766</v>
      </c>
      <c r="G199" s="48">
        <v>48.86965</v>
      </c>
      <c r="H199">
        <v>103.09</v>
      </c>
      <c r="I199" s="48">
        <v>4.7394999999999996</v>
      </c>
      <c r="J199" s="49">
        <v>559.78261999999995</v>
      </c>
      <c r="K199" s="49">
        <v>8222.4124200000006</v>
      </c>
      <c r="L199" s="50">
        <v>1.2092262743101712E-2</v>
      </c>
      <c r="M199" s="50">
        <v>-7.359871189064604E-2</v>
      </c>
      <c r="N199" s="50">
        <v>-5.3657141053555124E-2</v>
      </c>
      <c r="O199" s="50">
        <v>1.0373347450793879E-3</v>
      </c>
      <c r="P199" s="50">
        <v>1.6625164630439615E-2</v>
      </c>
      <c r="Q199" s="50">
        <v>-6.3096838631019336E-3</v>
      </c>
      <c r="R199" s="47">
        <v>-2.3180607486356818E-2</v>
      </c>
      <c r="S199" s="50">
        <v>-3.0197554092191825E-2</v>
      </c>
      <c r="T199" s="50">
        <v>2.4645984217922301E-2</v>
      </c>
      <c r="U199" s="50">
        <v>-3.5772155084276669E-2</v>
      </c>
      <c r="V199" s="50">
        <v>6.1806807425520693E-2</v>
      </c>
      <c r="W199" s="50">
        <f t="shared" si="137"/>
        <v>-2.3180607486356818E-2</v>
      </c>
      <c r="AO199" t="str">
        <f t="shared" si="138"/>
        <v/>
      </c>
      <c r="AQ199" s="3">
        <v>44638</v>
      </c>
      <c r="AR199" s="59">
        <v>1.2092262743101712E-2</v>
      </c>
      <c r="AS199" s="59">
        <v>-7.359871189064604E-2</v>
      </c>
      <c r="AT199" s="59">
        <v>-5.3657141053555124E-2</v>
      </c>
      <c r="AU199" s="59">
        <v>1.0373347450793879E-3</v>
      </c>
      <c r="AV199" s="59">
        <v>1.6625164630439615E-2</v>
      </c>
      <c r="AW199" s="59">
        <v>-6.3096838631019336E-3</v>
      </c>
      <c r="AX199" s="59">
        <v>-2.3180607486356818E-2</v>
      </c>
      <c r="AY199" s="59">
        <v>-3.0197554092191825E-2</v>
      </c>
      <c r="AZ199" s="59">
        <v>2.4645984217922301E-2</v>
      </c>
      <c r="BA199" s="59">
        <v>-3.5772155084276669E-2</v>
      </c>
      <c r="BB199" s="59">
        <v>6.1806807425520693E-2</v>
      </c>
    </row>
    <row r="200" spans="1:54" x14ac:dyDescent="0.45">
      <c r="A200" s="3">
        <v>44631</v>
      </c>
      <c r="B200" s="48">
        <v>86.196439999999996</v>
      </c>
      <c r="C200" s="48">
        <v>74.490570000000005</v>
      </c>
      <c r="D200" s="48">
        <v>148.59271000000001</v>
      </c>
      <c r="E200" s="48">
        <v>97.789069999999995</v>
      </c>
      <c r="F200" s="48">
        <v>23.40849</v>
      </c>
      <c r="G200" s="48">
        <v>49.179960000000001</v>
      </c>
      <c r="H200">
        <v>106.3</v>
      </c>
      <c r="I200" s="48">
        <v>4.6254999999999997</v>
      </c>
      <c r="J200" s="49">
        <v>580.55015000000003</v>
      </c>
      <c r="K200" s="49">
        <v>7743.7932799999999</v>
      </c>
      <c r="L200" s="50">
        <v>-1.8549944435335419E-2</v>
      </c>
      <c r="M200" s="50">
        <v>9.8704626334520373E-3</v>
      </c>
      <c r="N200" s="50">
        <v>7.7214008122853173E-2</v>
      </c>
      <c r="O200" s="50">
        <v>-1.7431586554108258E-2</v>
      </c>
      <c r="P200" s="50">
        <v>9.2824621009606201E-3</v>
      </c>
      <c r="Q200" s="50">
        <v>9.1299295208524534E-4</v>
      </c>
      <c r="R200" s="47">
        <v>1.5969667851048565E-2</v>
      </c>
      <c r="S200" s="50">
        <v>-8.1085753803596172E-2</v>
      </c>
      <c r="T200" s="50">
        <v>-6.3189873417721532E-2</v>
      </c>
      <c r="U200" s="50">
        <v>1.8855696269709732E-2</v>
      </c>
      <c r="V200" s="50">
        <v>-2.8541223440097019E-2</v>
      </c>
      <c r="W200" s="50">
        <f t="shared" si="137"/>
        <v>1.5969667851048565E-2</v>
      </c>
      <c r="AO200" t="str">
        <f t="shared" si="138"/>
        <v/>
      </c>
      <c r="AQ200" s="3">
        <v>44631</v>
      </c>
      <c r="AR200" s="59">
        <v>-1.8549944435335419E-2</v>
      </c>
      <c r="AS200" s="59">
        <v>9.8704626334520373E-3</v>
      </c>
      <c r="AT200" s="59">
        <v>7.7214008122853173E-2</v>
      </c>
      <c r="AU200" s="59">
        <v>-1.7431586554108258E-2</v>
      </c>
      <c r="AV200" s="59">
        <v>9.2824621009606201E-3</v>
      </c>
      <c r="AW200" s="59">
        <v>9.1299295208524534E-4</v>
      </c>
      <c r="AX200" s="59">
        <v>1.5969667851048565E-2</v>
      </c>
      <c r="AY200" s="59">
        <v>-8.1085753803596172E-2</v>
      </c>
      <c r="AZ200" s="59">
        <v>-6.3189873417721532E-2</v>
      </c>
      <c r="BA200" s="59">
        <v>1.8855696269709732E-2</v>
      </c>
      <c r="BB200" s="59">
        <v>-2.8541223440097019E-2</v>
      </c>
    </row>
    <row r="201" spans="1:54" x14ac:dyDescent="0.45">
      <c r="A201" s="3">
        <v>44624</v>
      </c>
      <c r="B201" s="48">
        <v>87.825599999999994</v>
      </c>
      <c r="C201" s="48">
        <v>73.762500000000003</v>
      </c>
      <c r="D201" s="48">
        <v>137.94167999999999</v>
      </c>
      <c r="E201" s="48">
        <v>99.523930000000007</v>
      </c>
      <c r="F201" s="48">
        <v>23.193200000000001</v>
      </c>
      <c r="G201" s="48">
        <v>49.135100000000001</v>
      </c>
      <c r="H201">
        <v>115.68</v>
      </c>
      <c r="I201" s="48">
        <v>4.9375</v>
      </c>
      <c r="J201" s="49">
        <v>569.80606</v>
      </c>
      <c r="K201" s="49">
        <v>7971.3040499999997</v>
      </c>
      <c r="L201" s="50">
        <v>9.8608526269730046E-2</v>
      </c>
      <c r="M201" s="50">
        <v>8.0292952162189568E-2</v>
      </c>
      <c r="N201" s="50">
        <v>0.13014676899856892</v>
      </c>
      <c r="O201" s="50">
        <v>0.10691655388842469</v>
      </c>
      <c r="P201" s="50">
        <v>-8.851287754785242E-2</v>
      </c>
      <c r="Q201" s="50">
        <v>7.916677556781071E-2</v>
      </c>
      <c r="R201" s="47">
        <v>6.1602034613828294E-2</v>
      </c>
      <c r="S201" s="50">
        <v>0.26301998034719953</v>
      </c>
      <c r="T201" s="50">
        <v>0.10089186176142695</v>
      </c>
      <c r="U201" s="50">
        <v>9.2548998614137901E-2</v>
      </c>
      <c r="V201" s="50">
        <v>-1.2468616474722749E-2</v>
      </c>
      <c r="W201" s="50">
        <f t="shared" ref="W201:W268" si="139">AVERAGE(M201:Q201)</f>
        <v>6.1602034613828294E-2</v>
      </c>
      <c r="AO201" t="str">
        <f t="shared" ref="AO201:AO264" si="140">IF(A201&lt;$AP$3,"",IF(A201&lt;=$AP$4,1,""))</f>
        <v/>
      </c>
      <c r="AQ201" s="3">
        <v>44624</v>
      </c>
      <c r="AR201" s="59">
        <v>9.8608526269730046E-2</v>
      </c>
      <c r="AS201" s="59">
        <v>8.0292952162189568E-2</v>
      </c>
      <c r="AT201" s="59">
        <v>0.13014676899856892</v>
      </c>
      <c r="AU201" s="59">
        <v>0.10691655388842469</v>
      </c>
      <c r="AV201" s="59">
        <v>-8.851287754785242E-2</v>
      </c>
      <c r="AW201" s="59">
        <v>7.916677556781071E-2</v>
      </c>
      <c r="AX201" s="59">
        <v>6.1602034613828294E-2</v>
      </c>
      <c r="AY201" s="59">
        <v>0.26301998034719953</v>
      </c>
      <c r="AZ201" s="59">
        <v>0.10089186176142695</v>
      </c>
      <c r="BA201" s="59">
        <v>9.2548998614137901E-2</v>
      </c>
      <c r="BB201" s="59">
        <v>-1.2468616474722749E-2</v>
      </c>
    </row>
    <row r="202" spans="1:54" x14ac:dyDescent="0.45">
      <c r="A202" s="3">
        <v>44617</v>
      </c>
      <c r="B202" s="48">
        <v>79.942580000000007</v>
      </c>
      <c r="C202" s="48">
        <v>68.280090000000001</v>
      </c>
      <c r="D202" s="48">
        <v>122.05643000000001</v>
      </c>
      <c r="E202" s="48">
        <v>89.910960000000003</v>
      </c>
      <c r="F202" s="48">
        <v>25.445450000000001</v>
      </c>
      <c r="G202" s="48">
        <v>45.530589999999997</v>
      </c>
      <c r="H202">
        <v>91.59</v>
      </c>
      <c r="I202" s="48">
        <v>4.4850000000000003</v>
      </c>
      <c r="J202" s="49">
        <v>521.53822000000002</v>
      </c>
      <c r="K202" s="49">
        <v>8071.9501</v>
      </c>
      <c r="L202" s="50">
        <v>1.8297427003143296E-2</v>
      </c>
      <c r="M202" s="50">
        <v>6.2046256173642345E-3</v>
      </c>
      <c r="N202" s="50">
        <v>5.2166067798337323E-2</v>
      </c>
      <c r="O202" s="50">
        <v>-3.8881946545260559E-2</v>
      </c>
      <c r="P202" s="50">
        <v>-3.2735131107782811E-2</v>
      </c>
      <c r="Q202" s="50">
        <v>7.6670673970700154E-3</v>
      </c>
      <c r="R202" s="47">
        <v>-1.1158633680543595E-3</v>
      </c>
      <c r="S202" s="50">
        <v>1.5297638842700412E-2</v>
      </c>
      <c r="T202" s="50">
        <v>-7.6335877862594437E-3</v>
      </c>
      <c r="U202" s="50">
        <v>1.3052068789178195E-2</v>
      </c>
      <c r="V202" s="50">
        <v>8.3748963562650935E-3</v>
      </c>
      <c r="W202" s="50">
        <f t="shared" si="139"/>
        <v>-1.1158633680543595E-3</v>
      </c>
      <c r="AO202" t="str">
        <f t="shared" si="140"/>
        <v/>
      </c>
      <c r="AQ202" s="3">
        <v>44617</v>
      </c>
      <c r="AR202" s="59">
        <v>1.8297427003143296E-2</v>
      </c>
      <c r="AS202" s="59">
        <v>6.2046256173642345E-3</v>
      </c>
      <c r="AT202" s="59">
        <v>5.2166067798337323E-2</v>
      </c>
      <c r="AU202" s="59">
        <v>-3.8881946545260559E-2</v>
      </c>
      <c r="AV202" s="59">
        <v>-3.2735131107782811E-2</v>
      </c>
      <c r="AW202" s="59">
        <v>7.6670673970700154E-3</v>
      </c>
      <c r="AX202" s="59">
        <v>-1.1158633680543595E-3</v>
      </c>
      <c r="AY202" s="59">
        <v>1.5297638842700412E-2</v>
      </c>
      <c r="AZ202" s="59">
        <v>-7.6335877862594437E-3</v>
      </c>
      <c r="BA202" s="59">
        <v>1.3052068789178195E-2</v>
      </c>
      <c r="BB202" s="59">
        <v>8.3748963562650935E-3</v>
      </c>
    </row>
    <row r="203" spans="1:54" x14ac:dyDescent="0.45">
      <c r="A203" s="3">
        <v>44610</v>
      </c>
      <c r="B203" s="48">
        <v>78.506119999999996</v>
      </c>
      <c r="C203" s="48">
        <v>67.859049999999996</v>
      </c>
      <c r="D203" s="48">
        <v>116.00491</v>
      </c>
      <c r="E203" s="48">
        <v>93.548299999999998</v>
      </c>
      <c r="F203" s="48">
        <v>26.3066</v>
      </c>
      <c r="G203" s="48">
        <v>45.184159999999999</v>
      </c>
      <c r="H203">
        <v>90.21</v>
      </c>
      <c r="I203" s="48">
        <v>4.5194999999999999</v>
      </c>
      <c r="J203" s="49">
        <v>514.81876999999997</v>
      </c>
      <c r="K203" s="49">
        <v>8004.9098100000001</v>
      </c>
      <c r="L203" s="50">
        <v>-4.1595305672471161E-2</v>
      </c>
      <c r="M203" s="50">
        <v>-3.5531620537068376E-2</v>
      </c>
      <c r="N203" s="50">
        <v>-2.8738657864062378E-2</v>
      </c>
      <c r="O203" s="50">
        <v>-4.3940105310557032E-2</v>
      </c>
      <c r="P203" s="50">
        <v>-3.4345193346802638E-2</v>
      </c>
      <c r="Q203" s="50">
        <v>1.2382053673714477E-2</v>
      </c>
      <c r="R203" s="47">
        <v>-2.6034704676955189E-2</v>
      </c>
      <c r="S203" s="50">
        <v>-1.3235615838985026E-2</v>
      </c>
      <c r="T203" s="50">
        <v>2.9960053262316766E-3</v>
      </c>
      <c r="U203" s="50">
        <v>-3.7090022310154902E-2</v>
      </c>
      <c r="V203" s="50">
        <v>-1.5381315661398998E-2</v>
      </c>
      <c r="W203" s="50">
        <f t="shared" si="139"/>
        <v>-2.6034704676955189E-2</v>
      </c>
      <c r="AO203" t="str">
        <f t="shared" si="140"/>
        <v/>
      </c>
      <c r="AQ203" s="3">
        <v>44610</v>
      </c>
      <c r="AR203" s="59">
        <v>-4.1595305672471161E-2</v>
      </c>
      <c r="AS203" s="59">
        <v>-3.5531620537068376E-2</v>
      </c>
      <c r="AT203" s="59">
        <v>-2.8738657864062378E-2</v>
      </c>
      <c r="AU203" s="59">
        <v>-4.3940105310557032E-2</v>
      </c>
      <c r="AV203" s="59">
        <v>-3.4345193346802638E-2</v>
      </c>
      <c r="AW203" s="59">
        <v>1.2382053673714477E-2</v>
      </c>
      <c r="AX203" s="59">
        <v>-2.6034704676955189E-2</v>
      </c>
      <c r="AY203" s="59">
        <v>-1.3235615838985026E-2</v>
      </c>
      <c r="AZ203" s="59">
        <v>2.9960053262316766E-3</v>
      </c>
      <c r="BA203" s="59">
        <v>-3.7090022310154902E-2</v>
      </c>
      <c r="BB203" s="59">
        <v>-1.5381315661398998E-2</v>
      </c>
    </row>
    <row r="204" spans="1:54" x14ac:dyDescent="0.45">
      <c r="A204" s="3">
        <v>44603</v>
      </c>
      <c r="B204" s="48">
        <v>81.913330000000002</v>
      </c>
      <c r="C204" s="48">
        <v>70.359020000000001</v>
      </c>
      <c r="D204" s="48">
        <v>119.43738</v>
      </c>
      <c r="E204" s="48">
        <v>97.847740000000002</v>
      </c>
      <c r="F204" s="48">
        <v>27.242239999999999</v>
      </c>
      <c r="G204" s="48">
        <v>44.631529999999998</v>
      </c>
      <c r="H204">
        <v>91.42</v>
      </c>
      <c r="I204" s="48">
        <v>4.5060000000000002</v>
      </c>
      <c r="J204" s="49">
        <v>534.64891</v>
      </c>
      <c r="K204" s="49">
        <v>8129.95928</v>
      </c>
      <c r="L204" s="50">
        <v>2.3080512451199242E-2</v>
      </c>
      <c r="M204" s="50">
        <v>-3.8177136590159533E-3</v>
      </c>
      <c r="N204" s="50">
        <v>2.1563118230734313E-2</v>
      </c>
      <c r="O204" s="50">
        <v>2.6825046588605961E-2</v>
      </c>
      <c r="P204" s="50">
        <v>1.0645030847365788E-2</v>
      </c>
      <c r="Q204" s="50">
        <v>2.3453784722970772E-2</v>
      </c>
      <c r="R204" s="47">
        <v>1.5733853346132178E-2</v>
      </c>
      <c r="S204" s="50">
        <v>-9.6414256310258795E-3</v>
      </c>
      <c r="T204" s="50">
        <v>4.1225626740948318E-3</v>
      </c>
      <c r="U204" s="50">
        <v>1.7499911314705852E-2</v>
      </c>
      <c r="V204" s="50">
        <v>-1.7973774197561521E-2</v>
      </c>
      <c r="W204" s="50">
        <f t="shared" si="139"/>
        <v>1.5733853346132178E-2</v>
      </c>
      <c r="AO204" t="str">
        <f t="shared" si="140"/>
        <v/>
      </c>
      <c r="AQ204" s="3">
        <v>44603</v>
      </c>
      <c r="AR204" s="59">
        <v>2.3080512451199242E-2</v>
      </c>
      <c r="AS204" s="59">
        <v>-3.8177136590159533E-3</v>
      </c>
      <c r="AT204" s="59">
        <v>2.1563118230734313E-2</v>
      </c>
      <c r="AU204" s="59">
        <v>2.6825046588605961E-2</v>
      </c>
      <c r="AV204" s="59">
        <v>1.0645030847365788E-2</v>
      </c>
      <c r="AW204" s="59">
        <v>2.3453784722970772E-2</v>
      </c>
      <c r="AX204" s="59">
        <v>1.5733853346132178E-2</v>
      </c>
      <c r="AY204" s="59">
        <v>-9.6414256310258795E-3</v>
      </c>
      <c r="AZ204" s="59">
        <v>4.1225626740948318E-3</v>
      </c>
      <c r="BA204" s="59">
        <v>1.7499911314705852E-2</v>
      </c>
      <c r="BB204" s="59">
        <v>-1.7973774197561521E-2</v>
      </c>
    </row>
    <row r="205" spans="1:54" x14ac:dyDescent="0.45">
      <c r="A205" s="3">
        <v>44596</v>
      </c>
      <c r="B205" s="48">
        <v>80.065380000000005</v>
      </c>
      <c r="C205" s="48">
        <v>70.628659999999996</v>
      </c>
      <c r="D205" s="48">
        <v>116.91630000000001</v>
      </c>
      <c r="E205" s="48">
        <v>95.291539999999998</v>
      </c>
      <c r="F205" s="48">
        <v>26.955300000000001</v>
      </c>
      <c r="G205" s="48">
        <v>43.608739999999997</v>
      </c>
      <c r="H205">
        <v>92.31</v>
      </c>
      <c r="I205" s="48">
        <v>4.4874999999999998</v>
      </c>
      <c r="J205" s="49">
        <v>525.45352000000003</v>
      </c>
      <c r="K205" s="49">
        <v>8278.7598400000006</v>
      </c>
      <c r="L205" s="50">
        <v>2.9701801368359426E-2</v>
      </c>
      <c r="M205" s="50">
        <v>8.142936346959373E-2</v>
      </c>
      <c r="N205" s="50">
        <v>4.0349152651866671E-2</v>
      </c>
      <c r="O205" s="50">
        <v>3.6463026201239979E-2</v>
      </c>
      <c r="P205" s="50">
        <v>5.8255419302787992E-2</v>
      </c>
      <c r="Q205" s="50">
        <v>2.5606327005011309E-2</v>
      </c>
      <c r="R205" s="47">
        <v>4.8420657726099936E-2</v>
      </c>
      <c r="S205" s="50">
        <v>6.3234277816171414E-2</v>
      </c>
      <c r="T205" s="50">
        <v>4.1183294663573067E-2</v>
      </c>
      <c r="U205" s="50">
        <v>4.9395553608315934E-2</v>
      </c>
      <c r="V205" s="50">
        <v>1.5673123955485257E-2</v>
      </c>
      <c r="W205" s="50">
        <f t="shared" si="139"/>
        <v>4.8420657726099936E-2</v>
      </c>
      <c r="AO205" t="str">
        <f t="shared" si="140"/>
        <v/>
      </c>
      <c r="AQ205" s="3">
        <v>44596</v>
      </c>
      <c r="AR205" s="59">
        <v>2.9701801368359426E-2</v>
      </c>
      <c r="AS205" s="59">
        <v>8.142936346959373E-2</v>
      </c>
      <c r="AT205" s="59">
        <v>4.0349152651866671E-2</v>
      </c>
      <c r="AU205" s="59">
        <v>3.6463026201239979E-2</v>
      </c>
      <c r="AV205" s="59">
        <v>5.8255419302787992E-2</v>
      </c>
      <c r="AW205" s="59">
        <v>2.5606327005011309E-2</v>
      </c>
      <c r="AX205" s="59">
        <v>4.8420657726099936E-2</v>
      </c>
      <c r="AY205" s="59">
        <v>6.3234277816171414E-2</v>
      </c>
      <c r="AZ205" s="59">
        <v>4.1183294663573067E-2</v>
      </c>
      <c r="BA205" s="59">
        <v>4.9395553608315934E-2</v>
      </c>
      <c r="BB205" s="59">
        <v>1.5673123955485257E-2</v>
      </c>
    </row>
    <row r="206" spans="1:54" x14ac:dyDescent="0.45">
      <c r="A206" s="3">
        <v>44589</v>
      </c>
      <c r="B206" s="48">
        <v>77.755889999999994</v>
      </c>
      <c r="C206" s="48">
        <v>65.310469999999995</v>
      </c>
      <c r="D206" s="48">
        <v>112.38179</v>
      </c>
      <c r="E206" s="48">
        <v>91.939160000000001</v>
      </c>
      <c r="F206" s="48">
        <v>25.471450000000001</v>
      </c>
      <c r="G206" s="48">
        <v>42.519959999999998</v>
      </c>
      <c r="H206">
        <v>86.82</v>
      </c>
      <c r="I206" s="48">
        <v>4.3099999999999996</v>
      </c>
      <c r="J206" s="49">
        <v>500.72017</v>
      </c>
      <c r="K206" s="49">
        <v>8151.0080799999996</v>
      </c>
      <c r="L206" s="50">
        <v>7.8578365232097269E-2</v>
      </c>
      <c r="M206" s="50">
        <v>4.3092623594645829E-2</v>
      </c>
      <c r="N206" s="50">
        <v>2.9154517882488129E-2</v>
      </c>
      <c r="O206" s="50">
        <v>9.0132256518502762E-2</v>
      </c>
      <c r="P206" s="50">
        <v>1.1722523387055706E-2</v>
      </c>
      <c r="Q206" s="50">
        <v>0.11773621926156785</v>
      </c>
      <c r="R206" s="47">
        <v>5.8367628128852059E-2</v>
      </c>
      <c r="S206" s="50">
        <v>1.973220577871726E-2</v>
      </c>
      <c r="T206" s="50">
        <v>-4.730327144120261E-2</v>
      </c>
      <c r="U206" s="50">
        <v>5.0139333426004074E-2</v>
      </c>
      <c r="V206" s="50">
        <v>7.8494927850678575E-3</v>
      </c>
      <c r="W206" s="50">
        <f t="shared" si="139"/>
        <v>5.8367628128852059E-2</v>
      </c>
      <c r="AO206" t="str">
        <f t="shared" si="140"/>
        <v/>
      </c>
      <c r="AQ206" s="3">
        <v>44589</v>
      </c>
      <c r="AR206" s="59">
        <v>7.8578365232097269E-2</v>
      </c>
      <c r="AS206" s="59">
        <v>4.3092623594645829E-2</v>
      </c>
      <c r="AT206" s="59">
        <v>2.9154517882488129E-2</v>
      </c>
      <c r="AU206" s="59">
        <v>9.0132256518502762E-2</v>
      </c>
      <c r="AV206" s="59">
        <v>1.1722523387055706E-2</v>
      </c>
      <c r="AW206" s="59">
        <v>0.11773621926156785</v>
      </c>
      <c r="AX206" s="59">
        <v>5.8367628128852059E-2</v>
      </c>
      <c r="AY206" s="59">
        <v>1.973220577871726E-2</v>
      </c>
      <c r="AZ206" s="59">
        <v>-4.730327144120261E-2</v>
      </c>
      <c r="BA206" s="59">
        <v>5.0139333426004074E-2</v>
      </c>
      <c r="BB206" s="59">
        <v>7.8494927850678575E-3</v>
      </c>
    </row>
    <row r="207" spans="1:54" x14ac:dyDescent="0.45">
      <c r="A207" s="3">
        <v>44582</v>
      </c>
      <c r="B207" s="48">
        <v>72.091089999999994</v>
      </c>
      <c r="C207" s="48">
        <v>62.612340000000003</v>
      </c>
      <c r="D207" s="48">
        <v>109.19817</v>
      </c>
      <c r="E207" s="48">
        <v>84.337620000000001</v>
      </c>
      <c r="F207" s="48">
        <v>25.17632</v>
      </c>
      <c r="G207" s="48">
        <v>38.041139999999999</v>
      </c>
      <c r="H207">
        <v>85.14</v>
      </c>
      <c r="I207" s="48">
        <v>4.524</v>
      </c>
      <c r="J207" s="49">
        <v>476.81308000000001</v>
      </c>
      <c r="K207" s="49">
        <v>8087.5251099999996</v>
      </c>
      <c r="L207" s="50">
        <v>-4.6345404529823941E-2</v>
      </c>
      <c r="M207" s="50">
        <v>4.1741998300939276E-3</v>
      </c>
      <c r="N207" s="50">
        <v>-1.5896422984899239E-2</v>
      </c>
      <c r="O207" s="50">
        <v>-4.7335134569121529E-2</v>
      </c>
      <c r="P207" s="50">
        <v>-4.1510416627009383E-2</v>
      </c>
      <c r="Q207" s="50">
        <v>-8.4738985197468253E-2</v>
      </c>
      <c r="R207" s="47">
        <v>-3.7061351909680892E-2</v>
      </c>
      <c r="S207" s="50">
        <v>2.2088835534213702E-2</v>
      </c>
      <c r="T207" s="50">
        <v>2.3413640990838314E-2</v>
      </c>
      <c r="U207" s="50">
        <v>-3.0833389077178031E-2</v>
      </c>
      <c r="V207" s="50">
        <v>-5.6732427213235903E-2</v>
      </c>
      <c r="W207" s="50">
        <f t="shared" si="139"/>
        <v>-3.7061351909680892E-2</v>
      </c>
      <c r="AO207" t="str">
        <f t="shared" si="140"/>
        <v/>
      </c>
      <c r="AQ207" s="3">
        <v>44582</v>
      </c>
      <c r="AR207" s="59">
        <v>-4.6345404529823941E-2</v>
      </c>
      <c r="AS207" s="59">
        <v>4.1741998300939276E-3</v>
      </c>
      <c r="AT207" s="59">
        <v>-1.5896422984899239E-2</v>
      </c>
      <c r="AU207" s="59">
        <v>-4.7335134569121529E-2</v>
      </c>
      <c r="AV207" s="59">
        <v>-4.1510416627009383E-2</v>
      </c>
      <c r="AW207" s="59">
        <v>-8.4738985197468253E-2</v>
      </c>
      <c r="AX207" s="59">
        <v>-3.7061351909680892E-2</v>
      </c>
      <c r="AY207" s="59">
        <v>2.2088835534213702E-2</v>
      </c>
      <c r="AZ207" s="59">
        <v>2.3413640990838314E-2</v>
      </c>
      <c r="BA207" s="59">
        <v>-3.0833389077178031E-2</v>
      </c>
      <c r="BB207" s="59">
        <v>-5.6732427213235903E-2</v>
      </c>
    </row>
    <row r="208" spans="1:54" x14ac:dyDescent="0.45">
      <c r="A208" s="3">
        <v>44575</v>
      </c>
      <c r="B208" s="48">
        <v>75.594549999999998</v>
      </c>
      <c r="C208" s="48">
        <v>62.352069999999998</v>
      </c>
      <c r="D208" s="48">
        <v>110.96207</v>
      </c>
      <c r="E208" s="48">
        <v>88.528109999999998</v>
      </c>
      <c r="F208" s="48">
        <v>26.266660000000002</v>
      </c>
      <c r="G208" s="48">
        <v>41.563160000000003</v>
      </c>
      <c r="H208">
        <v>83.3</v>
      </c>
      <c r="I208" s="48">
        <v>4.4204999999999997</v>
      </c>
      <c r="J208" s="49">
        <v>491.98257000000001</v>
      </c>
      <c r="K208" s="49">
        <v>8573.9458699999996</v>
      </c>
      <c r="L208" s="50">
        <v>7.5644917673792778E-2</v>
      </c>
      <c r="M208" s="50">
        <v>4.3408886904590549E-2</v>
      </c>
      <c r="N208" s="50">
        <v>3.1432447593919166E-2</v>
      </c>
      <c r="O208" s="50">
        <v>8.4011257892555147E-2</v>
      </c>
      <c r="P208" s="50">
        <v>7.9878406756861198E-2</v>
      </c>
      <c r="Q208" s="50">
        <v>3.0681011121382884E-2</v>
      </c>
      <c r="R208" s="47">
        <v>5.3882402053861786E-2</v>
      </c>
      <c r="S208" s="50">
        <v>6.1958184599693933E-2</v>
      </c>
      <c r="T208" s="50">
        <v>2.3809523809523725E-3</v>
      </c>
      <c r="U208" s="50">
        <v>5.2198328703389807E-2</v>
      </c>
      <c r="V208" s="50">
        <v>-2.9308575456379327E-3</v>
      </c>
      <c r="W208" s="50">
        <f t="shared" si="139"/>
        <v>5.3882402053861786E-2</v>
      </c>
      <c r="AO208" t="str">
        <f t="shared" si="140"/>
        <v/>
      </c>
      <c r="AQ208" s="3">
        <v>44575</v>
      </c>
      <c r="AR208" s="59">
        <v>7.5644917673792778E-2</v>
      </c>
      <c r="AS208" s="59">
        <v>4.3408886904590549E-2</v>
      </c>
      <c r="AT208" s="59">
        <v>3.1432447593919166E-2</v>
      </c>
      <c r="AU208" s="59">
        <v>8.4011257892555147E-2</v>
      </c>
      <c r="AV208" s="59">
        <v>7.9878406756861198E-2</v>
      </c>
      <c r="AW208" s="59">
        <v>3.0681011121382884E-2</v>
      </c>
      <c r="AX208" s="59">
        <v>5.3882402053861786E-2</v>
      </c>
      <c r="AY208" s="59">
        <v>6.1958184599693933E-2</v>
      </c>
      <c r="AZ208" s="59">
        <v>2.3809523809523725E-3</v>
      </c>
      <c r="BA208" s="59">
        <v>5.2198328703389807E-2</v>
      </c>
      <c r="BB208" s="59">
        <v>-2.9308575456379327E-3</v>
      </c>
    </row>
    <row r="209" spans="1:54" x14ac:dyDescent="0.45">
      <c r="A209" s="3">
        <v>44568</v>
      </c>
      <c r="B209" s="48">
        <v>70.278350000000003</v>
      </c>
      <c r="C209" s="48">
        <v>59.758040000000001</v>
      </c>
      <c r="D209" s="48">
        <v>107.58055</v>
      </c>
      <c r="E209" s="48">
        <v>81.667150000000007</v>
      </c>
      <c r="F209" s="48">
        <v>24.323720000000002</v>
      </c>
      <c r="G209" s="48">
        <v>40.325920000000004</v>
      </c>
      <c r="H209">
        <v>78.44</v>
      </c>
      <c r="I209" s="48">
        <v>4.41</v>
      </c>
      <c r="J209" s="49">
        <v>467.57589000000002</v>
      </c>
      <c r="K209" s="49">
        <v>8599.1487500000003</v>
      </c>
      <c r="L209" s="50">
        <v>0.11720694884699889</v>
      </c>
      <c r="M209" s="50">
        <v>0.1256740656043116</v>
      </c>
      <c r="N209" s="50">
        <v>6.5445322770444792E-2</v>
      </c>
      <c r="O209" s="50">
        <v>0.10503204258236076</v>
      </c>
      <c r="P209" s="50">
        <v>0.11415706662391512</v>
      </c>
      <c r="Q209" s="50">
        <v>0.10987528396471169</v>
      </c>
      <c r="R209" s="47">
        <v>0.1040367563091488</v>
      </c>
      <c r="S209" s="50">
        <v>4.2946416699906953E-2</v>
      </c>
      <c r="T209" s="50">
        <v>-1.1986109555281677E-2</v>
      </c>
      <c r="U209" s="50">
        <v>0.10606941232041311</v>
      </c>
      <c r="V209" s="50">
        <v>-1.8428506224247299E-2</v>
      </c>
      <c r="W209" s="50">
        <f t="shared" si="139"/>
        <v>0.1040367563091488</v>
      </c>
      <c r="AO209" t="str">
        <f t="shared" si="140"/>
        <v/>
      </c>
      <c r="AQ209" s="3">
        <v>44568</v>
      </c>
      <c r="AR209" s="59">
        <v>0.11720694884699889</v>
      </c>
      <c r="AS209" s="59">
        <v>0.1256740656043116</v>
      </c>
      <c r="AT209" s="59">
        <v>6.5445322770444792E-2</v>
      </c>
      <c r="AU209" s="59">
        <v>0.10503204258236076</v>
      </c>
      <c r="AV209" s="59">
        <v>0.11415706662391512</v>
      </c>
      <c r="AW209" s="59">
        <v>0.10987528396471169</v>
      </c>
      <c r="AX209" s="59">
        <v>0.1040367563091488</v>
      </c>
      <c r="AY209" s="59">
        <v>4.2946416699906953E-2</v>
      </c>
      <c r="AZ209" s="59">
        <v>-1.1986109555281677E-2</v>
      </c>
      <c r="BA209" s="59">
        <v>0.10606941232041311</v>
      </c>
      <c r="BB209" s="59">
        <v>-1.8428506224247299E-2</v>
      </c>
    </row>
    <row r="210" spans="1:54" x14ac:dyDescent="0.45">
      <c r="A210" s="3">
        <v>44561</v>
      </c>
      <c r="B210" s="48">
        <v>62.9054</v>
      </c>
      <c r="C210" s="48">
        <v>53.086449999999999</v>
      </c>
      <c r="D210" s="48">
        <v>100.97238</v>
      </c>
      <c r="E210" s="48">
        <v>73.904780000000002</v>
      </c>
      <c r="F210" s="48">
        <v>21.831499999999998</v>
      </c>
      <c r="G210" s="48">
        <v>36.333739999999999</v>
      </c>
      <c r="H210">
        <v>75.209999999999994</v>
      </c>
      <c r="I210" s="48">
        <v>4.4634999999999998</v>
      </c>
      <c r="J210" s="49">
        <v>422.73647999999997</v>
      </c>
      <c r="K210" s="49">
        <v>8760.5933999999997</v>
      </c>
      <c r="L210" s="50">
        <v>1.671964253331204E-2</v>
      </c>
      <c r="M210" s="50">
        <v>2.7860388643825562E-3</v>
      </c>
      <c r="N210" s="50">
        <v>8.0748918993203134E-3</v>
      </c>
      <c r="O210" s="50">
        <v>1.8926402287762434E-2</v>
      </c>
      <c r="P210" s="50">
        <v>-1.2606828329317255E-2</v>
      </c>
      <c r="Q210" s="50">
        <v>4.7562455166750839E-2</v>
      </c>
      <c r="R210" s="47">
        <v>1.2948591977779778E-2</v>
      </c>
      <c r="S210" s="50">
        <v>1.9243799972895825E-2</v>
      </c>
      <c r="T210" s="50">
        <v>1.732193732193732E-2</v>
      </c>
      <c r="U210" s="50">
        <v>1.0427877486475889E-2</v>
      </c>
      <c r="V210" s="50">
        <v>8.6731088457328021E-3</v>
      </c>
      <c r="W210" s="50">
        <f t="shared" si="139"/>
        <v>1.2948591977779778E-2</v>
      </c>
      <c r="AO210">
        <f t="shared" si="140"/>
        <v>1</v>
      </c>
    </row>
    <row r="211" spans="1:54" x14ac:dyDescent="0.45">
      <c r="A211" s="3">
        <v>44553</v>
      </c>
      <c r="B211" s="48">
        <v>61.870939999999997</v>
      </c>
      <c r="C211" s="48">
        <v>52.938960000000002</v>
      </c>
      <c r="D211" s="48">
        <v>100.16357000000001</v>
      </c>
      <c r="E211" s="48">
        <v>72.53201</v>
      </c>
      <c r="F211" s="48">
        <v>22.110240000000001</v>
      </c>
      <c r="G211" s="48">
        <v>34.684080000000002</v>
      </c>
      <c r="H211">
        <v>73.790000000000006</v>
      </c>
      <c r="I211" s="48">
        <v>4.3875000000000002</v>
      </c>
      <c r="J211" s="49">
        <v>418.37373000000002</v>
      </c>
      <c r="K211" s="49">
        <v>8685.2651499999993</v>
      </c>
      <c r="L211" s="50">
        <v>3.7603890880007818E-2</v>
      </c>
      <c r="M211" s="50">
        <v>1.6491721305290197E-2</v>
      </c>
      <c r="N211" s="50">
        <v>2.4735911764543594E-2</v>
      </c>
      <c r="O211" s="50">
        <v>3.7857199786338835E-2</v>
      </c>
      <c r="P211" s="50">
        <v>2.5475674552524641E-2</v>
      </c>
      <c r="Q211" s="50">
        <v>7.2703947506782551E-2</v>
      </c>
      <c r="R211" s="47">
        <v>3.5452890983095967E-2</v>
      </c>
      <c r="S211" s="50">
        <v>4.3410633484163075E-2</v>
      </c>
      <c r="T211" s="50">
        <v>2.2608087635473728E-2</v>
      </c>
      <c r="U211" s="50">
        <v>2.3718256807627736E-2</v>
      </c>
      <c r="V211" s="50">
        <v>2.2903046935049742E-2</v>
      </c>
      <c r="W211" s="50">
        <f t="shared" si="139"/>
        <v>3.5452890983095967E-2</v>
      </c>
      <c r="AO211">
        <f t="shared" si="140"/>
        <v>1</v>
      </c>
    </row>
    <row r="212" spans="1:54" x14ac:dyDescent="0.45">
      <c r="A212" s="3">
        <v>44547</v>
      </c>
      <c r="B212" s="48">
        <v>59.62867</v>
      </c>
      <c r="C212" s="48">
        <v>52.080069999999999</v>
      </c>
      <c r="D212" s="48">
        <v>97.745739999999998</v>
      </c>
      <c r="E212" s="48">
        <v>69.886309999999995</v>
      </c>
      <c r="F212" s="48">
        <v>21.560960000000001</v>
      </c>
      <c r="G212" s="48">
        <v>32.333320000000001</v>
      </c>
      <c r="H212">
        <v>70.72</v>
      </c>
      <c r="I212" s="48">
        <v>4.2904999999999998</v>
      </c>
      <c r="J212" s="49">
        <v>408.68054000000001</v>
      </c>
      <c r="K212" s="49">
        <v>8490.7999600000003</v>
      </c>
      <c r="L212" s="50">
        <v>-6.6403621363817056E-2</v>
      </c>
      <c r="M212" s="50">
        <v>-4.7294066340293317E-2</v>
      </c>
      <c r="N212" s="50">
        <v>-4.0054124647357914E-2</v>
      </c>
      <c r="O212" s="50">
        <v>-4.1561061159971269E-2</v>
      </c>
      <c r="P212" s="50">
        <v>-4.0496285203785232E-2</v>
      </c>
      <c r="Q212" s="50">
        <v>-9.7190212793285435E-2</v>
      </c>
      <c r="R212" s="47">
        <v>-5.3319150028938632E-2</v>
      </c>
      <c r="S212" s="50">
        <v>-1.0632344711807518E-2</v>
      </c>
      <c r="T212" s="50">
        <v>1.5172735760971001E-3</v>
      </c>
      <c r="U212" s="50">
        <v>-5.0931965557523995E-2</v>
      </c>
      <c r="V212" s="50">
        <v>-1.9197762284921427E-2</v>
      </c>
      <c r="W212" s="50">
        <f t="shared" si="139"/>
        <v>-5.3319150028938632E-2</v>
      </c>
      <c r="AO212">
        <f t="shared" si="140"/>
        <v>1</v>
      </c>
    </row>
    <row r="213" spans="1:54" x14ac:dyDescent="0.45">
      <c r="A213" s="3">
        <v>44540</v>
      </c>
      <c r="B213" s="48">
        <v>63.869860000000003</v>
      </c>
      <c r="C213" s="48">
        <v>54.665419999999997</v>
      </c>
      <c r="D213" s="48">
        <v>101.82422</v>
      </c>
      <c r="E213" s="48">
        <v>72.916809999999998</v>
      </c>
      <c r="F213" s="48">
        <v>22.470949999999998</v>
      </c>
      <c r="G213" s="48">
        <v>35.814100000000003</v>
      </c>
      <c r="H213">
        <v>71.48</v>
      </c>
      <c r="I213" s="48">
        <v>4.2839999999999998</v>
      </c>
      <c r="J213" s="49">
        <v>430.61248000000001</v>
      </c>
      <c r="K213" s="49">
        <v>8656.9948899999999</v>
      </c>
      <c r="L213" s="50">
        <v>3.3469301104942506E-2</v>
      </c>
      <c r="M213" s="50">
        <v>3.4816827565423036E-2</v>
      </c>
      <c r="N213" s="50">
        <v>3.4350134646855324E-2</v>
      </c>
      <c r="O213" s="50">
        <v>4.2911865229067203E-2</v>
      </c>
      <c r="P213" s="50">
        <v>1.858025796596241E-2</v>
      </c>
      <c r="Q213" s="50">
        <v>5.9315466542359641E-2</v>
      </c>
      <c r="R213" s="47">
        <v>3.7994910389933523E-2</v>
      </c>
      <c r="S213" s="50">
        <v>7.8780561424690587E-2</v>
      </c>
      <c r="T213" s="50">
        <v>4.1017227235438103E-3</v>
      </c>
      <c r="U213" s="50">
        <v>3.6921923149793257E-2</v>
      </c>
      <c r="V213" s="50">
        <v>3.8391161101745785E-2</v>
      </c>
      <c r="W213" s="50">
        <f t="shared" si="139"/>
        <v>3.7994910389933523E-2</v>
      </c>
      <c r="AO213">
        <f t="shared" si="140"/>
        <v>1</v>
      </c>
    </row>
    <row r="214" spans="1:54" x14ac:dyDescent="0.45">
      <c r="A214" s="3">
        <v>44533</v>
      </c>
      <c r="B214" s="48">
        <v>61.801409999999997</v>
      </c>
      <c r="C214" s="48">
        <v>52.826180000000001</v>
      </c>
      <c r="D214" s="48">
        <v>98.442700000000002</v>
      </c>
      <c r="E214" s="48">
        <v>69.916560000000004</v>
      </c>
      <c r="F214" s="48">
        <v>22.061050000000002</v>
      </c>
      <c r="G214" s="48">
        <v>33.808720000000001</v>
      </c>
      <c r="H214">
        <v>66.260000000000005</v>
      </c>
      <c r="I214" s="48">
        <v>4.2664999999999997</v>
      </c>
      <c r="J214" s="49">
        <v>415.27956</v>
      </c>
      <c r="K214" s="49">
        <v>8336.9304499999998</v>
      </c>
      <c r="L214" s="50">
        <v>-5.1761852338998438E-3</v>
      </c>
      <c r="M214" s="50">
        <v>-5.877471136746415E-3</v>
      </c>
      <c r="N214" s="50">
        <v>-8.7324774476971179E-4</v>
      </c>
      <c r="O214" s="50">
        <v>-1.6357795508844641E-2</v>
      </c>
      <c r="P214" s="50">
        <v>3.6594849317952205E-2</v>
      </c>
      <c r="Q214" s="50">
        <v>-2.1779751202640085E-2</v>
      </c>
      <c r="R214" s="47">
        <v>-1.6586832550097297E-3</v>
      </c>
      <c r="S214" s="50">
        <v>-2.7732942039618513E-2</v>
      </c>
      <c r="T214" s="50">
        <v>-3.9687171705381497E-3</v>
      </c>
      <c r="U214" s="50">
        <v>-8.2704476674521077E-3</v>
      </c>
      <c r="V214" s="50">
        <v>-1.1893811455907177E-2</v>
      </c>
      <c r="W214" s="50">
        <f t="shared" si="139"/>
        <v>-1.6586832550097297E-3</v>
      </c>
      <c r="AO214">
        <f t="shared" si="140"/>
        <v>1</v>
      </c>
    </row>
    <row r="215" spans="1:54" x14ac:dyDescent="0.45">
      <c r="A215" s="3">
        <v>44526</v>
      </c>
      <c r="B215" s="48">
        <v>62.122970000000002</v>
      </c>
      <c r="C215" s="48">
        <v>53.138500000000001</v>
      </c>
      <c r="D215" s="48">
        <v>98.528739999999999</v>
      </c>
      <c r="E215" s="48">
        <v>71.079260000000005</v>
      </c>
      <c r="F215" s="48">
        <v>21.282229999999998</v>
      </c>
      <c r="G215" s="48">
        <v>34.561459999999997</v>
      </c>
      <c r="H215">
        <v>68.150000000000006</v>
      </c>
      <c r="I215" s="48">
        <v>4.2835000000000001</v>
      </c>
      <c r="J215" s="49">
        <v>418.74275</v>
      </c>
      <c r="K215" s="49">
        <v>8437.2818900000002</v>
      </c>
      <c r="L215" s="50">
        <v>2.6863969839544533E-2</v>
      </c>
      <c r="M215" s="50">
        <v>9.5599322963995093E-3</v>
      </c>
      <c r="N215" s="50">
        <v>2.3232971515687817E-2</v>
      </c>
      <c r="O215" s="50">
        <v>2.0308191403081821E-2</v>
      </c>
      <c r="P215" s="50">
        <v>-1.0293634827317155E-2</v>
      </c>
      <c r="Q215" s="50">
        <v>5.1724012011544085E-2</v>
      </c>
      <c r="R215" s="47">
        <v>1.8906294479879217E-2</v>
      </c>
      <c r="S215" s="50">
        <v>-0.10258098498814838</v>
      </c>
      <c r="T215" s="50">
        <v>-2.8133862733976112E-2</v>
      </c>
      <c r="U215" s="50">
        <v>1.6593175721882902E-2</v>
      </c>
      <c r="V215" s="50">
        <v>-2.1878931862141959E-2</v>
      </c>
      <c r="W215" s="50">
        <f t="shared" si="139"/>
        <v>1.8906294479879217E-2</v>
      </c>
      <c r="AO215">
        <f t="shared" si="140"/>
        <v>1</v>
      </c>
    </row>
    <row r="216" spans="1:54" x14ac:dyDescent="0.45">
      <c r="A216" s="3">
        <v>44519</v>
      </c>
      <c r="B216" s="48">
        <v>60.49776</v>
      </c>
      <c r="C216" s="48">
        <v>52.635309999999997</v>
      </c>
      <c r="D216" s="48">
        <v>96.291600000000003</v>
      </c>
      <c r="E216" s="48">
        <v>69.664500000000004</v>
      </c>
      <c r="F216" s="48">
        <v>21.503579999999999</v>
      </c>
      <c r="G216" s="48">
        <v>32.861719999999998</v>
      </c>
      <c r="H216">
        <v>75.94</v>
      </c>
      <c r="I216" s="48">
        <v>4.4074999999999998</v>
      </c>
      <c r="J216" s="49">
        <v>411.90789000000001</v>
      </c>
      <c r="K216" s="49">
        <v>8626.0097700000006</v>
      </c>
      <c r="L216" s="50">
        <v>-3.8004521705170657E-2</v>
      </c>
      <c r="M216" s="50">
        <v>-4.9357618052978114E-2</v>
      </c>
      <c r="N216" s="50">
        <v>-8.9869975573464433E-3</v>
      </c>
      <c r="O216" s="50">
        <v>-9.6583696321299706E-2</v>
      </c>
      <c r="P216" s="50">
        <v>-4.2001464825477286E-2</v>
      </c>
      <c r="Q216" s="50">
        <v>-4.6500541284278496E-2</v>
      </c>
      <c r="R216" s="47">
        <v>-4.8686063608276008E-2</v>
      </c>
      <c r="S216" s="50">
        <v>-4.7057347220479384E-2</v>
      </c>
      <c r="T216" s="50">
        <v>-9.4392628385211452E-3</v>
      </c>
      <c r="U216" s="50">
        <v>-5.2222898546442797E-2</v>
      </c>
      <c r="V216" s="50">
        <v>3.5112558481018574E-3</v>
      </c>
      <c r="W216" s="50">
        <f t="shared" si="139"/>
        <v>-4.8686063608276008E-2</v>
      </c>
      <c r="AO216">
        <f t="shared" si="140"/>
        <v>1</v>
      </c>
    </row>
    <row r="217" spans="1:54" x14ac:dyDescent="0.45">
      <c r="A217" s="3">
        <v>44512</v>
      </c>
      <c r="B217" s="48">
        <v>62.887779999999999</v>
      </c>
      <c r="C217" s="48">
        <v>55.36815</v>
      </c>
      <c r="D217" s="48">
        <v>97.164820000000006</v>
      </c>
      <c r="E217" s="48">
        <v>77.112290000000002</v>
      </c>
      <c r="F217" s="48">
        <v>22.446359999999999</v>
      </c>
      <c r="G217" s="48">
        <v>34.464329999999997</v>
      </c>
      <c r="H217">
        <v>79.69</v>
      </c>
      <c r="I217" s="48">
        <v>4.4494999999999996</v>
      </c>
      <c r="J217" s="49">
        <v>434.60417999999999</v>
      </c>
      <c r="K217" s="49">
        <v>8595.82762</v>
      </c>
      <c r="L217" s="50">
        <v>-4.0954181337276352E-2</v>
      </c>
      <c r="M217" s="50">
        <v>-5.2647095759180695E-3</v>
      </c>
      <c r="N217" s="50">
        <v>-4.4448369818305133E-3</v>
      </c>
      <c r="O217" s="50">
        <v>-2.943756371221351E-3</v>
      </c>
      <c r="P217" s="50">
        <v>-5.4992184481678086E-3</v>
      </c>
      <c r="Q217" s="50">
        <v>-2.294625490414548E-2</v>
      </c>
      <c r="R217" s="47">
        <v>-8.2197552562566448E-3</v>
      </c>
      <c r="S217" s="50">
        <v>-1.9441368278577564E-2</v>
      </c>
      <c r="T217" s="50">
        <v>2.4522219663826839E-2</v>
      </c>
      <c r="U217" s="50">
        <v>-1.6739008957113777E-2</v>
      </c>
      <c r="V217" s="50">
        <v>-2.8455051586615543E-3</v>
      </c>
      <c r="W217" s="50">
        <f t="shared" si="139"/>
        <v>-8.2197552562566448E-3</v>
      </c>
      <c r="AO217">
        <f t="shared" si="140"/>
        <v>1</v>
      </c>
    </row>
    <row r="218" spans="1:54" x14ac:dyDescent="0.45">
      <c r="A218" s="3">
        <v>44505</v>
      </c>
      <c r="B218" s="48">
        <v>65.573279999999997</v>
      </c>
      <c r="C218" s="48">
        <v>55.661189999999998</v>
      </c>
      <c r="D218" s="48">
        <v>97.59863</v>
      </c>
      <c r="E218" s="48">
        <v>77.339960000000005</v>
      </c>
      <c r="F218" s="48">
        <v>22.57048</v>
      </c>
      <c r="G218" s="48">
        <v>35.27373</v>
      </c>
      <c r="H218">
        <v>81.27</v>
      </c>
      <c r="I218" s="48">
        <v>4.343</v>
      </c>
      <c r="J218" s="49">
        <v>442.00286999999997</v>
      </c>
      <c r="K218" s="49">
        <v>8620.3568899999991</v>
      </c>
      <c r="L218" s="50">
        <v>1.2887604757259696E-2</v>
      </c>
      <c r="M218" s="50">
        <v>8.5310188228524542E-3</v>
      </c>
      <c r="N218" s="50">
        <v>2.1836821053382582E-3</v>
      </c>
      <c r="O218" s="50">
        <v>2.8769239384776046E-2</v>
      </c>
      <c r="P218" s="50">
        <v>-3.2650045344904233E-2</v>
      </c>
      <c r="Q218" s="50">
        <v>8.7325139338296998E-2</v>
      </c>
      <c r="R218" s="47">
        <v>1.8831806861271904E-2</v>
      </c>
      <c r="S218" s="50">
        <v>-2.752183798013641E-2</v>
      </c>
      <c r="T218" s="50">
        <v>-5.7234432234433141E-3</v>
      </c>
      <c r="U218" s="50">
        <v>1.3316171873171134E-2</v>
      </c>
      <c r="V218" s="50">
        <v>2.0181713965780501E-2</v>
      </c>
      <c r="W218" s="50">
        <f t="shared" si="139"/>
        <v>1.8831806861271904E-2</v>
      </c>
      <c r="AO218">
        <f t="shared" si="140"/>
        <v>1</v>
      </c>
    </row>
    <row r="219" spans="1:54" x14ac:dyDescent="0.45">
      <c r="A219" s="3">
        <v>44498</v>
      </c>
      <c r="B219" s="48">
        <v>64.738950000000003</v>
      </c>
      <c r="C219" s="48">
        <v>55.190359999999998</v>
      </c>
      <c r="D219" s="48">
        <v>97.38597</v>
      </c>
      <c r="E219" s="48">
        <v>75.177170000000004</v>
      </c>
      <c r="F219" s="48">
        <v>23.332280000000001</v>
      </c>
      <c r="G219" s="48">
        <v>32.440829999999998</v>
      </c>
      <c r="H219">
        <v>83.57</v>
      </c>
      <c r="I219" s="48">
        <v>4.3680000000000003</v>
      </c>
      <c r="J219" s="49">
        <v>436.19443000000001</v>
      </c>
      <c r="K219" s="49">
        <v>8449.8249400000004</v>
      </c>
      <c r="L219" s="50">
        <v>-1.0334029147771262E-2</v>
      </c>
      <c r="M219" s="50">
        <v>2.1387934820366272E-2</v>
      </c>
      <c r="N219" s="50">
        <v>1.4982211802275103E-2</v>
      </c>
      <c r="O219" s="50">
        <v>5.0000568157892999E-3</v>
      </c>
      <c r="P219" s="50">
        <v>-2.4398524991229631E-2</v>
      </c>
      <c r="Q219" s="50">
        <v>-8.9019348219996353E-3</v>
      </c>
      <c r="R219" s="47">
        <v>1.6139487250402818E-3</v>
      </c>
      <c r="S219" s="50">
        <v>-2.2683858643745003E-3</v>
      </c>
      <c r="T219" s="50">
        <v>-2.8901734104046173E-2</v>
      </c>
      <c r="U219" s="50">
        <v>-7.6574695602094067E-3</v>
      </c>
      <c r="V219" s="50">
        <v>1.3438805594087055E-2</v>
      </c>
      <c r="W219" s="50">
        <f t="shared" si="139"/>
        <v>1.6139487250402818E-3</v>
      </c>
      <c r="AO219">
        <f t="shared" si="140"/>
        <v>1</v>
      </c>
    </row>
    <row r="220" spans="1:54" x14ac:dyDescent="0.45">
      <c r="A220" s="3">
        <v>44491</v>
      </c>
      <c r="B220" s="48">
        <v>65.414950000000005</v>
      </c>
      <c r="C220" s="48">
        <v>54.034669999999998</v>
      </c>
      <c r="D220" s="48">
        <v>95.948449999999994</v>
      </c>
      <c r="E220" s="48">
        <v>74.803150000000002</v>
      </c>
      <c r="F220" s="48">
        <v>23.915790000000001</v>
      </c>
      <c r="G220" s="48">
        <v>32.732210000000002</v>
      </c>
      <c r="H220">
        <v>83.76</v>
      </c>
      <c r="I220" s="48">
        <v>4.4980000000000002</v>
      </c>
      <c r="J220" s="49">
        <v>439.56035000000003</v>
      </c>
      <c r="K220" s="49">
        <v>8337.7752</v>
      </c>
      <c r="L220" s="50">
        <v>2.1311013680254121E-2</v>
      </c>
      <c r="M220" s="50">
        <v>8.4677467518312621E-3</v>
      </c>
      <c r="N220" s="50">
        <v>2.9103230642652189E-2</v>
      </c>
      <c r="O220" s="50">
        <v>2.655650221365935E-2</v>
      </c>
      <c r="P220" s="50">
        <v>-1.403271827333008E-2</v>
      </c>
      <c r="Q220" s="50">
        <v>8.4785972341270277E-3</v>
      </c>
      <c r="R220" s="47">
        <v>1.171467171378795E-2</v>
      </c>
      <c r="S220" s="50">
        <v>2.483788082711369E-2</v>
      </c>
      <c r="T220" s="50">
        <v>-4.8948091764457025E-2</v>
      </c>
      <c r="U220" s="50">
        <v>1.1794569865192894E-2</v>
      </c>
      <c r="V220" s="50">
        <v>1.6525579361380993E-2</v>
      </c>
      <c r="W220" s="50">
        <f t="shared" si="139"/>
        <v>1.171467171378795E-2</v>
      </c>
      <c r="AO220">
        <f t="shared" si="140"/>
        <v>1</v>
      </c>
    </row>
    <row r="221" spans="1:54" x14ac:dyDescent="0.45">
      <c r="A221" s="3">
        <v>44484</v>
      </c>
      <c r="B221" s="48">
        <v>64.049980000000005</v>
      </c>
      <c r="C221" s="48">
        <v>53.580959999999997</v>
      </c>
      <c r="D221" s="48">
        <v>93.235010000000003</v>
      </c>
      <c r="E221" s="48">
        <v>72.868030000000005</v>
      </c>
      <c r="F221" s="48">
        <v>24.256170000000001</v>
      </c>
      <c r="G221" s="48">
        <v>32.45702</v>
      </c>
      <c r="H221">
        <v>81.73</v>
      </c>
      <c r="I221" s="48">
        <v>4.7294999999999998</v>
      </c>
      <c r="J221" s="49">
        <v>434.43635999999998</v>
      </c>
      <c r="K221" s="49">
        <v>8202.2286199999999</v>
      </c>
      <c r="L221" s="50">
        <v>-1.0411157683344774E-2</v>
      </c>
      <c r="M221" s="50">
        <v>6.5938417774797919E-3</v>
      </c>
      <c r="N221" s="50">
        <v>1.4437687571940083E-2</v>
      </c>
      <c r="O221" s="50">
        <v>-5.514514462464537E-3</v>
      </c>
      <c r="P221" s="50">
        <v>3.6716057360905996E-2</v>
      </c>
      <c r="Q221" s="50">
        <v>6.0211835565215921E-3</v>
      </c>
      <c r="R221" s="47">
        <v>1.1650851160876585E-2</v>
      </c>
      <c r="S221" s="50">
        <v>2.9993698802772695E-2</v>
      </c>
      <c r="T221" s="50">
        <v>0.10618641094608816</v>
      </c>
      <c r="U221" s="50">
        <v>1.1576387731601967E-2</v>
      </c>
      <c r="V221" s="50">
        <v>1.8317897335199396E-2</v>
      </c>
      <c r="W221" s="50">
        <f t="shared" si="139"/>
        <v>1.1650851160876585E-2</v>
      </c>
      <c r="AO221">
        <f t="shared" si="140"/>
        <v>1</v>
      </c>
    </row>
    <row r="222" spans="1:54" x14ac:dyDescent="0.45">
      <c r="A222" s="3">
        <v>44477</v>
      </c>
      <c r="B222" s="48">
        <v>64.723830000000007</v>
      </c>
      <c r="C222" s="48">
        <v>53.229970000000002</v>
      </c>
      <c r="D222" s="48">
        <v>91.908069999999995</v>
      </c>
      <c r="E222" s="48">
        <v>73.272090000000006</v>
      </c>
      <c r="F222" s="48">
        <v>23.397120000000001</v>
      </c>
      <c r="G222" s="48">
        <v>32.26276</v>
      </c>
      <c r="H222">
        <v>79.349999999999994</v>
      </c>
      <c r="I222" s="48">
        <v>4.2755000000000001</v>
      </c>
      <c r="J222" s="49">
        <v>429.46471000000003</v>
      </c>
      <c r="K222" s="49">
        <v>8054.6837500000001</v>
      </c>
      <c r="L222" s="50">
        <v>6.8758978728463482E-2</v>
      </c>
      <c r="M222" s="50">
        <v>2.0515380688111096E-2</v>
      </c>
      <c r="N222" s="50">
        <v>3.5656120691685445E-2</v>
      </c>
      <c r="O222" s="50">
        <v>7.8894108393150475E-2</v>
      </c>
      <c r="P222" s="50">
        <v>4.601466299652146E-2</v>
      </c>
      <c r="Q222" s="50">
        <v>8.2858071133594224E-2</v>
      </c>
      <c r="R222" s="47">
        <v>5.2787668780612543E-2</v>
      </c>
      <c r="S222" s="50">
        <v>4.5730100158144493E-2</v>
      </c>
      <c r="T222" s="50">
        <v>2.0771159126178773E-2</v>
      </c>
      <c r="U222" s="50">
        <v>5.0179652942246245E-2</v>
      </c>
      <c r="V222" s="50">
        <v>8.169497532312775E-3</v>
      </c>
      <c r="W222" s="50">
        <f t="shared" si="139"/>
        <v>5.2787668780612543E-2</v>
      </c>
      <c r="AO222">
        <f t="shared" si="140"/>
        <v>1</v>
      </c>
    </row>
    <row r="223" spans="1:54" x14ac:dyDescent="0.45">
      <c r="A223" s="3">
        <v>44470</v>
      </c>
      <c r="B223" s="48">
        <v>60.559800000000003</v>
      </c>
      <c r="C223" s="48">
        <v>52.159889999999997</v>
      </c>
      <c r="D223" s="48">
        <v>88.743809999999996</v>
      </c>
      <c r="E223" s="48">
        <v>67.914069999999995</v>
      </c>
      <c r="F223" s="48">
        <v>22.36787</v>
      </c>
      <c r="G223" s="48">
        <v>29.794080000000001</v>
      </c>
      <c r="H223">
        <v>75.88</v>
      </c>
      <c r="I223" s="48">
        <v>4.1885000000000003</v>
      </c>
      <c r="J223" s="49">
        <v>408.94403999999997</v>
      </c>
      <c r="K223" s="49">
        <v>7989.4142499999998</v>
      </c>
      <c r="L223" s="50">
        <v>7.8129773357003884E-2</v>
      </c>
      <c r="M223" s="50">
        <v>5.7996204511746585E-2</v>
      </c>
      <c r="N223" s="50">
        <v>3.7077492913783372E-2</v>
      </c>
      <c r="O223" s="50">
        <v>7.4391836693368463E-2</v>
      </c>
      <c r="P223" s="50">
        <v>5.1829026003858747E-2</v>
      </c>
      <c r="Q223" s="50">
        <v>0.1124204769349042</v>
      </c>
      <c r="R223" s="47">
        <v>6.6743007411532274E-2</v>
      </c>
      <c r="S223" s="50">
        <v>2.5682616923492718E-2</v>
      </c>
      <c r="T223" s="50">
        <v>-2.2292250233426625E-2</v>
      </c>
      <c r="U223" s="50">
        <v>5.7871333188487695E-2</v>
      </c>
      <c r="V223" s="50">
        <v>-2.1923402036144402E-2</v>
      </c>
      <c r="W223" s="50">
        <f t="shared" si="139"/>
        <v>6.6743007411532274E-2</v>
      </c>
      <c r="AO223">
        <f t="shared" si="140"/>
        <v>1</v>
      </c>
    </row>
    <row r="224" spans="1:54" x14ac:dyDescent="0.45">
      <c r="A224" s="3">
        <v>44463</v>
      </c>
      <c r="B224" s="48">
        <v>56.17116</v>
      </c>
      <c r="C224" s="48">
        <v>49.300640000000001</v>
      </c>
      <c r="D224" s="48">
        <v>85.57105</v>
      </c>
      <c r="E224" s="48">
        <v>63.211640000000003</v>
      </c>
      <c r="F224" s="48">
        <v>21.265689999999999</v>
      </c>
      <c r="G224" s="48">
        <v>26.783110000000001</v>
      </c>
      <c r="H224">
        <v>73.98</v>
      </c>
      <c r="I224" s="48">
        <v>4.2839999999999998</v>
      </c>
      <c r="J224" s="49">
        <v>386.57256999999998</v>
      </c>
      <c r="K224" s="49">
        <v>8168.4954600000001</v>
      </c>
      <c r="L224" s="50">
        <v>0.10353008388384288</v>
      </c>
      <c r="M224" s="50">
        <v>4.405362003421831E-2</v>
      </c>
      <c r="N224" s="50">
        <v>3.9685816317703182E-2</v>
      </c>
      <c r="O224" s="50">
        <v>5.1851733521833143E-2</v>
      </c>
      <c r="P224" s="50">
        <v>3.9619638176195293E-2</v>
      </c>
      <c r="Q224" s="50">
        <v>0.11077559463969933</v>
      </c>
      <c r="R224" s="47">
        <v>5.719728053792985E-2</v>
      </c>
      <c r="S224" s="50">
        <v>3.0075187969925032E-2</v>
      </c>
      <c r="T224" s="50">
        <v>9.7819681791397883E-3</v>
      </c>
      <c r="U224" s="50">
        <v>4.6972223692252069E-2</v>
      </c>
      <c r="V224" s="50">
        <v>5.1474913223090724E-3</v>
      </c>
      <c r="W224" s="50">
        <f t="shared" si="139"/>
        <v>5.719728053792985E-2</v>
      </c>
      <c r="AO224">
        <f t="shared" si="140"/>
        <v>1</v>
      </c>
    </row>
    <row r="225" spans="1:41" x14ac:dyDescent="0.45">
      <c r="A225" s="3">
        <v>44456</v>
      </c>
      <c r="B225" s="48">
        <v>50.901339999999998</v>
      </c>
      <c r="C225" s="48">
        <v>47.220410000000001</v>
      </c>
      <c r="D225" s="48">
        <v>82.304720000000003</v>
      </c>
      <c r="E225" s="48">
        <v>60.095579999999998</v>
      </c>
      <c r="F225" s="48">
        <v>20.455259999999999</v>
      </c>
      <c r="G225" s="48">
        <v>24.112079999999999</v>
      </c>
      <c r="H225">
        <v>71.819999999999993</v>
      </c>
      <c r="I225" s="48">
        <v>4.2424999999999997</v>
      </c>
      <c r="J225" s="49">
        <v>369.22906</v>
      </c>
      <c r="K225" s="49">
        <v>8126.6635299999998</v>
      </c>
      <c r="L225" s="50">
        <v>5.7240264298953791E-2</v>
      </c>
      <c r="M225" s="50">
        <v>2.1859864021539943E-2</v>
      </c>
      <c r="N225" s="50">
        <v>7.1822785243851328E-3</v>
      </c>
      <c r="O225" s="50">
        <v>0.10589818326761558</v>
      </c>
      <c r="P225" s="50">
        <v>3.0204164681494339E-2</v>
      </c>
      <c r="Q225" s="50">
        <v>6.1275330756151769E-2</v>
      </c>
      <c r="R225" s="47">
        <v>4.5283964250237355E-2</v>
      </c>
      <c r="S225" s="50">
        <v>3.38275514610622E-2</v>
      </c>
      <c r="T225" s="50">
        <v>-4.6200539568345467E-2</v>
      </c>
      <c r="U225" s="50">
        <v>3.312239746115897E-2</v>
      </c>
      <c r="V225" s="50">
        <v>-5.5190240088794917E-3</v>
      </c>
      <c r="W225" s="50">
        <f t="shared" si="139"/>
        <v>4.5283964250237355E-2</v>
      </c>
      <c r="AO225">
        <f t="shared" si="140"/>
        <v>1</v>
      </c>
    </row>
    <row r="226" spans="1:41" x14ac:dyDescent="0.45">
      <c r="A226" s="3">
        <v>44449</v>
      </c>
      <c r="B226" s="48">
        <v>48.145479999999999</v>
      </c>
      <c r="C226" s="48">
        <v>46.210259999999998</v>
      </c>
      <c r="D226" s="48">
        <v>81.717799999999997</v>
      </c>
      <c r="E226" s="48">
        <v>54.340969999999999</v>
      </c>
      <c r="F226" s="48">
        <v>19.855540000000001</v>
      </c>
      <c r="G226" s="48">
        <v>22.719909999999999</v>
      </c>
      <c r="H226">
        <v>69.47</v>
      </c>
      <c r="I226" s="48">
        <v>4.4480000000000004</v>
      </c>
      <c r="J226" s="49">
        <v>357.39139999999998</v>
      </c>
      <c r="K226" s="49">
        <v>8171.7636899999998</v>
      </c>
      <c r="L226" s="50">
        <v>-9.0682370481909302E-3</v>
      </c>
      <c r="M226" s="50">
        <v>-1.6220036766466994E-2</v>
      </c>
      <c r="N226" s="50">
        <v>-1.4565575962856347E-2</v>
      </c>
      <c r="O226" s="50">
        <v>-1.2501787696035604E-2</v>
      </c>
      <c r="P226" s="50">
        <v>-1.1299412522171037E-2</v>
      </c>
      <c r="Q226" s="50">
        <v>-2.0845894238008755E-2</v>
      </c>
      <c r="R226" s="47">
        <v>-1.5086541437107748E-2</v>
      </c>
      <c r="S226" s="50">
        <v>2.5977774570644652E-3</v>
      </c>
      <c r="T226" s="50">
        <v>2.8320425384348757E-2</v>
      </c>
      <c r="U226" s="50">
        <v>-1.7837209003225496E-2</v>
      </c>
      <c r="V226" s="50">
        <v>-1.6809058015561873E-2</v>
      </c>
      <c r="W226" s="50">
        <f t="shared" si="139"/>
        <v>-1.5086541437107748E-2</v>
      </c>
      <c r="AO226">
        <f t="shared" si="140"/>
        <v>1</v>
      </c>
    </row>
    <row r="227" spans="1:41" x14ac:dyDescent="0.45">
      <c r="A227" s="3">
        <v>44442</v>
      </c>
      <c r="B227" s="48">
        <v>48.586069999999999</v>
      </c>
      <c r="C227" s="48">
        <v>46.972149999999999</v>
      </c>
      <c r="D227" s="48">
        <v>82.925659999999993</v>
      </c>
      <c r="E227" s="48">
        <v>55.028930000000003</v>
      </c>
      <c r="F227" s="48">
        <v>20.082460000000001</v>
      </c>
      <c r="G227" s="48">
        <v>23.203610000000001</v>
      </c>
      <c r="H227">
        <v>69.290000000000006</v>
      </c>
      <c r="I227" s="48">
        <v>4.3254999999999999</v>
      </c>
      <c r="J227" s="49">
        <v>363.88204000000002</v>
      </c>
      <c r="K227" s="49">
        <v>8311.4717000000001</v>
      </c>
      <c r="L227" s="50">
        <v>-8.8120654404237886E-3</v>
      </c>
      <c r="M227" s="50">
        <v>-1.6137785512773561E-2</v>
      </c>
      <c r="N227" s="50">
        <v>-1.1658581619486852E-2</v>
      </c>
      <c r="O227" s="50">
        <v>-2.3553178615345449E-2</v>
      </c>
      <c r="P227" s="50">
        <v>-6.4154544820361759E-3</v>
      </c>
      <c r="Q227" s="50">
        <v>-3.919634653280446E-2</v>
      </c>
      <c r="R227" s="47">
        <v>-1.9392269352489298E-2</v>
      </c>
      <c r="S227" s="50">
        <v>8.0011638056445289E-3</v>
      </c>
      <c r="T227" s="50">
        <v>1.6209331943961569E-3</v>
      </c>
      <c r="U227" s="50">
        <v>-1.4425257786966461E-2</v>
      </c>
      <c r="V227" s="50">
        <v>6.0803532308280062E-3</v>
      </c>
      <c r="W227" s="50">
        <f t="shared" si="139"/>
        <v>-1.9392269352489298E-2</v>
      </c>
      <c r="AO227">
        <f t="shared" si="140"/>
        <v>1</v>
      </c>
    </row>
    <row r="228" spans="1:41" x14ac:dyDescent="0.45">
      <c r="A228" s="3">
        <v>44435</v>
      </c>
      <c r="B228" s="48">
        <v>49.01802</v>
      </c>
      <c r="C228" s="48">
        <v>47.742609999999999</v>
      </c>
      <c r="D228" s="48">
        <v>83.903859999999995</v>
      </c>
      <c r="E228" s="48">
        <v>56.356299999999997</v>
      </c>
      <c r="F228" s="48">
        <v>20.212129999999998</v>
      </c>
      <c r="G228" s="48">
        <v>24.150210000000001</v>
      </c>
      <c r="H228">
        <v>68.739999999999995</v>
      </c>
      <c r="I228" s="48">
        <v>4.3185000000000002</v>
      </c>
      <c r="J228" s="49">
        <v>369.20796000000001</v>
      </c>
      <c r="K228" s="49">
        <v>8261.2404399999996</v>
      </c>
      <c r="L228" s="50">
        <v>7.5232225103321504E-2</v>
      </c>
      <c r="M228" s="50">
        <v>5.7451658673088213E-2</v>
      </c>
      <c r="N228" s="50">
        <v>4.6023411395420766E-2</v>
      </c>
      <c r="O228" s="50">
        <v>8.0037240350510075E-2</v>
      </c>
      <c r="P228" s="50">
        <v>5.4991578181461165E-2</v>
      </c>
      <c r="Q228" s="50">
        <v>0.18132293321645765</v>
      </c>
      <c r="R228" s="47">
        <v>8.3965364363387571E-2</v>
      </c>
      <c r="S228" s="50">
        <v>0.10621177985194707</v>
      </c>
      <c r="T228" s="50">
        <v>4.3872371283538936E-2</v>
      </c>
      <c r="U228" s="50">
        <v>7.3423834501848528E-2</v>
      </c>
      <c r="V228" s="50">
        <v>1.5369231513105319E-2</v>
      </c>
      <c r="W228" s="50">
        <f t="shared" si="139"/>
        <v>8.3965364363387571E-2</v>
      </c>
      <c r="AO228">
        <f t="shared" si="140"/>
        <v>1</v>
      </c>
    </row>
    <row r="229" spans="1:41" x14ac:dyDescent="0.45">
      <c r="A229" s="3">
        <v>44428</v>
      </c>
      <c r="B229" s="48">
        <v>45.58831</v>
      </c>
      <c r="C229" s="48">
        <v>45.148739999999997</v>
      </c>
      <c r="D229" s="48">
        <v>80.212220000000002</v>
      </c>
      <c r="E229" s="48">
        <v>52.179960000000001</v>
      </c>
      <c r="F229" s="48">
        <v>19.158570000000001</v>
      </c>
      <c r="G229" s="48">
        <v>20.443359999999998</v>
      </c>
      <c r="H229">
        <v>62.14</v>
      </c>
      <c r="I229" s="48">
        <v>4.1369999999999996</v>
      </c>
      <c r="J229" s="49">
        <v>343.95357000000001</v>
      </c>
      <c r="K229" s="49">
        <v>8136.1934000000001</v>
      </c>
      <c r="L229" s="50">
        <v>-5.7173512769992052E-2</v>
      </c>
      <c r="M229" s="50">
        <v>-7.0988156671777269E-2</v>
      </c>
      <c r="N229" s="50">
        <v>-6.2658181548771563E-2</v>
      </c>
      <c r="O229" s="50">
        <v>-5.1911776489392714E-2</v>
      </c>
      <c r="P229" s="50">
        <v>-6.2648704318449266E-2</v>
      </c>
      <c r="Q229" s="50">
        <v>-8.2470298511682971E-2</v>
      </c>
      <c r="R229" s="47">
        <v>-6.6135423508014754E-2</v>
      </c>
      <c r="S229" s="50">
        <v>-8.8989884181205015E-2</v>
      </c>
      <c r="T229" s="50">
        <v>-5.795286348628037E-2</v>
      </c>
      <c r="U229" s="50">
        <v>-7.3258860888397392E-2</v>
      </c>
      <c r="V229" s="50">
        <v>-5.6174374037092356E-3</v>
      </c>
      <c r="W229" s="50">
        <f t="shared" si="139"/>
        <v>-6.6135423508014754E-2</v>
      </c>
      <c r="AO229">
        <f t="shared" si="140"/>
        <v>1</v>
      </c>
    </row>
    <row r="230" spans="1:41" x14ac:dyDescent="0.45">
      <c r="A230" s="3">
        <v>44421</v>
      </c>
      <c r="B230" s="48">
        <v>48.352809999999998</v>
      </c>
      <c r="C230" s="48">
        <v>48.598669999999998</v>
      </c>
      <c r="D230" s="48">
        <v>85.57414</v>
      </c>
      <c r="E230" s="48">
        <v>55.037030000000001</v>
      </c>
      <c r="F230" s="48">
        <v>20.439050000000002</v>
      </c>
      <c r="G230" s="48">
        <v>22.28087</v>
      </c>
      <c r="H230">
        <v>68.209999999999994</v>
      </c>
      <c r="I230" s="48">
        <v>4.3914999999999997</v>
      </c>
      <c r="J230" s="49">
        <v>371.14308999999997</v>
      </c>
      <c r="K230" s="49">
        <v>8182.1561499999998</v>
      </c>
      <c r="L230" s="50">
        <v>-9.3805290153712306E-3</v>
      </c>
      <c r="M230" s="50">
        <v>-3.9880508086567179E-3</v>
      </c>
      <c r="N230" s="50">
        <v>9.8053251446961198E-5</v>
      </c>
      <c r="O230" s="50">
        <v>-4.1308357232241577E-2</v>
      </c>
      <c r="P230" s="50">
        <v>-9.3898503587297455E-4</v>
      </c>
      <c r="Q230" s="50">
        <v>3.7023263693827468E-2</v>
      </c>
      <c r="R230" s="47">
        <v>-1.8228152262993679E-3</v>
      </c>
      <c r="S230" s="50">
        <v>-1.0251903925015959E-3</v>
      </c>
      <c r="T230" s="50">
        <v>1.0004599816007431E-2</v>
      </c>
      <c r="U230" s="50">
        <v>-8.1356306709896575E-3</v>
      </c>
      <c r="V230" s="50">
        <v>7.3912927466615042E-3</v>
      </c>
      <c r="W230" s="50">
        <f t="shared" si="139"/>
        <v>-1.8228152262993679E-3</v>
      </c>
      <c r="AO230">
        <f t="shared" si="140"/>
        <v>1</v>
      </c>
    </row>
    <row r="231" spans="1:41" x14ac:dyDescent="0.45">
      <c r="A231" s="3">
        <v>44414</v>
      </c>
      <c r="B231" s="48">
        <v>48.810679999999998</v>
      </c>
      <c r="C231" s="48">
        <v>48.793259999999997</v>
      </c>
      <c r="D231" s="48">
        <v>85.565749999999994</v>
      </c>
      <c r="E231" s="48">
        <v>57.408479999999997</v>
      </c>
      <c r="F231" s="48">
        <v>20.458259999999999</v>
      </c>
      <c r="G231" s="48">
        <v>21.485410000000002</v>
      </c>
      <c r="H231">
        <v>68.28</v>
      </c>
      <c r="I231" s="48">
        <v>4.3479999999999999</v>
      </c>
      <c r="J231" s="49">
        <v>374.18734000000001</v>
      </c>
      <c r="K231" s="49">
        <v>8122.1231600000001</v>
      </c>
      <c r="L231" s="50">
        <v>7.8487632602224355E-3</v>
      </c>
      <c r="M231" s="50">
        <v>5.03741603791652E-3</v>
      </c>
      <c r="N231" s="50">
        <v>1.3751013040055327E-3</v>
      </c>
      <c r="O231" s="50">
        <v>-2.6489149840191462E-2</v>
      </c>
      <c r="P231" s="50">
        <v>5.7071744900590193E-2</v>
      </c>
      <c r="Q231" s="50">
        <v>4.5278651326799979E-2</v>
      </c>
      <c r="R231" s="47">
        <v>1.6454752745824152E-2</v>
      </c>
      <c r="S231" s="50">
        <v>-7.6673427991886478E-2</v>
      </c>
      <c r="T231" s="50">
        <v>-3.0005577244841097E-2</v>
      </c>
      <c r="U231" s="50">
        <v>3.2187735983564281E-3</v>
      </c>
      <c r="V231" s="50">
        <v>9.5300892524050607E-3</v>
      </c>
      <c r="W231" s="50">
        <f t="shared" si="139"/>
        <v>1.6454752745824152E-2</v>
      </c>
      <c r="AO231">
        <f t="shared" si="140"/>
        <v>1</v>
      </c>
    </row>
    <row r="232" spans="1:41" x14ac:dyDescent="0.45">
      <c r="A232" s="3">
        <v>44407</v>
      </c>
      <c r="B232" s="48">
        <v>48.43056</v>
      </c>
      <c r="C232" s="48">
        <v>48.548699999999997</v>
      </c>
      <c r="D232" s="48">
        <v>85.448250000000002</v>
      </c>
      <c r="E232" s="48">
        <v>58.970559999999999</v>
      </c>
      <c r="F232" s="48">
        <v>19.35371</v>
      </c>
      <c r="G232" s="48">
        <v>20.55472</v>
      </c>
      <c r="H232">
        <v>73.95</v>
      </c>
      <c r="I232" s="48">
        <v>4.4824999999999999</v>
      </c>
      <c r="J232" s="49">
        <v>372.98678000000001</v>
      </c>
      <c r="K232" s="49">
        <v>8045.44931</v>
      </c>
      <c r="L232" s="50">
        <v>1.3010434326077736E-2</v>
      </c>
      <c r="M232" s="50">
        <v>9.2915519099507904E-3</v>
      </c>
      <c r="N232" s="50">
        <v>2.9840185295485266E-2</v>
      </c>
      <c r="O232" s="50">
        <v>4.8269403523215626E-3</v>
      </c>
      <c r="P232" s="50">
        <v>2.7187928742214762E-2</v>
      </c>
      <c r="Q232" s="50">
        <v>8.5869678288024165E-3</v>
      </c>
      <c r="R232" s="47">
        <v>1.5946714825754958E-2</v>
      </c>
      <c r="S232" s="50">
        <v>2.6085749965311544E-2</v>
      </c>
      <c r="T232" s="50">
        <v>1.8749999999999822E-2</v>
      </c>
      <c r="U232" s="50">
        <v>1.5838491097916352E-2</v>
      </c>
      <c r="V232" s="50">
        <v>-3.5942688422244684E-3</v>
      </c>
      <c r="W232" s="50">
        <f t="shared" si="139"/>
        <v>1.5946714825754958E-2</v>
      </c>
      <c r="AO232">
        <f t="shared" si="140"/>
        <v>1</v>
      </c>
    </row>
    <row r="233" spans="1:41" x14ac:dyDescent="0.45">
      <c r="A233" s="3">
        <v>44400</v>
      </c>
      <c r="B233" s="48">
        <v>47.808549999999997</v>
      </c>
      <c r="C233" s="48">
        <v>48.101759999999999</v>
      </c>
      <c r="D233" s="48">
        <v>82.972340000000003</v>
      </c>
      <c r="E233" s="48">
        <v>58.687280000000001</v>
      </c>
      <c r="F233" s="48">
        <v>18.841449999999998</v>
      </c>
      <c r="G233" s="48">
        <v>20.379719999999999</v>
      </c>
      <c r="H233">
        <v>72.069999999999993</v>
      </c>
      <c r="I233" s="48">
        <v>4.4000000000000004</v>
      </c>
      <c r="J233" s="49">
        <v>367.17133999999999</v>
      </c>
      <c r="K233" s="49">
        <v>8074.4711299999999</v>
      </c>
      <c r="L233" s="50">
        <v>4.7407717509015956E-3</v>
      </c>
      <c r="M233" s="50">
        <v>-4.8847818729327308E-3</v>
      </c>
      <c r="N233" s="50">
        <v>2.4335844561815811E-3</v>
      </c>
      <c r="O233" s="50">
        <v>-1.8941869151973156E-2</v>
      </c>
      <c r="P233" s="50">
        <v>-1.3825273126870208E-2</v>
      </c>
      <c r="Q233" s="50">
        <v>-6.2066611400986016E-3</v>
      </c>
      <c r="R233" s="47">
        <v>-8.2850001671386231E-3</v>
      </c>
      <c r="S233" s="50">
        <v>7.1268865287870131E-3</v>
      </c>
      <c r="T233" s="50">
        <v>1.7811704834605591E-2</v>
      </c>
      <c r="U233" s="50">
        <v>-3.8814758658700654E-3</v>
      </c>
      <c r="V233" s="50">
        <v>1.9677139197278759E-2</v>
      </c>
      <c r="W233" s="50">
        <f t="shared" si="139"/>
        <v>-8.2850001671386231E-3</v>
      </c>
      <c r="AO233">
        <f t="shared" si="140"/>
        <v>1</v>
      </c>
    </row>
    <row r="234" spans="1:41" x14ac:dyDescent="0.45">
      <c r="A234" s="3">
        <v>44393</v>
      </c>
      <c r="B234" s="48">
        <v>47.582970000000003</v>
      </c>
      <c r="C234" s="48">
        <v>48.337879999999998</v>
      </c>
      <c r="D234" s="48">
        <v>82.770910000000001</v>
      </c>
      <c r="E234" s="48">
        <v>59.820390000000003</v>
      </c>
      <c r="F234" s="48">
        <v>19.105589999999999</v>
      </c>
      <c r="G234" s="48">
        <v>20.507000000000001</v>
      </c>
      <c r="H234">
        <v>71.56</v>
      </c>
      <c r="I234" s="48">
        <v>4.3230000000000004</v>
      </c>
      <c r="J234" s="49">
        <v>368.60205999999999</v>
      </c>
      <c r="K234" s="49">
        <v>7918.6546600000001</v>
      </c>
      <c r="L234" s="50">
        <v>-7.6999757528732782E-2</v>
      </c>
      <c r="M234" s="50">
        <v>-6.3857625750505798E-2</v>
      </c>
      <c r="N234" s="50">
        <v>-5.2368514571634495E-2</v>
      </c>
      <c r="O234" s="50">
        <v>-8.894292787039737E-2</v>
      </c>
      <c r="P234" s="50">
        <v>-8.2275617193219075E-2</v>
      </c>
      <c r="Q234" s="50">
        <v>-0.10017433107634621</v>
      </c>
      <c r="R234" s="47">
        <v>-7.752380329242059E-2</v>
      </c>
      <c r="S234" s="50">
        <v>-3.0483674298875441E-2</v>
      </c>
      <c r="T234" s="50">
        <v>-5.1777701070072624E-3</v>
      </c>
      <c r="U234" s="50">
        <v>-7.716613072416989E-2</v>
      </c>
      <c r="V234" s="50">
        <v>-9.6013351081190024E-3</v>
      </c>
      <c r="W234" s="50">
        <f t="shared" si="139"/>
        <v>-7.752380329242059E-2</v>
      </c>
      <c r="AO234">
        <f t="shared" si="140"/>
        <v>1</v>
      </c>
    </row>
    <row r="235" spans="1:41" x14ac:dyDescent="0.45">
      <c r="A235" s="3">
        <v>44386</v>
      </c>
      <c r="B235" s="48">
        <v>51.552500000000002</v>
      </c>
      <c r="C235" s="48">
        <v>51.635179999999998</v>
      </c>
      <c r="D235" s="48">
        <v>87.345039999999997</v>
      </c>
      <c r="E235" s="48">
        <v>65.660420000000002</v>
      </c>
      <c r="F235" s="48">
        <v>20.818439999999999</v>
      </c>
      <c r="G235" s="48">
        <v>22.78997</v>
      </c>
      <c r="H235">
        <v>73.81</v>
      </c>
      <c r="I235" s="48">
        <v>4.3455000000000004</v>
      </c>
      <c r="J235" s="49">
        <v>399.42406999999997</v>
      </c>
      <c r="K235" s="49">
        <v>7995.4213799999998</v>
      </c>
      <c r="L235" s="50">
        <v>-4.1753006946628535E-2</v>
      </c>
      <c r="M235" s="50">
        <v>-3.0710789586414267E-2</v>
      </c>
      <c r="N235" s="50">
        <v>-1.8855555541826385E-2</v>
      </c>
      <c r="O235" s="50">
        <v>-3.7076003049190898E-2</v>
      </c>
      <c r="P235" s="50">
        <v>-3.5952586799711028E-2</v>
      </c>
      <c r="Q235" s="50">
        <v>-1.9842727343886368E-2</v>
      </c>
      <c r="R235" s="47">
        <v>-2.8487532464205788E-2</v>
      </c>
      <c r="S235" s="50">
        <v>-1.7961681745609304E-2</v>
      </c>
      <c r="T235" s="50">
        <v>1.6253507951356605E-2</v>
      </c>
      <c r="U235" s="50">
        <v>-3.4081939206691558E-2</v>
      </c>
      <c r="V235" s="50">
        <v>4.1367626343586927E-3</v>
      </c>
      <c r="W235" s="50">
        <f t="shared" si="139"/>
        <v>-2.8487532464205788E-2</v>
      </c>
      <c r="AO235">
        <f t="shared" si="140"/>
        <v>1</v>
      </c>
    </row>
    <row r="236" spans="1:41" x14ac:dyDescent="0.45">
      <c r="A236" s="3">
        <v>44379</v>
      </c>
      <c r="B236" s="48">
        <v>53.798760000000001</v>
      </c>
      <c r="C236" s="48">
        <v>53.271180000000001</v>
      </c>
      <c r="D236" s="48">
        <v>89.023629999999997</v>
      </c>
      <c r="E236" s="48">
        <v>68.188580000000002</v>
      </c>
      <c r="F236" s="48">
        <v>21.594830000000002</v>
      </c>
      <c r="G236" s="48">
        <v>23.251339999999999</v>
      </c>
      <c r="H236">
        <v>75.16</v>
      </c>
      <c r="I236" s="48">
        <v>4.2759999999999998</v>
      </c>
      <c r="J236" s="49">
        <v>413.51755000000003</v>
      </c>
      <c r="K236" s="49">
        <v>7962.4824799999997</v>
      </c>
      <c r="L236" s="50">
        <v>2.3487097106813071E-2</v>
      </c>
      <c r="M236" s="50">
        <v>-2.3043521557579272E-2</v>
      </c>
      <c r="N236" s="50">
        <v>-1.1463205766725548E-2</v>
      </c>
      <c r="O236" s="50">
        <v>-2.1448925788579487E-2</v>
      </c>
      <c r="P236" s="50">
        <v>-1.2445254189309085E-2</v>
      </c>
      <c r="Q236" s="50">
        <v>-1.780894887113682E-2</v>
      </c>
      <c r="R236" s="47">
        <v>-1.7241971234666042E-2</v>
      </c>
      <c r="S236" s="50">
        <v>1.4989871708305236E-2</v>
      </c>
      <c r="T236" s="50">
        <v>-3.7278657968312645E-3</v>
      </c>
      <c r="U236" s="50">
        <v>-1.0804830052956738E-2</v>
      </c>
      <c r="V236" s="50">
        <v>1.6955989419700668E-2</v>
      </c>
      <c r="W236" s="50">
        <f t="shared" si="139"/>
        <v>-1.7241971234666042E-2</v>
      </c>
      <c r="AO236">
        <f t="shared" si="140"/>
        <v>1</v>
      </c>
    </row>
    <row r="237" spans="1:41" x14ac:dyDescent="0.45">
      <c r="A237" s="3">
        <v>44372</v>
      </c>
      <c r="B237" s="48">
        <v>52.56418</v>
      </c>
      <c r="C237" s="48">
        <v>54.52769</v>
      </c>
      <c r="D237" s="48">
        <v>90.055959999999999</v>
      </c>
      <c r="E237" s="48">
        <v>69.683210000000003</v>
      </c>
      <c r="F237" s="48">
        <v>21.866969999999998</v>
      </c>
      <c r="G237" s="48">
        <v>23.672930000000001</v>
      </c>
      <c r="H237">
        <v>74.05</v>
      </c>
      <c r="I237" s="48">
        <v>4.2919999999999998</v>
      </c>
      <c r="J237" s="49">
        <v>418.03433999999999</v>
      </c>
      <c r="K237" s="49">
        <v>7829.7218000000003</v>
      </c>
      <c r="L237" s="50">
        <v>6.5704932284662343E-2</v>
      </c>
      <c r="M237" s="50">
        <v>7.0529755037965769E-2</v>
      </c>
      <c r="N237" s="50">
        <v>4.1444311916271959E-2</v>
      </c>
      <c r="O237" s="50">
        <v>0.10515699786068078</v>
      </c>
      <c r="P237" s="50">
        <v>4.6743301254925651E-2</v>
      </c>
      <c r="Q237" s="50">
        <v>0.11252343317860825</v>
      </c>
      <c r="R237" s="47">
        <v>7.5279559849690481E-2</v>
      </c>
      <c r="S237" s="50">
        <v>3.8715107308177732E-2</v>
      </c>
      <c r="T237" s="50">
        <v>3.2475342795285078E-2</v>
      </c>
      <c r="U237" s="50">
        <v>6.6632656297518356E-2</v>
      </c>
      <c r="V237" s="50">
        <v>2.7530038001169377E-2</v>
      </c>
      <c r="W237" s="50">
        <f t="shared" si="139"/>
        <v>7.5279559849690481E-2</v>
      </c>
      <c r="AO237">
        <f t="shared" si="140"/>
        <v>1</v>
      </c>
    </row>
    <row r="238" spans="1:41" x14ac:dyDescent="0.45">
      <c r="A238" s="3">
        <v>44365</v>
      </c>
      <c r="B238" s="48">
        <v>49.323390000000003</v>
      </c>
      <c r="C238" s="48">
        <v>50.93524</v>
      </c>
      <c r="D238" s="48">
        <v>86.472179999999994</v>
      </c>
      <c r="E238" s="48">
        <v>63.052770000000002</v>
      </c>
      <c r="F238" s="48">
        <v>20.89048</v>
      </c>
      <c r="G238" s="48">
        <v>21.278590000000001</v>
      </c>
      <c r="H238">
        <v>71.290000000000006</v>
      </c>
      <c r="I238" s="48">
        <v>4.157</v>
      </c>
      <c r="J238" s="49">
        <v>391.91969</v>
      </c>
      <c r="K238" s="49">
        <v>7619.9444400000002</v>
      </c>
      <c r="L238" s="50">
        <v>-4.0687086905792369E-2</v>
      </c>
      <c r="M238" s="50">
        <v>-2.8470348219306274E-2</v>
      </c>
      <c r="N238" s="50">
        <v>-4.5222855951643881E-2</v>
      </c>
      <c r="O238" s="50">
        <v>-7.1746227009246155E-2</v>
      </c>
      <c r="P238" s="50">
        <v>-5.2287658791474567E-2</v>
      </c>
      <c r="Q238" s="50">
        <v>-8.6718949176490367E-2</v>
      </c>
      <c r="R238" s="47">
        <v>-5.6889207829632249E-2</v>
      </c>
      <c r="S238" s="50">
        <v>1.9593821510297538E-2</v>
      </c>
      <c r="T238" s="50">
        <v>-8.385674931129472E-2</v>
      </c>
      <c r="U238" s="50">
        <v>-5.2124602276324872E-2</v>
      </c>
      <c r="V238" s="50">
        <v>-1.8810516871944682E-2</v>
      </c>
      <c r="W238" s="50">
        <f t="shared" si="139"/>
        <v>-5.6889207829632249E-2</v>
      </c>
      <c r="AO238">
        <f t="shared" si="140"/>
        <v>1</v>
      </c>
    </row>
    <row r="239" spans="1:41" x14ac:dyDescent="0.45">
      <c r="A239" s="3">
        <v>44358</v>
      </c>
      <c r="B239" s="48">
        <v>51.415329999999997</v>
      </c>
      <c r="C239" s="48">
        <v>52.427880000000002</v>
      </c>
      <c r="D239" s="48">
        <v>90.567920000000001</v>
      </c>
      <c r="E239" s="48">
        <v>67.926220000000001</v>
      </c>
      <c r="F239" s="48">
        <v>22.043060000000001</v>
      </c>
      <c r="G239" s="48">
        <v>23.299060000000001</v>
      </c>
      <c r="H239">
        <v>69.92</v>
      </c>
      <c r="I239" s="48">
        <v>4.5374999999999996</v>
      </c>
      <c r="J239" s="49">
        <v>413.47174000000001</v>
      </c>
      <c r="K239" s="49">
        <v>7766.0274300000001</v>
      </c>
      <c r="L239" s="50">
        <v>2.0051667782703397E-3</v>
      </c>
      <c r="M239" s="50">
        <v>1.1716939369788459E-2</v>
      </c>
      <c r="N239" s="50">
        <v>-4.9792828347349216E-3</v>
      </c>
      <c r="O239" s="50">
        <v>-2.3096362891646183E-2</v>
      </c>
      <c r="P239" s="50">
        <v>3.6443075679026826E-3</v>
      </c>
      <c r="Q239" s="50">
        <v>-6.4030151496647925E-2</v>
      </c>
      <c r="R239" s="47">
        <v>-1.5348910057067577E-2</v>
      </c>
      <c r="S239" s="50">
        <v>4.3091065785694216E-3</v>
      </c>
      <c r="T239" s="50">
        <v>1.8767939942592182E-3</v>
      </c>
      <c r="U239" s="50">
        <v>-5.7141796315609561E-3</v>
      </c>
      <c r="V239" s="50">
        <v>4.2585039623734833E-3</v>
      </c>
      <c r="W239" s="50">
        <f t="shared" si="139"/>
        <v>-1.5348910057067577E-2</v>
      </c>
      <c r="AO239">
        <f t="shared" si="140"/>
        <v>1</v>
      </c>
    </row>
    <row r="240" spans="1:41" x14ac:dyDescent="0.45">
      <c r="A240" s="3">
        <v>44351</v>
      </c>
      <c r="B240" s="48">
        <v>51.312440000000002</v>
      </c>
      <c r="C240" s="48">
        <v>51.820700000000002</v>
      </c>
      <c r="D240" s="48">
        <v>91.021140000000003</v>
      </c>
      <c r="E240" s="48">
        <v>69.532160000000005</v>
      </c>
      <c r="F240" s="48">
        <v>21.96302</v>
      </c>
      <c r="G240" s="48">
        <v>24.892959999999999</v>
      </c>
      <c r="H240">
        <v>69.62</v>
      </c>
      <c r="I240" s="48">
        <v>4.5289999999999999</v>
      </c>
      <c r="J240" s="49">
        <v>415.84796999999998</v>
      </c>
      <c r="K240" s="49">
        <v>7733.0960100000002</v>
      </c>
      <c r="L240" s="50">
        <v>7.3735167266424595E-2</v>
      </c>
      <c r="M240" s="50">
        <v>5.2766837845623638E-2</v>
      </c>
      <c r="N240" s="50">
        <v>4.4898383699513822E-2</v>
      </c>
      <c r="O240" s="50">
        <v>8.862337024695166E-2</v>
      </c>
      <c r="P240" s="50">
        <v>4.613058734822828E-2</v>
      </c>
      <c r="Q240" s="50">
        <v>0.19201802036485094</v>
      </c>
      <c r="R240" s="47">
        <v>8.4887439901033673E-2</v>
      </c>
      <c r="S240" s="50">
        <v>4.975874547647785E-2</v>
      </c>
      <c r="T240" s="50">
        <v>-3.1747728487439897E-2</v>
      </c>
      <c r="U240" s="50">
        <v>6.6778532950585667E-2</v>
      </c>
      <c r="V240" s="50">
        <v>6.349759102535435E-3</v>
      </c>
      <c r="W240" s="50">
        <f t="shared" si="139"/>
        <v>8.4887439901033673E-2</v>
      </c>
      <c r="AO240">
        <f t="shared" si="140"/>
        <v>1</v>
      </c>
    </row>
    <row r="241" spans="1:41" x14ac:dyDescent="0.45">
      <c r="A241" s="3">
        <v>44344</v>
      </c>
      <c r="B241" s="48">
        <v>47.788730000000001</v>
      </c>
      <c r="C241" s="48">
        <v>49.22334</v>
      </c>
      <c r="D241" s="48">
        <v>87.110039999999998</v>
      </c>
      <c r="E241" s="48">
        <v>63.871639999999999</v>
      </c>
      <c r="F241" s="48">
        <v>20.994530000000001</v>
      </c>
      <c r="G241" s="48">
        <v>20.883040000000001</v>
      </c>
      <c r="H241">
        <v>66.319999999999993</v>
      </c>
      <c r="I241" s="48">
        <v>4.6775000000000002</v>
      </c>
      <c r="J241" s="49">
        <v>389.81659000000002</v>
      </c>
      <c r="K241" s="49">
        <v>7684.3025399999997</v>
      </c>
      <c r="L241" s="50">
        <v>1.6172177943420962E-3</v>
      </c>
      <c r="M241" s="50">
        <v>-9.3348060142700584E-3</v>
      </c>
      <c r="N241" s="50">
        <v>-3.1694642029748143E-3</v>
      </c>
      <c r="O241" s="50">
        <v>3.3721360956804336E-3</v>
      </c>
      <c r="P241" s="50">
        <v>-1.0935310093679318E-2</v>
      </c>
      <c r="Q241" s="50">
        <v>4.7731574925733877E-2</v>
      </c>
      <c r="R241" s="47">
        <v>5.5328261420980237E-3</v>
      </c>
      <c r="S241" s="50">
        <v>4.3095312991506596E-2</v>
      </c>
      <c r="T241" s="50">
        <v>4.3851818790448638E-2</v>
      </c>
      <c r="U241" s="50">
        <v>-2.3438863703173496E-4</v>
      </c>
      <c r="V241" s="50">
        <v>1.1850737724508065E-2</v>
      </c>
      <c r="W241" s="50">
        <f t="shared" si="139"/>
        <v>5.5328261420980237E-3</v>
      </c>
      <c r="AO241">
        <f t="shared" si="140"/>
        <v>1</v>
      </c>
    </row>
    <row r="242" spans="1:41" x14ac:dyDescent="0.45">
      <c r="A242" s="3">
        <v>44337</v>
      </c>
      <c r="B242" s="48">
        <v>47.711570000000002</v>
      </c>
      <c r="C242" s="48">
        <v>49.687159999999999</v>
      </c>
      <c r="D242" s="48">
        <v>87.387010000000004</v>
      </c>
      <c r="E242" s="48">
        <v>63.656979999999997</v>
      </c>
      <c r="F242" s="48">
        <v>21.226649999999999</v>
      </c>
      <c r="G242" s="48">
        <v>19.93167</v>
      </c>
      <c r="H242">
        <v>63.58</v>
      </c>
      <c r="I242" s="48">
        <v>4.4809999999999999</v>
      </c>
      <c r="J242" s="49">
        <v>389.90798000000001</v>
      </c>
      <c r="K242" s="49">
        <v>7594.3044300000001</v>
      </c>
      <c r="L242" s="50">
        <v>-1.5392879570476969E-2</v>
      </c>
      <c r="M242" s="50">
        <v>-3.0442603175272143E-2</v>
      </c>
      <c r="N242" s="50">
        <v>-3.7229289282559752E-2</v>
      </c>
      <c r="O242" s="50">
        <v>-3.062951006702308E-2</v>
      </c>
      <c r="P242" s="50">
        <v>-4.8779458714435231E-3</v>
      </c>
      <c r="Q242" s="50">
        <v>-3.9044409013615722E-2</v>
      </c>
      <c r="R242" s="47">
        <v>-2.8444751481982843E-2</v>
      </c>
      <c r="S242" s="50">
        <v>-2.7233782129743034E-2</v>
      </c>
      <c r="T242" s="50">
        <v>-3.7275754646041381E-2</v>
      </c>
      <c r="U242" s="50">
        <v>-2.8361834136212183E-2</v>
      </c>
      <c r="V242" s="50">
        <v>-4.0342393007319899E-3</v>
      </c>
      <c r="W242" s="50">
        <f t="shared" si="139"/>
        <v>-2.8444751481982843E-2</v>
      </c>
      <c r="AO242">
        <f t="shared" si="140"/>
        <v>1</v>
      </c>
    </row>
    <row r="243" spans="1:41" x14ac:dyDescent="0.45">
      <c r="A243" s="3">
        <v>44330</v>
      </c>
      <c r="B243" s="48">
        <v>48.457470000000001</v>
      </c>
      <c r="C243" s="48">
        <v>51.247259999999997</v>
      </c>
      <c r="D243" s="48">
        <v>90.766170000000002</v>
      </c>
      <c r="E243" s="48">
        <v>65.668369999999996</v>
      </c>
      <c r="F243" s="48">
        <v>21.3307</v>
      </c>
      <c r="G243" s="48">
        <v>20.741510000000002</v>
      </c>
      <c r="H243">
        <v>65.36</v>
      </c>
      <c r="I243" s="48">
        <v>4.6544999999999996</v>
      </c>
      <c r="J243" s="49">
        <v>401.28928000000002</v>
      </c>
      <c r="K243" s="49">
        <v>7625.0657700000002</v>
      </c>
      <c r="L243" s="50">
        <v>-2.4550849758721016E-3</v>
      </c>
      <c r="M243" s="50">
        <v>-1.2409235556170573E-2</v>
      </c>
      <c r="N243" s="50">
        <v>-4.999112058248989E-3</v>
      </c>
      <c r="O243" s="50">
        <v>-6.0168728547930206E-3</v>
      </c>
      <c r="P243" s="50">
        <v>-2.9927930850259798E-3</v>
      </c>
      <c r="Q243" s="50">
        <v>6.1021424923033418E-3</v>
      </c>
      <c r="R243" s="47">
        <v>-4.0631742123870438E-3</v>
      </c>
      <c r="S243" s="50">
        <v>7.0878274268104668E-3</v>
      </c>
      <c r="T243" s="50">
        <v>-1.9795724965778749E-2</v>
      </c>
      <c r="U243" s="50">
        <v>-8.3086089638099159E-3</v>
      </c>
      <c r="V243" s="50">
        <v>-1.3589189109416866E-2</v>
      </c>
      <c r="W243" s="50">
        <f t="shared" si="139"/>
        <v>-4.0631742123870438E-3</v>
      </c>
      <c r="AO243">
        <f t="shared" si="140"/>
        <v>1</v>
      </c>
    </row>
    <row r="244" spans="1:41" x14ac:dyDescent="0.45">
      <c r="A244" s="3">
        <v>44323</v>
      </c>
      <c r="B244" s="48">
        <v>48.576729999999998</v>
      </c>
      <c r="C244" s="48">
        <v>51.891190000000002</v>
      </c>
      <c r="D244" s="48">
        <v>91.222200000000001</v>
      </c>
      <c r="E244" s="48">
        <v>66.065880000000007</v>
      </c>
      <c r="F244" s="48">
        <v>21.394729999999999</v>
      </c>
      <c r="G244" s="48">
        <v>20.61571</v>
      </c>
      <c r="H244">
        <v>64.900000000000006</v>
      </c>
      <c r="I244" s="48">
        <v>4.7484999999999999</v>
      </c>
      <c r="J244" s="49">
        <v>404.65136999999999</v>
      </c>
      <c r="K244" s="49">
        <v>7730.1117199999999</v>
      </c>
      <c r="L244" s="50">
        <v>0.11654267718895484</v>
      </c>
      <c r="M244" s="50">
        <v>9.0670952182878795E-2</v>
      </c>
      <c r="N244" s="50">
        <v>6.742994296958349E-2</v>
      </c>
      <c r="O244" s="50">
        <v>0.12846265515621069</v>
      </c>
      <c r="P244" s="50">
        <v>7.4842539483817694E-2</v>
      </c>
      <c r="Q244" s="50">
        <v>0.12147101030640717</v>
      </c>
      <c r="R244" s="47">
        <v>9.6575420019779562E-2</v>
      </c>
      <c r="S244" s="50">
        <v>2.076124567474058E-2</v>
      </c>
      <c r="T244" s="50">
        <v>6.2779767233661632E-2</v>
      </c>
      <c r="U244" s="50">
        <v>8.8941414208391523E-2</v>
      </c>
      <c r="V244" s="50">
        <v>1.253483505020303E-2</v>
      </c>
      <c r="W244" s="50">
        <f t="shared" si="139"/>
        <v>9.6575420019779562E-2</v>
      </c>
      <c r="AO244">
        <f t="shared" si="140"/>
        <v>1</v>
      </c>
    </row>
    <row r="245" spans="1:41" x14ac:dyDescent="0.45">
      <c r="A245" s="3">
        <v>44316</v>
      </c>
      <c r="B245" s="48">
        <v>43.50638</v>
      </c>
      <c r="C245" s="48">
        <v>47.577309999999997</v>
      </c>
      <c r="D245" s="48">
        <v>85.45966</v>
      </c>
      <c r="E245" s="48">
        <v>58.545029999999997</v>
      </c>
      <c r="F245" s="48">
        <v>19.904990000000002</v>
      </c>
      <c r="G245" s="48">
        <v>18.382739999999998</v>
      </c>
      <c r="H245">
        <v>63.58</v>
      </c>
      <c r="I245" s="48">
        <v>4.468</v>
      </c>
      <c r="J245" s="49">
        <v>371.60068000000001</v>
      </c>
      <c r="K245" s="49">
        <v>7634.4155799999999</v>
      </c>
      <c r="L245" s="50">
        <v>2.8559986042005381E-2</v>
      </c>
      <c r="M245" s="50">
        <v>3.0052250286971782E-2</v>
      </c>
      <c r="N245" s="50">
        <v>1.4968047263067108E-2</v>
      </c>
      <c r="O245" s="50">
        <v>6.6319210765729553E-2</v>
      </c>
      <c r="P245" s="50">
        <v>2.6101287408511809E-2</v>
      </c>
      <c r="Q245" s="50">
        <v>9.0485537796776372E-2</v>
      </c>
      <c r="R245" s="47">
        <v>4.5585266704211327E-2</v>
      </c>
      <c r="S245" s="50">
        <v>2.3173479240424788E-2</v>
      </c>
      <c r="T245" s="50">
        <v>3.0442804428044257E-2</v>
      </c>
      <c r="U245" s="50">
        <v>3.5856745622816266E-2</v>
      </c>
      <c r="V245" s="50">
        <v>3.4377116192874091E-4</v>
      </c>
      <c r="W245" s="50">
        <f t="shared" si="139"/>
        <v>4.5585266704211327E-2</v>
      </c>
      <c r="AO245">
        <f t="shared" si="140"/>
        <v>1</v>
      </c>
    </row>
    <row r="246" spans="1:41" x14ac:dyDescent="0.45">
      <c r="A246" s="3">
        <v>44309</v>
      </c>
      <c r="B246" s="48">
        <v>42.298340000000003</v>
      </c>
      <c r="C246" s="48">
        <v>46.189219999999999</v>
      </c>
      <c r="D246" s="48">
        <v>84.199359999999999</v>
      </c>
      <c r="E246" s="48">
        <v>54.903849999999998</v>
      </c>
      <c r="F246" s="48">
        <v>19.39866</v>
      </c>
      <c r="G246" s="48">
        <v>16.857389999999999</v>
      </c>
      <c r="H246">
        <v>62.14</v>
      </c>
      <c r="I246" s="48">
        <v>4.3360000000000003</v>
      </c>
      <c r="J246" s="49">
        <v>358.73752000000002</v>
      </c>
      <c r="K246" s="49">
        <v>7631.7919899999997</v>
      </c>
      <c r="L246" s="50">
        <v>-2.6815394129924841E-2</v>
      </c>
      <c r="M246" s="50">
        <v>-1.9237621142867534E-2</v>
      </c>
      <c r="N246" s="50">
        <v>-1.3694637773088214E-2</v>
      </c>
      <c r="O246" s="50">
        <v>-2.0564386507784471E-2</v>
      </c>
      <c r="P246" s="50">
        <v>-2.6211283577324385E-2</v>
      </c>
      <c r="Q246" s="50">
        <v>-2.011003670796685E-2</v>
      </c>
      <c r="R246" s="47">
        <v>-1.9963593141806291E-2</v>
      </c>
      <c r="S246" s="50">
        <v>-1.6616553252096766E-2</v>
      </c>
      <c r="T246" s="50">
        <v>4.0307101727447225E-2</v>
      </c>
      <c r="U246" s="50">
        <v>-1.7665144722605386E-2</v>
      </c>
      <c r="V246" s="50">
        <v>-1.1626367602282084E-3</v>
      </c>
      <c r="W246" s="50">
        <f t="shared" si="139"/>
        <v>-1.9963593141806291E-2</v>
      </c>
      <c r="AO246">
        <f t="shared" si="140"/>
        <v>1</v>
      </c>
    </row>
    <row r="247" spans="1:41" x14ac:dyDescent="0.45">
      <c r="A247" s="3">
        <v>44302</v>
      </c>
      <c r="B247" s="48">
        <v>43.463839999999998</v>
      </c>
      <c r="C247" s="48">
        <v>47.095219999999998</v>
      </c>
      <c r="D247" s="48">
        <v>85.368449999999996</v>
      </c>
      <c r="E247" s="48">
        <v>56.056620000000002</v>
      </c>
      <c r="F247" s="48">
        <v>19.920809999999999</v>
      </c>
      <c r="G247" s="48">
        <v>17.20335</v>
      </c>
      <c r="H247">
        <v>63.19</v>
      </c>
      <c r="I247" s="48">
        <v>4.1680000000000001</v>
      </c>
      <c r="J247" s="49">
        <v>365.18862999999999</v>
      </c>
      <c r="K247" s="49">
        <v>7640.6753200000003</v>
      </c>
      <c r="L247" s="50">
        <v>-2.7327206471157162E-3</v>
      </c>
      <c r="M247" s="50">
        <v>1.4139967242753571E-2</v>
      </c>
      <c r="N247" s="50">
        <v>3.8858483987103121E-4</v>
      </c>
      <c r="O247" s="50">
        <v>-1.2057990017764975E-2</v>
      </c>
      <c r="P247" s="50">
        <v>3.2390451605814885E-2</v>
      </c>
      <c r="Q247" s="50">
        <v>-7.2594443466643677E-3</v>
      </c>
      <c r="R247" s="47">
        <v>5.5203138648020292E-3</v>
      </c>
      <c r="S247" s="50">
        <v>6.4700926705981487E-2</v>
      </c>
      <c r="T247" s="50">
        <v>3.1683168316831711E-2</v>
      </c>
      <c r="U247" s="50">
        <v>2.3006150123616731E-3</v>
      </c>
      <c r="V247" s="50">
        <v>1.3836950628885791E-2</v>
      </c>
      <c r="W247" s="50">
        <f t="shared" si="139"/>
        <v>5.5203138648020292E-3</v>
      </c>
      <c r="AO247">
        <f t="shared" si="140"/>
        <v>1</v>
      </c>
    </row>
    <row r="248" spans="1:41" x14ac:dyDescent="0.45">
      <c r="A248" s="3">
        <v>44295</v>
      </c>
      <c r="B248" s="48">
        <v>43.582940000000001</v>
      </c>
      <c r="C248" s="48">
        <v>46.438580000000002</v>
      </c>
      <c r="D248" s="48">
        <v>85.335290000000001</v>
      </c>
      <c r="E248" s="48">
        <v>56.7408</v>
      </c>
      <c r="F248" s="48">
        <v>19.295809999999999</v>
      </c>
      <c r="G248" s="48">
        <v>17.329149999999998</v>
      </c>
      <c r="H248">
        <v>59.35</v>
      </c>
      <c r="I248" s="48">
        <v>4.04</v>
      </c>
      <c r="J248" s="49">
        <v>364.35039999999998</v>
      </c>
      <c r="K248" s="49">
        <v>7536.3945999999996</v>
      </c>
      <c r="L248" s="50">
        <v>-5.1647558733828092E-2</v>
      </c>
      <c r="M248" s="50">
        <v>-2.6485477859519047E-2</v>
      </c>
      <c r="N248" s="50">
        <v>-2.6761210085198939E-2</v>
      </c>
      <c r="O248" s="50">
        <v>-4.7385122460659845E-2</v>
      </c>
      <c r="P248" s="50">
        <v>-7.7300727702632743E-3</v>
      </c>
      <c r="Q248" s="50">
        <v>-6.212774847121505E-2</v>
      </c>
      <c r="R248" s="47">
        <v>-3.4097926329371232E-2</v>
      </c>
      <c r="S248" s="50">
        <v>-3.4174125305126091E-2</v>
      </c>
      <c r="T248" s="50">
        <v>1.2404460593910649E-2</v>
      </c>
      <c r="U248" s="50">
        <v>-4.0454433539408363E-2</v>
      </c>
      <c r="V248" s="50">
        <v>2.741565426955872E-2</v>
      </c>
      <c r="W248" s="50">
        <f t="shared" si="139"/>
        <v>-3.4097926329371232E-2</v>
      </c>
      <c r="AO248">
        <f t="shared" si="140"/>
        <v>1</v>
      </c>
    </row>
    <row r="249" spans="1:41" x14ac:dyDescent="0.45">
      <c r="A249" s="3">
        <v>44287</v>
      </c>
      <c r="B249" s="48">
        <v>45.956479999999999</v>
      </c>
      <c r="C249" s="48">
        <v>47.701990000000002</v>
      </c>
      <c r="D249" s="48">
        <v>87.681759999999997</v>
      </c>
      <c r="E249" s="48">
        <v>59.563209999999998</v>
      </c>
      <c r="F249" s="48">
        <v>19.44613</v>
      </c>
      <c r="G249" s="48">
        <v>18.47709</v>
      </c>
      <c r="H249">
        <v>61.45</v>
      </c>
      <c r="I249" s="48">
        <v>3.9904999999999999</v>
      </c>
      <c r="J249" s="49">
        <v>379.71141</v>
      </c>
      <c r="K249" s="49">
        <v>7335.2927499999996</v>
      </c>
      <c r="L249" s="50">
        <v>-1.853207196359663E-2</v>
      </c>
      <c r="M249" s="50">
        <v>-5.54495009899314E-3</v>
      </c>
      <c r="N249" s="50">
        <v>-1.6095956547504175E-2</v>
      </c>
      <c r="O249" s="50">
        <v>6.1431220580430157E-3</v>
      </c>
      <c r="P249" s="50">
        <v>-2.5763049482549705E-2</v>
      </c>
      <c r="Q249" s="50">
        <v>3.342146018379677E-2</v>
      </c>
      <c r="R249" s="47">
        <v>-1.5678747774414471E-3</v>
      </c>
      <c r="S249" s="50">
        <v>7.8727242906349026E-3</v>
      </c>
      <c r="T249" s="50">
        <v>-1.9051130776794434E-2</v>
      </c>
      <c r="U249" s="50">
        <v>-3.8569019033685148E-3</v>
      </c>
      <c r="V249" s="50">
        <v>1.153625745757747E-2</v>
      </c>
      <c r="W249" s="50">
        <f t="shared" si="139"/>
        <v>-1.5678747774414471E-3</v>
      </c>
      <c r="AO249">
        <f t="shared" si="140"/>
        <v>1</v>
      </c>
    </row>
    <row r="250" spans="1:41" x14ac:dyDescent="0.45">
      <c r="A250" s="3">
        <v>44281</v>
      </c>
      <c r="B250" s="48">
        <v>46.82423</v>
      </c>
      <c r="C250" s="48">
        <v>47.967970000000001</v>
      </c>
      <c r="D250" s="48">
        <v>89.116169999999997</v>
      </c>
      <c r="E250" s="48">
        <v>59.199539999999999</v>
      </c>
      <c r="F250" s="48">
        <v>19.960370000000001</v>
      </c>
      <c r="G250" s="48">
        <v>17.879529999999999</v>
      </c>
      <c r="H250">
        <v>60.97</v>
      </c>
      <c r="I250" s="48">
        <v>4.0679999999999996</v>
      </c>
      <c r="J250" s="49">
        <v>381.18159000000003</v>
      </c>
      <c r="K250" s="49">
        <v>7251.6360100000002</v>
      </c>
      <c r="L250" s="50">
        <v>4.6387985815818267E-2</v>
      </c>
      <c r="M250" s="50">
        <v>2.1596705876740563E-2</v>
      </c>
      <c r="N250" s="50">
        <v>3.9659487551374051E-2</v>
      </c>
      <c r="O250" s="50">
        <v>6.8493106180522512E-2</v>
      </c>
      <c r="P250" s="50">
        <v>-8.2547843615211614E-3</v>
      </c>
      <c r="Q250" s="50">
        <v>1.7620942980980381E-3</v>
      </c>
      <c r="R250" s="47">
        <v>2.46513219090428E-2</v>
      </c>
      <c r="S250" s="50">
        <v>-7.6497395833333703E-3</v>
      </c>
      <c r="T250" s="50">
        <v>-1.0940919037199293E-2</v>
      </c>
      <c r="U250" s="50">
        <v>2.9910037390350031E-2</v>
      </c>
      <c r="V250" s="50">
        <v>1.5776659192601405E-2</v>
      </c>
      <c r="W250" s="50">
        <f t="shared" si="139"/>
        <v>2.46513219090428E-2</v>
      </c>
      <c r="AO250">
        <f t="shared" si="140"/>
        <v>1</v>
      </c>
    </row>
    <row r="251" spans="1:41" x14ac:dyDescent="0.45">
      <c r="A251" s="3">
        <v>44274</v>
      </c>
      <c r="B251" s="48">
        <v>44.748440000000002</v>
      </c>
      <c r="C251" s="48">
        <v>46.953919999999997</v>
      </c>
      <c r="D251" s="48">
        <v>85.71669</v>
      </c>
      <c r="E251" s="48">
        <v>55.404699999999998</v>
      </c>
      <c r="F251" s="48">
        <v>20.12651</v>
      </c>
      <c r="G251" s="48">
        <v>17.84808</v>
      </c>
      <c r="H251">
        <v>61.44</v>
      </c>
      <c r="I251" s="48">
        <v>4.1130000000000004</v>
      </c>
      <c r="J251" s="49">
        <v>370.11153999999999</v>
      </c>
      <c r="K251" s="49">
        <v>7139.0063399999999</v>
      </c>
      <c r="L251" s="50">
        <v>-0.11133644565081824</v>
      </c>
      <c r="M251" s="50">
        <v>-8.8429869513660275E-2</v>
      </c>
      <c r="N251" s="50">
        <v>-7.332376422811604E-2</v>
      </c>
      <c r="O251" s="50">
        <v>-6.5599944412972455E-2</v>
      </c>
      <c r="P251" s="50">
        <v>-5.6379497801822165E-2</v>
      </c>
      <c r="Q251" s="50">
        <v>-6.3917452238920314E-2</v>
      </c>
      <c r="R251" s="47">
        <v>-6.9530105639098255E-2</v>
      </c>
      <c r="S251" s="50">
        <v>-6.3985374771480807E-2</v>
      </c>
      <c r="T251" s="50">
        <v>-6.5217391304346339E-3</v>
      </c>
      <c r="U251" s="50">
        <v>-7.6609667907196255E-2</v>
      </c>
      <c r="V251" s="50">
        <v>-7.5051327502829723E-3</v>
      </c>
      <c r="W251" s="50">
        <f t="shared" si="139"/>
        <v>-6.9530105639098255E-2</v>
      </c>
      <c r="AO251">
        <f t="shared" si="140"/>
        <v>1</v>
      </c>
    </row>
    <row r="252" spans="1:41" x14ac:dyDescent="0.45">
      <c r="A252" s="3">
        <v>44267</v>
      </c>
      <c r="B252" s="48">
        <v>50.354759999999999</v>
      </c>
      <c r="C252" s="48">
        <v>51.508839999999999</v>
      </c>
      <c r="D252" s="48">
        <v>92.499070000000003</v>
      </c>
      <c r="E252" s="48">
        <v>59.294409999999999</v>
      </c>
      <c r="F252" s="48">
        <v>21.329029999999999</v>
      </c>
      <c r="G252" s="48">
        <v>19.066780000000001</v>
      </c>
      <c r="H252">
        <v>65.64</v>
      </c>
      <c r="I252" s="48">
        <v>4.1399999999999997</v>
      </c>
      <c r="J252" s="49">
        <v>400.81808000000001</v>
      </c>
      <c r="K252" s="49">
        <v>7192.9906899999996</v>
      </c>
      <c r="L252" s="50">
        <v>1.4569738175083558E-2</v>
      </c>
      <c r="M252" s="50">
        <v>1.706881708540342E-2</v>
      </c>
      <c r="N252" s="50">
        <v>2.3486201662888728E-2</v>
      </c>
      <c r="O252" s="50">
        <v>5.6315588453379473E-3</v>
      </c>
      <c r="P252" s="50">
        <v>7.0972183399187205E-3</v>
      </c>
      <c r="Q252" s="50">
        <v>-4.1433457359711157E-2</v>
      </c>
      <c r="R252" s="47">
        <v>2.3700677147675321E-3</v>
      </c>
      <c r="S252" s="50">
        <v>-6.8088969586926895E-3</v>
      </c>
      <c r="T252" s="50">
        <v>1.5826278984173658E-2</v>
      </c>
      <c r="U252" s="50">
        <v>1.0795479577493605E-2</v>
      </c>
      <c r="V252" s="50">
        <v>2.673224692217091E-2</v>
      </c>
      <c r="W252" s="50">
        <f t="shared" si="139"/>
        <v>2.3700677147675321E-3</v>
      </c>
      <c r="AO252">
        <f t="shared" si="140"/>
        <v>1</v>
      </c>
    </row>
    <row r="253" spans="1:41" x14ac:dyDescent="0.45">
      <c r="A253" s="3">
        <v>44260</v>
      </c>
      <c r="B253" s="48">
        <v>49.631639999999997</v>
      </c>
      <c r="C253" s="48">
        <v>50.644399999999997</v>
      </c>
      <c r="D253" s="48">
        <v>90.376469999999998</v>
      </c>
      <c r="E253" s="48">
        <v>58.962359999999997</v>
      </c>
      <c r="F253" s="48">
        <v>21.178719999999998</v>
      </c>
      <c r="G253" s="48">
        <v>19.890930000000001</v>
      </c>
      <c r="H253">
        <v>66.09</v>
      </c>
      <c r="I253" s="48">
        <v>4.0754999999999999</v>
      </c>
      <c r="J253" s="49">
        <v>396.53726999999998</v>
      </c>
      <c r="K253" s="49">
        <v>7005.7122600000002</v>
      </c>
      <c r="L253" s="50">
        <v>0.12170745218097423</v>
      </c>
      <c r="M253" s="50">
        <v>0.12065463203501503</v>
      </c>
      <c r="N253" s="50">
        <v>9.0000034975918908E-2</v>
      </c>
      <c r="O253" s="50">
        <v>0.15520439304922373</v>
      </c>
      <c r="P253" s="50">
        <v>9.6681586856424362E-2</v>
      </c>
      <c r="Q253" s="50">
        <v>0.18895062827932407</v>
      </c>
      <c r="R253" s="47">
        <v>0.13029825503918122</v>
      </c>
      <c r="S253" s="50">
        <v>7.4634146341463481E-2</v>
      </c>
      <c r="T253" s="50">
        <v>-4.1539401343922977E-3</v>
      </c>
      <c r="U253" s="50">
        <v>0.10091116615180429</v>
      </c>
      <c r="V253" s="50">
        <v>8.2920778108934723E-3</v>
      </c>
      <c r="W253" s="50">
        <f t="shared" si="139"/>
        <v>0.13029825503918122</v>
      </c>
      <c r="AO253">
        <f t="shared" si="140"/>
        <v>1</v>
      </c>
    </row>
    <row r="254" spans="1:41" x14ac:dyDescent="0.45">
      <c r="A254" s="3">
        <v>44253</v>
      </c>
      <c r="B254" s="48">
        <v>44.246510000000001</v>
      </c>
      <c r="C254" s="48">
        <v>45.191800000000001</v>
      </c>
      <c r="D254" s="48">
        <v>82.914190000000005</v>
      </c>
      <c r="E254" s="48">
        <v>51.04063</v>
      </c>
      <c r="F254" s="48">
        <v>19.311640000000001</v>
      </c>
      <c r="G254" s="48">
        <v>16.72982</v>
      </c>
      <c r="H254">
        <v>61.5</v>
      </c>
      <c r="I254" s="48">
        <v>4.0925000000000002</v>
      </c>
      <c r="J254" s="49">
        <v>360.19006999999999</v>
      </c>
      <c r="K254" s="49">
        <v>6948.0980900000004</v>
      </c>
      <c r="L254" s="50">
        <v>7.4142821040488194E-2</v>
      </c>
      <c r="M254" s="50">
        <v>3.8189803585712889E-2</v>
      </c>
      <c r="N254" s="50">
        <v>4.3841257531618494E-2</v>
      </c>
      <c r="O254" s="50">
        <v>3.2794879634544083E-2</v>
      </c>
      <c r="P254" s="50">
        <v>6.733711779339191E-2</v>
      </c>
      <c r="Q254" s="50">
        <v>3.4085634090455175E-2</v>
      </c>
      <c r="R254" s="47">
        <v>4.3249738527144511E-2</v>
      </c>
      <c r="S254" s="50">
        <v>3.7799527505906205E-2</v>
      </c>
      <c r="T254" s="50">
        <v>4.5409916543939222E-3</v>
      </c>
      <c r="U254" s="50">
        <v>4.3346476906777731E-2</v>
      </c>
      <c r="V254" s="50">
        <v>-2.4204316563671946E-2</v>
      </c>
      <c r="W254" s="50">
        <f t="shared" si="139"/>
        <v>4.3249738527144511E-2</v>
      </c>
      <c r="AO254">
        <f t="shared" si="140"/>
        <v>1</v>
      </c>
    </row>
    <row r="255" spans="1:41" x14ac:dyDescent="0.45">
      <c r="A255" s="3">
        <v>44246</v>
      </c>
      <c r="B255" s="48">
        <v>41.192390000000003</v>
      </c>
      <c r="C255" s="48">
        <v>43.529420000000002</v>
      </c>
      <c r="D255" s="48">
        <v>79.431799999999996</v>
      </c>
      <c r="E255" s="48">
        <v>49.419910000000002</v>
      </c>
      <c r="F255" s="48">
        <v>18.09329</v>
      </c>
      <c r="G255" s="48">
        <v>16.178370000000001</v>
      </c>
      <c r="H255">
        <v>59.26</v>
      </c>
      <c r="I255" s="48">
        <v>4.0739999999999998</v>
      </c>
      <c r="J255" s="49">
        <v>345.22575000000001</v>
      </c>
      <c r="K255" s="49">
        <v>7120.4435599999997</v>
      </c>
      <c r="L255" s="50">
        <v>2.6717533468576082E-2</v>
      </c>
      <c r="M255" s="50">
        <v>3.6619370823431696E-2</v>
      </c>
      <c r="N255" s="50">
        <v>4.9748048996999916E-2</v>
      </c>
      <c r="O255" s="50">
        <v>2.4418177299291299E-2</v>
      </c>
      <c r="P255" s="50">
        <v>5.7721571082742562E-2</v>
      </c>
      <c r="Q255" s="50">
        <v>4.2542332578735076E-2</v>
      </c>
      <c r="R255" s="47">
        <v>4.2209900156240113E-2</v>
      </c>
      <c r="S255" s="50">
        <v>-2.0208824520041579E-3</v>
      </c>
      <c r="T255" s="50">
        <v>7.5501583949313611E-2</v>
      </c>
      <c r="U255" s="50">
        <v>3.0540561791373433E-2</v>
      </c>
      <c r="V255" s="50">
        <v>-6.881584811360697E-3</v>
      </c>
      <c r="W255" s="50">
        <f t="shared" si="139"/>
        <v>4.2209900156240113E-2</v>
      </c>
      <c r="AO255">
        <f t="shared" si="140"/>
        <v>1</v>
      </c>
    </row>
    <row r="256" spans="1:41" x14ac:dyDescent="0.45">
      <c r="A256" s="3">
        <v>44239</v>
      </c>
      <c r="B256" s="48">
        <v>40.120469999999997</v>
      </c>
      <c r="C256" s="48">
        <v>41.991709999999998</v>
      </c>
      <c r="D256" s="48">
        <v>75.667490000000001</v>
      </c>
      <c r="E256" s="48">
        <v>48.241930000000004</v>
      </c>
      <c r="F256" s="48">
        <v>17.105910000000002</v>
      </c>
      <c r="G256" s="48">
        <v>15.518190000000001</v>
      </c>
      <c r="H256">
        <v>59.38</v>
      </c>
      <c r="I256" s="48">
        <v>3.7879999999999998</v>
      </c>
      <c r="J256" s="49">
        <v>334.99482</v>
      </c>
      <c r="K256" s="49">
        <v>7169.7830299999996</v>
      </c>
      <c r="L256" s="50">
        <v>7.1434637377568944E-2</v>
      </c>
      <c r="M256" s="50">
        <v>2.8587392319932237E-2</v>
      </c>
      <c r="N256" s="50">
        <v>3.6858550098358922E-2</v>
      </c>
      <c r="O256" s="50">
        <v>7.7901402779819717E-2</v>
      </c>
      <c r="P256" s="50">
        <v>5.2859279502188272E-2</v>
      </c>
      <c r="Q256" s="50">
        <v>0.11620133672068977</v>
      </c>
      <c r="R256" s="47">
        <v>6.2481592284197786E-2</v>
      </c>
      <c r="S256" s="50">
        <v>4.4503078276165287E-2</v>
      </c>
      <c r="T256" s="50">
        <v>4.4677330391616144E-2</v>
      </c>
      <c r="U256" s="50">
        <v>4.32778265651792E-2</v>
      </c>
      <c r="V256" s="50">
        <v>1.268319137022722E-2</v>
      </c>
      <c r="W256" s="50">
        <f t="shared" si="139"/>
        <v>6.2481592284197786E-2</v>
      </c>
      <c r="AO256">
        <f t="shared" si="140"/>
        <v>1</v>
      </c>
    </row>
    <row r="257" spans="1:41" x14ac:dyDescent="0.45">
      <c r="A257" s="3">
        <v>44232</v>
      </c>
      <c r="B257" s="48">
        <v>37.44556</v>
      </c>
      <c r="C257" s="48">
        <v>40.824640000000002</v>
      </c>
      <c r="D257" s="48">
        <v>72.977639999999994</v>
      </c>
      <c r="E257" s="48">
        <v>44.755420000000001</v>
      </c>
      <c r="F257" s="48">
        <v>16.2471</v>
      </c>
      <c r="G257" s="48">
        <v>13.90268</v>
      </c>
      <c r="H257">
        <v>56.85</v>
      </c>
      <c r="I257" s="48">
        <v>3.6259999999999999</v>
      </c>
      <c r="J257" s="49">
        <v>321.09838000000002</v>
      </c>
      <c r="K257" s="49">
        <v>7079.98621</v>
      </c>
      <c r="L257" s="50">
        <v>0.10966772994034035</v>
      </c>
      <c r="M257" s="50">
        <v>0.11396060760435933</v>
      </c>
      <c r="N257" s="50">
        <v>4.7652653871243178E-2</v>
      </c>
      <c r="O257" s="50">
        <v>0.11087112030257695</v>
      </c>
      <c r="P257" s="50">
        <v>-6.3456525673941777E-2</v>
      </c>
      <c r="Q257" s="50">
        <v>8.7484991297886117E-2</v>
      </c>
      <c r="R257" s="47">
        <v>5.9302569480424762E-2</v>
      </c>
      <c r="S257" s="50">
        <v>8.9080459770114917E-2</v>
      </c>
      <c r="T257" s="50">
        <v>1.9685039370078705E-2</v>
      </c>
      <c r="U257" s="50">
        <v>8.2906506048102235E-2</v>
      </c>
      <c r="V257" s="50">
        <v>4.6626306765750858E-2</v>
      </c>
      <c r="W257" s="50">
        <f t="shared" si="139"/>
        <v>5.9302569480424762E-2</v>
      </c>
      <c r="AO257">
        <f t="shared" si="140"/>
        <v>1</v>
      </c>
    </row>
    <row r="258" spans="1:41" x14ac:dyDescent="0.45">
      <c r="A258" s="3">
        <v>44225</v>
      </c>
      <c r="B258" s="48">
        <v>33.744840000000003</v>
      </c>
      <c r="C258" s="48">
        <v>36.64819</v>
      </c>
      <c r="D258" s="48">
        <v>69.658240000000006</v>
      </c>
      <c r="E258" s="48">
        <v>40.288580000000003</v>
      </c>
      <c r="F258" s="48">
        <v>17.347940000000001</v>
      </c>
      <c r="G258" s="48">
        <v>12.78425</v>
      </c>
      <c r="H258">
        <v>52.2</v>
      </c>
      <c r="I258" s="48">
        <v>3.556</v>
      </c>
      <c r="J258" s="49">
        <v>296.51533000000001</v>
      </c>
      <c r="K258" s="49">
        <v>6764.57888</v>
      </c>
      <c r="L258" s="50">
        <v>-6.2309671858236104E-2</v>
      </c>
      <c r="M258" s="50">
        <v>-5.4606704704395881E-2</v>
      </c>
      <c r="N258" s="50">
        <v>-7.1187181045872738E-2</v>
      </c>
      <c r="O258" s="50">
        <v>-7.1089839776371067E-2</v>
      </c>
      <c r="P258" s="50">
        <v>-6.9124255814639768E-2</v>
      </c>
      <c r="Q258" s="50">
        <v>-7.5280958205455217E-2</v>
      </c>
      <c r="R258" s="47">
        <v>-6.8257787909346931E-2</v>
      </c>
      <c r="S258" s="50">
        <v>-1.3392003061029056E-3</v>
      </c>
      <c r="T258" s="50">
        <v>-1.9305019305019266E-2</v>
      </c>
      <c r="U258" s="50">
        <v>-6.6212914744576579E-2</v>
      </c>
      <c r="V258" s="50">
        <v>-3.295637660972317E-2</v>
      </c>
      <c r="W258" s="50">
        <f t="shared" si="139"/>
        <v>-6.8257787909346931E-2</v>
      </c>
      <c r="AO258">
        <f t="shared" si="140"/>
        <v>1</v>
      </c>
    </row>
    <row r="259" spans="1:41" x14ac:dyDescent="0.45">
      <c r="A259" s="3">
        <v>44218</v>
      </c>
      <c r="B259" s="48">
        <v>35.987189999999998</v>
      </c>
      <c r="C259" s="48">
        <v>38.76502</v>
      </c>
      <c r="D259" s="48">
        <v>74.997069999999994</v>
      </c>
      <c r="E259" s="48">
        <v>43.371879999999997</v>
      </c>
      <c r="F259" s="48">
        <v>18.636150000000001</v>
      </c>
      <c r="G259" s="48">
        <v>13.825010000000001</v>
      </c>
      <c r="H259">
        <v>52.27</v>
      </c>
      <c r="I259" s="48">
        <v>3.6259999999999999</v>
      </c>
      <c r="J259" s="49">
        <v>317.54061999999999</v>
      </c>
      <c r="K259" s="49">
        <v>6995.1124399999999</v>
      </c>
      <c r="L259" s="50">
        <v>-5.3856316376872715E-2</v>
      </c>
      <c r="M259" s="50">
        <v>-9.6052781509302632E-3</v>
      </c>
      <c r="N259" s="50">
        <v>-3.9092114105994114E-3</v>
      </c>
      <c r="O259" s="50">
        <v>-7.3154376041106861E-2</v>
      </c>
      <c r="P259" s="50">
        <v>-1.607601432686534E-2</v>
      </c>
      <c r="Q259" s="50">
        <v>-9.0444908633365628E-2</v>
      </c>
      <c r="R259" s="47">
        <v>-3.8637957712573501E-2</v>
      </c>
      <c r="S259" s="50">
        <v>-2.8615032430370224E-3</v>
      </c>
      <c r="T259" s="50">
        <v>6.6629650194336421E-3</v>
      </c>
      <c r="U259" s="50">
        <v>-1.5636604024213741E-2</v>
      </c>
      <c r="V259" s="50">
        <v>1.9525168689788375E-2</v>
      </c>
      <c r="W259" s="50">
        <f t="shared" si="139"/>
        <v>-3.8637957712573501E-2</v>
      </c>
      <c r="AO259">
        <f t="shared" si="140"/>
        <v>1</v>
      </c>
    </row>
    <row r="260" spans="1:41" x14ac:dyDescent="0.45">
      <c r="A260" s="3">
        <v>44211</v>
      </c>
      <c r="B260" s="48">
        <v>38.035649999999997</v>
      </c>
      <c r="C260" s="48">
        <v>39.140979999999999</v>
      </c>
      <c r="D260" s="48">
        <v>75.291399999999996</v>
      </c>
      <c r="E260" s="48">
        <v>46.79515</v>
      </c>
      <c r="F260" s="48">
        <v>18.940639999999998</v>
      </c>
      <c r="G260" s="48">
        <v>15.19975</v>
      </c>
      <c r="H260">
        <v>52.42</v>
      </c>
      <c r="I260" s="48">
        <v>3.6019999999999999</v>
      </c>
      <c r="J260" s="49">
        <v>322.58474999999999</v>
      </c>
      <c r="K260" s="49">
        <v>6861.1473800000003</v>
      </c>
      <c r="L260" s="50">
        <v>9.3958324487282141E-3</v>
      </c>
      <c r="M260" s="50">
        <v>5.3453486106281645E-2</v>
      </c>
      <c r="N260" s="50">
        <v>1.10891412468892E-2</v>
      </c>
      <c r="O260" s="50">
        <v>1.1709808959445844E-2</v>
      </c>
      <c r="P260" s="50">
        <v>-5.7375508794254015E-3</v>
      </c>
      <c r="Q260" s="50">
        <v>8.0618294457687867E-2</v>
      </c>
      <c r="R260" s="47">
        <v>3.022663597817583E-2</v>
      </c>
      <c r="S260" s="50">
        <v>3.0616150019135979E-3</v>
      </c>
      <c r="T260" s="50">
        <v>-1.9463726691166583E-2</v>
      </c>
      <c r="U260" s="50">
        <v>3.1348497878282089E-2</v>
      </c>
      <c r="V260" s="50">
        <v>-1.4652657615703446E-2</v>
      </c>
      <c r="W260" s="50">
        <f t="shared" si="139"/>
        <v>3.022663597817583E-2</v>
      </c>
      <c r="AO260">
        <f t="shared" si="140"/>
        <v>1</v>
      </c>
    </row>
    <row r="261" spans="1:41" x14ac:dyDescent="0.45">
      <c r="A261" s="3">
        <v>44204</v>
      </c>
      <c r="B261" s="48">
        <v>37.681600000000003</v>
      </c>
      <c r="C261" s="48">
        <v>37.154919999999997</v>
      </c>
      <c r="D261" s="48">
        <v>74.465639999999993</v>
      </c>
      <c r="E261" s="48">
        <v>46.253529999999998</v>
      </c>
      <c r="F261" s="48">
        <v>19.049939999999999</v>
      </c>
      <c r="G261" s="48">
        <v>14.06579</v>
      </c>
      <c r="H261">
        <v>52.26</v>
      </c>
      <c r="I261" s="48">
        <v>3.6735000000000002</v>
      </c>
      <c r="J261" s="49">
        <v>312.77958000000001</v>
      </c>
      <c r="K261" s="49">
        <v>6963.1764199999998</v>
      </c>
      <c r="L261" s="50">
        <v>0.11777953387487572</v>
      </c>
      <c r="M261" s="50">
        <v>0.10286284874346663</v>
      </c>
      <c r="N261" s="50">
        <v>7.8508017591413015E-2</v>
      </c>
      <c r="O261" s="50">
        <v>0.18046910431309215</v>
      </c>
      <c r="P261" s="50">
        <v>0.18908361624873837</v>
      </c>
      <c r="Q261" s="50">
        <v>0.1454776736015817</v>
      </c>
      <c r="R261" s="47">
        <v>0.13928025209965839</v>
      </c>
      <c r="S261" s="50">
        <v>7.708161582852413E-2</v>
      </c>
      <c r="T261" s="50">
        <v>4.3904518329070719E-2</v>
      </c>
      <c r="U261" s="50">
        <v>9.3094463087131096E-2</v>
      </c>
      <c r="V261" s="50">
        <v>1.8644836033671952E-2</v>
      </c>
      <c r="W261" s="50">
        <f t="shared" si="139"/>
        <v>0.13928025209965839</v>
      </c>
      <c r="AO261">
        <f t="shared" si="140"/>
        <v>1</v>
      </c>
    </row>
    <row r="262" spans="1:41" x14ac:dyDescent="0.45">
      <c r="A262" s="3">
        <v>44196</v>
      </c>
      <c r="B262" s="48">
        <v>33.711120000000001</v>
      </c>
      <c r="C262" s="48">
        <v>33.689520000000002</v>
      </c>
      <c r="D262" s="48">
        <v>69.045050000000003</v>
      </c>
      <c r="E262" s="48">
        <v>39.18233</v>
      </c>
      <c r="F262" s="48">
        <v>16.020689999999998</v>
      </c>
      <c r="G262" s="48">
        <v>12.27941</v>
      </c>
      <c r="H262">
        <v>48.52</v>
      </c>
      <c r="I262" s="48">
        <v>3.5190000000000001</v>
      </c>
      <c r="J262" s="49">
        <v>286.14139999999998</v>
      </c>
      <c r="K262" s="49">
        <v>6835.7254400000002</v>
      </c>
      <c r="L262" s="50">
        <v>1.2661300230732531E-2</v>
      </c>
      <c r="M262" s="50">
        <v>-9.1346790156500157E-3</v>
      </c>
      <c r="N262" s="50">
        <v>-1.0312977095953912E-2</v>
      </c>
      <c r="O262" s="50">
        <v>5.4436480807509291E-3</v>
      </c>
      <c r="P262" s="50">
        <v>-2.5641197181171305E-2</v>
      </c>
      <c r="Q262" s="50">
        <v>3.1311205549863219E-2</v>
      </c>
      <c r="R262" s="47">
        <v>-1.666799932432217E-3</v>
      </c>
      <c r="S262" s="50">
        <v>6.0128550694589222E-3</v>
      </c>
      <c r="T262" s="50">
        <v>-1.1100182661233582E-2</v>
      </c>
      <c r="U262" s="50">
        <v>-4.3154470791064714E-3</v>
      </c>
      <c r="V262" s="50">
        <v>1.4449524719990059E-2</v>
      </c>
      <c r="W262" s="50">
        <f t="shared" si="139"/>
        <v>-1.666799932432217E-3</v>
      </c>
      <c r="AO262">
        <f t="shared" si="140"/>
        <v>1</v>
      </c>
    </row>
    <row r="263" spans="1:41" x14ac:dyDescent="0.45">
      <c r="A263" s="3">
        <v>44189</v>
      </c>
      <c r="B263" s="48">
        <v>33.289630000000002</v>
      </c>
      <c r="C263" s="48">
        <v>34.000100000000003</v>
      </c>
      <c r="D263" s="48">
        <v>69.764529999999993</v>
      </c>
      <c r="E263" s="48">
        <v>38.970190000000002</v>
      </c>
      <c r="F263" s="48">
        <v>16.44229</v>
      </c>
      <c r="G263" s="48">
        <v>11.906599999999999</v>
      </c>
      <c r="H263">
        <v>48.23</v>
      </c>
      <c r="I263" s="48">
        <v>3.5585</v>
      </c>
      <c r="J263" s="49">
        <v>287.38157999999999</v>
      </c>
      <c r="K263" s="49">
        <v>6738.3593499999997</v>
      </c>
      <c r="L263" s="50">
        <v>-3.6359104814263188E-2</v>
      </c>
      <c r="M263" s="50">
        <v>-2.6445109132318789E-2</v>
      </c>
      <c r="N263" s="50">
        <v>-2.133274714372857E-2</v>
      </c>
      <c r="O263" s="50">
        <v>-4.1916266299267702E-2</v>
      </c>
      <c r="P263" s="50">
        <v>-3.1278740177892228E-2</v>
      </c>
      <c r="Q263" s="50">
        <v>-1.9193383637022721E-2</v>
      </c>
      <c r="R263" s="47">
        <v>-2.8033249278046003E-2</v>
      </c>
      <c r="S263" s="50">
        <v>-2.0511779041429867E-2</v>
      </c>
      <c r="T263" s="50">
        <v>-1.9021364576154332E-2</v>
      </c>
      <c r="U263" s="50">
        <v>-2.029072503235485E-2</v>
      </c>
      <c r="V263" s="50">
        <v>-1.551862463514353E-3</v>
      </c>
      <c r="W263" s="50">
        <f t="shared" si="139"/>
        <v>-2.8033249278046003E-2</v>
      </c>
      <c r="AO263">
        <f t="shared" si="140"/>
        <v>1</v>
      </c>
    </row>
    <row r="264" spans="1:41" x14ac:dyDescent="0.45">
      <c r="A264" s="3">
        <v>44183</v>
      </c>
      <c r="B264" s="48">
        <v>34.545679999999997</v>
      </c>
      <c r="C264" s="48">
        <v>34.923659999999998</v>
      </c>
      <c r="D264" s="48">
        <v>71.285240000000002</v>
      </c>
      <c r="E264" s="48">
        <v>40.675139999999999</v>
      </c>
      <c r="F264" s="48">
        <v>16.973189999999999</v>
      </c>
      <c r="G264" s="48">
        <v>12.1396</v>
      </c>
      <c r="H264">
        <v>49.24</v>
      </c>
      <c r="I264" s="48">
        <v>3.6274999999999999</v>
      </c>
      <c r="J264" s="49">
        <v>293.33353</v>
      </c>
      <c r="K264" s="49">
        <v>6748.8326100000004</v>
      </c>
      <c r="L264" s="50">
        <v>-5.7497650270167733E-2</v>
      </c>
      <c r="M264" s="50">
        <v>-2.4429447410609262E-2</v>
      </c>
      <c r="N264" s="50">
        <v>-5.6895527766947507E-2</v>
      </c>
      <c r="O264" s="50">
        <v>-3.4141754495944809E-2</v>
      </c>
      <c r="P264" s="50">
        <v>-1.3163678225075026E-2</v>
      </c>
      <c r="Q264" s="50">
        <v>-3.2797530126481456E-2</v>
      </c>
      <c r="R264" s="47">
        <v>-3.2285587605011615E-2</v>
      </c>
      <c r="S264" s="50">
        <v>5.3262032085561462E-2</v>
      </c>
      <c r="T264" s="50">
        <v>2.9516106144458654E-2</v>
      </c>
      <c r="U264" s="50">
        <v>-4.258329870587918E-2</v>
      </c>
      <c r="V264" s="50">
        <v>1.2768378721968787E-2</v>
      </c>
      <c r="W264" s="50">
        <f t="shared" si="139"/>
        <v>-3.2285587605011615E-2</v>
      </c>
      <c r="AO264">
        <f t="shared" si="140"/>
        <v>1</v>
      </c>
    </row>
    <row r="265" spans="1:41" x14ac:dyDescent="0.45">
      <c r="A265" s="3">
        <v>44176</v>
      </c>
      <c r="B265" s="48">
        <v>36.653149999999997</v>
      </c>
      <c r="C265" s="48">
        <v>35.798189999999998</v>
      </c>
      <c r="D265" s="48">
        <v>75.585729999999998</v>
      </c>
      <c r="E265" s="48">
        <v>42.112949999999998</v>
      </c>
      <c r="F265" s="48">
        <v>17.1996</v>
      </c>
      <c r="G265" s="48">
        <v>12.55125</v>
      </c>
      <c r="H265">
        <v>46.75</v>
      </c>
      <c r="I265" s="48">
        <v>3.5234999999999999</v>
      </c>
      <c r="J265" s="49">
        <v>306.38020999999998</v>
      </c>
      <c r="K265" s="49">
        <v>6663.7473600000003</v>
      </c>
      <c r="L265" s="50">
        <v>-1.7845012916974823E-2</v>
      </c>
      <c r="M265" s="50">
        <v>5.0863792066399238E-2</v>
      </c>
      <c r="N265" s="50">
        <v>-8.8979998906435487E-3</v>
      </c>
      <c r="O265" s="50">
        <v>1.1320666814915947E-2</v>
      </c>
      <c r="P265" s="50">
        <v>-1.077702970843708E-2</v>
      </c>
      <c r="Q265" s="50">
        <v>-2.6677244196704919E-2</v>
      </c>
      <c r="R265" s="47">
        <v>3.1664370171059276E-3</v>
      </c>
      <c r="S265" s="50">
        <v>1.0592304366623395E-2</v>
      </c>
      <c r="T265" s="50">
        <v>2.7034718269778324E-3</v>
      </c>
      <c r="U265" s="50">
        <v>1.1369030540167913E-2</v>
      </c>
      <c r="V265" s="50">
        <v>-9.5216065275618433E-3</v>
      </c>
      <c r="W265" s="50">
        <f t="shared" si="139"/>
        <v>3.1664370171059276E-3</v>
      </c>
      <c r="AO265">
        <f t="shared" ref="AO265:AO268" si="141">IF(A265&lt;$AP$3,"",IF(A265&lt;=$AP$4,1,""))</f>
        <v>1</v>
      </c>
    </row>
    <row r="266" spans="1:41" x14ac:dyDescent="0.45">
      <c r="A266" s="3">
        <v>44169</v>
      </c>
      <c r="B266" s="48">
        <v>37.319110000000002</v>
      </c>
      <c r="C266" s="48">
        <v>34.065489999999997</v>
      </c>
      <c r="D266" s="48">
        <v>76.264330000000001</v>
      </c>
      <c r="E266" s="48">
        <v>41.641539999999999</v>
      </c>
      <c r="F266" s="48">
        <v>17.386980000000001</v>
      </c>
      <c r="G266" s="48">
        <v>12.89526</v>
      </c>
      <c r="H266">
        <v>46.26</v>
      </c>
      <c r="I266" s="48">
        <v>3.5139999999999998</v>
      </c>
      <c r="J266" s="49">
        <v>302.93612000000002</v>
      </c>
      <c r="K266" s="49">
        <v>6727.8068899999998</v>
      </c>
      <c r="L266" s="50">
        <v>3.4829268509106059E-2</v>
      </c>
      <c r="M266" s="50">
        <v>3.7073828609004433E-2</v>
      </c>
      <c r="N266" s="50">
        <v>2.1574821016884904E-2</v>
      </c>
      <c r="O266" s="50">
        <v>3.0527123341912432E-2</v>
      </c>
      <c r="P266" s="50">
        <v>5.5450201292741363E-2</v>
      </c>
      <c r="Q266" s="50">
        <v>0.13125842176183267</v>
      </c>
      <c r="R266" s="47">
        <v>5.5176879204475157E-2</v>
      </c>
      <c r="S266" s="50">
        <v>1.6033384581594534E-2</v>
      </c>
      <c r="T266" s="50">
        <v>3.3681423738785021E-2</v>
      </c>
      <c r="U266" s="50">
        <v>4.4656048952904648E-2</v>
      </c>
      <c r="V266" s="50">
        <v>1.7078120715668721E-2</v>
      </c>
      <c r="W266" s="50">
        <f t="shared" si="139"/>
        <v>5.5176879204475157E-2</v>
      </c>
      <c r="AO266">
        <f t="shared" si="141"/>
        <v>1</v>
      </c>
    </row>
    <row r="267" spans="1:41" x14ac:dyDescent="0.45">
      <c r="A267" s="3">
        <v>44162</v>
      </c>
      <c r="B267" s="48">
        <v>36.06306</v>
      </c>
      <c r="C267" s="48">
        <v>32.847700000000003</v>
      </c>
      <c r="D267" s="48">
        <v>74.653689999999997</v>
      </c>
      <c r="E267" s="48">
        <v>40.408000000000001</v>
      </c>
      <c r="F267" s="48">
        <v>16.473520000000001</v>
      </c>
      <c r="G267" s="48">
        <v>11.399039999999999</v>
      </c>
      <c r="H267">
        <v>45.53</v>
      </c>
      <c r="I267" s="48">
        <v>3.3995000000000002</v>
      </c>
      <c r="J267" s="49">
        <v>289.98647</v>
      </c>
      <c r="K267" s="49">
        <v>6614.8378899999998</v>
      </c>
      <c r="L267" s="50">
        <v>7.8940573848352624E-2</v>
      </c>
      <c r="M267" s="50">
        <v>8.7980566677177574E-2</v>
      </c>
      <c r="N267" s="50">
        <v>6.4343172330099119E-2</v>
      </c>
      <c r="O267" s="50">
        <v>0.13306885339309393</v>
      </c>
      <c r="P267" s="50">
        <v>8.2606875549156022E-2</v>
      </c>
      <c r="Q267" s="50">
        <v>0.1231001751789722</v>
      </c>
      <c r="R267" s="47">
        <v>9.8219928625699768E-2</v>
      </c>
      <c r="S267" s="50">
        <v>7.3314474304573274E-2</v>
      </c>
      <c r="T267" s="50">
        <v>3.2968702522029769E-2</v>
      </c>
      <c r="U267" s="50">
        <v>8.5105624245114919E-2</v>
      </c>
      <c r="V267" s="50">
        <v>2.2902352171114249E-2</v>
      </c>
      <c r="W267" s="50">
        <f t="shared" si="139"/>
        <v>9.8219928625699768E-2</v>
      </c>
      <c r="AO267">
        <f t="shared" si="141"/>
        <v>1</v>
      </c>
    </row>
    <row r="268" spans="1:41" x14ac:dyDescent="0.45">
      <c r="A268" s="3">
        <v>44155</v>
      </c>
      <c r="B268" s="48">
        <v>33.424509999999998</v>
      </c>
      <c r="C268" s="48">
        <v>30.19144</v>
      </c>
      <c r="D268" s="48">
        <v>70.140619999999998</v>
      </c>
      <c r="E268" s="48">
        <v>35.662439999999997</v>
      </c>
      <c r="F268" s="48">
        <v>15.216530000000001</v>
      </c>
      <c r="G268" s="48">
        <v>10.149620000000001</v>
      </c>
      <c r="H268">
        <v>42.42</v>
      </c>
      <c r="I268" s="48">
        <v>3.2909999999999999</v>
      </c>
      <c r="J268" s="49">
        <v>267.24261999999999</v>
      </c>
      <c r="K268" s="49">
        <v>6466.7344599999997</v>
      </c>
      <c r="L268" s="50">
        <v>0.12132381555605054</v>
      </c>
      <c r="M268" s="50">
        <v>2.3836031273155145E-2</v>
      </c>
      <c r="N268" s="50">
        <v>4.8444462381744602E-2</v>
      </c>
      <c r="O268" s="50">
        <v>6.3745176785573676E-2</v>
      </c>
      <c r="P268" s="50">
        <v>3.6701610524171535E-2</v>
      </c>
      <c r="Q268" s="50">
        <v>0.11714747999515707</v>
      </c>
      <c r="R268" s="47">
        <v>5.7974952191960402E-2</v>
      </c>
      <c r="S268" s="50">
        <v>5.0000000000000044E-2</v>
      </c>
      <c r="T268" s="50">
        <v>3.5556954059156709E-2</v>
      </c>
      <c r="U268" s="50">
        <v>4.9856828573268119E-2</v>
      </c>
      <c r="V268" s="50">
        <v>-7.410597349374215E-3</v>
      </c>
      <c r="W268" s="50">
        <f t="shared" si="139"/>
        <v>5.7974952191960402E-2</v>
      </c>
      <c r="AO268">
        <f t="shared" si="141"/>
        <v>1</v>
      </c>
    </row>
    <row r="269" spans="1:41" x14ac:dyDescent="0.45">
      <c r="A269" s="3">
        <v>44148</v>
      </c>
      <c r="B269" s="48">
        <v>29.80808</v>
      </c>
      <c r="C269" s="48">
        <v>29.48855</v>
      </c>
      <c r="D269" s="48">
        <v>66.899699999999996</v>
      </c>
      <c r="E269" s="48">
        <v>33.525359999999999</v>
      </c>
      <c r="F269" s="48">
        <v>14.67783</v>
      </c>
      <c r="G269" s="48">
        <v>9.0853000000000002</v>
      </c>
      <c r="H269">
        <v>40.4</v>
      </c>
      <c r="I269" s="48">
        <v>3.1779999999999999</v>
      </c>
      <c r="J269" s="49">
        <v>254.55149</v>
      </c>
      <c r="K269" s="49">
        <v>6515.0146100000002</v>
      </c>
      <c r="AO269">
        <f>IF(A269&lt;$AP$3,"",IF(A269&lt;=$AP$4,1,""))</f>
        <v>1</v>
      </c>
    </row>
    <row r="270" spans="1:41" x14ac:dyDescent="0.45">
      <c r="A270" s="3"/>
      <c r="B270" s="48"/>
    </row>
    <row r="271" spans="1:41" x14ac:dyDescent="0.45">
      <c r="A271" s="3"/>
      <c r="B271" s="48"/>
    </row>
    <row r="272" spans="1:41" x14ac:dyDescent="0.45">
      <c r="A272" s="3"/>
      <c r="B272" s="48"/>
    </row>
    <row r="273" spans="1:2" x14ac:dyDescent="0.45">
      <c r="A273" s="3"/>
      <c r="B273" s="48"/>
    </row>
    <row r="274" spans="1:2" x14ac:dyDescent="0.45">
      <c r="A274" s="3"/>
      <c r="B274" s="48"/>
    </row>
    <row r="275" spans="1:2" x14ac:dyDescent="0.45">
      <c r="A275" s="3"/>
      <c r="B275" s="48"/>
    </row>
    <row r="276" spans="1:2" x14ac:dyDescent="0.45">
      <c r="A276" s="3"/>
      <c r="B276" s="48"/>
    </row>
    <row r="277" spans="1:2" x14ac:dyDescent="0.45">
      <c r="A277" s="3"/>
      <c r="B277" s="48"/>
    </row>
    <row r="278" spans="1:2" x14ac:dyDescent="0.45">
      <c r="A278" s="3"/>
      <c r="B278" s="48"/>
    </row>
    <row r="279" spans="1:2" x14ac:dyDescent="0.45">
      <c r="A279" s="3"/>
      <c r="B279" s="48"/>
    </row>
    <row r="280" spans="1:2" x14ac:dyDescent="0.45">
      <c r="A280" s="3"/>
      <c r="B280" s="48"/>
    </row>
    <row r="281" spans="1:2" x14ac:dyDescent="0.45">
      <c r="A281" s="3"/>
      <c r="B281" s="48"/>
    </row>
    <row r="282" spans="1:2" x14ac:dyDescent="0.45">
      <c r="A282" s="3"/>
      <c r="B282" s="48"/>
    </row>
    <row r="283" spans="1:2" x14ac:dyDescent="0.45">
      <c r="A283" s="3"/>
      <c r="B283" s="48"/>
    </row>
    <row r="284" spans="1:2" x14ac:dyDescent="0.45">
      <c r="A284" s="3"/>
      <c r="B284" s="48"/>
    </row>
    <row r="285" spans="1:2" x14ac:dyDescent="0.45">
      <c r="A285" s="3"/>
      <c r="B285" s="48"/>
    </row>
    <row r="286" spans="1:2" x14ac:dyDescent="0.45">
      <c r="A286" s="3"/>
      <c r="B286" s="48"/>
    </row>
    <row r="287" spans="1:2" x14ac:dyDescent="0.45">
      <c r="A287" s="3"/>
      <c r="B287" s="48"/>
    </row>
    <row r="288" spans="1:2" x14ac:dyDescent="0.45">
      <c r="A288" s="3"/>
      <c r="B288" s="48"/>
    </row>
    <row r="289" spans="1:2" x14ac:dyDescent="0.45">
      <c r="A289" s="3"/>
      <c r="B289" s="48"/>
    </row>
    <row r="290" spans="1:2" x14ac:dyDescent="0.45">
      <c r="A290" s="3"/>
      <c r="B290" s="48"/>
    </row>
    <row r="291" spans="1:2" x14ac:dyDescent="0.45">
      <c r="A291" s="3"/>
      <c r="B291" s="48"/>
    </row>
    <row r="292" spans="1:2" x14ac:dyDescent="0.45">
      <c r="A292" s="3"/>
      <c r="B292" s="48"/>
    </row>
    <row r="293" spans="1:2" x14ac:dyDescent="0.45">
      <c r="A293" s="3"/>
      <c r="B293" s="48"/>
    </row>
    <row r="294" spans="1:2" x14ac:dyDescent="0.45">
      <c r="A294" s="3"/>
      <c r="B294" s="48"/>
    </row>
    <row r="295" spans="1:2" x14ac:dyDescent="0.45">
      <c r="A295" s="3"/>
      <c r="B295" s="48"/>
    </row>
    <row r="296" spans="1:2" x14ac:dyDescent="0.45">
      <c r="A296" s="3"/>
      <c r="B296" s="48"/>
    </row>
    <row r="297" spans="1:2" x14ac:dyDescent="0.45">
      <c r="A297" s="3"/>
      <c r="B297" s="48"/>
    </row>
    <row r="298" spans="1:2" x14ac:dyDescent="0.45">
      <c r="A298" s="3"/>
      <c r="B298" s="48"/>
    </row>
    <row r="299" spans="1:2" x14ac:dyDescent="0.45">
      <c r="A299" s="3"/>
      <c r="B299" s="48"/>
    </row>
    <row r="300" spans="1:2" x14ac:dyDescent="0.45">
      <c r="A300" s="3"/>
      <c r="B300" s="48"/>
    </row>
    <row r="301" spans="1:2" x14ac:dyDescent="0.45">
      <c r="A301" s="3"/>
      <c r="B301" s="48"/>
    </row>
    <row r="302" spans="1:2" x14ac:dyDescent="0.45">
      <c r="A302" s="3"/>
      <c r="B302" s="48"/>
    </row>
    <row r="303" spans="1:2" x14ac:dyDescent="0.45">
      <c r="A303" s="3"/>
      <c r="B303" s="48"/>
    </row>
    <row r="304" spans="1:2" x14ac:dyDescent="0.45">
      <c r="A304" s="3"/>
      <c r="B304" s="48"/>
    </row>
    <row r="305" spans="1:2" x14ac:dyDescent="0.45">
      <c r="A305" s="3"/>
      <c r="B305" s="48"/>
    </row>
    <row r="306" spans="1:2" x14ac:dyDescent="0.45">
      <c r="A306" s="3"/>
      <c r="B306" s="48"/>
    </row>
    <row r="307" spans="1:2" x14ac:dyDescent="0.45">
      <c r="A307" s="3"/>
      <c r="B307" s="48"/>
    </row>
    <row r="308" spans="1:2" x14ac:dyDescent="0.45">
      <c r="A308" s="3"/>
      <c r="B308" s="48"/>
    </row>
    <row r="309" spans="1:2" x14ac:dyDescent="0.45">
      <c r="A309" s="3"/>
      <c r="B309" s="48"/>
    </row>
    <row r="310" spans="1:2" x14ac:dyDescent="0.45">
      <c r="A310" s="3"/>
      <c r="B310" s="48"/>
    </row>
    <row r="311" spans="1:2" x14ac:dyDescent="0.45">
      <c r="A311" s="3"/>
      <c r="B311" s="48"/>
    </row>
    <row r="312" spans="1:2" x14ac:dyDescent="0.45">
      <c r="A312" s="3"/>
      <c r="B312" s="48"/>
    </row>
    <row r="313" spans="1:2" x14ac:dyDescent="0.45">
      <c r="A313" s="3"/>
      <c r="B313" s="48"/>
    </row>
    <row r="314" spans="1:2" x14ac:dyDescent="0.45">
      <c r="A314" s="3"/>
      <c r="B314" s="48"/>
    </row>
    <row r="315" spans="1:2" x14ac:dyDescent="0.45">
      <c r="A315" s="3"/>
      <c r="B315" s="48"/>
    </row>
    <row r="316" spans="1:2" x14ac:dyDescent="0.45">
      <c r="A316" s="3"/>
      <c r="B316" s="48"/>
    </row>
    <row r="317" spans="1:2" x14ac:dyDescent="0.45">
      <c r="A317" s="3"/>
      <c r="B317" s="48"/>
    </row>
    <row r="318" spans="1:2" x14ac:dyDescent="0.45">
      <c r="A318" s="3"/>
      <c r="B318" s="48"/>
    </row>
    <row r="319" spans="1:2" x14ac:dyDescent="0.45">
      <c r="A319" s="3"/>
      <c r="B319" s="48"/>
    </row>
    <row r="320" spans="1:2" x14ac:dyDescent="0.45">
      <c r="A320" s="3"/>
      <c r="B320" s="48"/>
    </row>
    <row r="321" spans="1:2" x14ac:dyDescent="0.45">
      <c r="A321" s="3"/>
      <c r="B321" s="48"/>
    </row>
    <row r="322" spans="1:2" x14ac:dyDescent="0.45">
      <c r="A322" s="3"/>
      <c r="B322" s="48"/>
    </row>
    <row r="323" spans="1:2" x14ac:dyDescent="0.45">
      <c r="A323" s="3"/>
      <c r="B323" s="48"/>
    </row>
    <row r="324" spans="1:2" x14ac:dyDescent="0.45">
      <c r="A324" s="3"/>
      <c r="B324" s="48"/>
    </row>
    <row r="325" spans="1:2" x14ac:dyDescent="0.45">
      <c r="A325" s="3"/>
      <c r="B325" s="48"/>
    </row>
    <row r="326" spans="1:2" x14ac:dyDescent="0.45">
      <c r="A326" s="3"/>
      <c r="B326" s="48"/>
    </row>
    <row r="327" spans="1:2" x14ac:dyDescent="0.45">
      <c r="A327" s="3"/>
      <c r="B327" s="48"/>
    </row>
    <row r="328" spans="1:2" x14ac:dyDescent="0.45">
      <c r="A328" s="3"/>
      <c r="B328" s="48"/>
    </row>
    <row r="329" spans="1:2" x14ac:dyDescent="0.45">
      <c r="A329" s="3"/>
      <c r="B329" s="48"/>
    </row>
    <row r="330" spans="1:2" x14ac:dyDescent="0.45">
      <c r="A330" s="3"/>
      <c r="B330" s="48"/>
    </row>
    <row r="331" spans="1:2" x14ac:dyDescent="0.45">
      <c r="A331" s="3"/>
      <c r="B331" s="48"/>
    </row>
    <row r="332" spans="1:2" x14ac:dyDescent="0.45">
      <c r="A332" s="3"/>
      <c r="B332" s="48"/>
    </row>
    <row r="333" spans="1:2" x14ac:dyDescent="0.45">
      <c r="A333" s="3"/>
      <c r="B333" s="48"/>
    </row>
    <row r="334" spans="1:2" x14ac:dyDescent="0.45">
      <c r="A334" s="3"/>
      <c r="B334" s="48"/>
    </row>
    <row r="335" spans="1:2" x14ac:dyDescent="0.45">
      <c r="A335" s="3"/>
      <c r="B335" s="48"/>
    </row>
    <row r="336" spans="1:2" x14ac:dyDescent="0.45">
      <c r="A336" s="3"/>
      <c r="B336" s="48"/>
    </row>
    <row r="337" spans="1:2" x14ac:dyDescent="0.45">
      <c r="A337" s="3"/>
      <c r="B337" s="48"/>
    </row>
    <row r="338" spans="1:2" x14ac:dyDescent="0.45">
      <c r="A338" s="3"/>
      <c r="B338" s="48"/>
    </row>
    <row r="339" spans="1:2" x14ac:dyDescent="0.45">
      <c r="A339" s="3"/>
      <c r="B339" s="48"/>
    </row>
    <row r="340" spans="1:2" x14ac:dyDescent="0.45">
      <c r="A340" s="3"/>
      <c r="B340" s="48"/>
    </row>
    <row r="341" spans="1:2" x14ac:dyDescent="0.45">
      <c r="A341" s="3"/>
      <c r="B341" s="48"/>
    </row>
    <row r="342" spans="1:2" x14ac:dyDescent="0.45">
      <c r="A342" s="3"/>
      <c r="B342" s="48"/>
    </row>
    <row r="343" spans="1:2" x14ac:dyDescent="0.45">
      <c r="A343" s="3"/>
      <c r="B343" s="48"/>
    </row>
    <row r="344" spans="1:2" x14ac:dyDescent="0.45">
      <c r="A344" s="3"/>
      <c r="B344" s="48"/>
    </row>
    <row r="345" spans="1:2" x14ac:dyDescent="0.45">
      <c r="A345" s="3"/>
      <c r="B345" s="48"/>
    </row>
    <row r="346" spans="1:2" x14ac:dyDescent="0.45">
      <c r="A346" s="3"/>
      <c r="B346" s="48"/>
    </row>
    <row r="347" spans="1:2" x14ac:dyDescent="0.45">
      <c r="A347" s="3"/>
      <c r="B347" s="48"/>
    </row>
    <row r="348" spans="1:2" x14ac:dyDescent="0.45">
      <c r="A348" s="3"/>
      <c r="B348" s="48"/>
    </row>
    <row r="349" spans="1:2" x14ac:dyDescent="0.45">
      <c r="A349" s="3"/>
      <c r="B349" s="48"/>
    </row>
    <row r="350" spans="1:2" x14ac:dyDescent="0.45">
      <c r="A350" s="3"/>
      <c r="B350" s="48"/>
    </row>
    <row r="351" spans="1:2" x14ac:dyDescent="0.45">
      <c r="A351" s="3"/>
      <c r="B351" s="48"/>
    </row>
    <row r="352" spans="1:2" x14ac:dyDescent="0.45">
      <c r="A352" s="3"/>
      <c r="B352" s="48"/>
    </row>
    <row r="353" spans="1:2" x14ac:dyDescent="0.45">
      <c r="A353" s="3"/>
      <c r="B353" s="48"/>
    </row>
    <row r="354" spans="1:2" x14ac:dyDescent="0.45">
      <c r="A354" s="3"/>
      <c r="B354" s="48"/>
    </row>
    <row r="355" spans="1:2" x14ac:dyDescent="0.45">
      <c r="A355" s="3"/>
      <c r="B355" s="48"/>
    </row>
    <row r="356" spans="1:2" x14ac:dyDescent="0.45">
      <c r="A356" s="3"/>
      <c r="B356" s="48"/>
    </row>
    <row r="357" spans="1:2" x14ac:dyDescent="0.45">
      <c r="A357" s="3"/>
      <c r="B357" s="48"/>
    </row>
    <row r="358" spans="1:2" x14ac:dyDescent="0.45">
      <c r="A358" s="3"/>
      <c r="B358" s="48"/>
    </row>
    <row r="359" spans="1:2" x14ac:dyDescent="0.45">
      <c r="A359" s="3"/>
      <c r="B359" s="48"/>
    </row>
    <row r="360" spans="1:2" x14ac:dyDescent="0.45">
      <c r="A360" s="3"/>
      <c r="B360" s="48"/>
    </row>
    <row r="361" spans="1:2" x14ac:dyDescent="0.45">
      <c r="A361" s="3"/>
      <c r="B361" s="48"/>
    </row>
    <row r="362" spans="1:2" x14ac:dyDescent="0.45">
      <c r="A362" s="3"/>
      <c r="B362" s="48"/>
    </row>
    <row r="363" spans="1:2" x14ac:dyDescent="0.45">
      <c r="A363" s="3"/>
      <c r="B363" s="48"/>
    </row>
    <row r="364" spans="1:2" x14ac:dyDescent="0.45">
      <c r="A364" s="3"/>
      <c r="B364" s="48"/>
    </row>
    <row r="365" spans="1:2" x14ac:dyDescent="0.45">
      <c r="A365" s="3"/>
      <c r="B365" s="48"/>
    </row>
    <row r="366" spans="1:2" x14ac:dyDescent="0.45">
      <c r="A366" s="3"/>
      <c r="B366" s="48"/>
    </row>
    <row r="367" spans="1:2" x14ac:dyDescent="0.45">
      <c r="A367" s="3"/>
      <c r="B367" s="48"/>
    </row>
    <row r="368" spans="1:2" x14ac:dyDescent="0.45">
      <c r="A368" s="3"/>
      <c r="B368" s="48"/>
    </row>
    <row r="369" spans="1:2" x14ac:dyDescent="0.45">
      <c r="A369" s="3"/>
      <c r="B369" s="48"/>
    </row>
    <row r="370" spans="1:2" x14ac:dyDescent="0.45">
      <c r="A370" s="3"/>
      <c r="B370" s="48"/>
    </row>
    <row r="371" spans="1:2" x14ac:dyDescent="0.45">
      <c r="A371" s="3"/>
      <c r="B371" s="48"/>
    </row>
    <row r="372" spans="1:2" x14ac:dyDescent="0.45">
      <c r="A372" s="3"/>
      <c r="B372" s="48"/>
    </row>
    <row r="373" spans="1:2" x14ac:dyDescent="0.45">
      <c r="A373" s="3"/>
      <c r="B373" s="48"/>
    </row>
    <row r="374" spans="1:2" x14ac:dyDescent="0.45">
      <c r="A374" s="3"/>
      <c r="B374" s="48"/>
    </row>
    <row r="375" spans="1:2" x14ac:dyDescent="0.45">
      <c r="A375" s="3"/>
      <c r="B375" s="48"/>
    </row>
    <row r="376" spans="1:2" x14ac:dyDescent="0.45">
      <c r="A376" s="3"/>
      <c r="B376" s="48"/>
    </row>
    <row r="377" spans="1:2" x14ac:dyDescent="0.45">
      <c r="A377" s="3"/>
      <c r="B377" s="48"/>
    </row>
    <row r="378" spans="1:2" x14ac:dyDescent="0.45">
      <c r="A378" s="3"/>
      <c r="B378" s="48"/>
    </row>
    <row r="379" spans="1:2" x14ac:dyDescent="0.45">
      <c r="A379" s="3"/>
      <c r="B379" s="48"/>
    </row>
    <row r="380" spans="1:2" x14ac:dyDescent="0.45">
      <c r="A380" s="3"/>
      <c r="B380" s="48"/>
    </row>
    <row r="381" spans="1:2" x14ac:dyDescent="0.45">
      <c r="A381" s="3"/>
      <c r="B381" s="48"/>
    </row>
    <row r="382" spans="1:2" x14ac:dyDescent="0.45">
      <c r="A382" s="3"/>
      <c r="B382" s="48"/>
    </row>
    <row r="383" spans="1:2" x14ac:dyDescent="0.45">
      <c r="A383" s="3"/>
      <c r="B383" s="48"/>
    </row>
    <row r="384" spans="1:2" x14ac:dyDescent="0.45">
      <c r="A384" s="3"/>
      <c r="B384" s="48"/>
    </row>
    <row r="385" spans="1:2" x14ac:dyDescent="0.45">
      <c r="A385" s="3"/>
      <c r="B385" s="48"/>
    </row>
    <row r="386" spans="1:2" x14ac:dyDescent="0.45">
      <c r="A386" s="3"/>
      <c r="B386" s="48"/>
    </row>
    <row r="387" spans="1:2" x14ac:dyDescent="0.45">
      <c r="A387" s="3"/>
      <c r="B387" s="48"/>
    </row>
    <row r="388" spans="1:2" x14ac:dyDescent="0.45">
      <c r="A388" s="3"/>
      <c r="B388" s="48"/>
    </row>
    <row r="389" spans="1:2" x14ac:dyDescent="0.45">
      <c r="A389" s="3"/>
      <c r="B389" s="48"/>
    </row>
    <row r="390" spans="1:2" x14ac:dyDescent="0.45">
      <c r="A390" s="3"/>
      <c r="B390" s="48"/>
    </row>
    <row r="391" spans="1:2" x14ac:dyDescent="0.45">
      <c r="A391" s="3"/>
      <c r="B391" s="48"/>
    </row>
    <row r="392" spans="1:2" x14ac:dyDescent="0.45">
      <c r="A392" s="3"/>
      <c r="B392" s="48"/>
    </row>
    <row r="393" spans="1:2" x14ac:dyDescent="0.45">
      <c r="A393" s="3"/>
      <c r="B393" s="48"/>
    </row>
    <row r="394" spans="1:2" x14ac:dyDescent="0.45">
      <c r="A394" s="3"/>
      <c r="B394" s="48"/>
    </row>
    <row r="395" spans="1:2" x14ac:dyDescent="0.45">
      <c r="A395" s="3"/>
      <c r="B395" s="48"/>
    </row>
    <row r="396" spans="1:2" x14ac:dyDescent="0.45">
      <c r="A396" s="3"/>
      <c r="B396" s="48"/>
    </row>
    <row r="397" spans="1:2" x14ac:dyDescent="0.45">
      <c r="A397" s="3"/>
      <c r="B397" s="48"/>
    </row>
    <row r="398" spans="1:2" x14ac:dyDescent="0.45">
      <c r="A398" s="3"/>
      <c r="B398" s="48"/>
    </row>
    <row r="399" spans="1:2" x14ac:dyDescent="0.45">
      <c r="A399" s="3"/>
      <c r="B399" s="48"/>
    </row>
    <row r="400" spans="1:2" x14ac:dyDescent="0.45">
      <c r="A400" s="3"/>
      <c r="B400" s="48"/>
    </row>
    <row r="401" spans="1:2" x14ac:dyDescent="0.45">
      <c r="A401" s="3"/>
      <c r="B401" s="48"/>
    </row>
    <row r="402" spans="1:2" x14ac:dyDescent="0.45">
      <c r="A402" s="3"/>
      <c r="B402" s="48"/>
    </row>
    <row r="403" spans="1:2" x14ac:dyDescent="0.45">
      <c r="A403" s="3"/>
      <c r="B403" s="48"/>
    </row>
    <row r="404" spans="1:2" x14ac:dyDescent="0.45">
      <c r="A404" s="3"/>
      <c r="B404" s="48"/>
    </row>
    <row r="405" spans="1:2" x14ac:dyDescent="0.45">
      <c r="A405" s="3"/>
      <c r="B405" s="48"/>
    </row>
    <row r="406" spans="1:2" x14ac:dyDescent="0.45">
      <c r="A406" s="3"/>
      <c r="B406" s="48"/>
    </row>
    <row r="407" spans="1:2" x14ac:dyDescent="0.45">
      <c r="A407" s="3"/>
      <c r="B407" s="48"/>
    </row>
    <row r="408" spans="1:2" x14ac:dyDescent="0.45">
      <c r="A408" s="3"/>
      <c r="B408" s="48"/>
    </row>
    <row r="409" spans="1:2" x14ac:dyDescent="0.45">
      <c r="A409" s="3"/>
      <c r="B409" s="48"/>
    </row>
    <row r="410" spans="1:2" x14ac:dyDescent="0.45">
      <c r="A410" s="3"/>
      <c r="B410" s="48"/>
    </row>
    <row r="411" spans="1:2" x14ac:dyDescent="0.45">
      <c r="A411" s="3"/>
      <c r="B411" s="48"/>
    </row>
    <row r="412" spans="1:2" x14ac:dyDescent="0.45">
      <c r="A412" s="3"/>
      <c r="B412" s="48"/>
    </row>
    <row r="413" spans="1:2" x14ac:dyDescent="0.45">
      <c r="A413" s="3"/>
      <c r="B413" s="48"/>
    </row>
    <row r="414" spans="1:2" x14ac:dyDescent="0.45">
      <c r="A414" s="3"/>
      <c r="B414" s="48"/>
    </row>
    <row r="415" spans="1:2" x14ac:dyDescent="0.45">
      <c r="A415" s="3"/>
      <c r="B415" s="48"/>
    </row>
    <row r="416" spans="1:2" x14ac:dyDescent="0.45">
      <c r="A416" s="3"/>
      <c r="B416" s="48"/>
    </row>
    <row r="417" spans="1:2" x14ac:dyDescent="0.45">
      <c r="A417" s="3"/>
      <c r="B417" s="48"/>
    </row>
    <row r="418" spans="1:2" x14ac:dyDescent="0.45">
      <c r="A418" s="3"/>
      <c r="B418" s="48"/>
    </row>
    <row r="419" spans="1:2" x14ac:dyDescent="0.45">
      <c r="A419" s="3"/>
      <c r="B419" s="48"/>
    </row>
    <row r="420" spans="1:2" x14ac:dyDescent="0.45">
      <c r="A420" s="3"/>
      <c r="B420" s="48"/>
    </row>
    <row r="421" spans="1:2" x14ac:dyDescent="0.45">
      <c r="A421" s="3"/>
      <c r="B421" s="48"/>
    </row>
    <row r="422" spans="1:2" x14ac:dyDescent="0.45">
      <c r="A422" s="3"/>
      <c r="B422" s="48"/>
    </row>
    <row r="423" spans="1:2" x14ac:dyDescent="0.45">
      <c r="A423" s="3"/>
      <c r="B423" s="48"/>
    </row>
    <row r="424" spans="1:2" x14ac:dyDescent="0.45">
      <c r="A424" s="3"/>
      <c r="B424" s="48"/>
    </row>
    <row r="425" spans="1:2" x14ac:dyDescent="0.45">
      <c r="A425" s="3"/>
      <c r="B425" s="48"/>
    </row>
    <row r="426" spans="1:2" x14ac:dyDescent="0.45">
      <c r="A426" s="3"/>
      <c r="B426" s="48"/>
    </row>
    <row r="427" spans="1:2" x14ac:dyDescent="0.45">
      <c r="A427" s="3"/>
      <c r="B427" s="48"/>
    </row>
    <row r="428" spans="1:2" x14ac:dyDescent="0.45">
      <c r="A428" s="3"/>
      <c r="B428" s="48"/>
    </row>
    <row r="429" spans="1:2" x14ac:dyDescent="0.45">
      <c r="A429" s="3"/>
      <c r="B429" s="48"/>
    </row>
    <row r="430" spans="1:2" x14ac:dyDescent="0.45">
      <c r="A430" s="3"/>
      <c r="B430" s="48"/>
    </row>
    <row r="431" spans="1:2" x14ac:dyDescent="0.45">
      <c r="A431" s="3"/>
      <c r="B431" s="48"/>
    </row>
    <row r="432" spans="1:2" x14ac:dyDescent="0.45">
      <c r="A432" s="3"/>
      <c r="B432" s="48"/>
    </row>
    <row r="433" spans="1:2" x14ac:dyDescent="0.45">
      <c r="A433" s="3"/>
      <c r="B433" s="48"/>
    </row>
    <row r="434" spans="1:2" x14ac:dyDescent="0.45">
      <c r="A434" s="3"/>
      <c r="B434" s="48"/>
    </row>
    <row r="435" spans="1:2" x14ac:dyDescent="0.45">
      <c r="A435" s="3"/>
      <c r="B435" s="48"/>
    </row>
    <row r="436" spans="1:2" x14ac:dyDescent="0.45">
      <c r="A436" s="3"/>
      <c r="B436" s="48"/>
    </row>
    <row r="437" spans="1:2" x14ac:dyDescent="0.45">
      <c r="A437" s="3"/>
      <c r="B437" s="48"/>
    </row>
    <row r="438" spans="1:2" x14ac:dyDescent="0.45">
      <c r="A438" s="3"/>
      <c r="B438" s="48"/>
    </row>
    <row r="439" spans="1:2" x14ac:dyDescent="0.45">
      <c r="A439" s="3"/>
      <c r="B439" s="48"/>
    </row>
    <row r="440" spans="1:2" x14ac:dyDescent="0.45">
      <c r="A440" s="3"/>
      <c r="B440" s="48"/>
    </row>
    <row r="441" spans="1:2" x14ac:dyDescent="0.45">
      <c r="A441" s="3"/>
      <c r="B441" s="48"/>
    </row>
    <row r="442" spans="1:2" x14ac:dyDescent="0.45">
      <c r="A442" s="3"/>
      <c r="B442" s="48"/>
    </row>
    <row r="443" spans="1:2" x14ac:dyDescent="0.45">
      <c r="A443" s="3"/>
      <c r="B443" s="48"/>
    </row>
    <row r="444" spans="1:2" x14ac:dyDescent="0.45">
      <c r="A444" s="3"/>
      <c r="B444" s="48"/>
    </row>
    <row r="445" spans="1:2" x14ac:dyDescent="0.45">
      <c r="A445" s="3"/>
      <c r="B445" s="48"/>
    </row>
    <row r="446" spans="1:2" x14ac:dyDescent="0.45">
      <c r="A446" s="3"/>
      <c r="B446" s="48"/>
    </row>
    <row r="447" spans="1:2" x14ac:dyDescent="0.45">
      <c r="A447" s="3"/>
      <c r="B447" s="48"/>
    </row>
    <row r="448" spans="1:2" x14ac:dyDescent="0.45">
      <c r="A448" s="3"/>
      <c r="B448" s="48"/>
    </row>
    <row r="449" spans="1:2" x14ac:dyDescent="0.45">
      <c r="A449" s="3"/>
      <c r="B449" s="48"/>
    </row>
    <row r="450" spans="1:2" x14ac:dyDescent="0.45">
      <c r="A450" s="3"/>
      <c r="B450" s="48"/>
    </row>
    <row r="451" spans="1:2" x14ac:dyDescent="0.45">
      <c r="A451" s="3"/>
      <c r="B451" s="48"/>
    </row>
    <row r="452" spans="1:2" x14ac:dyDescent="0.45">
      <c r="A452" s="3"/>
      <c r="B452" s="48"/>
    </row>
    <row r="453" spans="1:2" x14ac:dyDescent="0.45">
      <c r="A453" s="3"/>
      <c r="B453" s="48"/>
    </row>
    <row r="454" spans="1:2" x14ac:dyDescent="0.45">
      <c r="A454" s="3"/>
      <c r="B454" s="48"/>
    </row>
    <row r="455" spans="1:2" x14ac:dyDescent="0.45">
      <c r="A455" s="3"/>
      <c r="B455" s="48"/>
    </row>
    <row r="456" spans="1:2" x14ac:dyDescent="0.45">
      <c r="A456" s="3"/>
      <c r="B456" s="48"/>
    </row>
    <row r="457" spans="1:2" x14ac:dyDescent="0.45">
      <c r="A457" s="3"/>
      <c r="B457" s="48"/>
    </row>
    <row r="458" spans="1:2" x14ac:dyDescent="0.45">
      <c r="A458" s="3"/>
      <c r="B458" s="48"/>
    </row>
    <row r="459" spans="1:2" x14ac:dyDescent="0.45">
      <c r="A459" s="3"/>
      <c r="B459" s="48"/>
    </row>
    <row r="460" spans="1:2" x14ac:dyDescent="0.45">
      <c r="A460" s="3"/>
      <c r="B460" s="48"/>
    </row>
    <row r="461" spans="1:2" x14ac:dyDescent="0.45">
      <c r="A461" s="3"/>
      <c r="B461" s="48"/>
    </row>
    <row r="462" spans="1:2" x14ac:dyDescent="0.45">
      <c r="A462" s="3"/>
      <c r="B462" s="48"/>
    </row>
    <row r="463" spans="1:2" x14ac:dyDescent="0.45">
      <c r="A463" s="3"/>
      <c r="B463" s="48"/>
    </row>
    <row r="464" spans="1:2" x14ac:dyDescent="0.45">
      <c r="A464" s="3"/>
      <c r="B464" s="48"/>
    </row>
    <row r="465" spans="1:2" x14ac:dyDescent="0.45">
      <c r="A465" s="3"/>
      <c r="B465" s="48"/>
    </row>
    <row r="466" spans="1:2" x14ac:dyDescent="0.45">
      <c r="A466" s="3"/>
      <c r="B466" s="48"/>
    </row>
    <row r="467" spans="1:2" x14ac:dyDescent="0.45">
      <c r="A467" s="3"/>
      <c r="B467" s="48"/>
    </row>
    <row r="468" spans="1:2" x14ac:dyDescent="0.45">
      <c r="A468" s="3"/>
      <c r="B468" s="48"/>
    </row>
    <row r="469" spans="1:2" x14ac:dyDescent="0.45">
      <c r="A469" s="3"/>
      <c r="B469" s="48"/>
    </row>
    <row r="470" spans="1:2" x14ac:dyDescent="0.45">
      <c r="A470" s="3"/>
      <c r="B470" s="48"/>
    </row>
    <row r="471" spans="1:2" x14ac:dyDescent="0.45">
      <c r="A471" s="3"/>
      <c r="B471" s="48"/>
    </row>
    <row r="472" spans="1:2" x14ac:dyDescent="0.45">
      <c r="A472" s="3"/>
      <c r="B472" s="48"/>
    </row>
    <row r="473" spans="1:2" x14ac:dyDescent="0.45">
      <c r="A473" s="3"/>
      <c r="B473" s="48"/>
    </row>
    <row r="474" spans="1:2" x14ac:dyDescent="0.45">
      <c r="A474" s="3"/>
      <c r="B474" s="48"/>
    </row>
    <row r="475" spans="1:2" x14ac:dyDescent="0.45">
      <c r="A475" s="3"/>
      <c r="B475" s="48"/>
    </row>
    <row r="476" spans="1:2" x14ac:dyDescent="0.45">
      <c r="A476" s="3"/>
      <c r="B476" s="48"/>
    </row>
    <row r="477" spans="1:2" x14ac:dyDescent="0.45">
      <c r="A477" s="3"/>
      <c r="B477" s="48"/>
    </row>
    <row r="478" spans="1:2" x14ac:dyDescent="0.45">
      <c r="A478" s="3"/>
      <c r="B478" s="48"/>
    </row>
    <row r="479" spans="1:2" x14ac:dyDescent="0.45">
      <c r="A479" s="3"/>
      <c r="B479" s="48"/>
    </row>
    <row r="480" spans="1:2" x14ac:dyDescent="0.45">
      <c r="A480" s="3"/>
      <c r="B480" s="48"/>
    </row>
    <row r="481" spans="1:2" x14ac:dyDescent="0.45">
      <c r="A481" s="3"/>
      <c r="B481" s="48"/>
    </row>
    <row r="482" spans="1:2" x14ac:dyDescent="0.45">
      <c r="A482" s="3"/>
      <c r="B482" s="48"/>
    </row>
    <row r="483" spans="1:2" x14ac:dyDescent="0.45">
      <c r="A483" s="3"/>
      <c r="B483" s="48"/>
    </row>
    <row r="484" spans="1:2" x14ac:dyDescent="0.45">
      <c r="A484" s="3"/>
      <c r="B484" s="48"/>
    </row>
    <row r="485" spans="1:2" x14ac:dyDescent="0.45">
      <c r="A485" s="3"/>
      <c r="B485" s="48"/>
    </row>
    <row r="486" spans="1:2" x14ac:dyDescent="0.45">
      <c r="A486" s="3"/>
      <c r="B486" s="48"/>
    </row>
    <row r="487" spans="1:2" x14ac:dyDescent="0.45">
      <c r="A487" s="3"/>
      <c r="B487" s="48"/>
    </row>
    <row r="488" spans="1:2" x14ac:dyDescent="0.45">
      <c r="A488" s="3"/>
      <c r="B488" s="48"/>
    </row>
    <row r="489" spans="1:2" x14ac:dyDescent="0.45">
      <c r="A489" s="3"/>
      <c r="B489" s="48"/>
    </row>
    <row r="490" spans="1:2" x14ac:dyDescent="0.45">
      <c r="A490" s="3"/>
      <c r="B490" s="48"/>
    </row>
    <row r="491" spans="1:2" x14ac:dyDescent="0.45">
      <c r="A491" s="3"/>
      <c r="B491" s="48"/>
    </row>
    <row r="492" spans="1:2" x14ac:dyDescent="0.45">
      <c r="A492" s="3"/>
      <c r="B492" s="48"/>
    </row>
    <row r="493" spans="1:2" x14ac:dyDescent="0.45">
      <c r="A493" s="3"/>
      <c r="B493" s="48"/>
    </row>
    <row r="494" spans="1:2" x14ac:dyDescent="0.45">
      <c r="A494" s="3"/>
      <c r="B494" s="48"/>
    </row>
    <row r="495" spans="1:2" x14ac:dyDescent="0.45">
      <c r="A495" s="3"/>
      <c r="B495" s="48"/>
    </row>
    <row r="496" spans="1:2" x14ac:dyDescent="0.45">
      <c r="A496" s="3"/>
      <c r="B496" s="48"/>
    </row>
    <row r="497" spans="1:2" x14ac:dyDescent="0.45">
      <c r="A497" s="3"/>
      <c r="B497" s="48"/>
    </row>
    <row r="498" spans="1:2" x14ac:dyDescent="0.45">
      <c r="A498" s="3"/>
      <c r="B498" s="48"/>
    </row>
    <row r="499" spans="1:2" x14ac:dyDescent="0.45">
      <c r="A499" s="3"/>
      <c r="B499" s="48"/>
    </row>
    <row r="500" spans="1:2" x14ac:dyDescent="0.45">
      <c r="A500" s="3"/>
      <c r="B500" s="48"/>
    </row>
    <row r="501" spans="1:2" x14ac:dyDescent="0.45">
      <c r="A501" s="3"/>
      <c r="B501" s="48"/>
    </row>
    <row r="502" spans="1:2" x14ac:dyDescent="0.45">
      <c r="A502" s="3"/>
      <c r="B502" s="48"/>
    </row>
    <row r="503" spans="1:2" x14ac:dyDescent="0.45">
      <c r="A503" s="3"/>
      <c r="B503" s="48"/>
    </row>
    <row r="504" spans="1:2" x14ac:dyDescent="0.45">
      <c r="A504" s="3"/>
      <c r="B504" s="48"/>
    </row>
    <row r="505" spans="1:2" x14ac:dyDescent="0.45">
      <c r="A505" s="3"/>
      <c r="B505" s="48"/>
    </row>
    <row r="506" spans="1:2" x14ac:dyDescent="0.45">
      <c r="A506" s="3"/>
      <c r="B506" s="48"/>
    </row>
    <row r="507" spans="1:2" x14ac:dyDescent="0.45">
      <c r="A507" s="3"/>
      <c r="B507" s="48"/>
    </row>
    <row r="508" spans="1:2" x14ac:dyDescent="0.45">
      <c r="A508" s="3"/>
      <c r="B508" s="48"/>
    </row>
    <row r="509" spans="1:2" x14ac:dyDescent="0.45">
      <c r="A509" s="3"/>
      <c r="B509" s="48"/>
    </row>
    <row r="510" spans="1:2" x14ac:dyDescent="0.45">
      <c r="A510" s="3"/>
      <c r="B510" s="48"/>
    </row>
    <row r="511" spans="1:2" x14ac:dyDescent="0.45">
      <c r="A511" s="3"/>
      <c r="B511" s="48"/>
    </row>
    <row r="512" spans="1:2" x14ac:dyDescent="0.45">
      <c r="A512" s="3"/>
      <c r="B512" s="48"/>
    </row>
    <row r="513" spans="1:2" x14ac:dyDescent="0.45">
      <c r="A513" s="3"/>
      <c r="B513" s="48"/>
    </row>
    <row r="514" spans="1:2" x14ac:dyDescent="0.45">
      <c r="A514" s="3"/>
      <c r="B514" s="48"/>
    </row>
    <row r="515" spans="1:2" x14ac:dyDescent="0.45">
      <c r="A515" s="3"/>
      <c r="B515" s="48"/>
    </row>
    <row r="516" spans="1:2" x14ac:dyDescent="0.45">
      <c r="A516" s="3"/>
      <c r="B516" s="48"/>
    </row>
    <row r="517" spans="1:2" x14ac:dyDescent="0.45">
      <c r="A517" s="3"/>
      <c r="B517" s="48"/>
    </row>
    <row r="518" spans="1:2" x14ac:dyDescent="0.45">
      <c r="A518" s="3"/>
      <c r="B518" s="48"/>
    </row>
    <row r="519" spans="1:2" x14ac:dyDescent="0.45">
      <c r="A519" s="3"/>
      <c r="B519" s="48"/>
    </row>
    <row r="520" spans="1:2" x14ac:dyDescent="0.45">
      <c r="A520" s="3"/>
      <c r="B520" s="48"/>
    </row>
    <row r="521" spans="1:2" x14ac:dyDescent="0.45">
      <c r="A521" s="3"/>
      <c r="B521" s="48"/>
    </row>
    <row r="522" spans="1:2" x14ac:dyDescent="0.45">
      <c r="A522" s="3"/>
      <c r="B522" s="48"/>
    </row>
    <row r="523" spans="1:2" x14ac:dyDescent="0.45">
      <c r="A523" s="3"/>
      <c r="B523" s="48"/>
    </row>
    <row r="524" spans="1:2" x14ac:dyDescent="0.45">
      <c r="A524" s="3"/>
      <c r="B524" s="48"/>
    </row>
    <row r="525" spans="1:2" x14ac:dyDescent="0.45">
      <c r="A525" s="3"/>
      <c r="B525" s="48"/>
    </row>
    <row r="526" spans="1:2" x14ac:dyDescent="0.45">
      <c r="A526" s="3"/>
      <c r="B526" s="48"/>
    </row>
    <row r="527" spans="1:2" x14ac:dyDescent="0.45">
      <c r="A527" s="3"/>
      <c r="B527" s="48"/>
    </row>
    <row r="528" spans="1:2" x14ac:dyDescent="0.45">
      <c r="A528" s="3"/>
      <c r="B528" s="48"/>
    </row>
    <row r="529" spans="1:2" x14ac:dyDescent="0.45">
      <c r="A529" s="3"/>
      <c r="B529" s="48"/>
    </row>
    <row r="530" spans="1:2" x14ac:dyDescent="0.45">
      <c r="A530" s="3"/>
      <c r="B530" s="48"/>
    </row>
    <row r="531" spans="1:2" x14ac:dyDescent="0.45">
      <c r="A531" s="3"/>
      <c r="B531" s="48"/>
    </row>
    <row r="532" spans="1:2" x14ac:dyDescent="0.45">
      <c r="A532" s="3"/>
      <c r="B532" s="48"/>
    </row>
    <row r="533" spans="1:2" x14ac:dyDescent="0.45">
      <c r="A533" s="3"/>
      <c r="B533" s="48"/>
    </row>
    <row r="534" spans="1:2" x14ac:dyDescent="0.45">
      <c r="A534" s="3"/>
      <c r="B534" s="48"/>
    </row>
    <row r="535" spans="1:2" x14ac:dyDescent="0.45">
      <c r="A535" s="3"/>
      <c r="B535" s="48"/>
    </row>
    <row r="536" spans="1:2" x14ac:dyDescent="0.45">
      <c r="A536" s="3"/>
      <c r="B536" s="48"/>
    </row>
    <row r="537" spans="1:2" x14ac:dyDescent="0.45">
      <c r="A537" s="3"/>
      <c r="B537" s="48"/>
    </row>
    <row r="538" spans="1:2" x14ac:dyDescent="0.45">
      <c r="A538" s="3"/>
      <c r="B538" s="48"/>
    </row>
    <row r="539" spans="1:2" x14ac:dyDescent="0.45">
      <c r="A539" s="3"/>
      <c r="B539" s="48"/>
    </row>
    <row r="540" spans="1:2" x14ac:dyDescent="0.45">
      <c r="A540" s="3"/>
      <c r="B540" s="48"/>
    </row>
    <row r="541" spans="1:2" x14ac:dyDescent="0.45">
      <c r="A541" s="3"/>
      <c r="B541" s="48"/>
    </row>
    <row r="542" spans="1:2" x14ac:dyDescent="0.45">
      <c r="A542" s="3"/>
      <c r="B542" s="48"/>
    </row>
    <row r="543" spans="1:2" x14ac:dyDescent="0.45">
      <c r="A543" s="3"/>
      <c r="B543" s="48"/>
    </row>
    <row r="544" spans="1:2" x14ac:dyDescent="0.45">
      <c r="A544" s="3"/>
      <c r="B544" s="48"/>
    </row>
    <row r="545" spans="1:2" x14ac:dyDescent="0.45">
      <c r="A545" s="3"/>
      <c r="B545" s="48"/>
    </row>
    <row r="546" spans="1:2" x14ac:dyDescent="0.45">
      <c r="A546" s="3"/>
      <c r="B546" s="48"/>
    </row>
    <row r="547" spans="1:2" x14ac:dyDescent="0.45">
      <c r="A547" s="3"/>
      <c r="B547" s="48"/>
    </row>
    <row r="548" spans="1:2" x14ac:dyDescent="0.45">
      <c r="A548" s="3"/>
      <c r="B548" s="48"/>
    </row>
    <row r="549" spans="1:2" x14ac:dyDescent="0.45">
      <c r="A549" s="3"/>
      <c r="B549" s="48"/>
    </row>
    <row r="550" spans="1:2" x14ac:dyDescent="0.45">
      <c r="A550" s="3"/>
      <c r="B550" s="48"/>
    </row>
    <row r="551" spans="1:2" x14ac:dyDescent="0.45">
      <c r="A551" s="3"/>
      <c r="B551" s="48"/>
    </row>
    <row r="552" spans="1:2" x14ac:dyDescent="0.45">
      <c r="A552" s="3"/>
      <c r="B552" s="48"/>
    </row>
    <row r="553" spans="1:2" x14ac:dyDescent="0.45">
      <c r="A553" s="3"/>
      <c r="B553" s="48"/>
    </row>
    <row r="554" spans="1:2" x14ac:dyDescent="0.45">
      <c r="A554" s="3"/>
      <c r="B554" s="48"/>
    </row>
    <row r="555" spans="1:2" x14ac:dyDescent="0.45">
      <c r="A555" s="3"/>
      <c r="B555" s="48"/>
    </row>
    <row r="556" spans="1:2" x14ac:dyDescent="0.45">
      <c r="A556" s="3"/>
      <c r="B556" s="48"/>
    </row>
    <row r="557" spans="1:2" x14ac:dyDescent="0.45">
      <c r="A557" s="3"/>
      <c r="B557" s="48"/>
    </row>
    <row r="558" spans="1:2" x14ac:dyDescent="0.45">
      <c r="A558" s="3"/>
      <c r="B558" s="48"/>
    </row>
    <row r="559" spans="1:2" x14ac:dyDescent="0.45">
      <c r="A559" s="3"/>
      <c r="B559" s="48"/>
    </row>
    <row r="560" spans="1:2" x14ac:dyDescent="0.45">
      <c r="A560" s="3"/>
      <c r="B560" s="48"/>
    </row>
    <row r="561" spans="1:2" x14ac:dyDescent="0.45">
      <c r="A561" s="3"/>
      <c r="B561" s="48"/>
    </row>
    <row r="562" spans="1:2" x14ac:dyDescent="0.45">
      <c r="A562" s="3"/>
      <c r="B562" s="48"/>
    </row>
    <row r="563" spans="1:2" x14ac:dyDescent="0.45">
      <c r="A563" s="3"/>
      <c r="B563" s="48"/>
    </row>
    <row r="564" spans="1:2" x14ac:dyDescent="0.45">
      <c r="A564" s="3"/>
      <c r="B564" s="48"/>
    </row>
    <row r="565" spans="1:2" x14ac:dyDescent="0.45">
      <c r="A565" s="3"/>
      <c r="B565" s="48"/>
    </row>
    <row r="566" spans="1:2" x14ac:dyDescent="0.45">
      <c r="A566" s="3"/>
      <c r="B566" s="48"/>
    </row>
    <row r="567" spans="1:2" x14ac:dyDescent="0.45">
      <c r="A567" s="3"/>
      <c r="B567" s="48"/>
    </row>
    <row r="568" spans="1:2" x14ac:dyDescent="0.45">
      <c r="A568" s="3"/>
      <c r="B568" s="48"/>
    </row>
    <row r="569" spans="1:2" x14ac:dyDescent="0.45">
      <c r="A569" s="3"/>
      <c r="B569" s="48"/>
    </row>
    <row r="570" spans="1:2" x14ac:dyDescent="0.45">
      <c r="A570" s="3"/>
      <c r="B570" s="48"/>
    </row>
    <row r="571" spans="1:2" x14ac:dyDescent="0.45">
      <c r="A571" s="3"/>
      <c r="B571" s="48"/>
    </row>
    <row r="572" spans="1:2" x14ac:dyDescent="0.45">
      <c r="A572" s="3"/>
      <c r="B572" s="48"/>
    </row>
    <row r="573" spans="1:2" x14ac:dyDescent="0.45">
      <c r="A573" s="3"/>
      <c r="B573" s="48"/>
    </row>
    <row r="574" spans="1:2" x14ac:dyDescent="0.45">
      <c r="A574" s="3"/>
      <c r="B574" s="48"/>
    </row>
    <row r="575" spans="1:2" x14ac:dyDescent="0.45">
      <c r="A575" s="3"/>
      <c r="B575" s="48"/>
    </row>
    <row r="576" spans="1:2" x14ac:dyDescent="0.45">
      <c r="A576" s="3"/>
      <c r="B576" s="48"/>
    </row>
    <row r="577" spans="1:2" x14ac:dyDescent="0.45">
      <c r="A577" s="3"/>
      <c r="B577" s="48"/>
    </row>
    <row r="578" spans="1:2" x14ac:dyDescent="0.45">
      <c r="A578" s="3"/>
      <c r="B578" s="48"/>
    </row>
    <row r="579" spans="1:2" x14ac:dyDescent="0.45">
      <c r="A579" s="3"/>
      <c r="B579" s="48"/>
    </row>
    <row r="580" spans="1:2" x14ac:dyDescent="0.45">
      <c r="A580" s="3"/>
      <c r="B580" s="48"/>
    </row>
    <row r="581" spans="1:2" x14ac:dyDescent="0.45">
      <c r="A581" s="3"/>
      <c r="B581" s="48"/>
    </row>
    <row r="582" spans="1:2" x14ac:dyDescent="0.45">
      <c r="A582" s="3"/>
      <c r="B582" s="48"/>
    </row>
    <row r="583" spans="1:2" x14ac:dyDescent="0.45">
      <c r="A583" s="3"/>
      <c r="B583" s="48"/>
    </row>
    <row r="584" spans="1:2" x14ac:dyDescent="0.45">
      <c r="A584" s="3"/>
      <c r="B584" s="48"/>
    </row>
    <row r="585" spans="1:2" x14ac:dyDescent="0.45">
      <c r="A585" s="3"/>
      <c r="B585" s="48"/>
    </row>
    <row r="586" spans="1:2" x14ac:dyDescent="0.45">
      <c r="A586" s="3"/>
      <c r="B586" s="48"/>
    </row>
    <row r="587" spans="1:2" x14ac:dyDescent="0.45">
      <c r="A587" s="3"/>
      <c r="B587" s="48"/>
    </row>
    <row r="588" spans="1:2" x14ac:dyDescent="0.45">
      <c r="A588" s="3"/>
      <c r="B588" s="48"/>
    </row>
    <row r="589" spans="1:2" x14ac:dyDescent="0.45">
      <c r="A589" s="3"/>
      <c r="B589" s="48"/>
    </row>
    <row r="590" spans="1:2" x14ac:dyDescent="0.45">
      <c r="A590" s="3"/>
      <c r="B590" s="48"/>
    </row>
    <row r="591" spans="1:2" x14ac:dyDescent="0.45">
      <c r="A591" s="3"/>
      <c r="B591" s="48"/>
    </row>
    <row r="592" spans="1:2" x14ac:dyDescent="0.45">
      <c r="A592" s="3"/>
      <c r="B592" s="48"/>
    </row>
    <row r="593" spans="1:2" x14ac:dyDescent="0.45">
      <c r="A593" s="3"/>
      <c r="B593" s="48"/>
    </row>
    <row r="594" spans="1:2" x14ac:dyDescent="0.45">
      <c r="A594" s="3"/>
      <c r="B594" s="48"/>
    </row>
    <row r="595" spans="1:2" x14ac:dyDescent="0.45">
      <c r="A595" s="3"/>
      <c r="B595" s="48"/>
    </row>
    <row r="596" spans="1:2" x14ac:dyDescent="0.45">
      <c r="A596" s="3"/>
      <c r="B596" s="48"/>
    </row>
    <row r="597" spans="1:2" x14ac:dyDescent="0.45">
      <c r="A597" s="3"/>
      <c r="B597" s="48"/>
    </row>
    <row r="598" spans="1:2" x14ac:dyDescent="0.45">
      <c r="A598" s="3"/>
      <c r="B598" s="48"/>
    </row>
    <row r="599" spans="1:2" x14ac:dyDescent="0.45">
      <c r="A599" s="3"/>
      <c r="B599" s="48"/>
    </row>
    <row r="600" spans="1:2" x14ac:dyDescent="0.45">
      <c r="A600" s="3"/>
      <c r="B600" s="48"/>
    </row>
    <row r="601" spans="1:2" x14ac:dyDescent="0.45">
      <c r="A601" s="3"/>
      <c r="B601" s="48"/>
    </row>
    <row r="602" spans="1:2" x14ac:dyDescent="0.45">
      <c r="A602" s="3"/>
      <c r="B602" s="48"/>
    </row>
    <row r="603" spans="1:2" x14ac:dyDescent="0.45">
      <c r="A603" s="3"/>
      <c r="B603" s="48"/>
    </row>
    <row r="604" spans="1:2" x14ac:dyDescent="0.45">
      <c r="A604" s="3"/>
      <c r="B604" s="48"/>
    </row>
    <row r="605" spans="1:2" x14ac:dyDescent="0.45">
      <c r="A605" s="3"/>
      <c r="B605" s="48"/>
    </row>
    <row r="606" spans="1:2" x14ac:dyDescent="0.45">
      <c r="A606" s="3"/>
      <c r="B606" s="48"/>
    </row>
    <row r="607" spans="1:2" x14ac:dyDescent="0.45">
      <c r="A607" s="3"/>
      <c r="B607" s="48"/>
    </row>
    <row r="608" spans="1:2" x14ac:dyDescent="0.45">
      <c r="A608" s="3"/>
      <c r="B608" s="48"/>
    </row>
    <row r="609" spans="1:2" x14ac:dyDescent="0.45">
      <c r="A609" s="3"/>
      <c r="B609" s="48"/>
    </row>
    <row r="610" spans="1:2" x14ac:dyDescent="0.45">
      <c r="A610" s="3"/>
      <c r="B610" s="48"/>
    </row>
    <row r="611" spans="1:2" x14ac:dyDescent="0.45">
      <c r="A611" s="3"/>
      <c r="B611" s="48"/>
    </row>
    <row r="612" spans="1:2" x14ac:dyDescent="0.45">
      <c r="A612" s="3"/>
      <c r="B612" s="48"/>
    </row>
    <row r="613" spans="1:2" x14ac:dyDescent="0.45">
      <c r="A613" s="3"/>
      <c r="B613" s="48"/>
    </row>
    <row r="614" spans="1:2" x14ac:dyDescent="0.45">
      <c r="A614" s="3"/>
      <c r="B614" s="48"/>
    </row>
    <row r="615" spans="1:2" x14ac:dyDescent="0.45">
      <c r="A615" s="3"/>
      <c r="B615" s="48"/>
    </row>
    <row r="616" spans="1:2" x14ac:dyDescent="0.45">
      <c r="A616" s="3"/>
      <c r="B616" s="48"/>
    </row>
    <row r="617" spans="1:2" x14ac:dyDescent="0.45">
      <c r="A617" s="3"/>
      <c r="B617" s="48"/>
    </row>
    <row r="618" spans="1:2" x14ac:dyDescent="0.45">
      <c r="A618" s="3"/>
      <c r="B618" s="48"/>
    </row>
    <row r="619" spans="1:2" x14ac:dyDescent="0.45">
      <c r="A619" s="3"/>
      <c r="B619" s="48"/>
    </row>
    <row r="620" spans="1:2" x14ac:dyDescent="0.45">
      <c r="A620" s="3"/>
      <c r="B620" s="48"/>
    </row>
    <row r="621" spans="1:2" x14ac:dyDescent="0.45">
      <c r="A621" s="3"/>
      <c r="B621" s="48"/>
    </row>
    <row r="622" spans="1:2" x14ac:dyDescent="0.45">
      <c r="A622" s="3"/>
      <c r="B622" s="48"/>
    </row>
    <row r="623" spans="1:2" x14ac:dyDescent="0.45">
      <c r="A623" s="3"/>
      <c r="B623" s="48"/>
    </row>
    <row r="624" spans="1:2" x14ac:dyDescent="0.45">
      <c r="A624" s="3"/>
      <c r="B624" s="48"/>
    </row>
    <row r="625" spans="1:2" x14ac:dyDescent="0.45">
      <c r="A625" s="3"/>
      <c r="B625" s="48"/>
    </row>
    <row r="626" spans="1:2" x14ac:dyDescent="0.45">
      <c r="A626" s="3"/>
      <c r="B626" s="48"/>
    </row>
    <row r="627" spans="1:2" x14ac:dyDescent="0.45">
      <c r="A627" s="3"/>
      <c r="B627" s="48"/>
    </row>
    <row r="628" spans="1:2" x14ac:dyDescent="0.45">
      <c r="A628" s="3"/>
      <c r="B628" s="48"/>
    </row>
    <row r="629" spans="1:2" x14ac:dyDescent="0.45">
      <c r="A629" s="3"/>
      <c r="B629" s="48"/>
    </row>
    <row r="630" spans="1:2" x14ac:dyDescent="0.45">
      <c r="A630" s="3"/>
      <c r="B630" s="48"/>
    </row>
    <row r="631" spans="1:2" x14ac:dyDescent="0.45">
      <c r="A631" s="3"/>
      <c r="B631" s="48"/>
    </row>
    <row r="632" spans="1:2" x14ac:dyDescent="0.45">
      <c r="A632" s="3"/>
      <c r="B632" s="48"/>
    </row>
    <row r="633" spans="1:2" x14ac:dyDescent="0.45">
      <c r="A633" s="3"/>
      <c r="B633" s="48"/>
    </row>
    <row r="634" spans="1:2" x14ac:dyDescent="0.45">
      <c r="A634" s="3"/>
      <c r="B634" s="48"/>
    </row>
    <row r="635" spans="1:2" x14ac:dyDescent="0.45">
      <c r="A635" s="3"/>
      <c r="B635" s="48"/>
    </row>
    <row r="636" spans="1:2" x14ac:dyDescent="0.45">
      <c r="A636" s="3"/>
      <c r="B636" s="48"/>
    </row>
    <row r="637" spans="1:2" x14ac:dyDescent="0.45">
      <c r="A637" s="3"/>
      <c r="B637" s="48"/>
    </row>
    <row r="638" spans="1:2" x14ac:dyDescent="0.45">
      <c r="A638" s="3"/>
      <c r="B638" s="48"/>
    </row>
    <row r="639" spans="1:2" x14ac:dyDescent="0.45">
      <c r="A639" s="3"/>
      <c r="B639" s="48"/>
    </row>
    <row r="640" spans="1:2" x14ac:dyDescent="0.45">
      <c r="A640" s="3"/>
      <c r="B640" s="48"/>
    </row>
    <row r="641" spans="1:2" x14ac:dyDescent="0.45">
      <c r="A641" s="3"/>
      <c r="B641" s="48"/>
    </row>
    <row r="642" spans="1:2" x14ac:dyDescent="0.45">
      <c r="A642" s="3"/>
      <c r="B642" s="48"/>
    </row>
    <row r="643" spans="1:2" x14ac:dyDescent="0.45">
      <c r="A643" s="3"/>
      <c r="B643" s="48"/>
    </row>
    <row r="644" spans="1:2" x14ac:dyDescent="0.45">
      <c r="A644" s="3"/>
      <c r="B644" s="48"/>
    </row>
    <row r="645" spans="1:2" x14ac:dyDescent="0.45">
      <c r="A645" s="3"/>
      <c r="B645" s="48"/>
    </row>
    <row r="646" spans="1:2" x14ac:dyDescent="0.45">
      <c r="A646" s="3"/>
      <c r="B646" s="48"/>
    </row>
    <row r="647" spans="1:2" x14ac:dyDescent="0.45">
      <c r="A647" s="3"/>
      <c r="B647" s="48"/>
    </row>
    <row r="648" spans="1:2" x14ac:dyDescent="0.45">
      <c r="A648" s="3"/>
      <c r="B648" s="48"/>
    </row>
    <row r="649" spans="1:2" x14ac:dyDescent="0.45">
      <c r="A649" s="3"/>
      <c r="B649" s="48"/>
    </row>
    <row r="650" spans="1:2" x14ac:dyDescent="0.45">
      <c r="A650" s="3"/>
      <c r="B650" s="48"/>
    </row>
    <row r="651" spans="1:2" x14ac:dyDescent="0.45">
      <c r="A651" s="3"/>
      <c r="B651" s="48"/>
    </row>
    <row r="652" spans="1:2" x14ac:dyDescent="0.45">
      <c r="A652" s="3"/>
      <c r="B652" s="48"/>
    </row>
    <row r="653" spans="1:2" x14ac:dyDescent="0.45">
      <c r="A653" s="3"/>
      <c r="B653" s="48"/>
    </row>
    <row r="654" spans="1:2" x14ac:dyDescent="0.45">
      <c r="A654" s="3"/>
      <c r="B654" s="48"/>
    </row>
    <row r="655" spans="1:2" x14ac:dyDescent="0.45">
      <c r="A655" s="3"/>
      <c r="B655" s="48"/>
    </row>
    <row r="656" spans="1:2" x14ac:dyDescent="0.45">
      <c r="A656" s="3"/>
      <c r="B656" s="48"/>
    </row>
    <row r="657" spans="1:2" x14ac:dyDescent="0.45">
      <c r="A657" s="3"/>
      <c r="B657" s="48"/>
    </row>
    <row r="658" spans="1:2" x14ac:dyDescent="0.45">
      <c r="A658" s="3"/>
      <c r="B658" s="48"/>
    </row>
    <row r="659" spans="1:2" x14ac:dyDescent="0.45">
      <c r="A659" s="3"/>
      <c r="B659" s="48"/>
    </row>
    <row r="660" spans="1:2" x14ac:dyDescent="0.45">
      <c r="A660" s="3"/>
      <c r="B660" s="48"/>
    </row>
    <row r="661" spans="1:2" x14ac:dyDescent="0.45">
      <c r="A661" s="3"/>
      <c r="B661" s="48"/>
    </row>
    <row r="662" spans="1:2" x14ac:dyDescent="0.45">
      <c r="A662" s="3"/>
      <c r="B662" s="48"/>
    </row>
    <row r="663" spans="1:2" x14ac:dyDescent="0.45">
      <c r="A663" s="3"/>
      <c r="B663" s="48"/>
    </row>
    <row r="664" spans="1:2" x14ac:dyDescent="0.45">
      <c r="A664" s="3"/>
      <c r="B664" s="48"/>
    </row>
    <row r="665" spans="1:2" x14ac:dyDescent="0.45">
      <c r="A665" s="3"/>
      <c r="B665" s="48"/>
    </row>
    <row r="666" spans="1:2" x14ac:dyDescent="0.45">
      <c r="A666" s="3"/>
      <c r="B666" s="48"/>
    </row>
    <row r="667" spans="1:2" x14ac:dyDescent="0.45">
      <c r="A667" s="3"/>
      <c r="B667" s="48"/>
    </row>
    <row r="668" spans="1:2" x14ac:dyDescent="0.45">
      <c r="A668" s="3"/>
      <c r="B668" s="48"/>
    </row>
    <row r="669" spans="1:2" x14ac:dyDescent="0.45">
      <c r="A669" s="3"/>
      <c r="B669" s="48"/>
    </row>
    <row r="670" spans="1:2" x14ac:dyDescent="0.45">
      <c r="A670" s="3"/>
      <c r="B670" s="48"/>
    </row>
    <row r="671" spans="1:2" x14ac:dyDescent="0.45">
      <c r="A671" s="3"/>
      <c r="B671" s="48"/>
    </row>
    <row r="672" spans="1:2" x14ac:dyDescent="0.45">
      <c r="A672" s="3"/>
      <c r="B672" s="48"/>
    </row>
    <row r="673" spans="1:2" x14ac:dyDescent="0.45">
      <c r="A673" s="3"/>
      <c r="B673" s="48"/>
    </row>
    <row r="674" spans="1:2" x14ac:dyDescent="0.45">
      <c r="A674" s="3"/>
      <c r="B674" s="48"/>
    </row>
    <row r="675" spans="1:2" x14ac:dyDescent="0.45">
      <c r="A675" s="3"/>
      <c r="B675" s="48"/>
    </row>
    <row r="676" spans="1:2" x14ac:dyDescent="0.45">
      <c r="A676" s="3"/>
      <c r="B676" s="48"/>
    </row>
    <row r="677" spans="1:2" x14ac:dyDescent="0.45">
      <c r="A677" s="3"/>
      <c r="B677" s="48"/>
    </row>
    <row r="678" spans="1:2" x14ac:dyDescent="0.45">
      <c r="A678" s="3"/>
      <c r="B678" s="48"/>
    </row>
    <row r="679" spans="1:2" x14ac:dyDescent="0.45">
      <c r="A679" s="3"/>
      <c r="B679" s="48"/>
    </row>
    <row r="680" spans="1:2" x14ac:dyDescent="0.45">
      <c r="A680" s="3"/>
      <c r="B680" s="48"/>
    </row>
    <row r="681" spans="1:2" x14ac:dyDescent="0.45">
      <c r="A681" s="3"/>
      <c r="B681" s="48"/>
    </row>
    <row r="682" spans="1:2" x14ac:dyDescent="0.45">
      <c r="A682" s="3"/>
      <c r="B682" s="48"/>
    </row>
    <row r="683" spans="1:2" x14ac:dyDescent="0.45">
      <c r="A683" s="3"/>
      <c r="B683" s="48"/>
    </row>
    <row r="684" spans="1:2" x14ac:dyDescent="0.45">
      <c r="A684" s="3"/>
      <c r="B684" s="48"/>
    </row>
    <row r="685" spans="1:2" x14ac:dyDescent="0.45">
      <c r="A685" s="3"/>
      <c r="B685" s="48"/>
    </row>
    <row r="686" spans="1:2" x14ac:dyDescent="0.45">
      <c r="A686" s="3"/>
      <c r="B686" s="48"/>
    </row>
    <row r="687" spans="1:2" x14ac:dyDescent="0.45">
      <c r="A687" s="3"/>
      <c r="B687" s="48"/>
    </row>
    <row r="688" spans="1:2" x14ac:dyDescent="0.45">
      <c r="A688" s="3"/>
      <c r="B688" s="48"/>
    </row>
    <row r="689" spans="1:2" x14ac:dyDescent="0.45">
      <c r="A689" s="3"/>
      <c r="B689" s="48"/>
    </row>
    <row r="690" spans="1:2" x14ac:dyDescent="0.45">
      <c r="A690" s="3"/>
      <c r="B690" s="48"/>
    </row>
    <row r="691" spans="1:2" x14ac:dyDescent="0.45">
      <c r="A691" s="3"/>
      <c r="B691" s="48"/>
    </row>
    <row r="692" spans="1:2" x14ac:dyDescent="0.45">
      <c r="A692" s="3"/>
      <c r="B692" s="48"/>
    </row>
    <row r="693" spans="1:2" x14ac:dyDescent="0.45">
      <c r="A693" s="3"/>
      <c r="B693" s="48"/>
    </row>
    <row r="694" spans="1:2" x14ac:dyDescent="0.45">
      <c r="A694" s="3"/>
      <c r="B694" s="48"/>
    </row>
    <row r="695" spans="1:2" x14ac:dyDescent="0.45">
      <c r="A695" s="3"/>
      <c r="B695" s="48"/>
    </row>
    <row r="696" spans="1:2" x14ac:dyDescent="0.45">
      <c r="A696" s="3"/>
      <c r="B696" s="48"/>
    </row>
    <row r="697" spans="1:2" x14ac:dyDescent="0.45">
      <c r="A697" s="3"/>
      <c r="B697" s="48"/>
    </row>
    <row r="698" spans="1:2" x14ac:dyDescent="0.45">
      <c r="A698" s="3"/>
      <c r="B698" s="48"/>
    </row>
    <row r="699" spans="1:2" x14ac:dyDescent="0.45">
      <c r="A699" s="3"/>
      <c r="B699" s="48"/>
    </row>
    <row r="700" spans="1:2" x14ac:dyDescent="0.45">
      <c r="A700" s="3"/>
      <c r="B700" s="48"/>
    </row>
    <row r="701" spans="1:2" x14ac:dyDescent="0.45">
      <c r="A701" s="3"/>
      <c r="B701" s="48"/>
    </row>
    <row r="702" spans="1:2" x14ac:dyDescent="0.45">
      <c r="A702" s="3"/>
      <c r="B702" s="48"/>
    </row>
    <row r="703" spans="1:2" x14ac:dyDescent="0.45">
      <c r="A703" s="3"/>
      <c r="B703" s="48"/>
    </row>
    <row r="704" spans="1:2" x14ac:dyDescent="0.45">
      <c r="A704" s="3"/>
      <c r="B704" s="48"/>
    </row>
    <row r="705" spans="1:2" x14ac:dyDescent="0.45">
      <c r="A705" s="3"/>
      <c r="B705" s="48"/>
    </row>
    <row r="706" spans="1:2" x14ac:dyDescent="0.45">
      <c r="A706" s="3"/>
      <c r="B706" s="48"/>
    </row>
    <row r="707" spans="1:2" x14ac:dyDescent="0.45">
      <c r="A707" s="3"/>
      <c r="B707" s="48"/>
    </row>
    <row r="708" spans="1:2" x14ac:dyDescent="0.45">
      <c r="A708" s="3"/>
      <c r="B708" s="48"/>
    </row>
    <row r="709" spans="1:2" x14ac:dyDescent="0.45">
      <c r="A709" s="3"/>
      <c r="B709" s="48"/>
    </row>
    <row r="710" spans="1:2" x14ac:dyDescent="0.45">
      <c r="A710" s="3"/>
      <c r="B710" s="48"/>
    </row>
    <row r="711" spans="1:2" x14ac:dyDescent="0.45">
      <c r="A711" s="3"/>
      <c r="B711" s="48"/>
    </row>
    <row r="712" spans="1:2" x14ac:dyDescent="0.45">
      <c r="A712" s="3"/>
      <c r="B712" s="48"/>
    </row>
    <row r="713" spans="1:2" x14ac:dyDescent="0.45">
      <c r="A713" s="3"/>
      <c r="B713" s="48"/>
    </row>
    <row r="714" spans="1:2" x14ac:dyDescent="0.45">
      <c r="A714" s="3"/>
      <c r="B714" s="48"/>
    </row>
    <row r="715" spans="1:2" x14ac:dyDescent="0.45">
      <c r="A715" s="3"/>
      <c r="B715" s="48"/>
    </row>
    <row r="716" spans="1:2" x14ac:dyDescent="0.45">
      <c r="A716" s="3"/>
      <c r="B716" s="48"/>
    </row>
    <row r="717" spans="1:2" x14ac:dyDescent="0.45">
      <c r="A717" s="3"/>
      <c r="B717" s="48"/>
    </row>
    <row r="718" spans="1:2" x14ac:dyDescent="0.45">
      <c r="A718" s="3"/>
      <c r="B718" s="48"/>
    </row>
    <row r="719" spans="1:2" x14ac:dyDescent="0.45">
      <c r="A719" s="3"/>
      <c r="B719" s="48"/>
    </row>
    <row r="720" spans="1:2" x14ac:dyDescent="0.45">
      <c r="A720" s="3"/>
      <c r="B720" s="48"/>
    </row>
    <row r="721" spans="1:2" x14ac:dyDescent="0.45">
      <c r="A721" s="3"/>
      <c r="B721" s="48"/>
    </row>
    <row r="722" spans="1:2" x14ac:dyDescent="0.45">
      <c r="A722" s="3"/>
      <c r="B722" s="48"/>
    </row>
    <row r="723" spans="1:2" x14ac:dyDescent="0.45">
      <c r="A723" s="3"/>
      <c r="B723" s="48"/>
    </row>
    <row r="724" spans="1:2" x14ac:dyDescent="0.45">
      <c r="A724" s="3"/>
      <c r="B724" s="48"/>
    </row>
    <row r="725" spans="1:2" x14ac:dyDescent="0.45">
      <c r="A725" s="3"/>
      <c r="B725" s="48"/>
    </row>
    <row r="726" spans="1:2" x14ac:dyDescent="0.45">
      <c r="A726" s="3"/>
      <c r="B726" s="48"/>
    </row>
    <row r="727" spans="1:2" x14ac:dyDescent="0.45">
      <c r="A727" s="3"/>
      <c r="B727" s="48"/>
    </row>
    <row r="728" spans="1:2" x14ac:dyDescent="0.45">
      <c r="A728" s="3"/>
      <c r="B728" s="48"/>
    </row>
    <row r="729" spans="1:2" x14ac:dyDescent="0.45">
      <c r="A729" s="3"/>
      <c r="B729" s="48"/>
    </row>
    <row r="730" spans="1:2" x14ac:dyDescent="0.45">
      <c r="A730" s="3"/>
      <c r="B730" s="48"/>
    </row>
    <row r="731" spans="1:2" x14ac:dyDescent="0.45">
      <c r="A731" s="3"/>
      <c r="B731" s="48"/>
    </row>
    <row r="732" spans="1:2" x14ac:dyDescent="0.45">
      <c r="A732" s="3"/>
      <c r="B732" s="48"/>
    </row>
    <row r="733" spans="1:2" x14ac:dyDescent="0.45">
      <c r="A733" s="3"/>
      <c r="B733" s="48"/>
    </row>
    <row r="734" spans="1:2" x14ac:dyDescent="0.45">
      <c r="A734" s="3"/>
      <c r="B734" s="48"/>
    </row>
    <row r="735" spans="1:2" x14ac:dyDescent="0.45">
      <c r="A735" s="3"/>
      <c r="B735" s="48"/>
    </row>
    <row r="736" spans="1:2" x14ac:dyDescent="0.45">
      <c r="A736" s="3"/>
      <c r="B736" s="48"/>
    </row>
    <row r="737" spans="1:2" x14ac:dyDescent="0.45">
      <c r="A737" s="3"/>
      <c r="B737" s="48"/>
    </row>
    <row r="738" spans="1:2" x14ac:dyDescent="0.45">
      <c r="A738" s="3"/>
      <c r="B738" s="48"/>
    </row>
    <row r="739" spans="1:2" x14ac:dyDescent="0.45">
      <c r="A739" s="3"/>
      <c r="B739" s="48"/>
    </row>
    <row r="740" spans="1:2" x14ac:dyDescent="0.45">
      <c r="A740" s="3"/>
      <c r="B740" s="48"/>
    </row>
    <row r="741" spans="1:2" x14ac:dyDescent="0.45">
      <c r="A741" s="3"/>
      <c r="B741" s="48"/>
    </row>
    <row r="742" spans="1:2" x14ac:dyDescent="0.45">
      <c r="A742" s="3"/>
      <c r="B742" s="48"/>
    </row>
    <row r="743" spans="1:2" x14ac:dyDescent="0.45">
      <c r="A743" s="3"/>
      <c r="B743" s="48"/>
    </row>
    <row r="744" spans="1:2" x14ac:dyDescent="0.45">
      <c r="A744" s="3"/>
      <c r="B744" s="48"/>
    </row>
    <row r="745" spans="1:2" x14ac:dyDescent="0.45">
      <c r="A745" s="3"/>
      <c r="B745" s="48"/>
    </row>
    <row r="746" spans="1:2" x14ac:dyDescent="0.45">
      <c r="A746" s="3"/>
      <c r="B746" s="48"/>
    </row>
    <row r="747" spans="1:2" x14ac:dyDescent="0.45">
      <c r="A747" s="3"/>
      <c r="B747" s="48"/>
    </row>
    <row r="748" spans="1:2" x14ac:dyDescent="0.45">
      <c r="A748" s="3"/>
      <c r="B748" s="48"/>
    </row>
    <row r="749" spans="1:2" x14ac:dyDescent="0.45">
      <c r="A749" s="3"/>
      <c r="B749" s="48"/>
    </row>
    <row r="750" spans="1:2" x14ac:dyDescent="0.45">
      <c r="A750" s="3"/>
      <c r="B750" s="48"/>
    </row>
    <row r="751" spans="1:2" x14ac:dyDescent="0.45">
      <c r="A751" s="3"/>
      <c r="B751" s="48"/>
    </row>
    <row r="752" spans="1:2" x14ac:dyDescent="0.45">
      <c r="A752" s="3"/>
      <c r="B752" s="48"/>
    </row>
    <row r="753" spans="1:2" x14ac:dyDescent="0.45">
      <c r="A753" s="3"/>
      <c r="B753" s="48"/>
    </row>
    <row r="754" spans="1:2" x14ac:dyDescent="0.45">
      <c r="A754" s="3"/>
      <c r="B754" s="48"/>
    </row>
    <row r="755" spans="1:2" x14ac:dyDescent="0.45">
      <c r="A755" s="3"/>
      <c r="B755" s="48"/>
    </row>
    <row r="756" spans="1:2" x14ac:dyDescent="0.45">
      <c r="A756" s="3"/>
      <c r="B756" s="48"/>
    </row>
    <row r="757" spans="1:2" x14ac:dyDescent="0.45">
      <c r="A757" s="3"/>
      <c r="B757" s="48"/>
    </row>
    <row r="758" spans="1:2" x14ac:dyDescent="0.45">
      <c r="A758" s="3"/>
      <c r="B758" s="48"/>
    </row>
    <row r="759" spans="1:2" x14ac:dyDescent="0.45">
      <c r="A759" s="3"/>
      <c r="B759" s="48"/>
    </row>
    <row r="760" spans="1:2" x14ac:dyDescent="0.45">
      <c r="A760" s="3"/>
      <c r="B760" s="48"/>
    </row>
    <row r="761" spans="1:2" x14ac:dyDescent="0.45">
      <c r="A761" s="3"/>
      <c r="B761" s="48"/>
    </row>
    <row r="762" spans="1:2" x14ac:dyDescent="0.45">
      <c r="A762" s="3"/>
      <c r="B762" s="48"/>
    </row>
    <row r="763" spans="1:2" x14ac:dyDescent="0.45">
      <c r="A763" s="3"/>
      <c r="B763" s="48"/>
    </row>
    <row r="764" spans="1:2" x14ac:dyDescent="0.45">
      <c r="A764" s="3"/>
      <c r="B764" s="48"/>
    </row>
    <row r="765" spans="1:2" x14ac:dyDescent="0.45">
      <c r="A765" s="3"/>
      <c r="B765" s="48"/>
    </row>
    <row r="766" spans="1:2" x14ac:dyDescent="0.45">
      <c r="A766" s="3"/>
      <c r="B766" s="48"/>
    </row>
    <row r="767" spans="1:2" x14ac:dyDescent="0.45">
      <c r="A767" s="3"/>
      <c r="B767" s="48"/>
    </row>
    <row r="768" spans="1:2" x14ac:dyDescent="0.45">
      <c r="A768" s="3"/>
      <c r="B768" s="48"/>
    </row>
    <row r="769" spans="1:2" x14ac:dyDescent="0.45">
      <c r="A769" s="3"/>
      <c r="B769" s="48"/>
    </row>
    <row r="770" spans="1:2" x14ac:dyDescent="0.45">
      <c r="A770" s="3"/>
      <c r="B770" s="48"/>
    </row>
    <row r="771" spans="1:2" x14ac:dyDescent="0.45">
      <c r="A771" s="3"/>
      <c r="B771" s="48"/>
    </row>
    <row r="772" spans="1:2" x14ac:dyDescent="0.45">
      <c r="A772" s="3"/>
      <c r="B772" s="48"/>
    </row>
    <row r="773" spans="1:2" x14ac:dyDescent="0.45">
      <c r="A773" s="3"/>
      <c r="B773" s="48"/>
    </row>
    <row r="774" spans="1:2" x14ac:dyDescent="0.45">
      <c r="A774" s="3"/>
      <c r="B774" s="48"/>
    </row>
    <row r="775" spans="1:2" x14ac:dyDescent="0.45">
      <c r="A775" s="3"/>
      <c r="B775" s="48"/>
    </row>
    <row r="776" spans="1:2" x14ac:dyDescent="0.45">
      <c r="A776" s="3"/>
      <c r="B776" s="48"/>
    </row>
    <row r="777" spans="1:2" x14ac:dyDescent="0.45">
      <c r="A777" s="3"/>
      <c r="B777" s="48"/>
    </row>
    <row r="778" spans="1:2" x14ac:dyDescent="0.45">
      <c r="A778" s="3"/>
      <c r="B778" s="48"/>
    </row>
    <row r="779" spans="1:2" x14ac:dyDescent="0.45">
      <c r="A779" s="3"/>
      <c r="B779" s="48"/>
    </row>
    <row r="780" spans="1:2" x14ac:dyDescent="0.45">
      <c r="A780" s="3"/>
      <c r="B780" s="48"/>
    </row>
    <row r="781" spans="1:2" x14ac:dyDescent="0.45">
      <c r="A781" s="3"/>
      <c r="B781" s="48"/>
    </row>
    <row r="782" spans="1:2" x14ac:dyDescent="0.45">
      <c r="A782" s="3"/>
      <c r="B782" s="48"/>
    </row>
    <row r="783" spans="1:2" x14ac:dyDescent="0.45">
      <c r="A783" s="3"/>
      <c r="B783" s="48"/>
    </row>
    <row r="784" spans="1:2" x14ac:dyDescent="0.45">
      <c r="A784" s="3"/>
      <c r="B784" s="48"/>
    </row>
    <row r="785" spans="1:2" x14ac:dyDescent="0.45">
      <c r="A785" s="3"/>
      <c r="B785" s="48"/>
    </row>
    <row r="786" spans="1:2" x14ac:dyDescent="0.45">
      <c r="A786" s="3"/>
      <c r="B786" s="48"/>
    </row>
    <row r="787" spans="1:2" x14ac:dyDescent="0.45">
      <c r="A787" s="3"/>
      <c r="B787" s="48"/>
    </row>
    <row r="788" spans="1:2" x14ac:dyDescent="0.45">
      <c r="A788" s="3"/>
      <c r="B788" s="48"/>
    </row>
    <row r="789" spans="1:2" x14ac:dyDescent="0.45">
      <c r="A789" s="3"/>
      <c r="B789" s="48"/>
    </row>
    <row r="790" spans="1:2" x14ac:dyDescent="0.45">
      <c r="A790" s="3"/>
      <c r="B790" s="48"/>
    </row>
    <row r="791" spans="1:2" x14ac:dyDescent="0.45">
      <c r="A791" s="3"/>
      <c r="B791" s="48"/>
    </row>
    <row r="792" spans="1:2" x14ac:dyDescent="0.45">
      <c r="A792" s="3"/>
      <c r="B792" s="48"/>
    </row>
    <row r="793" spans="1:2" x14ac:dyDescent="0.45">
      <c r="A793" s="3"/>
      <c r="B793" s="48"/>
    </row>
    <row r="794" spans="1:2" x14ac:dyDescent="0.45">
      <c r="A794" s="3"/>
      <c r="B794" s="48"/>
    </row>
    <row r="795" spans="1:2" x14ac:dyDescent="0.45">
      <c r="A795" s="3"/>
      <c r="B795" s="48"/>
    </row>
    <row r="796" spans="1:2" x14ac:dyDescent="0.45">
      <c r="A796" s="3"/>
      <c r="B796" s="48"/>
    </row>
    <row r="797" spans="1:2" x14ac:dyDescent="0.45">
      <c r="A797" s="3"/>
      <c r="B797" s="48"/>
    </row>
    <row r="798" spans="1:2" x14ac:dyDescent="0.45">
      <c r="A798" s="3"/>
      <c r="B798" s="48"/>
    </row>
    <row r="799" spans="1:2" x14ac:dyDescent="0.45">
      <c r="A799" s="3"/>
      <c r="B799" s="48"/>
    </row>
    <row r="800" spans="1:2" x14ac:dyDescent="0.45">
      <c r="A800" s="3"/>
      <c r="B800" s="48"/>
    </row>
    <row r="801" spans="1:2" x14ac:dyDescent="0.45">
      <c r="A801" s="3"/>
      <c r="B801" s="48"/>
    </row>
    <row r="802" spans="1:2" x14ac:dyDescent="0.45">
      <c r="A802" s="3"/>
      <c r="B802" s="48"/>
    </row>
    <row r="803" spans="1:2" x14ac:dyDescent="0.45">
      <c r="A803" s="3"/>
      <c r="B803" s="48"/>
    </row>
    <row r="804" spans="1:2" x14ac:dyDescent="0.45">
      <c r="A804" s="3"/>
      <c r="B804" s="48"/>
    </row>
    <row r="805" spans="1:2" x14ac:dyDescent="0.45">
      <c r="A805" s="3"/>
      <c r="B805" s="48"/>
    </row>
    <row r="806" spans="1:2" x14ac:dyDescent="0.45">
      <c r="A806" s="3"/>
      <c r="B806" s="48"/>
    </row>
    <row r="807" spans="1:2" x14ac:dyDescent="0.45">
      <c r="A807" s="3"/>
      <c r="B807" s="48"/>
    </row>
    <row r="808" spans="1:2" x14ac:dyDescent="0.45">
      <c r="A808" s="3"/>
      <c r="B808" s="48"/>
    </row>
    <row r="809" spans="1:2" x14ac:dyDescent="0.45">
      <c r="A809" s="3"/>
      <c r="B809" s="48"/>
    </row>
    <row r="810" spans="1:2" x14ac:dyDescent="0.45">
      <c r="A810" s="3"/>
      <c r="B810" s="48"/>
    </row>
    <row r="811" spans="1:2" x14ac:dyDescent="0.45">
      <c r="A811" s="3"/>
      <c r="B811" s="48"/>
    </row>
    <row r="812" spans="1:2" x14ac:dyDescent="0.45">
      <c r="A812" s="3"/>
      <c r="B812" s="48"/>
    </row>
    <row r="813" spans="1:2" x14ac:dyDescent="0.45">
      <c r="A813" s="3"/>
      <c r="B813" s="48"/>
    </row>
    <row r="814" spans="1:2" x14ac:dyDescent="0.45">
      <c r="A814" s="3"/>
      <c r="B814" s="48"/>
    </row>
    <row r="815" spans="1:2" x14ac:dyDescent="0.45">
      <c r="A815" s="3"/>
      <c r="B815" s="48"/>
    </row>
    <row r="816" spans="1:2" x14ac:dyDescent="0.45">
      <c r="A816" s="3"/>
      <c r="B816" s="48"/>
    </row>
    <row r="817" spans="1:2" x14ac:dyDescent="0.45">
      <c r="A817" s="3"/>
      <c r="B817" s="48"/>
    </row>
    <row r="818" spans="1:2" x14ac:dyDescent="0.45">
      <c r="A818" s="3"/>
      <c r="B818" s="48"/>
    </row>
    <row r="819" spans="1:2" x14ac:dyDescent="0.45">
      <c r="A819" s="3"/>
      <c r="B819" s="48"/>
    </row>
    <row r="820" spans="1:2" x14ac:dyDescent="0.45">
      <c r="A820" s="3"/>
      <c r="B820" s="48"/>
    </row>
    <row r="821" spans="1:2" x14ac:dyDescent="0.45">
      <c r="A821" s="3"/>
      <c r="B821" s="48"/>
    </row>
    <row r="822" spans="1:2" x14ac:dyDescent="0.45">
      <c r="A822" s="3"/>
      <c r="B822" s="48"/>
    </row>
    <row r="823" spans="1:2" x14ac:dyDescent="0.45">
      <c r="A823" s="3"/>
      <c r="B823" s="48"/>
    </row>
    <row r="824" spans="1:2" x14ac:dyDescent="0.45">
      <c r="A824" s="3"/>
      <c r="B824" s="48"/>
    </row>
    <row r="825" spans="1:2" x14ac:dyDescent="0.45">
      <c r="A825" s="3"/>
      <c r="B825" s="48"/>
    </row>
    <row r="826" spans="1:2" x14ac:dyDescent="0.45">
      <c r="A826" s="3"/>
      <c r="B826" s="48"/>
    </row>
    <row r="827" spans="1:2" x14ac:dyDescent="0.45">
      <c r="A827" s="3"/>
      <c r="B827" s="48"/>
    </row>
    <row r="828" spans="1:2" x14ac:dyDescent="0.45">
      <c r="A828" s="3"/>
      <c r="B828" s="48"/>
    </row>
    <row r="829" spans="1:2" x14ac:dyDescent="0.45">
      <c r="A829" s="3"/>
      <c r="B829" s="48"/>
    </row>
    <row r="830" spans="1:2" x14ac:dyDescent="0.45">
      <c r="A830" s="3"/>
      <c r="B830" s="48"/>
    </row>
    <row r="831" spans="1:2" x14ac:dyDescent="0.45">
      <c r="A831" s="3"/>
      <c r="B831" s="48"/>
    </row>
    <row r="832" spans="1:2" x14ac:dyDescent="0.45">
      <c r="A832" s="3"/>
      <c r="B832" s="48"/>
    </row>
    <row r="833" spans="1:2" x14ac:dyDescent="0.45">
      <c r="A833" s="3"/>
      <c r="B833" s="48"/>
    </row>
    <row r="834" spans="1:2" x14ac:dyDescent="0.45">
      <c r="A834" s="3"/>
      <c r="B834" s="48"/>
    </row>
    <row r="835" spans="1:2" x14ac:dyDescent="0.45">
      <c r="A835" s="3"/>
      <c r="B835" s="48"/>
    </row>
    <row r="836" spans="1:2" x14ac:dyDescent="0.45">
      <c r="A836" s="3"/>
      <c r="B836" s="48"/>
    </row>
    <row r="837" spans="1:2" x14ac:dyDescent="0.45">
      <c r="A837" s="3"/>
      <c r="B837" s="48"/>
    </row>
    <row r="838" spans="1:2" x14ac:dyDescent="0.45">
      <c r="A838" s="3"/>
      <c r="B838" s="48"/>
    </row>
    <row r="839" spans="1:2" x14ac:dyDescent="0.45">
      <c r="A839" s="3"/>
      <c r="B839" s="48"/>
    </row>
    <row r="840" spans="1:2" x14ac:dyDescent="0.45">
      <c r="A840" s="3"/>
      <c r="B840" s="48"/>
    </row>
    <row r="841" spans="1:2" x14ac:dyDescent="0.45">
      <c r="A841" s="3"/>
      <c r="B841" s="48"/>
    </row>
    <row r="842" spans="1:2" x14ac:dyDescent="0.45">
      <c r="A842" s="3"/>
      <c r="B842" s="48"/>
    </row>
    <row r="843" spans="1:2" x14ac:dyDescent="0.45">
      <c r="A843" s="3"/>
      <c r="B843" s="48"/>
    </row>
    <row r="844" spans="1:2" x14ac:dyDescent="0.45">
      <c r="A844" s="3"/>
      <c r="B844" s="48"/>
    </row>
    <row r="845" spans="1:2" x14ac:dyDescent="0.45">
      <c r="A845" s="3"/>
      <c r="B845" s="48"/>
    </row>
    <row r="846" spans="1:2" x14ac:dyDescent="0.45">
      <c r="A846" s="3"/>
      <c r="B846" s="48"/>
    </row>
    <row r="847" spans="1:2" x14ac:dyDescent="0.45">
      <c r="A847" s="3"/>
      <c r="B847" s="48"/>
    </row>
    <row r="848" spans="1:2" x14ac:dyDescent="0.45">
      <c r="A848" s="3"/>
      <c r="B848" s="48"/>
    </row>
    <row r="849" spans="1:2" x14ac:dyDescent="0.45">
      <c r="A849" s="3"/>
      <c r="B849" s="48"/>
    </row>
    <row r="850" spans="1:2" x14ac:dyDescent="0.45">
      <c r="A850" s="3"/>
      <c r="B850" s="48"/>
    </row>
    <row r="851" spans="1:2" x14ac:dyDescent="0.45">
      <c r="A851" s="3"/>
      <c r="B851" s="48"/>
    </row>
    <row r="852" spans="1:2" x14ac:dyDescent="0.45">
      <c r="A852" s="3"/>
      <c r="B852" s="48"/>
    </row>
    <row r="853" spans="1:2" x14ac:dyDescent="0.45">
      <c r="A853" s="3"/>
      <c r="B853" s="48"/>
    </row>
    <row r="854" spans="1:2" x14ac:dyDescent="0.45">
      <c r="A854" s="3"/>
      <c r="B854" s="48"/>
    </row>
    <row r="855" spans="1:2" x14ac:dyDescent="0.45">
      <c r="A855" s="3"/>
      <c r="B855" s="48"/>
    </row>
    <row r="856" spans="1:2" x14ac:dyDescent="0.45">
      <c r="A856" s="3"/>
      <c r="B856" s="48"/>
    </row>
    <row r="857" spans="1:2" x14ac:dyDescent="0.45">
      <c r="A857" s="3"/>
      <c r="B857" s="48"/>
    </row>
    <row r="858" spans="1:2" x14ac:dyDescent="0.45">
      <c r="A858" s="3"/>
      <c r="B858" s="48"/>
    </row>
    <row r="859" spans="1:2" x14ac:dyDescent="0.45">
      <c r="A859" s="3"/>
      <c r="B859" s="48"/>
    </row>
    <row r="860" spans="1:2" x14ac:dyDescent="0.45">
      <c r="A860" s="3"/>
      <c r="B860" s="48"/>
    </row>
    <row r="861" spans="1:2" x14ac:dyDescent="0.45">
      <c r="A861" s="3"/>
      <c r="B861" s="48"/>
    </row>
    <row r="862" spans="1:2" x14ac:dyDescent="0.45">
      <c r="A862" s="3"/>
      <c r="B862" s="48"/>
    </row>
    <row r="863" spans="1:2" x14ac:dyDescent="0.45">
      <c r="A863" s="3"/>
      <c r="B863" s="48"/>
    </row>
    <row r="864" spans="1:2" x14ac:dyDescent="0.45">
      <c r="A864" s="3"/>
      <c r="B864" s="48"/>
    </row>
    <row r="865" spans="1:2" x14ac:dyDescent="0.45">
      <c r="A865" s="3"/>
      <c r="B865" s="48"/>
    </row>
    <row r="866" spans="1:2" x14ac:dyDescent="0.45">
      <c r="A866" s="3"/>
      <c r="B866" s="48"/>
    </row>
    <row r="867" spans="1:2" x14ac:dyDescent="0.45">
      <c r="A867" s="3"/>
      <c r="B867" s="48"/>
    </row>
    <row r="868" spans="1:2" x14ac:dyDescent="0.45">
      <c r="A868" s="3"/>
      <c r="B868" s="48"/>
    </row>
    <row r="869" spans="1:2" x14ac:dyDescent="0.45">
      <c r="A869" s="3"/>
      <c r="B869" s="48"/>
    </row>
    <row r="870" spans="1:2" x14ac:dyDescent="0.45">
      <c r="A870" s="3"/>
      <c r="B870" s="48"/>
    </row>
    <row r="871" spans="1:2" x14ac:dyDescent="0.45">
      <c r="A871" s="3"/>
      <c r="B871" s="48"/>
    </row>
    <row r="872" spans="1:2" x14ac:dyDescent="0.45">
      <c r="A872" s="3"/>
      <c r="B872" s="48"/>
    </row>
    <row r="873" spans="1:2" x14ac:dyDescent="0.45">
      <c r="A873" s="3"/>
      <c r="B873" s="48"/>
    </row>
    <row r="874" spans="1:2" x14ac:dyDescent="0.45">
      <c r="A874" s="3"/>
      <c r="B874" s="48"/>
    </row>
    <row r="875" spans="1:2" x14ac:dyDescent="0.45">
      <c r="A875" s="3"/>
      <c r="B875" s="48"/>
    </row>
    <row r="876" spans="1:2" x14ac:dyDescent="0.45">
      <c r="A876" s="3"/>
      <c r="B876" s="48"/>
    </row>
    <row r="877" spans="1:2" x14ac:dyDescent="0.45">
      <c r="A877" s="3"/>
      <c r="B877" s="48"/>
    </row>
    <row r="878" spans="1:2" x14ac:dyDescent="0.45">
      <c r="A878" s="3"/>
      <c r="B878" s="48"/>
    </row>
    <row r="879" spans="1:2" x14ac:dyDescent="0.45">
      <c r="A879" s="3"/>
      <c r="B879" s="48"/>
    </row>
    <row r="880" spans="1:2" x14ac:dyDescent="0.45">
      <c r="A880" s="3"/>
      <c r="B880" s="48"/>
    </row>
    <row r="881" spans="1:2" x14ac:dyDescent="0.45">
      <c r="A881" s="3"/>
      <c r="B881" s="48"/>
    </row>
    <row r="882" spans="1:2" x14ac:dyDescent="0.45">
      <c r="A882" s="3"/>
      <c r="B882" s="48"/>
    </row>
    <row r="883" spans="1:2" x14ac:dyDescent="0.45">
      <c r="A883" s="3"/>
      <c r="B883" s="48"/>
    </row>
    <row r="884" spans="1:2" x14ac:dyDescent="0.45">
      <c r="A884" s="3"/>
      <c r="B884" s="48"/>
    </row>
    <row r="885" spans="1:2" x14ac:dyDescent="0.45">
      <c r="A885" s="3"/>
      <c r="B885" s="48"/>
    </row>
    <row r="886" spans="1:2" x14ac:dyDescent="0.45">
      <c r="A886" s="3"/>
      <c r="B886" s="48"/>
    </row>
    <row r="887" spans="1:2" x14ac:dyDescent="0.45">
      <c r="A887" s="3"/>
      <c r="B887" s="48"/>
    </row>
    <row r="888" spans="1:2" x14ac:dyDescent="0.45">
      <c r="A888" s="3"/>
      <c r="B888" s="48"/>
    </row>
    <row r="889" spans="1:2" x14ac:dyDescent="0.45">
      <c r="A889" s="3"/>
      <c r="B889" s="48"/>
    </row>
    <row r="890" spans="1:2" x14ac:dyDescent="0.45">
      <c r="A890" s="3"/>
      <c r="B890" s="48"/>
    </row>
    <row r="891" spans="1:2" x14ac:dyDescent="0.45">
      <c r="A891" s="3"/>
      <c r="B891" s="48"/>
    </row>
    <row r="892" spans="1:2" x14ac:dyDescent="0.45">
      <c r="A892" s="3"/>
      <c r="B892" s="48"/>
    </row>
    <row r="893" spans="1:2" x14ac:dyDescent="0.45">
      <c r="A893" s="3"/>
      <c r="B893" s="48"/>
    </row>
    <row r="894" spans="1:2" x14ac:dyDescent="0.45">
      <c r="A894" s="3"/>
      <c r="B894" s="48"/>
    </row>
    <row r="895" spans="1:2" x14ac:dyDescent="0.45">
      <c r="A895" s="3"/>
      <c r="B895" s="48"/>
    </row>
    <row r="896" spans="1:2" x14ac:dyDescent="0.45">
      <c r="A896" s="3"/>
      <c r="B896" s="48"/>
    </row>
    <row r="897" spans="1:2" x14ac:dyDescent="0.45">
      <c r="A897" s="3"/>
      <c r="B897" s="48"/>
    </row>
    <row r="898" spans="1:2" x14ac:dyDescent="0.45">
      <c r="A898" s="3"/>
      <c r="B898" s="48"/>
    </row>
    <row r="899" spans="1:2" x14ac:dyDescent="0.45">
      <c r="A899" s="3"/>
      <c r="B899" s="48"/>
    </row>
    <row r="900" spans="1:2" x14ac:dyDescent="0.45">
      <c r="A900" s="3"/>
      <c r="B900" s="48"/>
    </row>
    <row r="901" spans="1:2" x14ac:dyDescent="0.45">
      <c r="A901" s="3"/>
      <c r="B901" s="48"/>
    </row>
    <row r="902" spans="1:2" x14ac:dyDescent="0.45">
      <c r="A902" s="3"/>
      <c r="B902" s="48"/>
    </row>
    <row r="903" spans="1:2" x14ac:dyDescent="0.45">
      <c r="A903" s="3"/>
      <c r="B903" s="48"/>
    </row>
    <row r="904" spans="1:2" x14ac:dyDescent="0.45">
      <c r="A904" s="3"/>
      <c r="B904" s="48"/>
    </row>
    <row r="905" spans="1:2" x14ac:dyDescent="0.45">
      <c r="A905" s="3"/>
      <c r="B905" s="48"/>
    </row>
    <row r="906" spans="1:2" x14ac:dyDescent="0.45">
      <c r="A906" s="3"/>
      <c r="B906" s="48"/>
    </row>
    <row r="907" spans="1:2" x14ac:dyDescent="0.45">
      <c r="A907" s="3"/>
      <c r="B907" s="48"/>
    </row>
    <row r="908" spans="1:2" x14ac:dyDescent="0.45">
      <c r="A908" s="3"/>
      <c r="B908" s="48"/>
    </row>
    <row r="909" spans="1:2" x14ac:dyDescent="0.45">
      <c r="A909" s="3"/>
      <c r="B909" s="48"/>
    </row>
    <row r="910" spans="1:2" x14ac:dyDescent="0.45">
      <c r="A910" s="3"/>
      <c r="B910" s="48"/>
    </row>
    <row r="911" spans="1:2" x14ac:dyDescent="0.45">
      <c r="A911" s="3"/>
      <c r="B911" s="48"/>
    </row>
    <row r="912" spans="1:2" x14ac:dyDescent="0.45">
      <c r="A912" s="3"/>
      <c r="B912" s="48"/>
    </row>
    <row r="913" spans="1:2" x14ac:dyDescent="0.45">
      <c r="A913" s="3"/>
      <c r="B913" s="48"/>
    </row>
    <row r="914" spans="1:2" x14ac:dyDescent="0.45">
      <c r="A914" s="3"/>
      <c r="B914" s="48"/>
    </row>
    <row r="915" spans="1:2" x14ac:dyDescent="0.45">
      <c r="A915" s="3"/>
      <c r="B915" s="48"/>
    </row>
    <row r="916" spans="1:2" x14ac:dyDescent="0.45">
      <c r="A916" s="3"/>
      <c r="B916" s="48"/>
    </row>
    <row r="917" spans="1:2" x14ac:dyDescent="0.45">
      <c r="A917" s="3"/>
      <c r="B917" s="48"/>
    </row>
    <row r="918" spans="1:2" x14ac:dyDescent="0.45">
      <c r="A918" s="3"/>
      <c r="B918" s="48"/>
    </row>
    <row r="919" spans="1:2" x14ac:dyDescent="0.45">
      <c r="A919" s="3"/>
      <c r="B919" s="48"/>
    </row>
    <row r="920" spans="1:2" x14ac:dyDescent="0.45">
      <c r="A920" s="3"/>
      <c r="B920" s="48"/>
    </row>
    <row r="921" spans="1:2" x14ac:dyDescent="0.45">
      <c r="A921" s="3"/>
      <c r="B921" s="48"/>
    </row>
    <row r="922" spans="1:2" x14ac:dyDescent="0.45">
      <c r="A922" s="3"/>
      <c r="B922" s="48"/>
    </row>
    <row r="923" spans="1:2" x14ac:dyDescent="0.45">
      <c r="A923" s="3"/>
      <c r="B923" s="48"/>
    </row>
    <row r="924" spans="1:2" x14ac:dyDescent="0.45">
      <c r="A924" s="3"/>
      <c r="B924" s="48"/>
    </row>
    <row r="925" spans="1:2" x14ac:dyDescent="0.45">
      <c r="A925" s="3"/>
      <c r="B925" s="48"/>
    </row>
    <row r="926" spans="1:2" x14ac:dyDescent="0.45">
      <c r="A926" s="3"/>
      <c r="B926" s="48"/>
    </row>
    <row r="927" spans="1:2" x14ac:dyDescent="0.45">
      <c r="A927" s="3"/>
      <c r="B927" s="48"/>
    </row>
    <row r="928" spans="1:2" x14ac:dyDescent="0.45">
      <c r="A928" s="3"/>
      <c r="B928" s="48"/>
    </row>
    <row r="929" spans="1:2" x14ac:dyDescent="0.45">
      <c r="A929" s="3"/>
      <c r="B929" s="48"/>
    </row>
    <row r="930" spans="1:2" x14ac:dyDescent="0.45">
      <c r="A930" s="3"/>
      <c r="B930" s="48"/>
    </row>
    <row r="931" spans="1:2" x14ac:dyDescent="0.45">
      <c r="A931" s="3"/>
      <c r="B931" s="48"/>
    </row>
    <row r="932" spans="1:2" x14ac:dyDescent="0.45">
      <c r="A932" s="3"/>
      <c r="B932" s="48"/>
    </row>
    <row r="933" spans="1:2" x14ac:dyDescent="0.45">
      <c r="A933" s="3"/>
      <c r="B933" s="48"/>
    </row>
    <row r="934" spans="1:2" x14ac:dyDescent="0.45">
      <c r="A934" s="3"/>
      <c r="B934" s="48"/>
    </row>
    <row r="935" spans="1:2" x14ac:dyDescent="0.45">
      <c r="A935" s="3"/>
      <c r="B935" s="48"/>
    </row>
    <row r="936" spans="1:2" x14ac:dyDescent="0.45">
      <c r="A936" s="3"/>
      <c r="B936" s="48"/>
    </row>
    <row r="937" spans="1:2" x14ac:dyDescent="0.45">
      <c r="A937" s="3"/>
      <c r="B937" s="48"/>
    </row>
    <row r="938" spans="1:2" x14ac:dyDescent="0.45">
      <c r="A938" s="3"/>
      <c r="B938" s="48"/>
    </row>
    <row r="939" spans="1:2" x14ac:dyDescent="0.45">
      <c r="A939" s="3"/>
      <c r="B939" s="48"/>
    </row>
    <row r="940" spans="1:2" x14ac:dyDescent="0.45">
      <c r="A940" s="3"/>
      <c r="B940" s="48"/>
    </row>
    <row r="941" spans="1:2" x14ac:dyDescent="0.45">
      <c r="A941" s="3"/>
      <c r="B941" s="48"/>
    </row>
    <row r="942" spans="1:2" x14ac:dyDescent="0.45">
      <c r="A942" s="3"/>
      <c r="B942" s="48"/>
    </row>
    <row r="943" spans="1:2" x14ac:dyDescent="0.45">
      <c r="A943" s="3"/>
      <c r="B943" s="48"/>
    </row>
    <row r="944" spans="1:2" x14ac:dyDescent="0.45">
      <c r="A944" s="3"/>
      <c r="B944" s="48"/>
    </row>
    <row r="945" spans="1:2" x14ac:dyDescent="0.45">
      <c r="A945" s="3"/>
      <c r="B945" s="48"/>
    </row>
    <row r="946" spans="1:2" x14ac:dyDescent="0.45">
      <c r="A946" s="3"/>
      <c r="B946" s="48"/>
    </row>
    <row r="947" spans="1:2" x14ac:dyDescent="0.45">
      <c r="A947" s="3"/>
      <c r="B947" s="48"/>
    </row>
    <row r="948" spans="1:2" x14ac:dyDescent="0.45">
      <c r="A948" s="3"/>
      <c r="B948" s="48"/>
    </row>
    <row r="949" spans="1:2" x14ac:dyDescent="0.45">
      <c r="A949" s="3"/>
      <c r="B949" s="48"/>
    </row>
    <row r="950" spans="1:2" x14ac:dyDescent="0.45">
      <c r="A950" s="3"/>
      <c r="B950" s="48"/>
    </row>
    <row r="951" spans="1:2" x14ac:dyDescent="0.45">
      <c r="A951" s="3"/>
      <c r="B951" s="48"/>
    </row>
    <row r="952" spans="1:2" x14ac:dyDescent="0.45">
      <c r="A952" s="3"/>
      <c r="B952" s="48"/>
    </row>
    <row r="953" spans="1:2" x14ac:dyDescent="0.45">
      <c r="A953" s="3"/>
      <c r="B953" s="48"/>
    </row>
    <row r="954" spans="1:2" x14ac:dyDescent="0.45">
      <c r="A954" s="3"/>
      <c r="B954" s="48"/>
    </row>
    <row r="955" spans="1:2" x14ac:dyDescent="0.45">
      <c r="A955" s="3"/>
      <c r="B955" s="48"/>
    </row>
    <row r="956" spans="1:2" x14ac:dyDescent="0.45">
      <c r="A956" s="3"/>
      <c r="B956" s="48"/>
    </row>
    <row r="957" spans="1:2" x14ac:dyDescent="0.45">
      <c r="A957" s="3"/>
      <c r="B957" s="48"/>
    </row>
    <row r="958" spans="1:2" x14ac:dyDescent="0.45">
      <c r="A958" s="3"/>
      <c r="B958" s="48"/>
    </row>
    <row r="959" spans="1:2" x14ac:dyDescent="0.45">
      <c r="A959" s="3"/>
      <c r="B959" s="48"/>
    </row>
    <row r="960" spans="1:2" x14ac:dyDescent="0.45">
      <c r="A960" s="3"/>
      <c r="B960" s="48"/>
    </row>
    <row r="961" spans="1:2" x14ac:dyDescent="0.45">
      <c r="A961" s="3"/>
      <c r="B961" s="48"/>
    </row>
    <row r="962" spans="1:2" x14ac:dyDescent="0.45">
      <c r="A962" s="3"/>
      <c r="B962" s="48"/>
    </row>
    <row r="963" spans="1:2" x14ac:dyDescent="0.45">
      <c r="A963" s="3"/>
      <c r="B963" s="48"/>
    </row>
    <row r="964" spans="1:2" x14ac:dyDescent="0.45">
      <c r="A964" s="3"/>
      <c r="B964" s="48"/>
    </row>
    <row r="965" spans="1:2" x14ac:dyDescent="0.45">
      <c r="A965" s="3"/>
      <c r="B965" s="48"/>
    </row>
    <row r="966" spans="1:2" x14ac:dyDescent="0.45">
      <c r="A966" s="3"/>
      <c r="B966" s="48"/>
    </row>
    <row r="967" spans="1:2" x14ac:dyDescent="0.45">
      <c r="A967" s="3"/>
      <c r="B967" s="48"/>
    </row>
    <row r="968" spans="1:2" x14ac:dyDescent="0.45">
      <c r="A968" s="3"/>
      <c r="B968" s="48"/>
    </row>
    <row r="969" spans="1:2" x14ac:dyDescent="0.45">
      <c r="A969" s="3"/>
      <c r="B969" s="48"/>
    </row>
    <row r="970" spans="1:2" x14ac:dyDescent="0.45">
      <c r="A970" s="3"/>
      <c r="B970" s="48"/>
    </row>
    <row r="971" spans="1:2" x14ac:dyDescent="0.45">
      <c r="A971" s="3"/>
      <c r="B971" s="48"/>
    </row>
    <row r="972" spans="1:2" x14ac:dyDescent="0.45">
      <c r="A972" s="3"/>
      <c r="B972" s="48"/>
    </row>
    <row r="973" spans="1:2" x14ac:dyDescent="0.45">
      <c r="A973" s="3"/>
      <c r="B973" s="48"/>
    </row>
    <row r="974" spans="1:2" x14ac:dyDescent="0.45">
      <c r="A974" s="3"/>
      <c r="B974" s="48"/>
    </row>
    <row r="975" spans="1:2" x14ac:dyDescent="0.45">
      <c r="A975" s="3"/>
      <c r="B975" s="48"/>
    </row>
    <row r="976" spans="1:2" x14ac:dyDescent="0.45">
      <c r="A976" s="3"/>
      <c r="B976" s="48"/>
    </row>
    <row r="977" spans="1:2" x14ac:dyDescent="0.45">
      <c r="A977" s="3"/>
      <c r="B977" s="48"/>
    </row>
    <row r="978" spans="1:2" x14ac:dyDescent="0.45">
      <c r="A978" s="3"/>
      <c r="B978" s="48"/>
    </row>
    <row r="979" spans="1:2" x14ac:dyDescent="0.45">
      <c r="A979" s="3"/>
      <c r="B979" s="48"/>
    </row>
    <row r="980" spans="1:2" x14ac:dyDescent="0.45">
      <c r="A980" s="3"/>
      <c r="B980" s="48"/>
    </row>
    <row r="981" spans="1:2" x14ac:dyDescent="0.45">
      <c r="A981" s="3"/>
      <c r="B981" s="48"/>
    </row>
    <row r="982" spans="1:2" x14ac:dyDescent="0.45">
      <c r="A982" s="3"/>
      <c r="B982" s="48"/>
    </row>
    <row r="983" spans="1:2" x14ac:dyDescent="0.45">
      <c r="A983" s="3"/>
      <c r="B983" s="48"/>
    </row>
    <row r="984" spans="1:2" x14ac:dyDescent="0.45">
      <c r="A984" s="3"/>
      <c r="B984" s="48"/>
    </row>
    <row r="985" spans="1:2" x14ac:dyDescent="0.45">
      <c r="A985" s="3"/>
      <c r="B985" s="48"/>
    </row>
    <row r="986" spans="1:2" x14ac:dyDescent="0.45">
      <c r="A986" s="3"/>
      <c r="B986" s="48"/>
    </row>
    <row r="987" spans="1:2" x14ac:dyDescent="0.45">
      <c r="A987" s="3"/>
      <c r="B987" s="48"/>
    </row>
    <row r="988" spans="1:2" x14ac:dyDescent="0.45">
      <c r="A988" s="3"/>
      <c r="B988" s="48"/>
    </row>
    <row r="989" spans="1:2" x14ac:dyDescent="0.45">
      <c r="A989" s="3"/>
      <c r="B989" s="48"/>
    </row>
    <row r="990" spans="1:2" x14ac:dyDescent="0.45">
      <c r="A990" s="3"/>
      <c r="B990" s="48"/>
    </row>
    <row r="991" spans="1:2" x14ac:dyDescent="0.45">
      <c r="A991" s="3"/>
      <c r="B991" s="48"/>
    </row>
    <row r="992" spans="1:2" x14ac:dyDescent="0.45">
      <c r="A992" s="3"/>
      <c r="B992" s="48"/>
    </row>
    <row r="993" spans="1:2" x14ac:dyDescent="0.45">
      <c r="A993" s="3"/>
      <c r="B993" s="48"/>
    </row>
    <row r="994" spans="1:2" x14ac:dyDescent="0.45">
      <c r="A994" s="3"/>
      <c r="B994" s="48"/>
    </row>
    <row r="995" spans="1:2" x14ac:dyDescent="0.45">
      <c r="A995" s="3"/>
      <c r="B995" s="48"/>
    </row>
    <row r="996" spans="1:2" x14ac:dyDescent="0.45">
      <c r="A996" s="3"/>
      <c r="B996" s="48"/>
    </row>
    <row r="997" spans="1:2" x14ac:dyDescent="0.45">
      <c r="A997" s="3"/>
      <c r="B997" s="48"/>
    </row>
    <row r="998" spans="1:2" x14ac:dyDescent="0.45">
      <c r="A998" s="3"/>
      <c r="B998" s="48"/>
    </row>
    <row r="999" spans="1:2" x14ac:dyDescent="0.45">
      <c r="A999" s="3"/>
      <c r="B999" s="48"/>
    </row>
    <row r="1000" spans="1:2" x14ac:dyDescent="0.45">
      <c r="A1000" s="3"/>
      <c r="B1000" s="48"/>
    </row>
    <row r="1001" spans="1:2" x14ac:dyDescent="0.45">
      <c r="A1001" s="3"/>
      <c r="B1001" s="48"/>
    </row>
    <row r="1002" spans="1:2" x14ac:dyDescent="0.45">
      <c r="A1002" s="3"/>
      <c r="B1002" s="48"/>
    </row>
    <row r="1003" spans="1:2" x14ac:dyDescent="0.45">
      <c r="A1003" s="3"/>
      <c r="B1003" s="48"/>
    </row>
    <row r="1004" spans="1:2" x14ac:dyDescent="0.45">
      <c r="A1004" s="3"/>
      <c r="B1004" s="48"/>
    </row>
    <row r="1005" spans="1:2" x14ac:dyDescent="0.45">
      <c r="A1005" s="3"/>
      <c r="B1005" s="48"/>
    </row>
    <row r="1006" spans="1:2" x14ac:dyDescent="0.45">
      <c r="A1006" s="3"/>
      <c r="B1006" s="48"/>
    </row>
    <row r="1007" spans="1:2" x14ac:dyDescent="0.45">
      <c r="A1007" s="3"/>
      <c r="B1007" s="48"/>
    </row>
    <row r="1008" spans="1:2" x14ac:dyDescent="0.45">
      <c r="A1008" s="3"/>
      <c r="B1008" s="48"/>
    </row>
    <row r="1009" spans="1:2" x14ac:dyDescent="0.45">
      <c r="A1009" s="3"/>
      <c r="B1009" s="48"/>
    </row>
    <row r="1010" spans="1:2" x14ac:dyDescent="0.45">
      <c r="A1010" s="3"/>
      <c r="B1010" s="48"/>
    </row>
    <row r="1011" spans="1:2" x14ac:dyDescent="0.45">
      <c r="A1011" s="3"/>
      <c r="B1011" s="48"/>
    </row>
    <row r="1012" spans="1:2" x14ac:dyDescent="0.45">
      <c r="A1012" s="3"/>
      <c r="B1012" s="48"/>
    </row>
    <row r="1013" spans="1:2" x14ac:dyDescent="0.45">
      <c r="A1013" s="3"/>
      <c r="B1013" s="48"/>
    </row>
    <row r="1014" spans="1:2" x14ac:dyDescent="0.45">
      <c r="A1014" s="3"/>
      <c r="B1014" s="48"/>
    </row>
    <row r="1015" spans="1:2" x14ac:dyDescent="0.45">
      <c r="A1015" s="3"/>
      <c r="B1015" s="48"/>
    </row>
    <row r="1016" spans="1:2" x14ac:dyDescent="0.45">
      <c r="A1016" s="3"/>
      <c r="B1016" s="48"/>
    </row>
    <row r="1017" spans="1:2" x14ac:dyDescent="0.45">
      <c r="A1017" s="3"/>
      <c r="B1017" s="48"/>
    </row>
    <row r="1018" spans="1:2" x14ac:dyDescent="0.45">
      <c r="A1018" s="3"/>
      <c r="B1018" s="48"/>
    </row>
    <row r="1019" spans="1:2" x14ac:dyDescent="0.45">
      <c r="A1019" s="3"/>
      <c r="B1019" s="48"/>
    </row>
    <row r="1020" spans="1:2" x14ac:dyDescent="0.45">
      <c r="A1020" s="3"/>
      <c r="B1020" s="48"/>
    </row>
    <row r="1021" spans="1:2" x14ac:dyDescent="0.45">
      <c r="A1021" s="3"/>
      <c r="B1021" s="48"/>
    </row>
    <row r="1022" spans="1:2" x14ac:dyDescent="0.45">
      <c r="A1022" s="3"/>
      <c r="B1022" s="48"/>
    </row>
    <row r="1023" spans="1:2" x14ac:dyDescent="0.45">
      <c r="A1023" s="3"/>
      <c r="B1023" s="48"/>
    </row>
    <row r="1024" spans="1:2" x14ac:dyDescent="0.45">
      <c r="A1024" s="3"/>
      <c r="B1024" s="48"/>
    </row>
    <row r="1025" spans="1:2" x14ac:dyDescent="0.45">
      <c r="A1025" s="3"/>
      <c r="B1025" s="48"/>
    </row>
    <row r="1026" spans="1:2" x14ac:dyDescent="0.45">
      <c r="A1026" s="3"/>
      <c r="B1026" s="48"/>
    </row>
    <row r="1027" spans="1:2" x14ac:dyDescent="0.45">
      <c r="A1027" s="3"/>
      <c r="B1027" s="48"/>
    </row>
    <row r="1028" spans="1:2" x14ac:dyDescent="0.45">
      <c r="A1028" s="3"/>
      <c r="B1028" s="48"/>
    </row>
    <row r="1029" spans="1:2" x14ac:dyDescent="0.45">
      <c r="A1029" s="3"/>
      <c r="B1029" s="48"/>
    </row>
    <row r="1030" spans="1:2" x14ac:dyDescent="0.45">
      <c r="A1030" s="3"/>
      <c r="B1030" s="48"/>
    </row>
    <row r="1031" spans="1:2" x14ac:dyDescent="0.45">
      <c r="A1031" s="3"/>
      <c r="B1031" s="48"/>
    </row>
    <row r="1032" spans="1:2" x14ac:dyDescent="0.45">
      <c r="A1032" s="3"/>
      <c r="B1032" s="48"/>
    </row>
    <row r="1033" spans="1:2" x14ac:dyDescent="0.45">
      <c r="A1033" s="3"/>
      <c r="B1033" s="48"/>
    </row>
    <row r="1034" spans="1:2" x14ac:dyDescent="0.45">
      <c r="A1034" s="3"/>
      <c r="B1034" s="48"/>
    </row>
    <row r="1035" spans="1:2" x14ac:dyDescent="0.45">
      <c r="A1035" s="3"/>
      <c r="B1035" s="48"/>
    </row>
    <row r="1036" spans="1:2" x14ac:dyDescent="0.45">
      <c r="A1036" s="3"/>
      <c r="B1036" s="48"/>
    </row>
    <row r="1037" spans="1:2" x14ac:dyDescent="0.45">
      <c r="A1037" s="3"/>
      <c r="B1037" s="48"/>
    </row>
    <row r="1038" spans="1:2" x14ac:dyDescent="0.45">
      <c r="A1038" s="3"/>
      <c r="B1038" s="48"/>
    </row>
    <row r="1039" spans="1:2" x14ac:dyDescent="0.45">
      <c r="A1039" s="3"/>
      <c r="B1039" s="48"/>
    </row>
    <row r="1040" spans="1:2" x14ac:dyDescent="0.45">
      <c r="A1040" s="3"/>
      <c r="B1040" s="48"/>
    </row>
    <row r="1041" spans="1:2" x14ac:dyDescent="0.45">
      <c r="A1041" s="3"/>
      <c r="B1041" s="48"/>
    </row>
    <row r="1042" spans="1:2" x14ac:dyDescent="0.45">
      <c r="A1042" s="3"/>
      <c r="B1042" s="48"/>
    </row>
    <row r="1043" spans="1:2" x14ac:dyDescent="0.45">
      <c r="A1043" s="3"/>
      <c r="B1043" s="48"/>
    </row>
    <row r="1044" spans="1:2" x14ac:dyDescent="0.45">
      <c r="A1044" s="3"/>
      <c r="B1044" s="48"/>
    </row>
    <row r="1045" spans="1:2" x14ac:dyDescent="0.45">
      <c r="A1045" s="3"/>
      <c r="B1045" s="48"/>
    </row>
    <row r="1046" spans="1:2" x14ac:dyDescent="0.45">
      <c r="A1046" s="3"/>
      <c r="B1046" s="48"/>
    </row>
    <row r="1047" spans="1:2" x14ac:dyDescent="0.45">
      <c r="A1047" s="3"/>
      <c r="B1047" s="48"/>
    </row>
    <row r="1048" spans="1:2" x14ac:dyDescent="0.45">
      <c r="A1048" s="3"/>
      <c r="B1048" s="48"/>
    </row>
    <row r="1049" spans="1:2" x14ac:dyDescent="0.45">
      <c r="A1049" s="3"/>
      <c r="B1049" s="48"/>
    </row>
    <row r="1050" spans="1:2" x14ac:dyDescent="0.45">
      <c r="A1050" s="3"/>
      <c r="B1050" s="48"/>
    </row>
    <row r="1051" spans="1:2" x14ac:dyDescent="0.45">
      <c r="A1051" s="3"/>
      <c r="B1051" s="48"/>
    </row>
    <row r="1052" spans="1:2" x14ac:dyDescent="0.45">
      <c r="A1052" s="3"/>
      <c r="B1052" s="48"/>
    </row>
    <row r="1053" spans="1:2" x14ac:dyDescent="0.45">
      <c r="A1053" s="3"/>
      <c r="B1053" s="48"/>
    </row>
    <row r="1054" spans="1:2" x14ac:dyDescent="0.45">
      <c r="A1054" s="3"/>
      <c r="B1054" s="48"/>
    </row>
    <row r="1055" spans="1:2" x14ac:dyDescent="0.45">
      <c r="A1055" s="3"/>
      <c r="B1055" s="48"/>
    </row>
    <row r="1056" spans="1:2" x14ac:dyDescent="0.45">
      <c r="A1056" s="3"/>
      <c r="B1056" s="48"/>
    </row>
    <row r="1057" spans="1:2" x14ac:dyDescent="0.45">
      <c r="A1057" s="3"/>
      <c r="B1057" s="48"/>
    </row>
    <row r="1058" spans="1:2" x14ac:dyDescent="0.45">
      <c r="A1058" s="3"/>
      <c r="B1058" s="48"/>
    </row>
    <row r="1059" spans="1:2" x14ac:dyDescent="0.45">
      <c r="A1059" s="3"/>
      <c r="B1059" s="48"/>
    </row>
    <row r="1060" spans="1:2" x14ac:dyDescent="0.45">
      <c r="A1060" s="3"/>
      <c r="B1060" s="48"/>
    </row>
    <row r="1061" spans="1:2" x14ac:dyDescent="0.45">
      <c r="A1061" s="3"/>
      <c r="B1061" s="48"/>
    </row>
    <row r="1062" spans="1:2" x14ac:dyDescent="0.45">
      <c r="A1062" s="3"/>
      <c r="B1062" s="48"/>
    </row>
    <row r="1063" spans="1:2" x14ac:dyDescent="0.45">
      <c r="A1063" s="3"/>
      <c r="B1063" s="48"/>
    </row>
    <row r="1064" spans="1:2" x14ac:dyDescent="0.45">
      <c r="A1064" s="3"/>
      <c r="B1064" s="48"/>
    </row>
    <row r="1065" spans="1:2" x14ac:dyDescent="0.45">
      <c r="A1065" s="3"/>
      <c r="B1065" s="48"/>
    </row>
    <row r="1066" spans="1:2" x14ac:dyDescent="0.45">
      <c r="A1066" s="3"/>
      <c r="B1066" s="48"/>
    </row>
    <row r="1067" spans="1:2" x14ac:dyDescent="0.45">
      <c r="A1067" s="3"/>
      <c r="B1067" s="48"/>
    </row>
    <row r="1068" spans="1:2" x14ac:dyDescent="0.45">
      <c r="A1068" s="3"/>
      <c r="B1068" s="48"/>
    </row>
    <row r="1069" spans="1:2" x14ac:dyDescent="0.45">
      <c r="A1069" s="3"/>
      <c r="B1069" s="48"/>
    </row>
    <row r="1070" spans="1:2" x14ac:dyDescent="0.45">
      <c r="A1070" s="3"/>
      <c r="B1070" s="48"/>
    </row>
    <row r="1071" spans="1:2" x14ac:dyDescent="0.45">
      <c r="A1071" s="3"/>
      <c r="B1071" s="48"/>
    </row>
    <row r="1072" spans="1:2" x14ac:dyDescent="0.45">
      <c r="A1072" s="3"/>
      <c r="B1072" s="48"/>
    </row>
    <row r="1073" spans="1:2" x14ac:dyDescent="0.45">
      <c r="A1073" s="3"/>
      <c r="B1073" s="48"/>
    </row>
    <row r="1074" spans="1:2" x14ac:dyDescent="0.45">
      <c r="A1074" s="3"/>
      <c r="B1074" s="48"/>
    </row>
    <row r="1075" spans="1:2" x14ac:dyDescent="0.45">
      <c r="A1075" s="3"/>
      <c r="B1075" s="48"/>
    </row>
    <row r="1076" spans="1:2" x14ac:dyDescent="0.45">
      <c r="A1076" s="3"/>
      <c r="B1076" s="48"/>
    </row>
    <row r="1077" spans="1:2" x14ac:dyDescent="0.45">
      <c r="A1077" s="3"/>
      <c r="B1077" s="48"/>
    </row>
    <row r="1078" spans="1:2" x14ac:dyDescent="0.45">
      <c r="A1078" s="3"/>
      <c r="B1078" s="48"/>
    </row>
    <row r="1079" spans="1:2" x14ac:dyDescent="0.45">
      <c r="A1079" s="3"/>
      <c r="B1079" s="48"/>
    </row>
    <row r="1080" spans="1:2" x14ac:dyDescent="0.45">
      <c r="A1080" s="3"/>
      <c r="B1080" s="48"/>
    </row>
    <row r="1081" spans="1:2" x14ac:dyDescent="0.45">
      <c r="A1081" s="3"/>
      <c r="B1081" s="48"/>
    </row>
    <row r="1082" spans="1:2" x14ac:dyDescent="0.45">
      <c r="A1082" s="3"/>
      <c r="B1082" s="48"/>
    </row>
    <row r="1083" spans="1:2" x14ac:dyDescent="0.45">
      <c r="A1083" s="3"/>
      <c r="B1083" s="48"/>
    </row>
    <row r="1084" spans="1:2" x14ac:dyDescent="0.45">
      <c r="A1084" s="3"/>
      <c r="B1084" s="48"/>
    </row>
    <row r="1085" spans="1:2" x14ac:dyDescent="0.45">
      <c r="A1085" s="3"/>
      <c r="B1085" s="48"/>
    </row>
    <row r="1086" spans="1:2" x14ac:dyDescent="0.45">
      <c r="A1086" s="3"/>
      <c r="B1086" s="48"/>
    </row>
    <row r="1087" spans="1:2" x14ac:dyDescent="0.45">
      <c r="A1087" s="3"/>
      <c r="B1087" s="48"/>
    </row>
    <row r="1088" spans="1:2" x14ac:dyDescent="0.45">
      <c r="A1088" s="3"/>
      <c r="B1088" s="48"/>
    </row>
    <row r="1089" spans="1:2" x14ac:dyDescent="0.45">
      <c r="A1089" s="3"/>
      <c r="B1089" s="48"/>
    </row>
    <row r="1090" spans="1:2" x14ac:dyDescent="0.45">
      <c r="A1090" s="3"/>
      <c r="B1090" s="48"/>
    </row>
    <row r="1091" spans="1:2" x14ac:dyDescent="0.45">
      <c r="A1091" s="3"/>
      <c r="B1091" s="48"/>
    </row>
    <row r="1092" spans="1:2" x14ac:dyDescent="0.45">
      <c r="A1092" s="3"/>
      <c r="B1092" s="48"/>
    </row>
    <row r="1093" spans="1:2" x14ac:dyDescent="0.45">
      <c r="A1093" s="3"/>
      <c r="B1093" s="48"/>
    </row>
    <row r="1094" spans="1:2" x14ac:dyDescent="0.45">
      <c r="A1094" s="3"/>
      <c r="B1094" s="48"/>
    </row>
    <row r="1095" spans="1:2" x14ac:dyDescent="0.45">
      <c r="A1095" s="3"/>
      <c r="B1095" s="48"/>
    </row>
    <row r="1096" spans="1:2" x14ac:dyDescent="0.45">
      <c r="A1096" s="3"/>
      <c r="B1096" s="48"/>
    </row>
    <row r="1097" spans="1:2" x14ac:dyDescent="0.45">
      <c r="A1097" s="3"/>
      <c r="B1097" s="48"/>
    </row>
    <row r="1098" spans="1:2" x14ac:dyDescent="0.45">
      <c r="A1098" s="3"/>
      <c r="B1098" s="48"/>
    </row>
    <row r="1099" spans="1:2" x14ac:dyDescent="0.45">
      <c r="A1099" s="3"/>
      <c r="B1099" s="48"/>
    </row>
    <row r="1100" spans="1:2" x14ac:dyDescent="0.45">
      <c r="A1100" s="3"/>
      <c r="B1100" s="48"/>
    </row>
    <row r="1101" spans="1:2" x14ac:dyDescent="0.45">
      <c r="A1101" s="3"/>
      <c r="B1101" s="48"/>
    </row>
    <row r="1102" spans="1:2" x14ac:dyDescent="0.45">
      <c r="A1102" s="3"/>
      <c r="B1102" s="48"/>
    </row>
    <row r="1103" spans="1:2" x14ac:dyDescent="0.45">
      <c r="A1103" s="3"/>
      <c r="B1103" s="48"/>
    </row>
    <row r="1104" spans="1:2" x14ac:dyDescent="0.45">
      <c r="A1104" s="3"/>
      <c r="B1104" s="48"/>
    </row>
    <row r="1105" spans="1:2" x14ac:dyDescent="0.45">
      <c r="A1105" s="3"/>
      <c r="B1105" s="48"/>
    </row>
    <row r="1106" spans="1:2" x14ac:dyDescent="0.45">
      <c r="A1106" s="3"/>
      <c r="B1106" s="48"/>
    </row>
    <row r="1107" spans="1:2" x14ac:dyDescent="0.45">
      <c r="A1107" s="3"/>
      <c r="B1107" s="48"/>
    </row>
    <row r="1108" spans="1:2" x14ac:dyDescent="0.45">
      <c r="A1108" s="3"/>
      <c r="B1108" s="48"/>
    </row>
    <row r="1109" spans="1:2" x14ac:dyDescent="0.45">
      <c r="A1109" s="3"/>
      <c r="B1109" s="48"/>
    </row>
    <row r="1110" spans="1:2" x14ac:dyDescent="0.45">
      <c r="A1110" s="3"/>
      <c r="B1110" s="48"/>
    </row>
    <row r="1111" spans="1:2" x14ac:dyDescent="0.45">
      <c r="A1111" s="3"/>
      <c r="B1111" s="48"/>
    </row>
    <row r="1112" spans="1:2" x14ac:dyDescent="0.45">
      <c r="A1112" s="3"/>
      <c r="B1112" s="48"/>
    </row>
    <row r="1113" spans="1:2" x14ac:dyDescent="0.45">
      <c r="A1113" s="3"/>
      <c r="B1113" s="48"/>
    </row>
    <row r="1114" spans="1:2" x14ac:dyDescent="0.45">
      <c r="A1114" s="3"/>
      <c r="B1114" s="48"/>
    </row>
    <row r="1115" spans="1:2" x14ac:dyDescent="0.45">
      <c r="A1115" s="3"/>
      <c r="B1115" s="48"/>
    </row>
    <row r="1116" spans="1:2" x14ac:dyDescent="0.45">
      <c r="A1116" s="3"/>
      <c r="B1116" s="48"/>
    </row>
    <row r="1117" spans="1:2" x14ac:dyDescent="0.45">
      <c r="A1117" s="3"/>
      <c r="B1117" s="48"/>
    </row>
    <row r="1118" spans="1:2" x14ac:dyDescent="0.45">
      <c r="A1118" s="3"/>
      <c r="B1118" s="48"/>
    </row>
    <row r="1119" spans="1:2" x14ac:dyDescent="0.45">
      <c r="A1119" s="3"/>
      <c r="B1119" s="48"/>
    </row>
    <row r="1120" spans="1:2" x14ac:dyDescent="0.45">
      <c r="A1120" s="3"/>
      <c r="B1120" s="48"/>
    </row>
    <row r="1121" spans="1:2" x14ac:dyDescent="0.45">
      <c r="A1121" s="3"/>
      <c r="B1121" s="48"/>
    </row>
    <row r="1122" spans="1:2" x14ac:dyDescent="0.45">
      <c r="A1122" s="3"/>
      <c r="B1122" s="48"/>
    </row>
    <row r="1123" spans="1:2" x14ac:dyDescent="0.45">
      <c r="A1123" s="3"/>
      <c r="B1123" s="48"/>
    </row>
    <row r="1124" spans="1:2" x14ac:dyDescent="0.45">
      <c r="A1124" s="3"/>
      <c r="B1124" s="48"/>
    </row>
    <row r="1125" spans="1:2" x14ac:dyDescent="0.45">
      <c r="A1125" s="3"/>
      <c r="B1125" s="48"/>
    </row>
    <row r="1126" spans="1:2" x14ac:dyDescent="0.45">
      <c r="A1126" s="3"/>
      <c r="B1126" s="48"/>
    </row>
    <row r="1127" spans="1:2" x14ac:dyDescent="0.45">
      <c r="A1127" s="3"/>
      <c r="B1127" s="48"/>
    </row>
    <row r="1128" spans="1:2" x14ac:dyDescent="0.45">
      <c r="A1128" s="3"/>
      <c r="B1128" s="48"/>
    </row>
    <row r="1129" spans="1:2" x14ac:dyDescent="0.45">
      <c r="A1129" s="3"/>
      <c r="B1129" s="48"/>
    </row>
    <row r="1130" spans="1:2" x14ac:dyDescent="0.45">
      <c r="A1130" s="3"/>
      <c r="B1130" s="48"/>
    </row>
    <row r="1131" spans="1:2" x14ac:dyDescent="0.45">
      <c r="A1131" s="3"/>
      <c r="B1131" s="48"/>
    </row>
    <row r="1132" spans="1:2" x14ac:dyDescent="0.45">
      <c r="A1132" s="3"/>
      <c r="B1132" s="48"/>
    </row>
    <row r="1133" spans="1:2" x14ac:dyDescent="0.45">
      <c r="A1133" s="3"/>
      <c r="B1133" s="48"/>
    </row>
    <row r="1134" spans="1:2" x14ac:dyDescent="0.45">
      <c r="A1134" s="3"/>
      <c r="B1134" s="48"/>
    </row>
    <row r="1135" spans="1:2" x14ac:dyDescent="0.45">
      <c r="A1135" s="3"/>
      <c r="B1135" s="48"/>
    </row>
    <row r="1136" spans="1:2" x14ac:dyDescent="0.45">
      <c r="A1136" s="3"/>
      <c r="B1136" s="48"/>
    </row>
    <row r="1137" spans="1:2" x14ac:dyDescent="0.45">
      <c r="A1137" s="3"/>
      <c r="B1137" s="48"/>
    </row>
    <row r="1138" spans="1:2" x14ac:dyDescent="0.45">
      <c r="A1138" s="3"/>
      <c r="B1138" s="48"/>
    </row>
    <row r="1139" spans="1:2" x14ac:dyDescent="0.45">
      <c r="A1139" s="3"/>
      <c r="B1139" s="48"/>
    </row>
    <row r="1140" spans="1:2" x14ac:dyDescent="0.45">
      <c r="A1140" s="3"/>
      <c r="B1140" s="48"/>
    </row>
    <row r="1141" spans="1:2" x14ac:dyDescent="0.45">
      <c r="A1141" s="3"/>
      <c r="B1141" s="48"/>
    </row>
    <row r="1142" spans="1:2" x14ac:dyDescent="0.45">
      <c r="A1142" s="3"/>
      <c r="B1142" s="48"/>
    </row>
    <row r="1143" spans="1:2" x14ac:dyDescent="0.45">
      <c r="A1143" s="3"/>
      <c r="B1143" s="48"/>
    </row>
    <row r="1144" spans="1:2" x14ac:dyDescent="0.45">
      <c r="A1144" s="3"/>
      <c r="B1144" s="48"/>
    </row>
    <row r="1145" spans="1:2" x14ac:dyDescent="0.45">
      <c r="A1145" s="3"/>
      <c r="B1145" s="48"/>
    </row>
    <row r="1146" spans="1:2" x14ac:dyDescent="0.45">
      <c r="A1146" s="3"/>
      <c r="B1146" s="48"/>
    </row>
    <row r="1147" spans="1:2" x14ac:dyDescent="0.45">
      <c r="A1147" s="3"/>
      <c r="B1147" s="48"/>
    </row>
    <row r="1148" spans="1:2" x14ac:dyDescent="0.45">
      <c r="A1148" s="3"/>
      <c r="B1148" s="48"/>
    </row>
    <row r="1149" spans="1:2" x14ac:dyDescent="0.45">
      <c r="A1149" s="3"/>
      <c r="B1149" s="48"/>
    </row>
    <row r="1150" spans="1:2" x14ac:dyDescent="0.45">
      <c r="A1150" s="3"/>
      <c r="B1150" s="48"/>
    </row>
    <row r="1151" spans="1:2" x14ac:dyDescent="0.45">
      <c r="A1151" s="3"/>
      <c r="B1151" s="48"/>
    </row>
    <row r="1152" spans="1:2" x14ac:dyDescent="0.45">
      <c r="A1152" s="3"/>
      <c r="B1152" s="48"/>
    </row>
    <row r="1153" spans="1:2" x14ac:dyDescent="0.45">
      <c r="A1153" s="3"/>
      <c r="B1153" s="48"/>
    </row>
    <row r="1154" spans="1:2" x14ac:dyDescent="0.45">
      <c r="A1154" s="3"/>
      <c r="B1154" s="48"/>
    </row>
    <row r="1155" spans="1:2" x14ac:dyDescent="0.45">
      <c r="A1155" s="3"/>
      <c r="B1155" s="48"/>
    </row>
    <row r="1156" spans="1:2" x14ac:dyDescent="0.45">
      <c r="A1156" s="3"/>
      <c r="B1156" s="48"/>
    </row>
    <row r="1157" spans="1:2" x14ac:dyDescent="0.45">
      <c r="A1157" s="3"/>
      <c r="B1157" s="48"/>
    </row>
    <row r="1158" spans="1:2" x14ac:dyDescent="0.45">
      <c r="A1158" s="3"/>
      <c r="B1158" s="48"/>
    </row>
    <row r="1159" spans="1:2" x14ac:dyDescent="0.45">
      <c r="A1159" s="3"/>
      <c r="B1159" s="48"/>
    </row>
    <row r="1160" spans="1:2" x14ac:dyDescent="0.45">
      <c r="A1160" s="3"/>
      <c r="B1160" s="48"/>
    </row>
    <row r="1161" spans="1:2" x14ac:dyDescent="0.45">
      <c r="A1161" s="3"/>
      <c r="B1161" s="48"/>
    </row>
    <row r="1162" spans="1:2" x14ac:dyDescent="0.45">
      <c r="A1162" s="3"/>
      <c r="B1162" s="48"/>
    </row>
    <row r="1163" spans="1:2" x14ac:dyDescent="0.45">
      <c r="A1163" s="3"/>
      <c r="B1163" s="48"/>
    </row>
    <row r="1164" spans="1:2" x14ac:dyDescent="0.45">
      <c r="A1164" s="3"/>
      <c r="B1164" s="48"/>
    </row>
    <row r="1165" spans="1:2" x14ac:dyDescent="0.45">
      <c r="A1165" s="3"/>
      <c r="B1165" s="48"/>
    </row>
    <row r="1166" spans="1:2" x14ac:dyDescent="0.45">
      <c r="A1166" s="3"/>
      <c r="B1166" s="48"/>
    </row>
    <row r="1167" spans="1:2" x14ac:dyDescent="0.45">
      <c r="A1167" s="3"/>
      <c r="B1167" s="48"/>
    </row>
    <row r="1168" spans="1:2" x14ac:dyDescent="0.45">
      <c r="A1168" s="3"/>
      <c r="B1168" s="48"/>
    </row>
    <row r="1169" spans="1:2" x14ac:dyDescent="0.45">
      <c r="A1169" s="3"/>
      <c r="B1169" s="48"/>
    </row>
    <row r="1170" spans="1:2" x14ac:dyDescent="0.45">
      <c r="A1170" s="3"/>
      <c r="B1170" s="48"/>
    </row>
    <row r="1171" spans="1:2" x14ac:dyDescent="0.45">
      <c r="A1171" s="3"/>
      <c r="B1171" s="48"/>
    </row>
    <row r="1172" spans="1:2" x14ac:dyDescent="0.45">
      <c r="A1172" s="3"/>
      <c r="B1172" s="48"/>
    </row>
    <row r="1173" spans="1:2" x14ac:dyDescent="0.45">
      <c r="A1173" s="3"/>
      <c r="B1173" s="48"/>
    </row>
    <row r="1174" spans="1:2" x14ac:dyDescent="0.45">
      <c r="A1174" s="3"/>
      <c r="B1174" s="48"/>
    </row>
    <row r="1175" spans="1:2" x14ac:dyDescent="0.45">
      <c r="A1175" s="3"/>
      <c r="B1175" s="48"/>
    </row>
    <row r="1176" spans="1:2" x14ac:dyDescent="0.45">
      <c r="A1176" s="3"/>
      <c r="B1176" s="48"/>
    </row>
    <row r="1177" spans="1:2" x14ac:dyDescent="0.45">
      <c r="A1177" s="3"/>
      <c r="B1177" s="48"/>
    </row>
    <row r="1178" spans="1:2" x14ac:dyDescent="0.45">
      <c r="A1178" s="3"/>
      <c r="B1178" s="48"/>
    </row>
    <row r="1179" spans="1:2" x14ac:dyDescent="0.45">
      <c r="A1179" s="3"/>
      <c r="B1179" s="48"/>
    </row>
    <row r="1180" spans="1:2" x14ac:dyDescent="0.45">
      <c r="A1180" s="3"/>
      <c r="B1180" s="48"/>
    </row>
    <row r="1181" spans="1:2" x14ac:dyDescent="0.45">
      <c r="A1181" s="3"/>
      <c r="B1181" s="48"/>
    </row>
    <row r="1182" spans="1:2" x14ac:dyDescent="0.45">
      <c r="A1182" s="3"/>
      <c r="B1182" s="48"/>
    </row>
    <row r="1183" spans="1:2" x14ac:dyDescent="0.45">
      <c r="A1183" s="3"/>
      <c r="B1183" s="48"/>
    </row>
    <row r="1184" spans="1:2" x14ac:dyDescent="0.45">
      <c r="A1184" s="3"/>
      <c r="B1184" s="48"/>
    </row>
    <row r="1185" spans="1:2" x14ac:dyDescent="0.45">
      <c r="A1185" s="3"/>
      <c r="B1185" s="48"/>
    </row>
    <row r="1186" spans="1:2" x14ac:dyDescent="0.45">
      <c r="A1186" s="3"/>
      <c r="B1186" s="48"/>
    </row>
    <row r="1187" spans="1:2" x14ac:dyDescent="0.45">
      <c r="A1187" s="3"/>
      <c r="B1187" s="48"/>
    </row>
    <row r="1188" spans="1:2" x14ac:dyDescent="0.45">
      <c r="A1188" s="3"/>
      <c r="B1188" s="48"/>
    </row>
    <row r="1189" spans="1:2" x14ac:dyDescent="0.45">
      <c r="A1189" s="3"/>
      <c r="B1189" s="48"/>
    </row>
    <row r="1190" spans="1:2" x14ac:dyDescent="0.45">
      <c r="A1190" s="3"/>
      <c r="B1190" s="48"/>
    </row>
    <row r="1191" spans="1:2" x14ac:dyDescent="0.45">
      <c r="A1191" s="3"/>
      <c r="B1191" s="48"/>
    </row>
    <row r="1192" spans="1:2" x14ac:dyDescent="0.45">
      <c r="A1192" s="3"/>
      <c r="B1192" s="48"/>
    </row>
    <row r="1193" spans="1:2" x14ac:dyDescent="0.45">
      <c r="A1193" s="3"/>
      <c r="B1193" s="48"/>
    </row>
    <row r="1194" spans="1:2" x14ac:dyDescent="0.45">
      <c r="A1194" s="3"/>
      <c r="B1194" s="48"/>
    </row>
    <row r="1195" spans="1:2" x14ac:dyDescent="0.45">
      <c r="A1195" s="3"/>
      <c r="B1195" s="48"/>
    </row>
    <row r="1196" spans="1:2" x14ac:dyDescent="0.45">
      <c r="A1196" s="3"/>
      <c r="B1196" s="48"/>
    </row>
    <row r="1197" spans="1:2" x14ac:dyDescent="0.45">
      <c r="A1197" s="3"/>
      <c r="B1197" s="48"/>
    </row>
    <row r="1198" spans="1:2" x14ac:dyDescent="0.45">
      <c r="A1198" s="3"/>
      <c r="B1198" s="48"/>
    </row>
    <row r="1199" spans="1:2" x14ac:dyDescent="0.45">
      <c r="A1199" s="3"/>
      <c r="B1199" s="48"/>
    </row>
    <row r="1200" spans="1:2" x14ac:dyDescent="0.45">
      <c r="A1200" s="3"/>
      <c r="B1200" s="48"/>
    </row>
    <row r="1201" spans="1:2" x14ac:dyDescent="0.45">
      <c r="A1201" s="3"/>
      <c r="B1201" s="48"/>
    </row>
    <row r="1202" spans="1:2" x14ac:dyDescent="0.45">
      <c r="A1202" s="3"/>
      <c r="B1202" s="48"/>
    </row>
    <row r="1203" spans="1:2" x14ac:dyDescent="0.45">
      <c r="A1203" s="3"/>
      <c r="B1203" s="48"/>
    </row>
    <row r="1204" spans="1:2" x14ac:dyDescent="0.45">
      <c r="A1204" s="3"/>
      <c r="B1204" s="48"/>
    </row>
    <row r="1205" spans="1:2" x14ac:dyDescent="0.45">
      <c r="A1205" s="3"/>
      <c r="B1205" s="48"/>
    </row>
    <row r="1206" spans="1:2" x14ac:dyDescent="0.45">
      <c r="A1206" s="3"/>
      <c r="B1206" s="48"/>
    </row>
    <row r="1207" spans="1:2" x14ac:dyDescent="0.45">
      <c r="A1207" s="3"/>
      <c r="B1207" s="48"/>
    </row>
    <row r="1208" spans="1:2" x14ac:dyDescent="0.45">
      <c r="A1208" s="3"/>
      <c r="B1208" s="48"/>
    </row>
    <row r="1209" spans="1:2" x14ac:dyDescent="0.45">
      <c r="A1209" s="3"/>
      <c r="B1209" s="48"/>
    </row>
    <row r="1210" spans="1:2" x14ac:dyDescent="0.45">
      <c r="A1210" s="3"/>
      <c r="B1210" s="48"/>
    </row>
    <row r="1211" spans="1:2" x14ac:dyDescent="0.45">
      <c r="A1211" s="3"/>
      <c r="B1211" s="48"/>
    </row>
    <row r="1212" spans="1:2" x14ac:dyDescent="0.45">
      <c r="A1212" s="3"/>
      <c r="B1212" s="48"/>
    </row>
    <row r="1213" spans="1:2" x14ac:dyDescent="0.45">
      <c r="A1213" s="3"/>
      <c r="B1213" s="48"/>
    </row>
    <row r="1214" spans="1:2" x14ac:dyDescent="0.45">
      <c r="A1214" s="3"/>
      <c r="B1214" s="48"/>
    </row>
    <row r="1215" spans="1:2" x14ac:dyDescent="0.45">
      <c r="A1215" s="3"/>
      <c r="B1215" s="48"/>
    </row>
    <row r="1216" spans="1:2" x14ac:dyDescent="0.45">
      <c r="A1216" s="3"/>
      <c r="B1216" s="48"/>
    </row>
    <row r="1217" spans="1:2" x14ac:dyDescent="0.45">
      <c r="A1217" s="3"/>
      <c r="B1217" s="48"/>
    </row>
    <row r="1218" spans="1:2" x14ac:dyDescent="0.45">
      <c r="A1218" s="3"/>
      <c r="B1218" s="48"/>
    </row>
    <row r="1219" spans="1:2" x14ac:dyDescent="0.45">
      <c r="A1219" s="3"/>
      <c r="B1219" s="48"/>
    </row>
    <row r="1220" spans="1:2" x14ac:dyDescent="0.45">
      <c r="A1220" s="3"/>
      <c r="B1220" s="48"/>
    </row>
    <row r="1221" spans="1:2" x14ac:dyDescent="0.45">
      <c r="A1221" s="3"/>
      <c r="B1221" s="48"/>
    </row>
    <row r="1222" spans="1:2" x14ac:dyDescent="0.45">
      <c r="A1222" s="3"/>
      <c r="B1222" s="48"/>
    </row>
    <row r="1223" spans="1:2" x14ac:dyDescent="0.45">
      <c r="A1223" s="3"/>
      <c r="B1223" s="48"/>
    </row>
    <row r="1224" spans="1:2" x14ac:dyDescent="0.45">
      <c r="A1224" s="3"/>
      <c r="B1224" s="48"/>
    </row>
    <row r="1225" spans="1:2" x14ac:dyDescent="0.45">
      <c r="A1225" s="3"/>
      <c r="B1225" s="48"/>
    </row>
    <row r="1226" spans="1:2" x14ac:dyDescent="0.45">
      <c r="A1226" s="3"/>
      <c r="B1226" s="48"/>
    </row>
    <row r="1227" spans="1:2" x14ac:dyDescent="0.45">
      <c r="A1227" s="3"/>
      <c r="B1227" s="48"/>
    </row>
    <row r="1228" spans="1:2" x14ac:dyDescent="0.45">
      <c r="A1228" s="3"/>
      <c r="B1228" s="48"/>
    </row>
    <row r="1229" spans="1:2" x14ac:dyDescent="0.45">
      <c r="A1229" s="3"/>
      <c r="B1229" s="48"/>
    </row>
    <row r="1230" spans="1:2" x14ac:dyDescent="0.45">
      <c r="A1230" s="3"/>
      <c r="B1230" s="48"/>
    </row>
    <row r="1231" spans="1:2" x14ac:dyDescent="0.45">
      <c r="A1231" s="3"/>
      <c r="B1231" s="48"/>
    </row>
    <row r="1232" spans="1:2" x14ac:dyDescent="0.45">
      <c r="A1232" s="3"/>
      <c r="B1232" s="48"/>
    </row>
    <row r="1233" spans="1:2" x14ac:dyDescent="0.45">
      <c r="A1233" s="3"/>
      <c r="B1233" s="48"/>
    </row>
    <row r="1234" spans="1:2" x14ac:dyDescent="0.45">
      <c r="A1234" s="3"/>
      <c r="B1234" s="48"/>
    </row>
    <row r="1235" spans="1:2" x14ac:dyDescent="0.45">
      <c r="A1235" s="3"/>
      <c r="B1235" s="48"/>
    </row>
    <row r="1236" spans="1:2" x14ac:dyDescent="0.45">
      <c r="A1236" s="3"/>
      <c r="B1236" s="48"/>
    </row>
    <row r="1237" spans="1:2" x14ac:dyDescent="0.45">
      <c r="A1237" s="3"/>
      <c r="B1237" s="48"/>
    </row>
    <row r="1238" spans="1:2" x14ac:dyDescent="0.45">
      <c r="A1238" s="3"/>
      <c r="B1238" s="48"/>
    </row>
    <row r="1239" spans="1:2" x14ac:dyDescent="0.45">
      <c r="A1239" s="3"/>
      <c r="B1239" s="48"/>
    </row>
    <row r="1240" spans="1:2" x14ac:dyDescent="0.45">
      <c r="A1240" s="3"/>
      <c r="B1240" s="48"/>
    </row>
    <row r="1241" spans="1:2" x14ac:dyDescent="0.45">
      <c r="A1241" s="3"/>
      <c r="B1241" s="48"/>
    </row>
    <row r="1242" spans="1:2" x14ac:dyDescent="0.45">
      <c r="A1242" s="3"/>
      <c r="B1242" s="48"/>
    </row>
    <row r="1243" spans="1:2" x14ac:dyDescent="0.45">
      <c r="A1243" s="3"/>
      <c r="B1243" s="48"/>
    </row>
    <row r="1244" spans="1:2" x14ac:dyDescent="0.45">
      <c r="A1244" s="3"/>
      <c r="B1244" s="48"/>
    </row>
    <row r="1245" spans="1:2" x14ac:dyDescent="0.45">
      <c r="A1245" s="3"/>
      <c r="B1245" s="48"/>
    </row>
    <row r="1246" spans="1:2" x14ac:dyDescent="0.45">
      <c r="A1246" s="3"/>
      <c r="B1246" s="48"/>
    </row>
    <row r="1247" spans="1:2" x14ac:dyDescent="0.45">
      <c r="A1247" s="3"/>
      <c r="B1247" s="48"/>
    </row>
    <row r="1248" spans="1:2" x14ac:dyDescent="0.45">
      <c r="A1248" s="3"/>
      <c r="B1248" s="48"/>
    </row>
    <row r="1249" spans="1:2" x14ac:dyDescent="0.45">
      <c r="A1249" s="3"/>
      <c r="B1249" s="48"/>
    </row>
    <row r="1250" spans="1:2" x14ac:dyDescent="0.45">
      <c r="A1250" s="3"/>
      <c r="B1250" s="48"/>
    </row>
    <row r="1251" spans="1:2" x14ac:dyDescent="0.45">
      <c r="A1251" s="3"/>
      <c r="B1251" s="48"/>
    </row>
    <row r="1252" spans="1:2" x14ac:dyDescent="0.45">
      <c r="A1252" s="3"/>
      <c r="B1252" s="48"/>
    </row>
    <row r="1253" spans="1:2" x14ac:dyDescent="0.45">
      <c r="A1253" s="3"/>
      <c r="B1253" s="48"/>
    </row>
    <row r="1254" spans="1:2" x14ac:dyDescent="0.45">
      <c r="A1254" s="3"/>
      <c r="B1254" s="48"/>
    </row>
    <row r="1255" spans="1:2" x14ac:dyDescent="0.45">
      <c r="A1255" s="3"/>
      <c r="B1255" s="48"/>
    </row>
    <row r="1256" spans="1:2" x14ac:dyDescent="0.45">
      <c r="A1256" s="3"/>
      <c r="B1256" s="48"/>
    </row>
    <row r="1257" spans="1:2" x14ac:dyDescent="0.45">
      <c r="A1257" s="3"/>
      <c r="B1257" s="48"/>
    </row>
    <row r="1258" spans="1:2" x14ac:dyDescent="0.45">
      <c r="A1258" s="3"/>
      <c r="B1258" s="48"/>
    </row>
    <row r="1259" spans="1:2" x14ac:dyDescent="0.45">
      <c r="A1259" s="3"/>
      <c r="B1259" s="48"/>
    </row>
    <row r="1260" spans="1:2" x14ac:dyDescent="0.45">
      <c r="A1260" s="3"/>
      <c r="B1260" s="48"/>
    </row>
    <row r="1261" spans="1:2" x14ac:dyDescent="0.45">
      <c r="A1261" s="3"/>
      <c r="B1261" s="48"/>
    </row>
    <row r="1262" spans="1:2" x14ac:dyDescent="0.45">
      <c r="A1262" s="3"/>
      <c r="B1262" s="48"/>
    </row>
    <row r="1263" spans="1:2" x14ac:dyDescent="0.45">
      <c r="A1263" s="3"/>
      <c r="B1263" s="48"/>
    </row>
    <row r="1264" spans="1:2" x14ac:dyDescent="0.45">
      <c r="A1264" s="3"/>
      <c r="B1264" s="48"/>
    </row>
    <row r="1265" spans="1:1" x14ac:dyDescent="0.45">
      <c r="A1265" s="3"/>
    </row>
    <row r="1266" spans="1:1" x14ac:dyDescent="0.45">
      <c r="A1266" s="3"/>
    </row>
    <row r="1267" spans="1:1" x14ac:dyDescent="0.45">
      <c r="A1267" s="3"/>
    </row>
    <row r="1268" spans="1:1" x14ac:dyDescent="0.45">
      <c r="A1268" s="3"/>
    </row>
    <row r="1269" spans="1:1" x14ac:dyDescent="0.45">
      <c r="A1269" s="3"/>
    </row>
    <row r="1270" spans="1:1" x14ac:dyDescent="0.45">
      <c r="A1270" s="3"/>
    </row>
    <row r="1271" spans="1:1" x14ac:dyDescent="0.45">
      <c r="A1271" s="3"/>
    </row>
    <row r="1272" spans="1:1" x14ac:dyDescent="0.45">
      <c r="A1272" s="3"/>
    </row>
    <row r="1273" spans="1:1" x14ac:dyDescent="0.45">
      <c r="A1273" s="3"/>
    </row>
    <row r="1274" spans="1:1" x14ac:dyDescent="0.45">
      <c r="A1274" s="3"/>
    </row>
    <row r="1275" spans="1:1" x14ac:dyDescent="0.45">
      <c r="A1275" s="3"/>
    </row>
    <row r="1276" spans="1:1" x14ac:dyDescent="0.45">
      <c r="A1276" s="3"/>
    </row>
    <row r="1277" spans="1:1" x14ac:dyDescent="0.45">
      <c r="A1277" s="3"/>
    </row>
    <row r="1278" spans="1:1" x14ac:dyDescent="0.45">
      <c r="A1278" s="3"/>
    </row>
    <row r="1279" spans="1:1" x14ac:dyDescent="0.45">
      <c r="A1279" s="3"/>
    </row>
    <row r="1280" spans="1:1" x14ac:dyDescent="0.45">
      <c r="A1280" s="3"/>
    </row>
    <row r="1281" spans="1:1" x14ac:dyDescent="0.45">
      <c r="A1281" s="3"/>
    </row>
    <row r="1282" spans="1:1" x14ac:dyDescent="0.45">
      <c r="A1282" s="3"/>
    </row>
    <row r="1283" spans="1:1" x14ac:dyDescent="0.45">
      <c r="A1283" s="3"/>
    </row>
    <row r="1284" spans="1:1" x14ac:dyDescent="0.45">
      <c r="A1284" s="3"/>
    </row>
    <row r="1285" spans="1:1" x14ac:dyDescent="0.45">
      <c r="A1285" s="3"/>
    </row>
    <row r="1286" spans="1:1" x14ac:dyDescent="0.45">
      <c r="A1286" s="3"/>
    </row>
    <row r="1287" spans="1:1" x14ac:dyDescent="0.45">
      <c r="A1287" s="3"/>
    </row>
    <row r="1288" spans="1:1" x14ac:dyDescent="0.45">
      <c r="A1288" s="3"/>
    </row>
    <row r="1289" spans="1:1" x14ac:dyDescent="0.45">
      <c r="A1289" s="3"/>
    </row>
    <row r="1290" spans="1:1" x14ac:dyDescent="0.45">
      <c r="A1290" s="3"/>
    </row>
    <row r="1291" spans="1:1" x14ac:dyDescent="0.45">
      <c r="A1291" s="3"/>
    </row>
    <row r="1292" spans="1:1" x14ac:dyDescent="0.45">
      <c r="A1292" s="3"/>
    </row>
    <row r="1293" spans="1:1" x14ac:dyDescent="0.45">
      <c r="A1293" s="3"/>
    </row>
    <row r="1294" spans="1:1" x14ac:dyDescent="0.45">
      <c r="A1294" s="3"/>
    </row>
    <row r="1295" spans="1:1" x14ac:dyDescent="0.45">
      <c r="A1295" s="3"/>
    </row>
    <row r="1296" spans="1:1" x14ac:dyDescent="0.45">
      <c r="A1296" s="3"/>
    </row>
    <row r="1297" spans="1:1" x14ac:dyDescent="0.45">
      <c r="A1297" s="3"/>
    </row>
    <row r="1298" spans="1:1" x14ac:dyDescent="0.45">
      <c r="A1298" s="3"/>
    </row>
    <row r="1299" spans="1:1" x14ac:dyDescent="0.45">
      <c r="A1299" s="3"/>
    </row>
    <row r="1300" spans="1:1" x14ac:dyDescent="0.45">
      <c r="A1300" s="3"/>
    </row>
    <row r="1301" spans="1:1" x14ac:dyDescent="0.45">
      <c r="A1301" s="3"/>
    </row>
    <row r="1302" spans="1:1" x14ac:dyDescent="0.45">
      <c r="A1302" s="3"/>
    </row>
    <row r="1303" spans="1:1" x14ac:dyDescent="0.45">
      <c r="A1303" s="3"/>
    </row>
    <row r="1304" spans="1:1" x14ac:dyDescent="0.45">
      <c r="A1304" s="3"/>
    </row>
    <row r="1305" spans="1:1" x14ac:dyDescent="0.45">
      <c r="A1305" s="3"/>
    </row>
    <row r="1306" spans="1:1" x14ac:dyDescent="0.45">
      <c r="A1306" s="3"/>
    </row>
    <row r="1307" spans="1:1" x14ac:dyDescent="0.45">
      <c r="A1307" s="3"/>
    </row>
    <row r="1308" spans="1:1" x14ac:dyDescent="0.45">
      <c r="A1308" s="3"/>
    </row>
    <row r="1309" spans="1:1" x14ac:dyDescent="0.45">
      <c r="A1309" s="3"/>
    </row>
    <row r="1310" spans="1:1" x14ac:dyDescent="0.45">
      <c r="A1310" s="3"/>
    </row>
    <row r="1311" spans="1:1" x14ac:dyDescent="0.45">
      <c r="A1311" s="3"/>
    </row>
    <row r="1312" spans="1:1" x14ac:dyDescent="0.45">
      <c r="A1312" s="3"/>
    </row>
    <row r="1313" spans="1:1" x14ac:dyDescent="0.45">
      <c r="A1313" s="3"/>
    </row>
    <row r="1314" spans="1:1" x14ac:dyDescent="0.45">
      <c r="A1314" s="3"/>
    </row>
    <row r="1315" spans="1:1" x14ac:dyDescent="0.45">
      <c r="A1315" s="3"/>
    </row>
    <row r="1316" spans="1:1" x14ac:dyDescent="0.45">
      <c r="A1316" s="3"/>
    </row>
    <row r="1317" spans="1:1" x14ac:dyDescent="0.45">
      <c r="A1317" s="3"/>
    </row>
    <row r="1318" spans="1:1" x14ac:dyDescent="0.45">
      <c r="A1318" s="3"/>
    </row>
    <row r="1319" spans="1:1" x14ac:dyDescent="0.45">
      <c r="A1319" s="3"/>
    </row>
    <row r="1320" spans="1:1" x14ac:dyDescent="0.45">
      <c r="A1320" s="3"/>
    </row>
    <row r="1321" spans="1:1" x14ac:dyDescent="0.45">
      <c r="A1321" s="3"/>
    </row>
    <row r="1322" spans="1:1" x14ac:dyDescent="0.45">
      <c r="A1322" s="3"/>
    </row>
    <row r="1323" spans="1:1" x14ac:dyDescent="0.45">
      <c r="A1323" s="3"/>
    </row>
    <row r="1324" spans="1:1" x14ac:dyDescent="0.45">
      <c r="A1324" s="3"/>
    </row>
    <row r="1325" spans="1:1" x14ac:dyDescent="0.45">
      <c r="A1325" s="3"/>
    </row>
    <row r="1326" spans="1:1" x14ac:dyDescent="0.45">
      <c r="A1326" s="3"/>
    </row>
    <row r="1327" spans="1:1" x14ac:dyDescent="0.45">
      <c r="A1327" s="3"/>
    </row>
    <row r="1328" spans="1:1" x14ac:dyDescent="0.45">
      <c r="A1328" s="3"/>
    </row>
    <row r="1329" spans="1:1" x14ac:dyDescent="0.45">
      <c r="A1329" s="3"/>
    </row>
    <row r="1330" spans="1:1" x14ac:dyDescent="0.45">
      <c r="A1330" s="3"/>
    </row>
    <row r="1331" spans="1:1" x14ac:dyDescent="0.45">
      <c r="A1331" s="3"/>
    </row>
    <row r="1332" spans="1:1" x14ac:dyDescent="0.45">
      <c r="A1332" s="3"/>
    </row>
    <row r="1333" spans="1:1" x14ac:dyDescent="0.45">
      <c r="A1333" s="3"/>
    </row>
    <row r="1334" spans="1:1" x14ac:dyDescent="0.45">
      <c r="A1334" s="3"/>
    </row>
    <row r="1335" spans="1:1" x14ac:dyDescent="0.45">
      <c r="A1335" s="3"/>
    </row>
    <row r="1336" spans="1:1" x14ac:dyDescent="0.45">
      <c r="A1336" s="3"/>
    </row>
    <row r="1337" spans="1:1" x14ac:dyDescent="0.45">
      <c r="A1337" s="3"/>
    </row>
    <row r="1338" spans="1:1" x14ac:dyDescent="0.45">
      <c r="A1338" s="3"/>
    </row>
    <row r="1339" spans="1:1" x14ac:dyDescent="0.45">
      <c r="A1339" s="3"/>
    </row>
    <row r="1340" spans="1:1" x14ac:dyDescent="0.45">
      <c r="A1340" s="3"/>
    </row>
    <row r="1341" spans="1:1" x14ac:dyDescent="0.45">
      <c r="A1341" s="3"/>
    </row>
    <row r="1342" spans="1:1" x14ac:dyDescent="0.45">
      <c r="A1342" s="3"/>
    </row>
    <row r="1343" spans="1:1" x14ac:dyDescent="0.45">
      <c r="A1343" s="3"/>
    </row>
    <row r="1344" spans="1:1" x14ac:dyDescent="0.45">
      <c r="A1344" s="3"/>
    </row>
    <row r="1345" spans="1:1" x14ac:dyDescent="0.45">
      <c r="A1345" s="3"/>
    </row>
    <row r="1346" spans="1:1" x14ac:dyDescent="0.45">
      <c r="A1346" s="3"/>
    </row>
    <row r="1347" spans="1:1" x14ac:dyDescent="0.45">
      <c r="A1347" s="3"/>
    </row>
    <row r="1348" spans="1:1" x14ac:dyDescent="0.45">
      <c r="A1348" s="3"/>
    </row>
    <row r="1349" spans="1:1" x14ac:dyDescent="0.45">
      <c r="A1349" s="3"/>
    </row>
    <row r="1350" spans="1:1" x14ac:dyDescent="0.45">
      <c r="A1350" s="3"/>
    </row>
    <row r="1351" spans="1:1" x14ac:dyDescent="0.45">
      <c r="A1351" s="3"/>
    </row>
    <row r="1352" spans="1:1" x14ac:dyDescent="0.45">
      <c r="A1352" s="3"/>
    </row>
    <row r="1353" spans="1:1" x14ac:dyDescent="0.45">
      <c r="A1353" s="3"/>
    </row>
    <row r="1354" spans="1:1" x14ac:dyDescent="0.45">
      <c r="A1354" s="3"/>
    </row>
    <row r="1355" spans="1:1" x14ac:dyDescent="0.45">
      <c r="A1355" s="3"/>
    </row>
    <row r="1356" spans="1:1" x14ac:dyDescent="0.45">
      <c r="A1356" s="3"/>
    </row>
    <row r="1357" spans="1:1" x14ac:dyDescent="0.45">
      <c r="A1357" s="3"/>
    </row>
    <row r="1358" spans="1:1" x14ac:dyDescent="0.45">
      <c r="A1358" s="3"/>
    </row>
    <row r="1359" spans="1:1" x14ac:dyDescent="0.45">
      <c r="A1359" s="3"/>
    </row>
    <row r="1360" spans="1:1" x14ac:dyDescent="0.45">
      <c r="A1360" s="3"/>
    </row>
    <row r="1361" spans="1:1" x14ac:dyDescent="0.45">
      <c r="A1361" s="3"/>
    </row>
    <row r="1362" spans="1:1" x14ac:dyDescent="0.45">
      <c r="A1362" s="3"/>
    </row>
    <row r="1363" spans="1:1" x14ac:dyDescent="0.45">
      <c r="A1363" s="3"/>
    </row>
    <row r="1364" spans="1:1" x14ac:dyDescent="0.45">
      <c r="A1364" s="3"/>
    </row>
    <row r="1365" spans="1:1" x14ac:dyDescent="0.45">
      <c r="A1365" s="3"/>
    </row>
    <row r="1366" spans="1:1" x14ac:dyDescent="0.45">
      <c r="A1366" s="3"/>
    </row>
    <row r="1367" spans="1:1" x14ac:dyDescent="0.45">
      <c r="A1367" s="3"/>
    </row>
    <row r="1368" spans="1:1" x14ac:dyDescent="0.45">
      <c r="A1368" s="3"/>
    </row>
    <row r="1369" spans="1:1" x14ac:dyDescent="0.45">
      <c r="A1369" s="3"/>
    </row>
    <row r="1370" spans="1:1" x14ac:dyDescent="0.45">
      <c r="A1370" s="3"/>
    </row>
    <row r="1371" spans="1:1" x14ac:dyDescent="0.45">
      <c r="A1371" s="3"/>
    </row>
    <row r="1372" spans="1:1" x14ac:dyDescent="0.45">
      <c r="A1372" s="3"/>
    </row>
    <row r="1373" spans="1:1" x14ac:dyDescent="0.45">
      <c r="A1373" s="3"/>
    </row>
    <row r="1374" spans="1:1" x14ac:dyDescent="0.45">
      <c r="A1374" s="3"/>
    </row>
    <row r="1375" spans="1:1" x14ac:dyDescent="0.45">
      <c r="A1375" s="3"/>
    </row>
    <row r="1376" spans="1:1" x14ac:dyDescent="0.45">
      <c r="A1376" s="3"/>
    </row>
    <row r="1377" spans="1:1" x14ac:dyDescent="0.45">
      <c r="A1377" s="3"/>
    </row>
    <row r="1378" spans="1:1" x14ac:dyDescent="0.45">
      <c r="A1378" s="3"/>
    </row>
    <row r="1379" spans="1:1" x14ac:dyDescent="0.45">
      <c r="A1379" s="3"/>
    </row>
    <row r="1380" spans="1:1" x14ac:dyDescent="0.45">
      <c r="A1380" s="3"/>
    </row>
    <row r="1381" spans="1:1" x14ac:dyDescent="0.45">
      <c r="A1381" s="3"/>
    </row>
    <row r="1382" spans="1:1" x14ac:dyDescent="0.45">
      <c r="A1382" s="3"/>
    </row>
    <row r="1383" spans="1:1" x14ac:dyDescent="0.45">
      <c r="A1383" s="3"/>
    </row>
    <row r="1384" spans="1:1" x14ac:dyDescent="0.45">
      <c r="A1384" s="3"/>
    </row>
    <row r="1385" spans="1:1" x14ac:dyDescent="0.45">
      <c r="A1385" s="3"/>
    </row>
    <row r="1386" spans="1:1" x14ac:dyDescent="0.45">
      <c r="A1386" s="3"/>
    </row>
    <row r="1387" spans="1:1" x14ac:dyDescent="0.45">
      <c r="A1387" s="3"/>
    </row>
    <row r="1388" spans="1:1" x14ac:dyDescent="0.45">
      <c r="A1388" s="3"/>
    </row>
    <row r="1389" spans="1:1" x14ac:dyDescent="0.45">
      <c r="A1389" s="3"/>
    </row>
    <row r="1390" spans="1:1" x14ac:dyDescent="0.45">
      <c r="A1390" s="3"/>
    </row>
    <row r="1391" spans="1:1" x14ac:dyDescent="0.45">
      <c r="A1391" s="3"/>
    </row>
    <row r="1392" spans="1:1" x14ac:dyDescent="0.45">
      <c r="A1392" s="3"/>
    </row>
    <row r="1393" spans="1:1" x14ac:dyDescent="0.45">
      <c r="A1393" s="3"/>
    </row>
    <row r="1394" spans="1:1" x14ac:dyDescent="0.45">
      <c r="A1394" s="3"/>
    </row>
    <row r="1395" spans="1:1" x14ac:dyDescent="0.45">
      <c r="A1395" s="3"/>
    </row>
    <row r="1396" spans="1:1" x14ac:dyDescent="0.45">
      <c r="A1396" s="3"/>
    </row>
    <row r="1397" spans="1:1" x14ac:dyDescent="0.45">
      <c r="A1397" s="3"/>
    </row>
    <row r="1398" spans="1:1" x14ac:dyDescent="0.45">
      <c r="A1398" s="3"/>
    </row>
    <row r="1399" spans="1:1" x14ac:dyDescent="0.45">
      <c r="A1399" s="3"/>
    </row>
    <row r="1400" spans="1:1" x14ac:dyDescent="0.45">
      <c r="A1400" s="3"/>
    </row>
    <row r="1401" spans="1:1" x14ac:dyDescent="0.45">
      <c r="A1401" s="3"/>
    </row>
    <row r="1402" spans="1:1" x14ac:dyDescent="0.45">
      <c r="A1402" s="3"/>
    </row>
    <row r="1403" spans="1:1" x14ac:dyDescent="0.45">
      <c r="A1403" s="3"/>
    </row>
    <row r="1404" spans="1:1" x14ac:dyDescent="0.45">
      <c r="A1404" s="3"/>
    </row>
    <row r="1405" spans="1:1" x14ac:dyDescent="0.45">
      <c r="A1405" s="3"/>
    </row>
    <row r="1406" spans="1:1" x14ac:dyDescent="0.45">
      <c r="A1406" s="3"/>
    </row>
    <row r="1407" spans="1:1" x14ac:dyDescent="0.45">
      <c r="A1407" s="3"/>
    </row>
    <row r="1408" spans="1:1" x14ac:dyDescent="0.45">
      <c r="A1408" s="3"/>
    </row>
    <row r="1409" spans="1:1" x14ac:dyDescent="0.45">
      <c r="A1409" s="3"/>
    </row>
    <row r="1410" spans="1:1" x14ac:dyDescent="0.45">
      <c r="A1410" s="3"/>
    </row>
    <row r="1411" spans="1:1" x14ac:dyDescent="0.45">
      <c r="A1411" s="3"/>
    </row>
    <row r="1412" spans="1:1" x14ac:dyDescent="0.45">
      <c r="A1412" s="3"/>
    </row>
    <row r="1413" spans="1:1" x14ac:dyDescent="0.45">
      <c r="A1413" s="3"/>
    </row>
    <row r="1414" spans="1:1" x14ac:dyDescent="0.45">
      <c r="A1414" s="3"/>
    </row>
    <row r="1415" spans="1:1" x14ac:dyDescent="0.45">
      <c r="A1415" s="3"/>
    </row>
    <row r="1416" spans="1:1" x14ac:dyDescent="0.45">
      <c r="A1416" s="3"/>
    </row>
    <row r="1417" spans="1:1" x14ac:dyDescent="0.45">
      <c r="A1417" s="3"/>
    </row>
    <row r="1418" spans="1:1" x14ac:dyDescent="0.45">
      <c r="A1418" s="3"/>
    </row>
    <row r="1419" spans="1:1" x14ac:dyDescent="0.45">
      <c r="A1419" s="3"/>
    </row>
    <row r="1420" spans="1:1" x14ac:dyDescent="0.45">
      <c r="A1420" s="3"/>
    </row>
    <row r="1421" spans="1:1" x14ac:dyDescent="0.45">
      <c r="A1421" s="3"/>
    </row>
    <row r="1422" spans="1:1" x14ac:dyDescent="0.45">
      <c r="A1422" s="3"/>
    </row>
    <row r="1423" spans="1:1" x14ac:dyDescent="0.45">
      <c r="A1423" s="3"/>
    </row>
    <row r="1424" spans="1:1" x14ac:dyDescent="0.45">
      <c r="A1424" s="3"/>
    </row>
    <row r="1425" spans="1:1" x14ac:dyDescent="0.45">
      <c r="A1425" s="3"/>
    </row>
    <row r="1426" spans="1:1" x14ac:dyDescent="0.45">
      <c r="A1426" s="3"/>
    </row>
    <row r="1427" spans="1:1" x14ac:dyDescent="0.45">
      <c r="A1427" s="3"/>
    </row>
    <row r="1428" spans="1:1" x14ac:dyDescent="0.45">
      <c r="A1428" s="3"/>
    </row>
    <row r="1429" spans="1:1" x14ac:dyDescent="0.45">
      <c r="A1429" s="3"/>
    </row>
    <row r="1430" spans="1:1" x14ac:dyDescent="0.45">
      <c r="A1430" s="3"/>
    </row>
    <row r="1431" spans="1:1" x14ac:dyDescent="0.45">
      <c r="A1431" s="3"/>
    </row>
    <row r="1432" spans="1:1" x14ac:dyDescent="0.45">
      <c r="A1432" s="3"/>
    </row>
    <row r="1433" spans="1:1" x14ac:dyDescent="0.45">
      <c r="A1433" s="3"/>
    </row>
    <row r="1434" spans="1:1" x14ac:dyDescent="0.45">
      <c r="A1434" s="3"/>
    </row>
    <row r="1435" spans="1:1" x14ac:dyDescent="0.45">
      <c r="A1435" s="3"/>
    </row>
    <row r="1436" spans="1:1" x14ac:dyDescent="0.45">
      <c r="A1436" s="3"/>
    </row>
    <row r="1437" spans="1:1" x14ac:dyDescent="0.45">
      <c r="A1437" s="3"/>
    </row>
    <row r="1438" spans="1:1" x14ac:dyDescent="0.45">
      <c r="A1438" s="3"/>
    </row>
    <row r="1439" spans="1:1" x14ac:dyDescent="0.45">
      <c r="A1439" s="3"/>
    </row>
    <row r="1440" spans="1:1" x14ac:dyDescent="0.45">
      <c r="A1440" s="3"/>
    </row>
    <row r="1441" spans="1:1" x14ac:dyDescent="0.45">
      <c r="A1441" s="3"/>
    </row>
    <row r="1442" spans="1:1" x14ac:dyDescent="0.45">
      <c r="A1442" s="3"/>
    </row>
    <row r="1443" spans="1:1" x14ac:dyDescent="0.45">
      <c r="A1443" s="3"/>
    </row>
    <row r="1444" spans="1:1" x14ac:dyDescent="0.45">
      <c r="A1444" s="3"/>
    </row>
    <row r="1445" spans="1:1" x14ac:dyDescent="0.45">
      <c r="A1445" s="3"/>
    </row>
    <row r="1446" spans="1:1" x14ac:dyDescent="0.45">
      <c r="A1446" s="3"/>
    </row>
    <row r="1447" spans="1:1" x14ac:dyDescent="0.45">
      <c r="A1447" s="3"/>
    </row>
    <row r="1448" spans="1:1" x14ac:dyDescent="0.45">
      <c r="A1448" s="3"/>
    </row>
    <row r="1449" spans="1:1" x14ac:dyDescent="0.45">
      <c r="A1449" s="3"/>
    </row>
    <row r="1450" spans="1:1" x14ac:dyDescent="0.45">
      <c r="A1450" s="3"/>
    </row>
    <row r="1451" spans="1:1" x14ac:dyDescent="0.45">
      <c r="A1451" s="3"/>
    </row>
    <row r="1452" spans="1:1" x14ac:dyDescent="0.45">
      <c r="A1452" s="3"/>
    </row>
    <row r="1453" spans="1:1" x14ac:dyDescent="0.45">
      <c r="A1453" s="3"/>
    </row>
    <row r="1454" spans="1:1" x14ac:dyDescent="0.45">
      <c r="A1454" s="3"/>
    </row>
    <row r="1455" spans="1:1" x14ac:dyDescent="0.45">
      <c r="A1455" s="3"/>
    </row>
    <row r="1456" spans="1:1" x14ac:dyDescent="0.45">
      <c r="A1456" s="3"/>
    </row>
    <row r="1457" spans="1:1" x14ac:dyDescent="0.45">
      <c r="A1457" s="3"/>
    </row>
    <row r="1458" spans="1:1" x14ac:dyDescent="0.45">
      <c r="A1458" s="3"/>
    </row>
    <row r="1459" spans="1:1" x14ac:dyDescent="0.45">
      <c r="A1459" s="3"/>
    </row>
    <row r="1460" spans="1:1" x14ac:dyDescent="0.45">
      <c r="A1460" s="3"/>
    </row>
    <row r="1461" spans="1:1" x14ac:dyDescent="0.45">
      <c r="A1461" s="3"/>
    </row>
    <row r="1462" spans="1:1" x14ac:dyDescent="0.45">
      <c r="A1462" s="3"/>
    </row>
    <row r="1463" spans="1:1" x14ac:dyDescent="0.45">
      <c r="A1463" s="3"/>
    </row>
    <row r="1464" spans="1:1" x14ac:dyDescent="0.45">
      <c r="A1464" s="3"/>
    </row>
    <row r="1465" spans="1:1" x14ac:dyDescent="0.45">
      <c r="A1465" s="3"/>
    </row>
    <row r="1466" spans="1:1" x14ac:dyDescent="0.45">
      <c r="A1466" s="3"/>
    </row>
    <row r="1467" spans="1:1" x14ac:dyDescent="0.45">
      <c r="A1467" s="3"/>
    </row>
    <row r="1468" spans="1:1" x14ac:dyDescent="0.45">
      <c r="A1468" s="3"/>
    </row>
    <row r="1469" spans="1:1" x14ac:dyDescent="0.45">
      <c r="A1469" s="3"/>
    </row>
    <row r="1470" spans="1:1" x14ac:dyDescent="0.45">
      <c r="A1470" s="3"/>
    </row>
    <row r="1471" spans="1:1" x14ac:dyDescent="0.45">
      <c r="A1471" s="3"/>
    </row>
    <row r="1472" spans="1:1" x14ac:dyDescent="0.45">
      <c r="A1472" s="3"/>
    </row>
    <row r="1473" spans="1:1" x14ac:dyDescent="0.45">
      <c r="A1473" s="3"/>
    </row>
    <row r="1474" spans="1:1" x14ac:dyDescent="0.45">
      <c r="A1474" s="3"/>
    </row>
    <row r="1475" spans="1:1" x14ac:dyDescent="0.45">
      <c r="A1475" s="3"/>
    </row>
    <row r="1476" spans="1:1" x14ac:dyDescent="0.45">
      <c r="A1476" s="3"/>
    </row>
    <row r="1477" spans="1:1" x14ac:dyDescent="0.45">
      <c r="A1477" s="3"/>
    </row>
    <row r="1478" spans="1:1" x14ac:dyDescent="0.45">
      <c r="A1478" s="3"/>
    </row>
    <row r="1479" spans="1:1" x14ac:dyDescent="0.45">
      <c r="A1479" s="3"/>
    </row>
    <row r="1480" spans="1:1" x14ac:dyDescent="0.45">
      <c r="A1480" s="3"/>
    </row>
    <row r="1481" spans="1:1" x14ac:dyDescent="0.45">
      <c r="A1481" s="3"/>
    </row>
    <row r="1482" spans="1:1" x14ac:dyDescent="0.45">
      <c r="A1482" s="3"/>
    </row>
    <row r="1483" spans="1:1" x14ac:dyDescent="0.45">
      <c r="A1483" s="3"/>
    </row>
    <row r="1484" spans="1:1" x14ac:dyDescent="0.45">
      <c r="A1484" s="3"/>
    </row>
    <row r="1485" spans="1:1" x14ac:dyDescent="0.45">
      <c r="A1485" s="3"/>
    </row>
    <row r="1486" spans="1:1" x14ac:dyDescent="0.45">
      <c r="A1486" s="3"/>
    </row>
    <row r="1487" spans="1:1" x14ac:dyDescent="0.45">
      <c r="A1487" s="3"/>
    </row>
    <row r="1488" spans="1:1" x14ac:dyDescent="0.45">
      <c r="A1488" s="3"/>
    </row>
    <row r="1489" spans="1:1" x14ac:dyDescent="0.45">
      <c r="A1489" s="3"/>
    </row>
    <row r="1490" spans="1:1" x14ac:dyDescent="0.45">
      <c r="A1490" s="3"/>
    </row>
    <row r="1491" spans="1:1" x14ac:dyDescent="0.45">
      <c r="A1491" s="3"/>
    </row>
    <row r="1492" spans="1:1" x14ac:dyDescent="0.45">
      <c r="A1492" s="3"/>
    </row>
    <row r="1493" spans="1:1" x14ac:dyDescent="0.45">
      <c r="A1493" s="3"/>
    </row>
    <row r="1494" spans="1:1" x14ac:dyDescent="0.45">
      <c r="A1494" s="3"/>
    </row>
    <row r="1495" spans="1:1" x14ac:dyDescent="0.45">
      <c r="A1495" s="3"/>
    </row>
    <row r="1496" spans="1:1" x14ac:dyDescent="0.45">
      <c r="A1496" s="3"/>
    </row>
    <row r="1497" spans="1:1" x14ac:dyDescent="0.45">
      <c r="A1497" s="3"/>
    </row>
    <row r="1498" spans="1:1" x14ac:dyDescent="0.45">
      <c r="A1498" s="3"/>
    </row>
    <row r="1499" spans="1:1" x14ac:dyDescent="0.45">
      <c r="A1499" s="3"/>
    </row>
    <row r="1500" spans="1:1" x14ac:dyDescent="0.45">
      <c r="A1500" s="3"/>
    </row>
    <row r="1501" spans="1:1" x14ac:dyDescent="0.45">
      <c r="A1501" s="3"/>
    </row>
    <row r="1502" spans="1:1" x14ac:dyDescent="0.45">
      <c r="A1502" s="3"/>
    </row>
    <row r="1503" spans="1:1" x14ac:dyDescent="0.45">
      <c r="A1503" s="3"/>
    </row>
    <row r="1504" spans="1:1" x14ac:dyDescent="0.45">
      <c r="A1504" s="3"/>
    </row>
    <row r="1505" spans="1:1" x14ac:dyDescent="0.45">
      <c r="A1505" s="3"/>
    </row>
    <row r="1506" spans="1:1" x14ac:dyDescent="0.45">
      <c r="A1506" s="3"/>
    </row>
    <row r="1507" spans="1:1" x14ac:dyDescent="0.45">
      <c r="A1507" s="3"/>
    </row>
    <row r="1508" spans="1:1" x14ac:dyDescent="0.45">
      <c r="A1508" s="3"/>
    </row>
    <row r="1509" spans="1:1" x14ac:dyDescent="0.45">
      <c r="A1509" s="3"/>
    </row>
    <row r="1510" spans="1:1" x14ac:dyDescent="0.45">
      <c r="A1510" s="3"/>
    </row>
    <row r="1511" spans="1:1" x14ac:dyDescent="0.45">
      <c r="A1511" s="3"/>
    </row>
    <row r="1512" spans="1:1" x14ac:dyDescent="0.45">
      <c r="A1512" s="3"/>
    </row>
    <row r="1513" spans="1:1" x14ac:dyDescent="0.45">
      <c r="A1513" s="3"/>
    </row>
    <row r="1514" spans="1:1" x14ac:dyDescent="0.45">
      <c r="A1514" s="3"/>
    </row>
    <row r="1515" spans="1:1" x14ac:dyDescent="0.45">
      <c r="A1515" s="3"/>
    </row>
    <row r="1516" spans="1:1" x14ac:dyDescent="0.45">
      <c r="A1516" s="3"/>
    </row>
    <row r="1517" spans="1:1" x14ac:dyDescent="0.45">
      <c r="A1517" s="3"/>
    </row>
    <row r="1518" spans="1:1" x14ac:dyDescent="0.45">
      <c r="A1518" s="3"/>
    </row>
    <row r="1519" spans="1:1" x14ac:dyDescent="0.45">
      <c r="A1519" s="3"/>
    </row>
    <row r="1520" spans="1:1" x14ac:dyDescent="0.45">
      <c r="A1520" s="3"/>
    </row>
    <row r="1521" spans="1:1" x14ac:dyDescent="0.45">
      <c r="A1521" s="3"/>
    </row>
    <row r="1522" spans="1:1" x14ac:dyDescent="0.45">
      <c r="A1522" s="3"/>
    </row>
    <row r="1523" spans="1:1" x14ac:dyDescent="0.45">
      <c r="A1523" s="3"/>
    </row>
    <row r="1524" spans="1:1" x14ac:dyDescent="0.45">
      <c r="A1524" s="3"/>
    </row>
    <row r="1525" spans="1:1" x14ac:dyDescent="0.45">
      <c r="A1525" s="3"/>
    </row>
    <row r="1526" spans="1:1" x14ac:dyDescent="0.45">
      <c r="A1526" s="3"/>
    </row>
    <row r="1527" spans="1:1" x14ac:dyDescent="0.45">
      <c r="A1527" s="3"/>
    </row>
    <row r="1528" spans="1:1" x14ac:dyDescent="0.45">
      <c r="A1528" s="3"/>
    </row>
    <row r="1529" spans="1:1" x14ac:dyDescent="0.45">
      <c r="A1529" s="3"/>
    </row>
    <row r="1530" spans="1:1" x14ac:dyDescent="0.45">
      <c r="A1530" s="3"/>
    </row>
    <row r="1531" spans="1:1" x14ac:dyDescent="0.45">
      <c r="A1531" s="3"/>
    </row>
    <row r="1532" spans="1:1" x14ac:dyDescent="0.45">
      <c r="A1532" s="3"/>
    </row>
    <row r="1533" spans="1:1" x14ac:dyDescent="0.45">
      <c r="A1533" s="3"/>
    </row>
    <row r="1534" spans="1:1" x14ac:dyDescent="0.45">
      <c r="A1534" s="3"/>
    </row>
    <row r="1535" spans="1:1" x14ac:dyDescent="0.45">
      <c r="A1535" s="3"/>
    </row>
    <row r="1536" spans="1:1" x14ac:dyDescent="0.45">
      <c r="A1536" s="3"/>
    </row>
    <row r="1537" spans="1:1" x14ac:dyDescent="0.45">
      <c r="A1537" s="3"/>
    </row>
    <row r="1538" spans="1:1" x14ac:dyDescent="0.45">
      <c r="A1538" s="3"/>
    </row>
    <row r="1539" spans="1:1" x14ac:dyDescent="0.45">
      <c r="A1539" s="3"/>
    </row>
    <row r="1540" spans="1:1" x14ac:dyDescent="0.45">
      <c r="A1540" s="3"/>
    </row>
    <row r="1541" spans="1:1" x14ac:dyDescent="0.45">
      <c r="A1541" s="3"/>
    </row>
    <row r="1542" spans="1:1" x14ac:dyDescent="0.45">
      <c r="A1542" s="3"/>
    </row>
    <row r="1543" spans="1:1" x14ac:dyDescent="0.45">
      <c r="A1543" s="3"/>
    </row>
    <row r="1544" spans="1:1" x14ac:dyDescent="0.45">
      <c r="A1544" s="3"/>
    </row>
    <row r="1545" spans="1:1" x14ac:dyDescent="0.45">
      <c r="A1545" s="3"/>
    </row>
    <row r="1546" spans="1:1" x14ac:dyDescent="0.45">
      <c r="A1546" s="3"/>
    </row>
    <row r="1547" spans="1:1" x14ac:dyDescent="0.45">
      <c r="A1547" s="3"/>
    </row>
    <row r="1548" spans="1:1" x14ac:dyDescent="0.45">
      <c r="A1548" s="3"/>
    </row>
    <row r="1549" spans="1:1" x14ac:dyDescent="0.45">
      <c r="A1549" s="3"/>
    </row>
    <row r="1550" spans="1:1" x14ac:dyDescent="0.45">
      <c r="A1550" s="3"/>
    </row>
    <row r="1551" spans="1:1" x14ac:dyDescent="0.45">
      <c r="A1551" s="3"/>
    </row>
    <row r="1552" spans="1:1" x14ac:dyDescent="0.45">
      <c r="A1552" s="3"/>
    </row>
    <row r="1553" spans="1:1" x14ac:dyDescent="0.45">
      <c r="A1553" s="3"/>
    </row>
    <row r="1554" spans="1:1" x14ac:dyDescent="0.45">
      <c r="A1554" s="3"/>
    </row>
    <row r="1555" spans="1:1" x14ac:dyDescent="0.45">
      <c r="A1555" s="3"/>
    </row>
    <row r="1556" spans="1:1" x14ac:dyDescent="0.45">
      <c r="A1556" s="3"/>
    </row>
    <row r="1557" spans="1:1" x14ac:dyDescent="0.45">
      <c r="A1557" s="3"/>
    </row>
    <row r="1558" spans="1:1" x14ac:dyDescent="0.45">
      <c r="A1558" s="3"/>
    </row>
    <row r="1559" spans="1:1" x14ac:dyDescent="0.45">
      <c r="A1559" s="3"/>
    </row>
    <row r="1560" spans="1:1" x14ac:dyDescent="0.45">
      <c r="A1560" s="3"/>
    </row>
    <row r="1561" spans="1:1" x14ac:dyDescent="0.45">
      <c r="A1561" s="3"/>
    </row>
    <row r="1562" spans="1:1" x14ac:dyDescent="0.45">
      <c r="A1562" s="3"/>
    </row>
    <row r="1563" spans="1:1" x14ac:dyDescent="0.45">
      <c r="A1563" s="3"/>
    </row>
    <row r="1564" spans="1:1" x14ac:dyDescent="0.45">
      <c r="A1564" s="3"/>
    </row>
    <row r="1565" spans="1:1" x14ac:dyDescent="0.45">
      <c r="A1565" s="3"/>
    </row>
    <row r="1566" spans="1:1" x14ac:dyDescent="0.45">
      <c r="A1566" s="3"/>
    </row>
    <row r="1567" spans="1:1" x14ac:dyDescent="0.45">
      <c r="A1567" s="3"/>
    </row>
    <row r="1568" spans="1:1" x14ac:dyDescent="0.45">
      <c r="A1568" s="3"/>
    </row>
    <row r="1569" spans="1:1" x14ac:dyDescent="0.45">
      <c r="A1569" s="3"/>
    </row>
    <row r="1570" spans="1:1" x14ac:dyDescent="0.45">
      <c r="A1570" s="3"/>
    </row>
    <row r="1571" spans="1:1" x14ac:dyDescent="0.45">
      <c r="A1571" s="3"/>
    </row>
    <row r="1572" spans="1:1" x14ac:dyDescent="0.45">
      <c r="A1572" s="3"/>
    </row>
    <row r="1573" spans="1:1" x14ac:dyDescent="0.45">
      <c r="A1573" s="3"/>
    </row>
    <row r="1574" spans="1:1" x14ac:dyDescent="0.45">
      <c r="A1574" s="3"/>
    </row>
    <row r="1575" spans="1:1" x14ac:dyDescent="0.45">
      <c r="A1575" s="3"/>
    </row>
    <row r="1576" spans="1:1" x14ac:dyDescent="0.45">
      <c r="A1576" s="3"/>
    </row>
    <row r="1577" spans="1:1" x14ac:dyDescent="0.45">
      <c r="A1577" s="3"/>
    </row>
    <row r="1578" spans="1:1" x14ac:dyDescent="0.45">
      <c r="A1578" s="3"/>
    </row>
    <row r="1579" spans="1:1" x14ac:dyDescent="0.45">
      <c r="A1579" s="3"/>
    </row>
    <row r="1580" spans="1:1" x14ac:dyDescent="0.45">
      <c r="A1580" s="3"/>
    </row>
    <row r="1581" spans="1:1" x14ac:dyDescent="0.45">
      <c r="A1581" s="3"/>
    </row>
    <row r="1582" spans="1:1" x14ac:dyDescent="0.45">
      <c r="A1582" s="3"/>
    </row>
    <row r="1583" spans="1:1" x14ac:dyDescent="0.45">
      <c r="A1583" s="3"/>
    </row>
    <row r="1584" spans="1:1" x14ac:dyDescent="0.45">
      <c r="A1584" s="3"/>
    </row>
    <row r="1585" spans="1:1" x14ac:dyDescent="0.45">
      <c r="A1585" s="3"/>
    </row>
    <row r="1586" spans="1:1" x14ac:dyDescent="0.45">
      <c r="A1586" s="3"/>
    </row>
    <row r="1587" spans="1:1" x14ac:dyDescent="0.45">
      <c r="A1587" s="3"/>
    </row>
    <row r="1588" spans="1:1" x14ac:dyDescent="0.45">
      <c r="A1588" s="3"/>
    </row>
    <row r="1589" spans="1:1" x14ac:dyDescent="0.45">
      <c r="A1589" s="3"/>
    </row>
    <row r="1590" spans="1:1" x14ac:dyDescent="0.45">
      <c r="A1590" s="3"/>
    </row>
    <row r="1591" spans="1:1" x14ac:dyDescent="0.45">
      <c r="A1591" s="3"/>
    </row>
    <row r="1592" spans="1:1" x14ac:dyDescent="0.45">
      <c r="A1592" s="3"/>
    </row>
    <row r="1593" spans="1:1" x14ac:dyDescent="0.45">
      <c r="A1593" s="3"/>
    </row>
    <row r="1594" spans="1:1" x14ac:dyDescent="0.45">
      <c r="A1594" s="3"/>
    </row>
    <row r="1595" spans="1:1" x14ac:dyDescent="0.45">
      <c r="A1595" s="3"/>
    </row>
    <row r="1596" spans="1:1" x14ac:dyDescent="0.45">
      <c r="A1596" s="3"/>
    </row>
    <row r="1597" spans="1:1" x14ac:dyDescent="0.45">
      <c r="A1597" s="3"/>
    </row>
    <row r="1598" spans="1:1" x14ac:dyDescent="0.45">
      <c r="A1598" s="3"/>
    </row>
    <row r="1599" spans="1:1" x14ac:dyDescent="0.45">
      <c r="A1599" s="3"/>
    </row>
    <row r="1600" spans="1:1" x14ac:dyDescent="0.45">
      <c r="A1600" s="3"/>
    </row>
    <row r="1601" spans="1:1" x14ac:dyDescent="0.45">
      <c r="A1601" s="3"/>
    </row>
    <row r="1602" spans="1:1" x14ac:dyDescent="0.45">
      <c r="A1602" s="3"/>
    </row>
    <row r="1603" spans="1:1" x14ac:dyDescent="0.45">
      <c r="A1603" s="3"/>
    </row>
    <row r="1604" spans="1:1" x14ac:dyDescent="0.45">
      <c r="A1604" s="3"/>
    </row>
    <row r="1605" spans="1:1" x14ac:dyDescent="0.45">
      <c r="A1605" s="3"/>
    </row>
    <row r="1606" spans="1:1" x14ac:dyDescent="0.45">
      <c r="A1606" s="3"/>
    </row>
    <row r="1607" spans="1:1" x14ac:dyDescent="0.45">
      <c r="A1607" s="3"/>
    </row>
    <row r="1608" spans="1:1" x14ac:dyDescent="0.45">
      <c r="A1608" s="3"/>
    </row>
    <row r="1609" spans="1:1" x14ac:dyDescent="0.45">
      <c r="A1609" s="3"/>
    </row>
    <row r="1610" spans="1:1" x14ac:dyDescent="0.45">
      <c r="A1610" s="3"/>
    </row>
    <row r="1611" spans="1:1" x14ac:dyDescent="0.45">
      <c r="A1611" s="3"/>
    </row>
    <row r="1612" spans="1:1" x14ac:dyDescent="0.45">
      <c r="A1612" s="3"/>
    </row>
    <row r="1613" spans="1:1" x14ac:dyDescent="0.45">
      <c r="A1613" s="3"/>
    </row>
    <row r="1614" spans="1:1" x14ac:dyDescent="0.45">
      <c r="A1614" s="3"/>
    </row>
    <row r="1615" spans="1:1" x14ac:dyDescent="0.45">
      <c r="A1615" s="3"/>
    </row>
    <row r="1616" spans="1:1" x14ac:dyDescent="0.45">
      <c r="A1616" s="3"/>
    </row>
    <row r="1617" spans="1:1" x14ac:dyDescent="0.45">
      <c r="A1617" s="3"/>
    </row>
    <row r="1618" spans="1:1" x14ac:dyDescent="0.45">
      <c r="A1618" s="3"/>
    </row>
    <row r="1619" spans="1:1" x14ac:dyDescent="0.45">
      <c r="A1619" s="3"/>
    </row>
    <row r="1620" spans="1:1" x14ac:dyDescent="0.45">
      <c r="A1620" s="3"/>
    </row>
    <row r="1621" spans="1:1" x14ac:dyDescent="0.45">
      <c r="A1621" s="3"/>
    </row>
    <row r="1622" spans="1:1" x14ac:dyDescent="0.45">
      <c r="A1622" s="3"/>
    </row>
    <row r="1623" spans="1:1" x14ac:dyDescent="0.45">
      <c r="A1623" s="3"/>
    </row>
    <row r="1624" spans="1:1" x14ac:dyDescent="0.45">
      <c r="A1624" s="3"/>
    </row>
    <row r="1625" spans="1:1" x14ac:dyDescent="0.45">
      <c r="A1625" s="3"/>
    </row>
    <row r="1626" spans="1:1" x14ac:dyDescent="0.45">
      <c r="A1626" s="3"/>
    </row>
    <row r="1627" spans="1:1" x14ac:dyDescent="0.45">
      <c r="A1627" s="3"/>
    </row>
    <row r="1628" spans="1:1" x14ac:dyDescent="0.45">
      <c r="A1628" s="3"/>
    </row>
    <row r="1629" spans="1:1" x14ac:dyDescent="0.45">
      <c r="A1629" s="3"/>
    </row>
    <row r="1630" spans="1:1" x14ac:dyDescent="0.45">
      <c r="A1630" s="3"/>
    </row>
    <row r="1631" spans="1:1" x14ac:dyDescent="0.45">
      <c r="A1631" s="3"/>
    </row>
    <row r="1632" spans="1:1" x14ac:dyDescent="0.45">
      <c r="A1632" s="3"/>
    </row>
    <row r="1633" spans="1:1" x14ac:dyDescent="0.45">
      <c r="A1633" s="3"/>
    </row>
    <row r="1634" spans="1:1" x14ac:dyDescent="0.45">
      <c r="A1634" s="3"/>
    </row>
    <row r="1635" spans="1:1" x14ac:dyDescent="0.45">
      <c r="A1635" s="3"/>
    </row>
    <row r="1636" spans="1:1" x14ac:dyDescent="0.45">
      <c r="A1636" s="3"/>
    </row>
    <row r="1637" spans="1:1" x14ac:dyDescent="0.45">
      <c r="A1637" s="3"/>
    </row>
    <row r="1638" spans="1:1" x14ac:dyDescent="0.45">
      <c r="A1638" s="3"/>
    </row>
    <row r="1639" spans="1:1" x14ac:dyDescent="0.45">
      <c r="A1639" s="3"/>
    </row>
    <row r="1640" spans="1:1" x14ac:dyDescent="0.45">
      <c r="A1640" s="3"/>
    </row>
    <row r="1641" spans="1:1" x14ac:dyDescent="0.45">
      <c r="A1641" s="3"/>
    </row>
    <row r="1642" spans="1:1" x14ac:dyDescent="0.45">
      <c r="A1642" s="3"/>
    </row>
    <row r="1643" spans="1:1" x14ac:dyDescent="0.45">
      <c r="A1643" s="3"/>
    </row>
    <row r="1644" spans="1:1" x14ac:dyDescent="0.45">
      <c r="A1644" s="3"/>
    </row>
    <row r="1645" spans="1:1" x14ac:dyDescent="0.45">
      <c r="A1645" s="3"/>
    </row>
    <row r="1646" spans="1:1" x14ac:dyDescent="0.45">
      <c r="A1646" s="3"/>
    </row>
    <row r="1647" spans="1:1" x14ac:dyDescent="0.45">
      <c r="A1647" s="3"/>
    </row>
    <row r="1648" spans="1:1" x14ac:dyDescent="0.45">
      <c r="A1648" s="3"/>
    </row>
    <row r="1649" spans="1:1" x14ac:dyDescent="0.45">
      <c r="A1649" s="3"/>
    </row>
    <row r="1650" spans="1:1" x14ac:dyDescent="0.45">
      <c r="A1650" s="3"/>
    </row>
    <row r="1651" spans="1:1" x14ac:dyDescent="0.45">
      <c r="A1651" s="3"/>
    </row>
    <row r="1652" spans="1:1" x14ac:dyDescent="0.45">
      <c r="A1652" s="3"/>
    </row>
    <row r="1653" spans="1:1" x14ac:dyDescent="0.45">
      <c r="A1653" s="3"/>
    </row>
    <row r="1654" spans="1:1" x14ac:dyDescent="0.45">
      <c r="A1654" s="3"/>
    </row>
    <row r="1655" spans="1:1" x14ac:dyDescent="0.45">
      <c r="A1655" s="3"/>
    </row>
    <row r="1656" spans="1:1" x14ac:dyDescent="0.45">
      <c r="A1656" s="3"/>
    </row>
    <row r="1657" spans="1:1" x14ac:dyDescent="0.45">
      <c r="A1657" s="3"/>
    </row>
    <row r="1658" spans="1:1" x14ac:dyDescent="0.45">
      <c r="A1658" s="3"/>
    </row>
    <row r="1659" spans="1:1" x14ac:dyDescent="0.45">
      <c r="A1659" s="3"/>
    </row>
    <row r="1660" spans="1:1" x14ac:dyDescent="0.45">
      <c r="A1660" s="3"/>
    </row>
    <row r="1661" spans="1:1" x14ac:dyDescent="0.45">
      <c r="A1661" s="3"/>
    </row>
    <row r="1662" spans="1:1" x14ac:dyDescent="0.45">
      <c r="A1662" s="3"/>
    </row>
    <row r="1663" spans="1:1" x14ac:dyDescent="0.45">
      <c r="A1663" s="3"/>
    </row>
    <row r="1664" spans="1:1" x14ac:dyDescent="0.45">
      <c r="A1664" s="3"/>
    </row>
    <row r="1665" spans="1:1" x14ac:dyDescent="0.45">
      <c r="A1665" s="3"/>
    </row>
    <row r="1666" spans="1:1" x14ac:dyDescent="0.45">
      <c r="A1666" s="3"/>
    </row>
    <row r="1667" spans="1:1" x14ac:dyDescent="0.45">
      <c r="A1667" s="3"/>
    </row>
    <row r="1668" spans="1:1" x14ac:dyDescent="0.45">
      <c r="A1668" s="3"/>
    </row>
    <row r="1669" spans="1:1" x14ac:dyDescent="0.45">
      <c r="A1669" s="3"/>
    </row>
    <row r="1670" spans="1:1" x14ac:dyDescent="0.45">
      <c r="A1670" s="3"/>
    </row>
    <row r="1671" spans="1:1" x14ac:dyDescent="0.45">
      <c r="A1671" s="3"/>
    </row>
    <row r="1672" spans="1:1" x14ac:dyDescent="0.45">
      <c r="A1672" s="3"/>
    </row>
    <row r="1673" spans="1:1" x14ac:dyDescent="0.45">
      <c r="A1673" s="3"/>
    </row>
    <row r="1674" spans="1:1" x14ac:dyDescent="0.45">
      <c r="A1674" s="3"/>
    </row>
    <row r="1675" spans="1:1" x14ac:dyDescent="0.45">
      <c r="A1675" s="3"/>
    </row>
    <row r="1676" spans="1:1" x14ac:dyDescent="0.45">
      <c r="A1676" s="3"/>
    </row>
    <row r="1677" spans="1:1" x14ac:dyDescent="0.45">
      <c r="A1677" s="3"/>
    </row>
    <row r="1678" spans="1:1" x14ac:dyDescent="0.45">
      <c r="A1678" s="3"/>
    </row>
    <row r="1679" spans="1:1" x14ac:dyDescent="0.45">
      <c r="A1679" s="3"/>
    </row>
    <row r="1680" spans="1:1" x14ac:dyDescent="0.45">
      <c r="A1680" s="3"/>
    </row>
    <row r="1681" spans="1:1" x14ac:dyDescent="0.45">
      <c r="A1681" s="3"/>
    </row>
    <row r="1682" spans="1:1" x14ac:dyDescent="0.45">
      <c r="A1682" s="3"/>
    </row>
    <row r="1683" spans="1:1" x14ac:dyDescent="0.45">
      <c r="A1683" s="3"/>
    </row>
    <row r="1684" spans="1:1" x14ac:dyDescent="0.45">
      <c r="A1684" s="3"/>
    </row>
    <row r="1685" spans="1:1" x14ac:dyDescent="0.45">
      <c r="A1685" s="3"/>
    </row>
    <row r="1686" spans="1:1" x14ac:dyDescent="0.45">
      <c r="A1686" s="3"/>
    </row>
    <row r="1687" spans="1:1" x14ac:dyDescent="0.45">
      <c r="A1687" s="3"/>
    </row>
    <row r="1688" spans="1:1" x14ac:dyDescent="0.45">
      <c r="A1688" s="3"/>
    </row>
    <row r="1689" spans="1:1" x14ac:dyDescent="0.45">
      <c r="A1689" s="3"/>
    </row>
    <row r="1690" spans="1:1" x14ac:dyDescent="0.45">
      <c r="A1690" s="3"/>
    </row>
    <row r="1691" spans="1:1" x14ac:dyDescent="0.45">
      <c r="A1691" s="3"/>
    </row>
    <row r="1692" spans="1:1" x14ac:dyDescent="0.45">
      <c r="A1692" s="3"/>
    </row>
    <row r="1693" spans="1:1" x14ac:dyDescent="0.45">
      <c r="A1693" s="3"/>
    </row>
    <row r="1694" spans="1:1" x14ac:dyDescent="0.45">
      <c r="A1694" s="3"/>
    </row>
    <row r="1695" spans="1:1" x14ac:dyDescent="0.45">
      <c r="A1695" s="3"/>
    </row>
    <row r="1696" spans="1:1" x14ac:dyDescent="0.45">
      <c r="A1696" s="3"/>
    </row>
    <row r="1697" spans="1:1" x14ac:dyDescent="0.45">
      <c r="A1697" s="3"/>
    </row>
    <row r="1698" spans="1:1" x14ac:dyDescent="0.45">
      <c r="A1698" s="3"/>
    </row>
    <row r="1699" spans="1:1" x14ac:dyDescent="0.45">
      <c r="A1699" s="3"/>
    </row>
    <row r="1700" spans="1:1" x14ac:dyDescent="0.45">
      <c r="A1700" s="3"/>
    </row>
    <row r="1701" spans="1:1" x14ac:dyDescent="0.45">
      <c r="A1701" s="3"/>
    </row>
    <row r="1702" spans="1:1" x14ac:dyDescent="0.45">
      <c r="A1702" s="3"/>
    </row>
    <row r="1703" spans="1:1" x14ac:dyDescent="0.45">
      <c r="A1703" s="3"/>
    </row>
    <row r="1704" spans="1:1" x14ac:dyDescent="0.45">
      <c r="A1704" s="3"/>
    </row>
    <row r="1705" spans="1:1" x14ac:dyDescent="0.45">
      <c r="A1705" s="3"/>
    </row>
    <row r="1706" spans="1:1" x14ac:dyDescent="0.45">
      <c r="A1706" s="3"/>
    </row>
    <row r="1707" spans="1:1" x14ac:dyDescent="0.45">
      <c r="A1707" s="3"/>
    </row>
    <row r="1708" spans="1:1" x14ac:dyDescent="0.45">
      <c r="A1708" s="3"/>
    </row>
    <row r="1709" spans="1:1" x14ac:dyDescent="0.45">
      <c r="A1709" s="3"/>
    </row>
    <row r="1710" spans="1:1" x14ac:dyDescent="0.45">
      <c r="A1710" s="3"/>
    </row>
    <row r="1711" spans="1:1" x14ac:dyDescent="0.45">
      <c r="A1711" s="3"/>
    </row>
    <row r="1712" spans="1:1" x14ac:dyDescent="0.45">
      <c r="A1712" s="3"/>
    </row>
    <row r="1713" spans="1:1" x14ac:dyDescent="0.45">
      <c r="A1713" s="3"/>
    </row>
    <row r="1714" spans="1:1" x14ac:dyDescent="0.45">
      <c r="A1714" s="3"/>
    </row>
    <row r="1715" spans="1:1" x14ac:dyDescent="0.45">
      <c r="A1715" s="3"/>
    </row>
    <row r="1716" spans="1:1" x14ac:dyDescent="0.45">
      <c r="A1716" s="3"/>
    </row>
    <row r="1717" spans="1:1" x14ac:dyDescent="0.45">
      <c r="A1717" s="3"/>
    </row>
    <row r="1718" spans="1:1" x14ac:dyDescent="0.45">
      <c r="A1718" s="3"/>
    </row>
    <row r="1719" spans="1:1" x14ac:dyDescent="0.45">
      <c r="A1719" s="3"/>
    </row>
    <row r="1720" spans="1:1" x14ac:dyDescent="0.45">
      <c r="A1720" s="3"/>
    </row>
    <row r="1721" spans="1:1" x14ac:dyDescent="0.45">
      <c r="A1721" s="3"/>
    </row>
    <row r="1722" spans="1:1" x14ac:dyDescent="0.45">
      <c r="A1722" s="3"/>
    </row>
    <row r="1723" spans="1:1" x14ac:dyDescent="0.45">
      <c r="A1723" s="3"/>
    </row>
    <row r="1724" spans="1:1" x14ac:dyDescent="0.45">
      <c r="A1724" s="3"/>
    </row>
    <row r="1725" spans="1:1" x14ac:dyDescent="0.45">
      <c r="A1725" s="3"/>
    </row>
    <row r="1726" spans="1:1" x14ac:dyDescent="0.45">
      <c r="A1726" s="3"/>
    </row>
    <row r="1727" spans="1:1" x14ac:dyDescent="0.45">
      <c r="A1727" s="3"/>
    </row>
    <row r="1728" spans="1:1" x14ac:dyDescent="0.45">
      <c r="A1728" s="3"/>
    </row>
    <row r="1729" spans="1:1" x14ac:dyDescent="0.45">
      <c r="A1729" s="3"/>
    </row>
    <row r="1730" spans="1:1" x14ac:dyDescent="0.45">
      <c r="A1730" s="3"/>
    </row>
    <row r="1731" spans="1:1" x14ac:dyDescent="0.45">
      <c r="A1731" s="3"/>
    </row>
    <row r="1732" spans="1:1" x14ac:dyDescent="0.45">
      <c r="A1732" s="3"/>
    </row>
    <row r="1733" spans="1:1" x14ac:dyDescent="0.45">
      <c r="A1733" s="3"/>
    </row>
    <row r="1734" spans="1:1" x14ac:dyDescent="0.45">
      <c r="A1734" s="3"/>
    </row>
    <row r="1735" spans="1:1" x14ac:dyDescent="0.45">
      <c r="A1735" s="3"/>
    </row>
    <row r="1736" spans="1:1" x14ac:dyDescent="0.45">
      <c r="A1736" s="3"/>
    </row>
    <row r="1737" spans="1:1" x14ac:dyDescent="0.45">
      <c r="A1737" s="3"/>
    </row>
    <row r="1738" spans="1:1" x14ac:dyDescent="0.45">
      <c r="A1738" s="3"/>
    </row>
    <row r="1739" spans="1:1" x14ac:dyDescent="0.45">
      <c r="A1739" s="3"/>
    </row>
    <row r="1740" spans="1:1" x14ac:dyDescent="0.45">
      <c r="A1740" s="3"/>
    </row>
    <row r="1741" spans="1:1" x14ac:dyDescent="0.45">
      <c r="A1741" s="3"/>
    </row>
    <row r="1742" spans="1:1" x14ac:dyDescent="0.45">
      <c r="A1742" s="3"/>
    </row>
    <row r="1743" spans="1:1" x14ac:dyDescent="0.45">
      <c r="A1743" s="3"/>
    </row>
    <row r="1744" spans="1:1" x14ac:dyDescent="0.45">
      <c r="A1744" s="3"/>
    </row>
    <row r="1745" spans="1:1" x14ac:dyDescent="0.45">
      <c r="A1745" s="3"/>
    </row>
    <row r="1746" spans="1:1" x14ac:dyDescent="0.45">
      <c r="A1746" s="3"/>
    </row>
    <row r="1747" spans="1:1" x14ac:dyDescent="0.45">
      <c r="A1747" s="3"/>
    </row>
    <row r="1748" spans="1:1" x14ac:dyDescent="0.45">
      <c r="A1748" s="3"/>
    </row>
    <row r="1749" spans="1:1" x14ac:dyDescent="0.45">
      <c r="A1749" s="3"/>
    </row>
    <row r="1750" spans="1:1" x14ac:dyDescent="0.45">
      <c r="A1750" s="3"/>
    </row>
    <row r="1751" spans="1:1" x14ac:dyDescent="0.45">
      <c r="A1751" s="3"/>
    </row>
    <row r="1752" spans="1:1" x14ac:dyDescent="0.45">
      <c r="A1752" s="3"/>
    </row>
    <row r="1753" spans="1:1" x14ac:dyDescent="0.45">
      <c r="A1753" s="3"/>
    </row>
    <row r="1754" spans="1:1" x14ac:dyDescent="0.45">
      <c r="A1754" s="3"/>
    </row>
    <row r="1755" spans="1:1" x14ac:dyDescent="0.45">
      <c r="A1755" s="3"/>
    </row>
    <row r="1756" spans="1:1" x14ac:dyDescent="0.45">
      <c r="A1756" s="3"/>
    </row>
    <row r="1757" spans="1:1" x14ac:dyDescent="0.45">
      <c r="A1757" s="3"/>
    </row>
    <row r="1758" spans="1:1" x14ac:dyDescent="0.45">
      <c r="A1758" s="3"/>
    </row>
    <row r="1759" spans="1:1" x14ac:dyDescent="0.45">
      <c r="A1759" s="3"/>
    </row>
    <row r="1760" spans="1:1" x14ac:dyDescent="0.45">
      <c r="A1760" s="3"/>
    </row>
    <row r="1761" spans="1:1" x14ac:dyDescent="0.45">
      <c r="A1761" s="3"/>
    </row>
    <row r="1762" spans="1:1" x14ac:dyDescent="0.45">
      <c r="A1762" s="3"/>
    </row>
    <row r="1763" spans="1:1" x14ac:dyDescent="0.45">
      <c r="A1763" s="3"/>
    </row>
    <row r="1764" spans="1:1" x14ac:dyDescent="0.45">
      <c r="A1764" s="3"/>
    </row>
    <row r="1765" spans="1:1" x14ac:dyDescent="0.45">
      <c r="A1765" s="3"/>
    </row>
    <row r="1766" spans="1:1" x14ac:dyDescent="0.45">
      <c r="A1766" s="3"/>
    </row>
    <row r="1767" spans="1:1" x14ac:dyDescent="0.45">
      <c r="A1767" s="3"/>
    </row>
    <row r="1768" spans="1:1" x14ac:dyDescent="0.45">
      <c r="A1768" s="3"/>
    </row>
    <row r="1769" spans="1:1" x14ac:dyDescent="0.45">
      <c r="A1769" s="3"/>
    </row>
    <row r="1770" spans="1:1" x14ac:dyDescent="0.45">
      <c r="A1770" s="3"/>
    </row>
    <row r="1771" spans="1:1" x14ac:dyDescent="0.45">
      <c r="A1771" s="3"/>
    </row>
    <row r="1772" spans="1:1" x14ac:dyDescent="0.45">
      <c r="A1772" s="3"/>
    </row>
    <row r="1773" spans="1:1" x14ac:dyDescent="0.45">
      <c r="A1773" s="3"/>
    </row>
    <row r="1774" spans="1:1" x14ac:dyDescent="0.45">
      <c r="A1774" s="3"/>
    </row>
    <row r="1775" spans="1:1" x14ac:dyDescent="0.45">
      <c r="A1775" s="3"/>
    </row>
    <row r="1776" spans="1:1" x14ac:dyDescent="0.45">
      <c r="A1776" s="3"/>
    </row>
    <row r="1777" spans="1:1" x14ac:dyDescent="0.45">
      <c r="A1777" s="3"/>
    </row>
    <row r="1778" spans="1:1" x14ac:dyDescent="0.45">
      <c r="A1778" s="3"/>
    </row>
    <row r="1779" spans="1:1" x14ac:dyDescent="0.45">
      <c r="A1779" s="3"/>
    </row>
    <row r="1780" spans="1:1" x14ac:dyDescent="0.45">
      <c r="A1780" s="3"/>
    </row>
    <row r="1781" spans="1:1" x14ac:dyDescent="0.45">
      <c r="A1781" s="3"/>
    </row>
    <row r="1782" spans="1:1" x14ac:dyDescent="0.45">
      <c r="A1782" s="3"/>
    </row>
    <row r="1783" spans="1:1" x14ac:dyDescent="0.45">
      <c r="A1783" s="3"/>
    </row>
    <row r="1784" spans="1:1" x14ac:dyDescent="0.45">
      <c r="A1784" s="3"/>
    </row>
    <row r="1785" spans="1:1" x14ac:dyDescent="0.45">
      <c r="A1785" s="3"/>
    </row>
    <row r="1786" spans="1:1" x14ac:dyDescent="0.45">
      <c r="A1786" s="3"/>
    </row>
    <row r="1787" spans="1:1" x14ac:dyDescent="0.45">
      <c r="A1787" s="3"/>
    </row>
    <row r="1788" spans="1:1" x14ac:dyDescent="0.45">
      <c r="A1788" s="3"/>
    </row>
    <row r="1789" spans="1:1" x14ac:dyDescent="0.45">
      <c r="A1789" s="3"/>
    </row>
    <row r="1790" spans="1:1" x14ac:dyDescent="0.45">
      <c r="A1790" s="3"/>
    </row>
    <row r="1791" spans="1:1" x14ac:dyDescent="0.45">
      <c r="A1791" s="3"/>
    </row>
    <row r="1792" spans="1:1" x14ac:dyDescent="0.45">
      <c r="A1792" s="3"/>
    </row>
    <row r="1793" spans="1:1" x14ac:dyDescent="0.45">
      <c r="A1793" s="3"/>
    </row>
    <row r="1794" spans="1:1" x14ac:dyDescent="0.45">
      <c r="A1794" s="3"/>
    </row>
    <row r="1795" spans="1:1" x14ac:dyDescent="0.45">
      <c r="A1795" s="3"/>
    </row>
    <row r="1796" spans="1:1" x14ac:dyDescent="0.45">
      <c r="A1796" s="3"/>
    </row>
    <row r="1797" spans="1:1" x14ac:dyDescent="0.45">
      <c r="A1797" s="3"/>
    </row>
    <row r="1798" spans="1:1" x14ac:dyDescent="0.45">
      <c r="A1798" s="3"/>
    </row>
    <row r="1799" spans="1:1" x14ac:dyDescent="0.45">
      <c r="A1799" s="3"/>
    </row>
    <row r="1800" spans="1:1" x14ac:dyDescent="0.45">
      <c r="A1800" s="3"/>
    </row>
    <row r="1801" spans="1:1" x14ac:dyDescent="0.45">
      <c r="A1801" s="3"/>
    </row>
    <row r="1802" spans="1:1" x14ac:dyDescent="0.45">
      <c r="A1802" s="3"/>
    </row>
    <row r="1803" spans="1:1" x14ac:dyDescent="0.45">
      <c r="A1803" s="3"/>
    </row>
    <row r="1804" spans="1:1" x14ac:dyDescent="0.45">
      <c r="A1804" s="3"/>
    </row>
    <row r="1805" spans="1:1" x14ac:dyDescent="0.45">
      <c r="A1805" s="3"/>
    </row>
    <row r="1806" spans="1:1" x14ac:dyDescent="0.45">
      <c r="A1806" s="3"/>
    </row>
    <row r="1807" spans="1:1" x14ac:dyDescent="0.45">
      <c r="A1807" s="3"/>
    </row>
    <row r="1808" spans="1:1" x14ac:dyDescent="0.45">
      <c r="A1808" s="3"/>
    </row>
    <row r="1809" spans="1:1" x14ac:dyDescent="0.45">
      <c r="A1809" s="3"/>
    </row>
    <row r="1810" spans="1:1" x14ac:dyDescent="0.45">
      <c r="A1810" s="3"/>
    </row>
    <row r="1811" spans="1:1" x14ac:dyDescent="0.45">
      <c r="A1811" s="3"/>
    </row>
    <row r="1812" spans="1:1" x14ac:dyDescent="0.45">
      <c r="A1812" s="3"/>
    </row>
    <row r="1813" spans="1:1" x14ac:dyDescent="0.45">
      <c r="A1813" s="3"/>
    </row>
    <row r="1814" spans="1:1" x14ac:dyDescent="0.45">
      <c r="A1814" s="3"/>
    </row>
    <row r="1815" spans="1:1" x14ac:dyDescent="0.45">
      <c r="A1815" s="3"/>
    </row>
    <row r="1816" spans="1:1" x14ac:dyDescent="0.45">
      <c r="A1816" s="3"/>
    </row>
    <row r="1817" spans="1:1" x14ac:dyDescent="0.45">
      <c r="A1817" s="3"/>
    </row>
    <row r="1818" spans="1:1" x14ac:dyDescent="0.45">
      <c r="A1818" s="3"/>
    </row>
    <row r="1819" spans="1:1" x14ac:dyDescent="0.45">
      <c r="A1819" s="3"/>
    </row>
    <row r="1820" spans="1:1" x14ac:dyDescent="0.45">
      <c r="A1820" s="3"/>
    </row>
    <row r="1821" spans="1:1" x14ac:dyDescent="0.45">
      <c r="A1821" s="3"/>
    </row>
    <row r="1822" spans="1:1" x14ac:dyDescent="0.45">
      <c r="A1822" s="3"/>
    </row>
    <row r="1823" spans="1:1" x14ac:dyDescent="0.45">
      <c r="A1823" s="3"/>
    </row>
    <row r="1824" spans="1:1" x14ac:dyDescent="0.45">
      <c r="A1824" s="3"/>
    </row>
    <row r="1825" spans="1:1" x14ac:dyDescent="0.45">
      <c r="A1825" s="3"/>
    </row>
    <row r="1826" spans="1:1" x14ac:dyDescent="0.45">
      <c r="A1826" s="3"/>
    </row>
    <row r="1827" spans="1:1" x14ac:dyDescent="0.45">
      <c r="A1827" s="3"/>
    </row>
    <row r="1828" spans="1:1" x14ac:dyDescent="0.45">
      <c r="A1828" s="3"/>
    </row>
    <row r="1829" spans="1:1" x14ac:dyDescent="0.45">
      <c r="A1829" s="3"/>
    </row>
    <row r="1830" spans="1:1" x14ac:dyDescent="0.45">
      <c r="A1830" s="3"/>
    </row>
    <row r="1831" spans="1:1" x14ac:dyDescent="0.45">
      <c r="A1831" s="3"/>
    </row>
    <row r="1832" spans="1:1" x14ac:dyDescent="0.45">
      <c r="A1832" s="3"/>
    </row>
    <row r="1833" spans="1:1" x14ac:dyDescent="0.45">
      <c r="A1833" s="3"/>
    </row>
    <row r="1834" spans="1:1" x14ac:dyDescent="0.45">
      <c r="A1834" s="3"/>
    </row>
    <row r="1835" spans="1:1" x14ac:dyDescent="0.45">
      <c r="A1835" s="3"/>
    </row>
    <row r="1836" spans="1:1" x14ac:dyDescent="0.45">
      <c r="A1836" s="3"/>
    </row>
    <row r="1837" spans="1:1" x14ac:dyDescent="0.45">
      <c r="A1837" s="3"/>
    </row>
    <row r="1838" spans="1:1" x14ac:dyDescent="0.45">
      <c r="A1838" s="3"/>
    </row>
    <row r="1839" spans="1:1" x14ac:dyDescent="0.45">
      <c r="A1839" s="3"/>
    </row>
    <row r="1840" spans="1:1" x14ac:dyDescent="0.45">
      <c r="A1840" s="3"/>
    </row>
    <row r="1841" spans="1:1" x14ac:dyDescent="0.45">
      <c r="A1841" s="3"/>
    </row>
    <row r="1842" spans="1:1" x14ac:dyDescent="0.45">
      <c r="A1842" s="3"/>
    </row>
    <row r="1843" spans="1:1" x14ac:dyDescent="0.45">
      <c r="A1843" s="3"/>
    </row>
    <row r="1844" spans="1:1" x14ac:dyDescent="0.45">
      <c r="A1844" s="3"/>
    </row>
    <row r="1845" spans="1:1" x14ac:dyDescent="0.45">
      <c r="A1845" s="3"/>
    </row>
    <row r="1846" spans="1:1" x14ac:dyDescent="0.45">
      <c r="A1846" s="3"/>
    </row>
    <row r="1847" spans="1:1" x14ac:dyDescent="0.45">
      <c r="A1847" s="3"/>
    </row>
    <row r="1848" spans="1:1" x14ac:dyDescent="0.45">
      <c r="A1848" s="3"/>
    </row>
    <row r="1849" spans="1:1" x14ac:dyDescent="0.45">
      <c r="A1849" s="3"/>
    </row>
    <row r="1850" spans="1:1" x14ac:dyDescent="0.45">
      <c r="A1850" s="3"/>
    </row>
    <row r="1851" spans="1:1" x14ac:dyDescent="0.45">
      <c r="A1851" s="3"/>
    </row>
    <row r="1852" spans="1:1" x14ac:dyDescent="0.45">
      <c r="A1852" s="3"/>
    </row>
    <row r="1853" spans="1:1" x14ac:dyDescent="0.45">
      <c r="A1853" s="3"/>
    </row>
    <row r="1854" spans="1:1" x14ac:dyDescent="0.45">
      <c r="A1854" s="3"/>
    </row>
    <row r="1855" spans="1:1" x14ac:dyDescent="0.45">
      <c r="A1855" s="3"/>
    </row>
    <row r="1856" spans="1:1" x14ac:dyDescent="0.45">
      <c r="A1856" s="3"/>
    </row>
    <row r="1857" spans="1:1" x14ac:dyDescent="0.45">
      <c r="A1857" s="3"/>
    </row>
    <row r="1858" spans="1:1" x14ac:dyDescent="0.45">
      <c r="A1858" s="3"/>
    </row>
    <row r="1859" spans="1:1" x14ac:dyDescent="0.45">
      <c r="A1859" s="3"/>
    </row>
    <row r="1860" spans="1:1" x14ac:dyDescent="0.45">
      <c r="A1860" s="3"/>
    </row>
    <row r="1861" spans="1:1" x14ac:dyDescent="0.45">
      <c r="A1861" s="3"/>
    </row>
    <row r="1862" spans="1:1" x14ac:dyDescent="0.45">
      <c r="A1862" s="3"/>
    </row>
    <row r="1863" spans="1:1" x14ac:dyDescent="0.45">
      <c r="A1863" s="3"/>
    </row>
    <row r="1864" spans="1:1" x14ac:dyDescent="0.45">
      <c r="A1864" s="3"/>
    </row>
    <row r="1865" spans="1:1" x14ac:dyDescent="0.45">
      <c r="A1865" s="3"/>
    </row>
    <row r="1866" spans="1:1" x14ac:dyDescent="0.45">
      <c r="A1866" s="3"/>
    </row>
    <row r="1867" spans="1:1" x14ac:dyDescent="0.45">
      <c r="A1867" s="3"/>
    </row>
    <row r="1868" spans="1:1" x14ac:dyDescent="0.45">
      <c r="A1868" s="3"/>
    </row>
    <row r="1869" spans="1:1" x14ac:dyDescent="0.45">
      <c r="A1869" s="3"/>
    </row>
    <row r="1870" spans="1:1" x14ac:dyDescent="0.45">
      <c r="A1870" s="3"/>
    </row>
    <row r="1871" spans="1:1" x14ac:dyDescent="0.45">
      <c r="A1871" s="3"/>
    </row>
    <row r="1872" spans="1:1" x14ac:dyDescent="0.45">
      <c r="A1872" s="3"/>
    </row>
    <row r="1873" spans="1:1" x14ac:dyDescent="0.45">
      <c r="A1873" s="3"/>
    </row>
    <row r="1874" spans="1:1" x14ac:dyDescent="0.45">
      <c r="A1874" s="3"/>
    </row>
    <row r="1875" spans="1:1" x14ac:dyDescent="0.45">
      <c r="A1875" s="3"/>
    </row>
    <row r="1876" spans="1:1" x14ac:dyDescent="0.45">
      <c r="A1876" s="3"/>
    </row>
    <row r="1877" spans="1:1" x14ac:dyDescent="0.45">
      <c r="A1877" s="3"/>
    </row>
    <row r="1878" spans="1:1" x14ac:dyDescent="0.45">
      <c r="A1878" s="3"/>
    </row>
    <row r="1879" spans="1:1" x14ac:dyDescent="0.45">
      <c r="A1879" s="3"/>
    </row>
    <row r="1880" spans="1:1" x14ac:dyDescent="0.45">
      <c r="A1880" s="3"/>
    </row>
    <row r="1881" spans="1:1" x14ac:dyDescent="0.45">
      <c r="A1881" s="3"/>
    </row>
    <row r="1882" spans="1:1" x14ac:dyDescent="0.45">
      <c r="A1882" s="3"/>
    </row>
    <row r="1883" spans="1:1" x14ac:dyDescent="0.45">
      <c r="A1883" s="3"/>
    </row>
    <row r="1884" spans="1:1" x14ac:dyDescent="0.45">
      <c r="A1884" s="3"/>
    </row>
    <row r="1885" spans="1:1" x14ac:dyDescent="0.45">
      <c r="A1885" s="3"/>
    </row>
    <row r="1886" spans="1:1" x14ac:dyDescent="0.45">
      <c r="A1886" s="3"/>
    </row>
    <row r="1887" spans="1:1" x14ac:dyDescent="0.45">
      <c r="A1887" s="3"/>
    </row>
    <row r="1888" spans="1:1" x14ac:dyDescent="0.45">
      <c r="A1888" s="3"/>
    </row>
    <row r="1889" spans="1:1" x14ac:dyDescent="0.45">
      <c r="A1889" s="3"/>
    </row>
    <row r="1890" spans="1:1" x14ac:dyDescent="0.45">
      <c r="A1890" s="3"/>
    </row>
    <row r="1891" spans="1:1" x14ac:dyDescent="0.45">
      <c r="A1891" s="3"/>
    </row>
    <row r="1892" spans="1:1" x14ac:dyDescent="0.45">
      <c r="A1892" s="3"/>
    </row>
    <row r="1893" spans="1:1" x14ac:dyDescent="0.45">
      <c r="A1893" s="3"/>
    </row>
    <row r="1894" spans="1:1" x14ac:dyDescent="0.45">
      <c r="A1894" s="3"/>
    </row>
    <row r="1895" spans="1:1" x14ac:dyDescent="0.45">
      <c r="A1895" s="3"/>
    </row>
    <row r="1896" spans="1:1" x14ac:dyDescent="0.45">
      <c r="A1896" s="3"/>
    </row>
    <row r="1897" spans="1:1" x14ac:dyDescent="0.45">
      <c r="A1897" s="3"/>
    </row>
    <row r="1898" spans="1:1" x14ac:dyDescent="0.45">
      <c r="A1898" s="3"/>
    </row>
    <row r="1899" spans="1:1" x14ac:dyDescent="0.45">
      <c r="A1899" s="3"/>
    </row>
    <row r="1900" spans="1:1" x14ac:dyDescent="0.45">
      <c r="A1900" s="3"/>
    </row>
    <row r="1901" spans="1:1" x14ac:dyDescent="0.45">
      <c r="A1901" s="3"/>
    </row>
    <row r="1902" spans="1:1" x14ac:dyDescent="0.45">
      <c r="A1902" s="3"/>
    </row>
    <row r="1903" spans="1:1" x14ac:dyDescent="0.45">
      <c r="A1903" s="3"/>
    </row>
    <row r="1904" spans="1:1" x14ac:dyDescent="0.45">
      <c r="A1904" s="3"/>
    </row>
    <row r="1905" spans="1:1" x14ac:dyDescent="0.45">
      <c r="A1905" s="3"/>
    </row>
    <row r="1906" spans="1:1" x14ac:dyDescent="0.45">
      <c r="A1906" s="3"/>
    </row>
    <row r="1907" spans="1:1" x14ac:dyDescent="0.45">
      <c r="A1907" s="3"/>
    </row>
    <row r="1908" spans="1:1" x14ac:dyDescent="0.45">
      <c r="A1908" s="3"/>
    </row>
    <row r="1909" spans="1:1" x14ac:dyDescent="0.45">
      <c r="A1909" s="3"/>
    </row>
    <row r="1910" spans="1:1" x14ac:dyDescent="0.45">
      <c r="A1910" s="3"/>
    </row>
    <row r="1911" spans="1:1" x14ac:dyDescent="0.45">
      <c r="A1911" s="3"/>
    </row>
    <row r="1912" spans="1:1" x14ac:dyDescent="0.45">
      <c r="A1912" s="3"/>
    </row>
    <row r="1913" spans="1:1" x14ac:dyDescent="0.45">
      <c r="A1913" s="3"/>
    </row>
    <row r="1914" spans="1:1" x14ac:dyDescent="0.45">
      <c r="A1914" s="3"/>
    </row>
    <row r="1915" spans="1:1" x14ac:dyDescent="0.45">
      <c r="A1915" s="3"/>
    </row>
    <row r="1916" spans="1:1" x14ac:dyDescent="0.45">
      <c r="A1916" s="3"/>
    </row>
    <row r="1917" spans="1:1" x14ac:dyDescent="0.45">
      <c r="A1917" s="3"/>
    </row>
    <row r="1918" spans="1:1" x14ac:dyDescent="0.45">
      <c r="A1918" s="3"/>
    </row>
    <row r="1919" spans="1:1" x14ac:dyDescent="0.45">
      <c r="A1919" s="3"/>
    </row>
    <row r="1920" spans="1:1" x14ac:dyDescent="0.45">
      <c r="A1920" s="3"/>
    </row>
    <row r="1921" spans="1:1" x14ac:dyDescent="0.45">
      <c r="A1921" s="3"/>
    </row>
    <row r="1922" spans="1:1" x14ac:dyDescent="0.45">
      <c r="A1922" s="3"/>
    </row>
    <row r="1923" spans="1:1" x14ac:dyDescent="0.45">
      <c r="A1923" s="3"/>
    </row>
    <row r="1924" spans="1:1" x14ac:dyDescent="0.45">
      <c r="A1924" s="3"/>
    </row>
    <row r="1925" spans="1:1" x14ac:dyDescent="0.45">
      <c r="A1925" s="3"/>
    </row>
    <row r="1926" spans="1:1" x14ac:dyDescent="0.45">
      <c r="A1926" s="3"/>
    </row>
    <row r="1927" spans="1:1" x14ac:dyDescent="0.45">
      <c r="A1927" s="3"/>
    </row>
    <row r="1928" spans="1:1" x14ac:dyDescent="0.45">
      <c r="A1928" s="3"/>
    </row>
    <row r="1929" spans="1:1" x14ac:dyDescent="0.45">
      <c r="A1929" s="3"/>
    </row>
    <row r="1930" spans="1:1" x14ac:dyDescent="0.45">
      <c r="A1930" s="3"/>
    </row>
    <row r="1931" spans="1:1" x14ac:dyDescent="0.45">
      <c r="A1931" s="3"/>
    </row>
    <row r="1932" spans="1:1" x14ac:dyDescent="0.45">
      <c r="A1932" s="3"/>
    </row>
    <row r="1933" spans="1:1" x14ac:dyDescent="0.45">
      <c r="A1933" s="3"/>
    </row>
    <row r="1934" spans="1:1" x14ac:dyDescent="0.45">
      <c r="A1934" s="3"/>
    </row>
    <row r="1935" spans="1:1" x14ac:dyDescent="0.45">
      <c r="A1935" s="3"/>
    </row>
    <row r="1936" spans="1:1" x14ac:dyDescent="0.45">
      <c r="A1936" s="3"/>
    </row>
    <row r="1937" spans="1:1" x14ac:dyDescent="0.45">
      <c r="A1937" s="3"/>
    </row>
    <row r="1938" spans="1:1" x14ac:dyDescent="0.45">
      <c r="A1938" s="3"/>
    </row>
    <row r="1939" spans="1:1" x14ac:dyDescent="0.45">
      <c r="A1939" s="3"/>
    </row>
    <row r="1940" spans="1:1" x14ac:dyDescent="0.45">
      <c r="A1940" s="3"/>
    </row>
    <row r="1941" spans="1:1" x14ac:dyDescent="0.45">
      <c r="A1941" s="3"/>
    </row>
    <row r="1942" spans="1:1" x14ac:dyDescent="0.45">
      <c r="A1942" s="3"/>
    </row>
    <row r="1943" spans="1:1" x14ac:dyDescent="0.45">
      <c r="A1943" s="3"/>
    </row>
    <row r="1944" spans="1:1" x14ac:dyDescent="0.45">
      <c r="A1944" s="3"/>
    </row>
    <row r="1945" spans="1:1" x14ac:dyDescent="0.45">
      <c r="A1945" s="3"/>
    </row>
    <row r="1946" spans="1:1" x14ac:dyDescent="0.45">
      <c r="A1946" s="3"/>
    </row>
    <row r="1947" spans="1:1" x14ac:dyDescent="0.45">
      <c r="A1947" s="3"/>
    </row>
    <row r="1948" spans="1:1" x14ac:dyDescent="0.45">
      <c r="A1948" s="3"/>
    </row>
    <row r="1949" spans="1:1" x14ac:dyDescent="0.45">
      <c r="A1949" s="3"/>
    </row>
    <row r="1950" spans="1:1" x14ac:dyDescent="0.45">
      <c r="A1950" s="3"/>
    </row>
    <row r="1951" spans="1:1" x14ac:dyDescent="0.45">
      <c r="A1951" s="3"/>
    </row>
    <row r="1952" spans="1:1" x14ac:dyDescent="0.45">
      <c r="A1952" s="3"/>
    </row>
    <row r="1953" spans="1:1" x14ac:dyDescent="0.45">
      <c r="A1953" s="3"/>
    </row>
    <row r="1954" spans="1:1" x14ac:dyDescent="0.45">
      <c r="A1954" s="3"/>
    </row>
    <row r="1955" spans="1:1" x14ac:dyDescent="0.45">
      <c r="A1955" s="3"/>
    </row>
    <row r="1956" spans="1:1" x14ac:dyDescent="0.45">
      <c r="A1956" s="3"/>
    </row>
    <row r="1957" spans="1:1" x14ac:dyDescent="0.45">
      <c r="A1957" s="3"/>
    </row>
    <row r="1958" spans="1:1" x14ac:dyDescent="0.45">
      <c r="A1958" s="3"/>
    </row>
    <row r="1959" spans="1:1" x14ac:dyDescent="0.45">
      <c r="A1959" s="3"/>
    </row>
    <row r="1960" spans="1:1" x14ac:dyDescent="0.45">
      <c r="A1960" s="3"/>
    </row>
    <row r="1961" spans="1:1" x14ac:dyDescent="0.45">
      <c r="A1961" s="3"/>
    </row>
    <row r="1962" spans="1:1" x14ac:dyDescent="0.45">
      <c r="A1962" s="3"/>
    </row>
    <row r="1963" spans="1:1" x14ac:dyDescent="0.45">
      <c r="A1963" s="3"/>
    </row>
    <row r="1964" spans="1:1" x14ac:dyDescent="0.45">
      <c r="A1964" s="3"/>
    </row>
    <row r="1965" spans="1:1" x14ac:dyDescent="0.45">
      <c r="A1965" s="3"/>
    </row>
    <row r="1966" spans="1:1" x14ac:dyDescent="0.45">
      <c r="A1966" s="3"/>
    </row>
    <row r="1967" spans="1:1" x14ac:dyDescent="0.45">
      <c r="A1967" s="3"/>
    </row>
    <row r="1968" spans="1:1" x14ac:dyDescent="0.45">
      <c r="A1968" s="3"/>
    </row>
    <row r="1969" spans="1:1" x14ac:dyDescent="0.45">
      <c r="A1969" s="3"/>
    </row>
    <row r="1970" spans="1:1" x14ac:dyDescent="0.45">
      <c r="A1970" s="3"/>
    </row>
    <row r="1971" spans="1:1" x14ac:dyDescent="0.45">
      <c r="A1971" s="3"/>
    </row>
    <row r="1972" spans="1:1" x14ac:dyDescent="0.45">
      <c r="A1972" s="3"/>
    </row>
    <row r="1973" spans="1:1" x14ac:dyDescent="0.45">
      <c r="A1973" s="3"/>
    </row>
    <row r="1974" spans="1:1" x14ac:dyDescent="0.45">
      <c r="A1974" s="3"/>
    </row>
    <row r="1975" spans="1:1" x14ac:dyDescent="0.45">
      <c r="A1975" s="3"/>
    </row>
    <row r="1976" spans="1:1" x14ac:dyDescent="0.45">
      <c r="A1976" s="3"/>
    </row>
    <row r="1977" spans="1:1" x14ac:dyDescent="0.45">
      <c r="A1977" s="3"/>
    </row>
    <row r="1978" spans="1:1" x14ac:dyDescent="0.45">
      <c r="A1978" s="3"/>
    </row>
    <row r="1979" spans="1:1" x14ac:dyDescent="0.45">
      <c r="A1979" s="3"/>
    </row>
    <row r="1980" spans="1:1" x14ac:dyDescent="0.45">
      <c r="A1980" s="3"/>
    </row>
    <row r="1981" spans="1:1" x14ac:dyDescent="0.45">
      <c r="A1981" s="3"/>
    </row>
    <row r="1982" spans="1:1" x14ac:dyDescent="0.45">
      <c r="A1982" s="3"/>
    </row>
    <row r="1983" spans="1:1" x14ac:dyDescent="0.45">
      <c r="A1983" s="3"/>
    </row>
    <row r="1984" spans="1:1" x14ac:dyDescent="0.45">
      <c r="A1984" s="3"/>
    </row>
    <row r="1985" spans="1:1" x14ac:dyDescent="0.45">
      <c r="A1985" s="3"/>
    </row>
    <row r="1986" spans="1:1" x14ac:dyDescent="0.45">
      <c r="A1986" s="3"/>
    </row>
    <row r="1987" spans="1:1" x14ac:dyDescent="0.45">
      <c r="A1987" s="3"/>
    </row>
    <row r="1988" spans="1:1" x14ac:dyDescent="0.45">
      <c r="A1988" s="3"/>
    </row>
    <row r="1989" spans="1:1" x14ac:dyDescent="0.45">
      <c r="A1989" s="3"/>
    </row>
    <row r="1990" spans="1:1" x14ac:dyDescent="0.45">
      <c r="A1990" s="3"/>
    </row>
    <row r="1991" spans="1:1" x14ac:dyDescent="0.45">
      <c r="A1991" s="3"/>
    </row>
    <row r="1992" spans="1:1" x14ac:dyDescent="0.45">
      <c r="A1992" s="3"/>
    </row>
    <row r="1993" spans="1:1" x14ac:dyDescent="0.45">
      <c r="A1993" s="3"/>
    </row>
    <row r="1994" spans="1:1" x14ac:dyDescent="0.45">
      <c r="A1994" s="3"/>
    </row>
    <row r="1995" spans="1:1" x14ac:dyDescent="0.45">
      <c r="A1995" s="3"/>
    </row>
    <row r="1996" spans="1:1" x14ac:dyDescent="0.45">
      <c r="A1996" s="3"/>
    </row>
    <row r="1997" spans="1:1" x14ac:dyDescent="0.45">
      <c r="A1997" s="3"/>
    </row>
    <row r="1998" spans="1:1" x14ac:dyDescent="0.45">
      <c r="A1998" s="3"/>
    </row>
    <row r="1999" spans="1:1" x14ac:dyDescent="0.45">
      <c r="A1999" s="3"/>
    </row>
    <row r="2000" spans="1:1" x14ac:dyDescent="0.45">
      <c r="A2000" s="3"/>
    </row>
    <row r="2001" spans="1:1" x14ac:dyDescent="0.45">
      <c r="A2001" s="3"/>
    </row>
    <row r="2002" spans="1:1" x14ac:dyDescent="0.45">
      <c r="A2002" s="3"/>
    </row>
    <row r="2003" spans="1:1" x14ac:dyDescent="0.45">
      <c r="A2003" s="3"/>
    </row>
    <row r="2004" spans="1:1" x14ac:dyDescent="0.45">
      <c r="A2004" s="3"/>
    </row>
    <row r="2005" spans="1:1" x14ac:dyDescent="0.45">
      <c r="A2005" s="3"/>
    </row>
    <row r="2006" spans="1:1" x14ac:dyDescent="0.45">
      <c r="A2006" s="3"/>
    </row>
    <row r="2007" spans="1:1" x14ac:dyDescent="0.45">
      <c r="A2007" s="3"/>
    </row>
    <row r="2008" spans="1:1" x14ac:dyDescent="0.45">
      <c r="A2008" s="3"/>
    </row>
    <row r="2009" spans="1:1" x14ac:dyDescent="0.45">
      <c r="A2009" s="3"/>
    </row>
    <row r="2010" spans="1:1" x14ac:dyDescent="0.45">
      <c r="A2010" s="3"/>
    </row>
    <row r="2011" spans="1:1" x14ac:dyDescent="0.45">
      <c r="A2011" s="3"/>
    </row>
    <row r="2012" spans="1:1" x14ac:dyDescent="0.45">
      <c r="A2012" s="3"/>
    </row>
    <row r="2013" spans="1:1" x14ac:dyDescent="0.45">
      <c r="A2013" s="3"/>
    </row>
    <row r="2014" spans="1:1" x14ac:dyDescent="0.45">
      <c r="A2014" s="3"/>
    </row>
    <row r="2015" spans="1:1" x14ac:dyDescent="0.45">
      <c r="A2015" s="3"/>
    </row>
    <row r="2016" spans="1:1" x14ac:dyDescent="0.45">
      <c r="A2016" s="3"/>
    </row>
    <row r="2017" spans="1:1" x14ac:dyDescent="0.45">
      <c r="A2017" s="3"/>
    </row>
    <row r="2018" spans="1:1" x14ac:dyDescent="0.45">
      <c r="A2018" s="3"/>
    </row>
    <row r="2019" spans="1:1" x14ac:dyDescent="0.45">
      <c r="A2019" s="3"/>
    </row>
    <row r="2020" spans="1:1" x14ac:dyDescent="0.45">
      <c r="A2020" s="3"/>
    </row>
    <row r="2021" spans="1:1" x14ac:dyDescent="0.45">
      <c r="A2021" s="3"/>
    </row>
    <row r="2022" spans="1:1" x14ac:dyDescent="0.45">
      <c r="A2022" s="3"/>
    </row>
    <row r="2023" spans="1:1" x14ac:dyDescent="0.45">
      <c r="A2023" s="3"/>
    </row>
    <row r="2024" spans="1:1" x14ac:dyDescent="0.45">
      <c r="A2024" s="3"/>
    </row>
    <row r="2025" spans="1:1" x14ac:dyDescent="0.45">
      <c r="A2025" s="3"/>
    </row>
    <row r="2026" spans="1:1" x14ac:dyDescent="0.45">
      <c r="A2026" s="3"/>
    </row>
    <row r="2027" spans="1:1" x14ac:dyDescent="0.45">
      <c r="A2027" s="3"/>
    </row>
    <row r="2028" spans="1:1" x14ac:dyDescent="0.45">
      <c r="A2028" s="3"/>
    </row>
    <row r="2029" spans="1:1" x14ac:dyDescent="0.45">
      <c r="A2029" s="3"/>
    </row>
    <row r="2030" spans="1:1" x14ac:dyDescent="0.45">
      <c r="A2030" s="3"/>
    </row>
    <row r="2031" spans="1:1" x14ac:dyDescent="0.45">
      <c r="A2031" s="3"/>
    </row>
    <row r="2032" spans="1:1" x14ac:dyDescent="0.45">
      <c r="A2032" s="3"/>
    </row>
    <row r="2033" spans="1:1" x14ac:dyDescent="0.45">
      <c r="A2033" s="3"/>
    </row>
    <row r="2034" spans="1:1" x14ac:dyDescent="0.45">
      <c r="A2034" s="3"/>
    </row>
    <row r="2035" spans="1:1" x14ac:dyDescent="0.45">
      <c r="A2035" s="3"/>
    </row>
    <row r="2036" spans="1:1" x14ac:dyDescent="0.45">
      <c r="A2036" s="3"/>
    </row>
    <row r="2037" spans="1:1" x14ac:dyDescent="0.45">
      <c r="A2037" s="3"/>
    </row>
    <row r="2038" spans="1:1" x14ac:dyDescent="0.45">
      <c r="A2038" s="3"/>
    </row>
    <row r="2039" spans="1:1" x14ac:dyDescent="0.45">
      <c r="A2039" s="3"/>
    </row>
    <row r="2040" spans="1:1" x14ac:dyDescent="0.45">
      <c r="A2040" s="3"/>
    </row>
    <row r="2041" spans="1:1" x14ac:dyDescent="0.45">
      <c r="A2041" s="3"/>
    </row>
    <row r="2042" spans="1:1" x14ac:dyDescent="0.45">
      <c r="A2042" s="3"/>
    </row>
    <row r="2043" spans="1:1" x14ac:dyDescent="0.45">
      <c r="A2043" s="3"/>
    </row>
    <row r="2044" spans="1:1" x14ac:dyDescent="0.45">
      <c r="A2044" s="3"/>
    </row>
    <row r="2045" spans="1:1" x14ac:dyDescent="0.45">
      <c r="A2045" s="3"/>
    </row>
    <row r="2046" spans="1:1" x14ac:dyDescent="0.45">
      <c r="A2046" s="3"/>
    </row>
    <row r="2047" spans="1:1" x14ac:dyDescent="0.45">
      <c r="A2047" s="3"/>
    </row>
    <row r="2048" spans="1:1" x14ac:dyDescent="0.45">
      <c r="A2048" s="3"/>
    </row>
    <row r="2049" spans="1:1" x14ac:dyDescent="0.45">
      <c r="A2049" s="3"/>
    </row>
    <row r="2050" spans="1:1" x14ac:dyDescent="0.45">
      <c r="A2050" s="3"/>
    </row>
    <row r="2051" spans="1:1" x14ac:dyDescent="0.45">
      <c r="A2051" s="3"/>
    </row>
    <row r="2052" spans="1:1" x14ac:dyDescent="0.45">
      <c r="A2052" s="3"/>
    </row>
    <row r="2053" spans="1:1" x14ac:dyDescent="0.45">
      <c r="A2053" s="3"/>
    </row>
    <row r="2054" spans="1:1" x14ac:dyDescent="0.45">
      <c r="A2054" s="3"/>
    </row>
    <row r="2055" spans="1:1" x14ac:dyDescent="0.45">
      <c r="A2055" s="3"/>
    </row>
    <row r="2056" spans="1:1" x14ac:dyDescent="0.45">
      <c r="A2056" s="3"/>
    </row>
    <row r="2057" spans="1:1" x14ac:dyDescent="0.45">
      <c r="A2057" s="3"/>
    </row>
    <row r="2058" spans="1:1" x14ac:dyDescent="0.45">
      <c r="A2058" s="3"/>
    </row>
    <row r="2059" spans="1:1" x14ac:dyDescent="0.45">
      <c r="A2059" s="3"/>
    </row>
    <row r="2060" spans="1:1" x14ac:dyDescent="0.45">
      <c r="A2060" s="3"/>
    </row>
    <row r="2061" spans="1:1" x14ac:dyDescent="0.45">
      <c r="A2061" s="3"/>
    </row>
    <row r="2062" spans="1:1" x14ac:dyDescent="0.45">
      <c r="A2062" s="3"/>
    </row>
    <row r="2063" spans="1:1" x14ac:dyDescent="0.45">
      <c r="A2063" s="3"/>
    </row>
    <row r="2064" spans="1:1" x14ac:dyDescent="0.45">
      <c r="A2064" s="3"/>
    </row>
    <row r="2065" spans="1:1" x14ac:dyDescent="0.45">
      <c r="A2065" s="3"/>
    </row>
    <row r="2066" spans="1:1" x14ac:dyDescent="0.45">
      <c r="A2066" s="3"/>
    </row>
    <row r="2067" spans="1:1" x14ac:dyDescent="0.45">
      <c r="A2067" s="3"/>
    </row>
    <row r="2068" spans="1:1" x14ac:dyDescent="0.45">
      <c r="A2068" s="3"/>
    </row>
    <row r="2069" spans="1:1" x14ac:dyDescent="0.45">
      <c r="A2069" s="3"/>
    </row>
    <row r="2070" spans="1:1" x14ac:dyDescent="0.45">
      <c r="A2070" s="3"/>
    </row>
    <row r="2071" spans="1:1" x14ac:dyDescent="0.45">
      <c r="A2071" s="3"/>
    </row>
    <row r="2072" spans="1:1" x14ac:dyDescent="0.45">
      <c r="A2072" s="3"/>
    </row>
    <row r="2073" spans="1:1" x14ac:dyDescent="0.45">
      <c r="A2073" s="3"/>
    </row>
    <row r="2074" spans="1:1" x14ac:dyDescent="0.45">
      <c r="A2074" s="3"/>
    </row>
    <row r="2075" spans="1:1" x14ac:dyDescent="0.45">
      <c r="A2075" s="3"/>
    </row>
    <row r="2076" spans="1:1" x14ac:dyDescent="0.45">
      <c r="A2076" s="3"/>
    </row>
    <row r="2077" spans="1:1" x14ac:dyDescent="0.45">
      <c r="A2077" s="3"/>
    </row>
    <row r="2078" spans="1:1" x14ac:dyDescent="0.45">
      <c r="A2078" s="3"/>
    </row>
    <row r="2079" spans="1:1" x14ac:dyDescent="0.45">
      <c r="A2079" s="3"/>
    </row>
    <row r="2080" spans="1:1" x14ac:dyDescent="0.45">
      <c r="A2080" s="3"/>
    </row>
    <row r="2081" spans="1:1" x14ac:dyDescent="0.45">
      <c r="A2081" s="3"/>
    </row>
    <row r="2082" spans="1:1" x14ac:dyDescent="0.45">
      <c r="A2082" s="3"/>
    </row>
    <row r="2083" spans="1:1" x14ac:dyDescent="0.45">
      <c r="A2083" s="3"/>
    </row>
    <row r="2084" spans="1:1" x14ac:dyDescent="0.45">
      <c r="A2084" s="3"/>
    </row>
    <row r="2085" spans="1:1" x14ac:dyDescent="0.45">
      <c r="A2085" s="3"/>
    </row>
    <row r="2086" spans="1:1" x14ac:dyDescent="0.45">
      <c r="A2086" s="3"/>
    </row>
    <row r="2087" spans="1:1" x14ac:dyDescent="0.45">
      <c r="A2087" s="3"/>
    </row>
    <row r="2088" spans="1:1" x14ac:dyDescent="0.45">
      <c r="A2088" s="3"/>
    </row>
    <row r="2089" spans="1:1" x14ac:dyDescent="0.45">
      <c r="A2089" s="3"/>
    </row>
    <row r="2090" spans="1:1" x14ac:dyDescent="0.45">
      <c r="A2090" s="3"/>
    </row>
    <row r="2091" spans="1:1" x14ac:dyDescent="0.45">
      <c r="A2091" s="3"/>
    </row>
    <row r="2092" spans="1:1" x14ac:dyDescent="0.45">
      <c r="A2092" s="3"/>
    </row>
    <row r="2093" spans="1:1" x14ac:dyDescent="0.45">
      <c r="A2093" s="3"/>
    </row>
    <row r="2094" spans="1:1" x14ac:dyDescent="0.45">
      <c r="A2094" s="3"/>
    </row>
    <row r="2095" spans="1:1" x14ac:dyDescent="0.45">
      <c r="A2095" s="3"/>
    </row>
    <row r="2096" spans="1:1" x14ac:dyDescent="0.45">
      <c r="A2096" s="3"/>
    </row>
    <row r="2097" spans="1:1" x14ac:dyDescent="0.45">
      <c r="A2097" s="3"/>
    </row>
    <row r="2098" spans="1:1" x14ac:dyDescent="0.45">
      <c r="A2098" s="3"/>
    </row>
    <row r="2099" spans="1:1" x14ac:dyDescent="0.45">
      <c r="A2099" s="3"/>
    </row>
    <row r="2100" spans="1:1" x14ac:dyDescent="0.45">
      <c r="A2100" s="3"/>
    </row>
    <row r="2101" spans="1:1" x14ac:dyDescent="0.45">
      <c r="A2101" s="3"/>
    </row>
    <row r="2102" spans="1:1" x14ac:dyDescent="0.45">
      <c r="A2102" s="3"/>
    </row>
    <row r="2103" spans="1:1" x14ac:dyDescent="0.45">
      <c r="A2103" s="3"/>
    </row>
    <row r="2104" spans="1:1" x14ac:dyDescent="0.45">
      <c r="A2104" s="3"/>
    </row>
    <row r="2105" spans="1:1" x14ac:dyDescent="0.45">
      <c r="A2105" s="3"/>
    </row>
    <row r="2106" spans="1:1" x14ac:dyDescent="0.45">
      <c r="A2106" s="3"/>
    </row>
    <row r="2107" spans="1:1" x14ac:dyDescent="0.45">
      <c r="A2107" s="3"/>
    </row>
    <row r="2108" spans="1:1" x14ac:dyDescent="0.45">
      <c r="A2108" s="3"/>
    </row>
    <row r="2109" spans="1:1" x14ac:dyDescent="0.45">
      <c r="A2109" s="3"/>
    </row>
    <row r="2110" spans="1:1" x14ac:dyDescent="0.45">
      <c r="A2110" s="3"/>
    </row>
    <row r="2111" spans="1:1" x14ac:dyDescent="0.45">
      <c r="A2111" s="3"/>
    </row>
    <row r="2112" spans="1:1" x14ac:dyDescent="0.45">
      <c r="A2112" s="3"/>
    </row>
    <row r="2113" spans="1:1" x14ac:dyDescent="0.45">
      <c r="A2113" s="3"/>
    </row>
    <row r="2114" spans="1:1" x14ac:dyDescent="0.45">
      <c r="A2114" s="3"/>
    </row>
    <row r="2115" spans="1:1" x14ac:dyDescent="0.45">
      <c r="A2115" s="3"/>
    </row>
    <row r="2116" spans="1:1" x14ac:dyDescent="0.45">
      <c r="A2116" s="3"/>
    </row>
    <row r="2117" spans="1:1" x14ac:dyDescent="0.45">
      <c r="A2117" s="3"/>
    </row>
    <row r="2118" spans="1:1" x14ac:dyDescent="0.45">
      <c r="A2118" s="3"/>
    </row>
    <row r="2119" spans="1:1" x14ac:dyDescent="0.45">
      <c r="A2119" s="3"/>
    </row>
    <row r="2120" spans="1:1" x14ac:dyDescent="0.45">
      <c r="A2120" s="3"/>
    </row>
    <row r="2121" spans="1:1" x14ac:dyDescent="0.45">
      <c r="A2121" s="3"/>
    </row>
    <row r="2122" spans="1:1" x14ac:dyDescent="0.45">
      <c r="A2122" s="3"/>
    </row>
    <row r="2123" spans="1:1" x14ac:dyDescent="0.45">
      <c r="A2123" s="3"/>
    </row>
    <row r="2124" spans="1:1" x14ac:dyDescent="0.45">
      <c r="A2124" s="3"/>
    </row>
    <row r="2125" spans="1:1" x14ac:dyDescent="0.45">
      <c r="A2125" s="3"/>
    </row>
    <row r="2126" spans="1:1" x14ac:dyDescent="0.45">
      <c r="A2126" s="3"/>
    </row>
    <row r="2127" spans="1:1" x14ac:dyDescent="0.45">
      <c r="A2127" s="3"/>
    </row>
    <row r="2128" spans="1:1" x14ac:dyDescent="0.45">
      <c r="A2128" s="3"/>
    </row>
    <row r="2129" spans="1:1" x14ac:dyDescent="0.45">
      <c r="A2129" s="3"/>
    </row>
    <row r="2130" spans="1:1" x14ac:dyDescent="0.45">
      <c r="A2130" s="3"/>
    </row>
    <row r="2131" spans="1:1" x14ac:dyDescent="0.45">
      <c r="A2131" s="3"/>
    </row>
    <row r="2132" spans="1:1" x14ac:dyDescent="0.45">
      <c r="A2132" s="3"/>
    </row>
    <row r="2133" spans="1:1" x14ac:dyDescent="0.45">
      <c r="A2133" s="3"/>
    </row>
    <row r="2134" spans="1:1" x14ac:dyDescent="0.45">
      <c r="A2134" s="3"/>
    </row>
    <row r="2135" spans="1:1" x14ac:dyDescent="0.45">
      <c r="A2135" s="3"/>
    </row>
    <row r="2136" spans="1:1" x14ac:dyDescent="0.45">
      <c r="A2136" s="3"/>
    </row>
    <row r="2137" spans="1:1" x14ac:dyDescent="0.45">
      <c r="A2137" s="3"/>
    </row>
    <row r="2138" spans="1:1" x14ac:dyDescent="0.45">
      <c r="A2138" s="3"/>
    </row>
    <row r="2139" spans="1:1" x14ac:dyDescent="0.45">
      <c r="A2139" s="3"/>
    </row>
    <row r="2140" spans="1:1" x14ac:dyDescent="0.45">
      <c r="A2140" s="3"/>
    </row>
    <row r="2141" spans="1:1" x14ac:dyDescent="0.45">
      <c r="A2141" s="3"/>
    </row>
    <row r="2142" spans="1:1" x14ac:dyDescent="0.45">
      <c r="A2142" s="3"/>
    </row>
    <row r="2143" spans="1:1" x14ac:dyDescent="0.45">
      <c r="A2143" s="3"/>
    </row>
    <row r="2144" spans="1:1" x14ac:dyDescent="0.45">
      <c r="A2144" s="3"/>
    </row>
    <row r="2145" spans="1:1" x14ac:dyDescent="0.45">
      <c r="A2145" s="3"/>
    </row>
    <row r="2146" spans="1:1" x14ac:dyDescent="0.45">
      <c r="A2146" s="3"/>
    </row>
    <row r="2147" spans="1:1" x14ac:dyDescent="0.45">
      <c r="A2147" s="3"/>
    </row>
    <row r="2148" spans="1:1" x14ac:dyDescent="0.45">
      <c r="A2148" s="3"/>
    </row>
    <row r="2149" spans="1:1" x14ac:dyDescent="0.45">
      <c r="A2149" s="3"/>
    </row>
    <row r="2150" spans="1:1" x14ac:dyDescent="0.45">
      <c r="A2150" s="3"/>
    </row>
    <row r="2151" spans="1:1" x14ac:dyDescent="0.45">
      <c r="A2151" s="3"/>
    </row>
    <row r="2152" spans="1:1" x14ac:dyDescent="0.45">
      <c r="A2152" s="3"/>
    </row>
    <row r="2153" spans="1:1" x14ac:dyDescent="0.45">
      <c r="A2153" s="3"/>
    </row>
    <row r="2154" spans="1:1" x14ac:dyDescent="0.45">
      <c r="A2154" s="3"/>
    </row>
    <row r="2155" spans="1:1" x14ac:dyDescent="0.45">
      <c r="A2155" s="3"/>
    </row>
    <row r="2156" spans="1:1" x14ac:dyDescent="0.45">
      <c r="A2156" s="3"/>
    </row>
    <row r="2157" spans="1:1" x14ac:dyDescent="0.45">
      <c r="A2157" s="3"/>
    </row>
    <row r="2158" spans="1:1" x14ac:dyDescent="0.45">
      <c r="A2158" s="3"/>
    </row>
    <row r="2159" spans="1:1" x14ac:dyDescent="0.45">
      <c r="A2159" s="3"/>
    </row>
    <row r="2160" spans="1:1" x14ac:dyDescent="0.45">
      <c r="A2160" s="3"/>
    </row>
    <row r="2161" spans="1:1" x14ac:dyDescent="0.45">
      <c r="A2161" s="3"/>
    </row>
    <row r="2162" spans="1:1" x14ac:dyDescent="0.45">
      <c r="A2162" s="3"/>
    </row>
    <row r="2163" spans="1:1" x14ac:dyDescent="0.45">
      <c r="A2163" s="3"/>
    </row>
    <row r="2164" spans="1:1" x14ac:dyDescent="0.45">
      <c r="A2164" s="3"/>
    </row>
    <row r="2165" spans="1:1" x14ac:dyDescent="0.45">
      <c r="A2165" s="3"/>
    </row>
    <row r="2166" spans="1:1" x14ac:dyDescent="0.45">
      <c r="A2166" s="3"/>
    </row>
    <row r="2167" spans="1:1" x14ac:dyDescent="0.45">
      <c r="A2167" s="3"/>
    </row>
    <row r="2168" spans="1:1" x14ac:dyDescent="0.45">
      <c r="A2168" s="3"/>
    </row>
    <row r="2169" spans="1:1" x14ac:dyDescent="0.45">
      <c r="A2169" s="3"/>
    </row>
    <row r="2170" spans="1:1" x14ac:dyDescent="0.45">
      <c r="A2170" s="3"/>
    </row>
    <row r="2171" spans="1:1" x14ac:dyDescent="0.45">
      <c r="A2171" s="3"/>
    </row>
    <row r="2172" spans="1:1" x14ac:dyDescent="0.45">
      <c r="A2172" s="3"/>
    </row>
    <row r="2173" spans="1:1" x14ac:dyDescent="0.45">
      <c r="A2173" s="3"/>
    </row>
    <row r="2174" spans="1:1" x14ac:dyDescent="0.45">
      <c r="A2174" s="3"/>
    </row>
    <row r="2175" spans="1:1" x14ac:dyDescent="0.45">
      <c r="A2175" s="3"/>
    </row>
    <row r="2176" spans="1:1" x14ac:dyDescent="0.45">
      <c r="A2176" s="3"/>
    </row>
    <row r="2177" spans="1:1" x14ac:dyDescent="0.45">
      <c r="A2177" s="3"/>
    </row>
    <row r="2178" spans="1:1" x14ac:dyDescent="0.45">
      <c r="A2178" s="3"/>
    </row>
    <row r="2179" spans="1:1" x14ac:dyDescent="0.45">
      <c r="A2179" s="3"/>
    </row>
    <row r="2180" spans="1:1" x14ac:dyDescent="0.45">
      <c r="A2180" s="3"/>
    </row>
    <row r="2181" spans="1:1" x14ac:dyDescent="0.45">
      <c r="A2181" s="3"/>
    </row>
    <row r="2182" spans="1:1" x14ac:dyDescent="0.45">
      <c r="A2182" s="3"/>
    </row>
    <row r="2183" spans="1:1" x14ac:dyDescent="0.45">
      <c r="A2183" s="3"/>
    </row>
    <row r="2184" spans="1:1" x14ac:dyDescent="0.45">
      <c r="A2184" s="3"/>
    </row>
    <row r="2185" spans="1:1" x14ac:dyDescent="0.45">
      <c r="A2185" s="3"/>
    </row>
    <row r="2186" spans="1:1" x14ac:dyDescent="0.45">
      <c r="A2186" s="3"/>
    </row>
    <row r="2187" spans="1:1" x14ac:dyDescent="0.45">
      <c r="A2187" s="3"/>
    </row>
    <row r="2188" spans="1:1" x14ac:dyDescent="0.45">
      <c r="A2188" s="3"/>
    </row>
    <row r="2189" spans="1:1" x14ac:dyDescent="0.45">
      <c r="A2189" s="3"/>
    </row>
    <row r="2190" spans="1:1" x14ac:dyDescent="0.45">
      <c r="A2190" s="3"/>
    </row>
    <row r="2191" spans="1:1" x14ac:dyDescent="0.45">
      <c r="A2191" s="3"/>
    </row>
    <row r="2192" spans="1:1" x14ac:dyDescent="0.45">
      <c r="A2192" s="3"/>
    </row>
    <row r="2193" spans="1:1" x14ac:dyDescent="0.45">
      <c r="A2193" s="3"/>
    </row>
    <row r="2194" spans="1:1" x14ac:dyDescent="0.45">
      <c r="A2194" s="3"/>
    </row>
    <row r="2195" spans="1:1" x14ac:dyDescent="0.45">
      <c r="A2195" s="3"/>
    </row>
    <row r="2196" spans="1:1" x14ac:dyDescent="0.45">
      <c r="A2196" s="3"/>
    </row>
    <row r="2197" spans="1:1" x14ac:dyDescent="0.45">
      <c r="A2197" s="3"/>
    </row>
    <row r="2198" spans="1:1" x14ac:dyDescent="0.45">
      <c r="A2198" s="3"/>
    </row>
    <row r="2199" spans="1:1" x14ac:dyDescent="0.45">
      <c r="A2199" s="3"/>
    </row>
    <row r="2200" spans="1:1" x14ac:dyDescent="0.45">
      <c r="A2200" s="3"/>
    </row>
    <row r="2201" spans="1:1" x14ac:dyDescent="0.45">
      <c r="A2201" s="3"/>
    </row>
    <row r="2202" spans="1:1" x14ac:dyDescent="0.45">
      <c r="A2202" s="3"/>
    </row>
    <row r="2203" spans="1:1" x14ac:dyDescent="0.45">
      <c r="A2203" s="3"/>
    </row>
    <row r="2204" spans="1:1" x14ac:dyDescent="0.45">
      <c r="A2204" s="3"/>
    </row>
    <row r="2205" spans="1:1" x14ac:dyDescent="0.45">
      <c r="A2205" s="3"/>
    </row>
    <row r="2206" spans="1:1" x14ac:dyDescent="0.45">
      <c r="A2206" s="3"/>
    </row>
    <row r="2207" spans="1:1" x14ac:dyDescent="0.45">
      <c r="A2207" s="3"/>
    </row>
    <row r="2208" spans="1:1" x14ac:dyDescent="0.45">
      <c r="A2208" s="3"/>
    </row>
    <row r="2209" spans="1:1" x14ac:dyDescent="0.45">
      <c r="A2209" s="3"/>
    </row>
    <row r="2210" spans="1:1" x14ac:dyDescent="0.45">
      <c r="A2210" s="3"/>
    </row>
    <row r="2211" spans="1:1" x14ac:dyDescent="0.45">
      <c r="A2211" s="3"/>
    </row>
    <row r="2212" spans="1:1" x14ac:dyDescent="0.45">
      <c r="A2212" s="3"/>
    </row>
    <row r="2213" spans="1:1" x14ac:dyDescent="0.45">
      <c r="A2213" s="3"/>
    </row>
    <row r="2214" spans="1:1" x14ac:dyDescent="0.45">
      <c r="A2214" s="3"/>
    </row>
    <row r="2215" spans="1:1" x14ac:dyDescent="0.45">
      <c r="A2215" s="3"/>
    </row>
    <row r="2216" spans="1:1" x14ac:dyDescent="0.45">
      <c r="A2216" s="3"/>
    </row>
    <row r="2217" spans="1:1" x14ac:dyDescent="0.45">
      <c r="A2217" s="3"/>
    </row>
    <row r="2218" spans="1:1" x14ac:dyDescent="0.45">
      <c r="A2218" s="3"/>
    </row>
    <row r="2219" spans="1:1" x14ac:dyDescent="0.45">
      <c r="A2219" s="3"/>
    </row>
    <row r="2220" spans="1:1" x14ac:dyDescent="0.45">
      <c r="A2220" s="3"/>
    </row>
    <row r="2221" spans="1:1" x14ac:dyDescent="0.45">
      <c r="A2221" s="3"/>
    </row>
    <row r="2222" spans="1:1" x14ac:dyDescent="0.45">
      <c r="A2222" s="3"/>
    </row>
    <row r="2223" spans="1:1" x14ac:dyDescent="0.45">
      <c r="A2223" s="3"/>
    </row>
    <row r="2224" spans="1:1" x14ac:dyDescent="0.45">
      <c r="A2224" s="3"/>
    </row>
    <row r="2225" spans="1:1" x14ac:dyDescent="0.45">
      <c r="A2225" s="3"/>
    </row>
    <row r="2226" spans="1:1" x14ac:dyDescent="0.45">
      <c r="A2226" s="3"/>
    </row>
    <row r="2227" spans="1:1" x14ac:dyDescent="0.45">
      <c r="A2227" s="3"/>
    </row>
    <row r="2228" spans="1:1" x14ac:dyDescent="0.45">
      <c r="A2228" s="3"/>
    </row>
    <row r="2229" spans="1:1" x14ac:dyDescent="0.45">
      <c r="A2229" s="3"/>
    </row>
    <row r="2230" spans="1:1" x14ac:dyDescent="0.45">
      <c r="A2230" s="3"/>
    </row>
    <row r="2231" spans="1:1" x14ac:dyDescent="0.45">
      <c r="A2231" s="3"/>
    </row>
    <row r="2232" spans="1:1" x14ac:dyDescent="0.45">
      <c r="A2232" s="3"/>
    </row>
    <row r="2233" spans="1:1" x14ac:dyDescent="0.45">
      <c r="A2233" s="3"/>
    </row>
    <row r="2234" spans="1:1" x14ac:dyDescent="0.45">
      <c r="A2234" s="3"/>
    </row>
    <row r="2235" spans="1:1" x14ac:dyDescent="0.45">
      <c r="A2235" s="3"/>
    </row>
    <row r="2236" spans="1:1" x14ac:dyDescent="0.45">
      <c r="A2236" s="3"/>
    </row>
    <row r="2237" spans="1:1" x14ac:dyDescent="0.45">
      <c r="A2237" s="3"/>
    </row>
    <row r="2238" spans="1:1" x14ac:dyDescent="0.45">
      <c r="A2238" s="3"/>
    </row>
    <row r="2239" spans="1:1" x14ac:dyDescent="0.45">
      <c r="A2239" s="3"/>
    </row>
    <row r="2240" spans="1:1" x14ac:dyDescent="0.45">
      <c r="A2240" s="3"/>
    </row>
    <row r="2241" spans="1:1" x14ac:dyDescent="0.45">
      <c r="A2241" s="3"/>
    </row>
    <row r="2242" spans="1:1" x14ac:dyDescent="0.45">
      <c r="A2242" s="3"/>
    </row>
    <row r="2243" spans="1:1" x14ac:dyDescent="0.45">
      <c r="A2243" s="3"/>
    </row>
    <row r="2244" spans="1:1" x14ac:dyDescent="0.45">
      <c r="A2244" s="3"/>
    </row>
    <row r="2245" spans="1:1" x14ac:dyDescent="0.45">
      <c r="A2245" s="3"/>
    </row>
    <row r="2246" spans="1:1" x14ac:dyDescent="0.45">
      <c r="A2246" s="3"/>
    </row>
    <row r="2247" spans="1:1" x14ac:dyDescent="0.45">
      <c r="A2247" s="3"/>
    </row>
    <row r="2248" spans="1:1" x14ac:dyDescent="0.45">
      <c r="A2248" s="3"/>
    </row>
    <row r="2249" spans="1:1" x14ac:dyDescent="0.45">
      <c r="A2249" s="3"/>
    </row>
    <row r="2250" spans="1:1" x14ac:dyDescent="0.45">
      <c r="A2250" s="3"/>
    </row>
    <row r="2251" spans="1:1" x14ac:dyDescent="0.45">
      <c r="A2251" s="3"/>
    </row>
    <row r="2252" spans="1:1" x14ac:dyDescent="0.45">
      <c r="A2252" s="3"/>
    </row>
    <row r="2253" spans="1:1" x14ac:dyDescent="0.45">
      <c r="A2253" s="3"/>
    </row>
    <row r="2254" spans="1:1" x14ac:dyDescent="0.45">
      <c r="A2254" s="3"/>
    </row>
    <row r="2255" spans="1:1" x14ac:dyDescent="0.45">
      <c r="A2255" s="3"/>
    </row>
    <row r="2256" spans="1:1" x14ac:dyDescent="0.45">
      <c r="A2256" s="3"/>
    </row>
    <row r="2257" spans="1:1" x14ac:dyDescent="0.45">
      <c r="A2257" s="3"/>
    </row>
    <row r="2258" spans="1:1" x14ac:dyDescent="0.45">
      <c r="A2258" s="3"/>
    </row>
    <row r="2259" spans="1:1" x14ac:dyDescent="0.45">
      <c r="A2259" s="3"/>
    </row>
    <row r="2260" spans="1:1" x14ac:dyDescent="0.45">
      <c r="A2260" s="3"/>
    </row>
    <row r="2261" spans="1:1" x14ac:dyDescent="0.45">
      <c r="A2261" s="3"/>
    </row>
    <row r="2262" spans="1:1" x14ac:dyDescent="0.45">
      <c r="A2262" s="3"/>
    </row>
    <row r="2263" spans="1:1" x14ac:dyDescent="0.45">
      <c r="A2263" s="3"/>
    </row>
    <row r="2264" spans="1:1" x14ac:dyDescent="0.45">
      <c r="A2264" s="3"/>
    </row>
    <row r="2265" spans="1:1" x14ac:dyDescent="0.45">
      <c r="A2265" s="3"/>
    </row>
    <row r="2266" spans="1:1" x14ac:dyDescent="0.45">
      <c r="A2266" s="3"/>
    </row>
    <row r="2267" spans="1:1" x14ac:dyDescent="0.45">
      <c r="A2267" s="3"/>
    </row>
    <row r="2268" spans="1:1" x14ac:dyDescent="0.45">
      <c r="A2268" s="3"/>
    </row>
    <row r="2269" spans="1:1" x14ac:dyDescent="0.45">
      <c r="A2269" s="3"/>
    </row>
    <row r="2270" spans="1:1" x14ac:dyDescent="0.45">
      <c r="A2270" s="3"/>
    </row>
    <row r="2271" spans="1:1" x14ac:dyDescent="0.45">
      <c r="A2271" s="3"/>
    </row>
    <row r="2272" spans="1:1" x14ac:dyDescent="0.45">
      <c r="A2272" s="3"/>
    </row>
    <row r="2273" spans="1:1" x14ac:dyDescent="0.45">
      <c r="A2273" s="3"/>
    </row>
    <row r="2274" spans="1:1" x14ac:dyDescent="0.45">
      <c r="A2274" s="3"/>
    </row>
    <row r="2275" spans="1:1" x14ac:dyDescent="0.45">
      <c r="A2275" s="3"/>
    </row>
    <row r="2276" spans="1:1" x14ac:dyDescent="0.45">
      <c r="A2276" s="3"/>
    </row>
    <row r="2277" spans="1:1" x14ac:dyDescent="0.45">
      <c r="A2277" s="3"/>
    </row>
    <row r="2278" spans="1:1" x14ac:dyDescent="0.45">
      <c r="A2278" s="3"/>
    </row>
    <row r="2279" spans="1:1" x14ac:dyDescent="0.45">
      <c r="A2279" s="3"/>
    </row>
    <row r="2280" spans="1:1" x14ac:dyDescent="0.45">
      <c r="A2280" s="3"/>
    </row>
    <row r="2281" spans="1:1" x14ac:dyDescent="0.45">
      <c r="A2281" s="3"/>
    </row>
    <row r="2282" spans="1:1" x14ac:dyDescent="0.45">
      <c r="A2282" s="3"/>
    </row>
    <row r="2283" spans="1:1" x14ac:dyDescent="0.45">
      <c r="A2283" s="3"/>
    </row>
    <row r="2284" spans="1:1" x14ac:dyDescent="0.45">
      <c r="A2284" s="3"/>
    </row>
    <row r="2285" spans="1:1" x14ac:dyDescent="0.45">
      <c r="A2285" s="3"/>
    </row>
    <row r="2286" spans="1:1" x14ac:dyDescent="0.45">
      <c r="A2286" s="3"/>
    </row>
    <row r="2287" spans="1:1" x14ac:dyDescent="0.45">
      <c r="A2287" s="3"/>
    </row>
    <row r="2288" spans="1:1" x14ac:dyDescent="0.45">
      <c r="A2288" s="3"/>
    </row>
    <row r="2289" spans="1:1" x14ac:dyDescent="0.45">
      <c r="A2289" s="3"/>
    </row>
    <row r="2290" spans="1:1" x14ac:dyDescent="0.45">
      <c r="A2290" s="3"/>
    </row>
    <row r="2291" spans="1:1" x14ac:dyDescent="0.45">
      <c r="A2291" s="3"/>
    </row>
    <row r="2292" spans="1:1" x14ac:dyDescent="0.45">
      <c r="A2292" s="3"/>
    </row>
    <row r="2293" spans="1:1" x14ac:dyDescent="0.45">
      <c r="A2293" s="3"/>
    </row>
    <row r="2294" spans="1:1" x14ac:dyDescent="0.45">
      <c r="A2294" s="3"/>
    </row>
    <row r="2295" spans="1:1" x14ac:dyDescent="0.45">
      <c r="A2295" s="3"/>
    </row>
    <row r="2296" spans="1:1" x14ac:dyDescent="0.45">
      <c r="A2296" s="3"/>
    </row>
    <row r="2297" spans="1:1" x14ac:dyDescent="0.45">
      <c r="A2297" s="3"/>
    </row>
    <row r="2298" spans="1:1" x14ac:dyDescent="0.45">
      <c r="A2298" s="3"/>
    </row>
    <row r="2299" spans="1:1" x14ac:dyDescent="0.45">
      <c r="A2299" s="3"/>
    </row>
    <row r="2300" spans="1:1" x14ac:dyDescent="0.45">
      <c r="A2300" s="3"/>
    </row>
    <row r="2301" spans="1:1" x14ac:dyDescent="0.45">
      <c r="A2301" s="3"/>
    </row>
    <row r="2302" spans="1:1" x14ac:dyDescent="0.45">
      <c r="A2302" s="3"/>
    </row>
    <row r="2303" spans="1:1" x14ac:dyDescent="0.45">
      <c r="A2303" s="3"/>
    </row>
    <row r="2304" spans="1:1" x14ac:dyDescent="0.45">
      <c r="A2304" s="3"/>
    </row>
    <row r="2305" spans="1:1" x14ac:dyDescent="0.45">
      <c r="A2305" s="3"/>
    </row>
    <row r="2306" spans="1:1" x14ac:dyDescent="0.45">
      <c r="A2306" s="3"/>
    </row>
    <row r="2307" spans="1:1" x14ac:dyDescent="0.45">
      <c r="A2307" s="3"/>
    </row>
    <row r="2308" spans="1:1" x14ac:dyDescent="0.45">
      <c r="A2308" s="3"/>
    </row>
    <row r="2309" spans="1:1" x14ac:dyDescent="0.45">
      <c r="A2309" s="3"/>
    </row>
    <row r="2310" spans="1:1" x14ac:dyDescent="0.45">
      <c r="A2310" s="3"/>
    </row>
    <row r="2311" spans="1:1" x14ac:dyDescent="0.45">
      <c r="A2311" s="3"/>
    </row>
    <row r="2312" spans="1:1" x14ac:dyDescent="0.45">
      <c r="A2312" s="3"/>
    </row>
    <row r="2313" spans="1:1" x14ac:dyDescent="0.45">
      <c r="A2313" s="3"/>
    </row>
    <row r="2314" spans="1:1" x14ac:dyDescent="0.45">
      <c r="A2314" s="3"/>
    </row>
    <row r="2315" spans="1:1" x14ac:dyDescent="0.45">
      <c r="A2315" s="3"/>
    </row>
    <row r="2316" spans="1:1" x14ac:dyDescent="0.45">
      <c r="A2316" s="3"/>
    </row>
    <row r="2317" spans="1:1" x14ac:dyDescent="0.45">
      <c r="A2317" s="3"/>
    </row>
    <row r="2318" spans="1:1" x14ac:dyDescent="0.45">
      <c r="A2318" s="3"/>
    </row>
    <row r="2319" spans="1:1" x14ac:dyDescent="0.45">
      <c r="A2319" s="3"/>
    </row>
    <row r="2320" spans="1:1" x14ac:dyDescent="0.45">
      <c r="A2320" s="3"/>
    </row>
    <row r="2321" spans="1:1" x14ac:dyDescent="0.45">
      <c r="A2321" s="3"/>
    </row>
    <row r="2322" spans="1:1" x14ac:dyDescent="0.45">
      <c r="A2322" s="3"/>
    </row>
    <row r="2323" spans="1:1" x14ac:dyDescent="0.45">
      <c r="A2323" s="3"/>
    </row>
    <row r="2324" spans="1:1" x14ac:dyDescent="0.45">
      <c r="A2324" s="3"/>
    </row>
    <row r="2325" spans="1:1" x14ac:dyDescent="0.45">
      <c r="A2325" s="3"/>
    </row>
    <row r="2326" spans="1:1" x14ac:dyDescent="0.45">
      <c r="A2326" s="3"/>
    </row>
    <row r="2327" spans="1:1" x14ac:dyDescent="0.45">
      <c r="A2327" s="3"/>
    </row>
    <row r="2328" spans="1:1" x14ac:dyDescent="0.45">
      <c r="A2328" s="3"/>
    </row>
    <row r="2329" spans="1:1" x14ac:dyDescent="0.45">
      <c r="A2329" s="3"/>
    </row>
    <row r="2330" spans="1:1" x14ac:dyDescent="0.45">
      <c r="A2330" s="3"/>
    </row>
    <row r="2331" spans="1:1" x14ac:dyDescent="0.45">
      <c r="A2331" s="3"/>
    </row>
    <row r="2332" spans="1:1" x14ac:dyDescent="0.45">
      <c r="A2332" s="3"/>
    </row>
    <row r="2333" spans="1:1" x14ac:dyDescent="0.45">
      <c r="A2333" s="3"/>
    </row>
    <row r="2334" spans="1:1" x14ac:dyDescent="0.45">
      <c r="A2334" s="3"/>
    </row>
    <row r="2335" spans="1:1" x14ac:dyDescent="0.45">
      <c r="A2335" s="3"/>
    </row>
    <row r="2336" spans="1:1" x14ac:dyDescent="0.45">
      <c r="A2336" s="3"/>
    </row>
    <row r="2337" spans="1:1" x14ac:dyDescent="0.45">
      <c r="A2337" s="3"/>
    </row>
    <row r="2338" spans="1:1" x14ac:dyDescent="0.45">
      <c r="A2338" s="3"/>
    </row>
    <row r="2339" spans="1:1" x14ac:dyDescent="0.45">
      <c r="A2339" s="3"/>
    </row>
    <row r="2340" spans="1:1" x14ac:dyDescent="0.45">
      <c r="A2340" s="3"/>
    </row>
    <row r="2341" spans="1:1" x14ac:dyDescent="0.45">
      <c r="A2341" s="3"/>
    </row>
    <row r="2342" spans="1:1" x14ac:dyDescent="0.45">
      <c r="A2342" s="3"/>
    </row>
    <row r="2343" spans="1:1" x14ac:dyDescent="0.45">
      <c r="A2343" s="3"/>
    </row>
    <row r="2344" spans="1:1" x14ac:dyDescent="0.45">
      <c r="A2344" s="3"/>
    </row>
    <row r="2345" spans="1:1" x14ac:dyDescent="0.45">
      <c r="A2345" s="3"/>
    </row>
    <row r="2346" spans="1:1" x14ac:dyDescent="0.45">
      <c r="A2346" s="3"/>
    </row>
    <row r="2347" spans="1:1" x14ac:dyDescent="0.45">
      <c r="A2347" s="3"/>
    </row>
    <row r="2348" spans="1:1" x14ac:dyDescent="0.45">
      <c r="A2348" s="3"/>
    </row>
    <row r="2349" spans="1:1" x14ac:dyDescent="0.45">
      <c r="A2349" s="3"/>
    </row>
    <row r="2350" spans="1:1" x14ac:dyDescent="0.45">
      <c r="A2350" s="3"/>
    </row>
    <row r="2351" spans="1:1" x14ac:dyDescent="0.45">
      <c r="A2351" s="3"/>
    </row>
    <row r="2352" spans="1:1" x14ac:dyDescent="0.45">
      <c r="A2352" s="3"/>
    </row>
    <row r="2353" spans="1:1" x14ac:dyDescent="0.45">
      <c r="A2353" s="3"/>
    </row>
    <row r="2354" spans="1:1" x14ac:dyDescent="0.45">
      <c r="A2354" s="3"/>
    </row>
    <row r="2355" spans="1:1" x14ac:dyDescent="0.45">
      <c r="A2355" s="3"/>
    </row>
    <row r="2356" spans="1:1" x14ac:dyDescent="0.45">
      <c r="A2356" s="3"/>
    </row>
    <row r="2357" spans="1:1" x14ac:dyDescent="0.45">
      <c r="A2357" s="3"/>
    </row>
    <row r="2358" spans="1:1" x14ac:dyDescent="0.45">
      <c r="A2358" s="3"/>
    </row>
    <row r="2359" spans="1:1" x14ac:dyDescent="0.45">
      <c r="A2359" s="3"/>
    </row>
    <row r="2360" spans="1:1" x14ac:dyDescent="0.45">
      <c r="A2360" s="3"/>
    </row>
    <row r="2361" spans="1:1" x14ac:dyDescent="0.45">
      <c r="A2361" s="3"/>
    </row>
    <row r="2362" spans="1:1" x14ac:dyDescent="0.45">
      <c r="A2362" s="3"/>
    </row>
    <row r="2363" spans="1:1" x14ac:dyDescent="0.45">
      <c r="A2363" s="3"/>
    </row>
    <row r="2364" spans="1:1" x14ac:dyDescent="0.45">
      <c r="A2364" s="3"/>
    </row>
    <row r="2365" spans="1:1" x14ac:dyDescent="0.45">
      <c r="A2365" s="3"/>
    </row>
    <row r="2366" spans="1:1" x14ac:dyDescent="0.45">
      <c r="A2366" s="3"/>
    </row>
    <row r="2367" spans="1:1" x14ac:dyDescent="0.45">
      <c r="A2367" s="3"/>
    </row>
    <row r="2368" spans="1:1" x14ac:dyDescent="0.45">
      <c r="A2368" s="3"/>
    </row>
    <row r="2369" spans="1:1" x14ac:dyDescent="0.45">
      <c r="A2369" s="3"/>
    </row>
    <row r="2370" spans="1:1" x14ac:dyDescent="0.45">
      <c r="A2370" s="3"/>
    </row>
    <row r="2371" spans="1:1" x14ac:dyDescent="0.45">
      <c r="A2371" s="3"/>
    </row>
    <row r="2372" spans="1:1" x14ac:dyDescent="0.45">
      <c r="A2372" s="3"/>
    </row>
    <row r="2373" spans="1:1" x14ac:dyDescent="0.45">
      <c r="A2373" s="3"/>
    </row>
    <row r="2374" spans="1:1" x14ac:dyDescent="0.45">
      <c r="A2374" s="3"/>
    </row>
    <row r="2375" spans="1:1" x14ac:dyDescent="0.45">
      <c r="A2375" s="3"/>
    </row>
    <row r="2376" spans="1:1" x14ac:dyDescent="0.45">
      <c r="A2376" s="3"/>
    </row>
    <row r="2377" spans="1:1" x14ac:dyDescent="0.45">
      <c r="A2377" s="3"/>
    </row>
    <row r="2378" spans="1:1" x14ac:dyDescent="0.45">
      <c r="A2378" s="3"/>
    </row>
    <row r="2379" spans="1:1" x14ac:dyDescent="0.45">
      <c r="A2379" s="3"/>
    </row>
    <row r="2380" spans="1:1" x14ac:dyDescent="0.45">
      <c r="A2380" s="3"/>
    </row>
    <row r="2381" spans="1:1" x14ac:dyDescent="0.45">
      <c r="A2381" s="3"/>
    </row>
    <row r="2382" spans="1:1" x14ac:dyDescent="0.45">
      <c r="A2382" s="3"/>
    </row>
    <row r="2383" spans="1:1" x14ac:dyDescent="0.45">
      <c r="A2383" s="3"/>
    </row>
    <row r="2384" spans="1:1" x14ac:dyDescent="0.45">
      <c r="A2384" s="3"/>
    </row>
    <row r="2385" spans="1:1" x14ac:dyDescent="0.45">
      <c r="A2385" s="3"/>
    </row>
    <row r="2386" spans="1:1" x14ac:dyDescent="0.45">
      <c r="A2386" s="3"/>
    </row>
    <row r="2387" spans="1:1" x14ac:dyDescent="0.45">
      <c r="A2387" s="3"/>
    </row>
    <row r="2388" spans="1:1" x14ac:dyDescent="0.45">
      <c r="A2388" s="3"/>
    </row>
    <row r="2389" spans="1:1" x14ac:dyDescent="0.45">
      <c r="A2389" s="3"/>
    </row>
    <row r="2390" spans="1:1" x14ac:dyDescent="0.45">
      <c r="A2390" s="3"/>
    </row>
    <row r="2391" spans="1:1" x14ac:dyDescent="0.45">
      <c r="A2391" s="3"/>
    </row>
    <row r="2392" spans="1:1" x14ac:dyDescent="0.45">
      <c r="A2392" s="3"/>
    </row>
    <row r="2393" spans="1:1" x14ac:dyDescent="0.45">
      <c r="A2393" s="3"/>
    </row>
    <row r="2394" spans="1:1" x14ac:dyDescent="0.45">
      <c r="A2394" s="3"/>
    </row>
    <row r="2395" spans="1:1" x14ac:dyDescent="0.45">
      <c r="A2395" s="3"/>
    </row>
    <row r="2396" spans="1:1" x14ac:dyDescent="0.45">
      <c r="A2396" s="3"/>
    </row>
    <row r="2397" spans="1:1" x14ac:dyDescent="0.45">
      <c r="A2397" s="3"/>
    </row>
    <row r="2398" spans="1:1" x14ac:dyDescent="0.45">
      <c r="A2398" s="3"/>
    </row>
    <row r="2399" spans="1:1" x14ac:dyDescent="0.45">
      <c r="A2399" s="3"/>
    </row>
    <row r="2400" spans="1:1" x14ac:dyDescent="0.45">
      <c r="A2400" s="3"/>
    </row>
    <row r="2401" spans="1:1" x14ac:dyDescent="0.45">
      <c r="A2401" s="3"/>
    </row>
    <row r="2402" spans="1:1" x14ac:dyDescent="0.45">
      <c r="A2402" s="3"/>
    </row>
    <row r="2403" spans="1:1" x14ac:dyDescent="0.45">
      <c r="A2403" s="3"/>
    </row>
    <row r="2404" spans="1:1" x14ac:dyDescent="0.45">
      <c r="A2404" s="3"/>
    </row>
    <row r="2405" spans="1:1" x14ac:dyDescent="0.45">
      <c r="A2405" s="3"/>
    </row>
    <row r="2406" spans="1:1" x14ac:dyDescent="0.45">
      <c r="A2406" s="3"/>
    </row>
    <row r="2407" spans="1:1" x14ac:dyDescent="0.45">
      <c r="A2407" s="3"/>
    </row>
    <row r="2408" spans="1:1" x14ac:dyDescent="0.45">
      <c r="A2408" s="3"/>
    </row>
    <row r="2409" spans="1:1" x14ac:dyDescent="0.45">
      <c r="A2409" s="3"/>
    </row>
    <row r="2410" spans="1:1" x14ac:dyDescent="0.45">
      <c r="A2410" s="3"/>
    </row>
    <row r="2411" spans="1:1" x14ac:dyDescent="0.45">
      <c r="A2411" s="3"/>
    </row>
    <row r="2412" spans="1:1" x14ac:dyDescent="0.45">
      <c r="A2412" s="3"/>
    </row>
    <row r="2413" spans="1:1" x14ac:dyDescent="0.45">
      <c r="A2413" s="3"/>
    </row>
    <row r="2414" spans="1:1" x14ac:dyDescent="0.45">
      <c r="A2414" s="3"/>
    </row>
    <row r="2415" spans="1:1" x14ac:dyDescent="0.45">
      <c r="A2415" s="3"/>
    </row>
    <row r="2416" spans="1:1" x14ac:dyDescent="0.45">
      <c r="A2416" s="3"/>
    </row>
    <row r="2417" spans="1:1" x14ac:dyDescent="0.45">
      <c r="A2417" s="3"/>
    </row>
    <row r="2418" spans="1:1" x14ac:dyDescent="0.45">
      <c r="A2418" s="3"/>
    </row>
    <row r="2419" spans="1:1" x14ac:dyDescent="0.45">
      <c r="A2419" s="3"/>
    </row>
    <row r="2420" spans="1:1" x14ac:dyDescent="0.45">
      <c r="A2420" s="3"/>
    </row>
    <row r="2421" spans="1:1" x14ac:dyDescent="0.45">
      <c r="A2421" s="3"/>
    </row>
    <row r="2422" spans="1:1" x14ac:dyDescent="0.45">
      <c r="A2422" s="3"/>
    </row>
    <row r="2423" spans="1:1" x14ac:dyDescent="0.45">
      <c r="A2423" s="3"/>
    </row>
    <row r="2424" spans="1:1" x14ac:dyDescent="0.45">
      <c r="A2424" s="3"/>
    </row>
    <row r="2425" spans="1:1" x14ac:dyDescent="0.45">
      <c r="A2425" s="3"/>
    </row>
    <row r="2426" spans="1:1" x14ac:dyDescent="0.45">
      <c r="A2426" s="3"/>
    </row>
    <row r="2427" spans="1:1" x14ac:dyDescent="0.45">
      <c r="A2427" s="3"/>
    </row>
    <row r="2428" spans="1:1" x14ac:dyDescent="0.45">
      <c r="A2428" s="3"/>
    </row>
    <row r="2429" spans="1:1" x14ac:dyDescent="0.45">
      <c r="A2429" s="3"/>
    </row>
    <row r="2430" spans="1:1" x14ac:dyDescent="0.45">
      <c r="A2430" s="3"/>
    </row>
    <row r="2431" spans="1:1" x14ac:dyDescent="0.45">
      <c r="A2431" s="3"/>
    </row>
    <row r="2432" spans="1:1" x14ac:dyDescent="0.45">
      <c r="A2432" s="3"/>
    </row>
    <row r="2433" spans="1:1" x14ac:dyDescent="0.45">
      <c r="A2433" s="3"/>
    </row>
    <row r="2434" spans="1:1" x14ac:dyDescent="0.45">
      <c r="A2434" s="3"/>
    </row>
    <row r="2435" spans="1:1" x14ac:dyDescent="0.45">
      <c r="A2435" s="3"/>
    </row>
    <row r="2436" spans="1:1" x14ac:dyDescent="0.45">
      <c r="A2436" s="3"/>
    </row>
    <row r="2437" spans="1:1" x14ac:dyDescent="0.45">
      <c r="A2437" s="3"/>
    </row>
    <row r="2438" spans="1:1" x14ac:dyDescent="0.45">
      <c r="A2438" s="3"/>
    </row>
    <row r="2439" spans="1:1" x14ac:dyDescent="0.45">
      <c r="A2439" s="3"/>
    </row>
    <row r="2440" spans="1:1" x14ac:dyDescent="0.45">
      <c r="A2440" s="3"/>
    </row>
    <row r="2441" spans="1:1" x14ac:dyDescent="0.45">
      <c r="A2441" s="3"/>
    </row>
    <row r="2442" spans="1:1" x14ac:dyDescent="0.45">
      <c r="A2442" s="3"/>
    </row>
    <row r="2443" spans="1:1" x14ac:dyDescent="0.45">
      <c r="A2443" s="3"/>
    </row>
    <row r="2444" spans="1:1" x14ac:dyDescent="0.45">
      <c r="A2444" s="3"/>
    </row>
    <row r="2445" spans="1:1" x14ac:dyDescent="0.45">
      <c r="A2445" s="3"/>
    </row>
    <row r="2446" spans="1:1" x14ac:dyDescent="0.45">
      <c r="A2446" s="3"/>
    </row>
    <row r="2447" spans="1:1" x14ac:dyDescent="0.45">
      <c r="A2447" s="3"/>
    </row>
    <row r="2448" spans="1:1" x14ac:dyDescent="0.45">
      <c r="A2448" s="3"/>
    </row>
    <row r="2449" spans="1:1" x14ac:dyDescent="0.45">
      <c r="A2449" s="3"/>
    </row>
    <row r="2450" spans="1:1" x14ac:dyDescent="0.45">
      <c r="A2450" s="3"/>
    </row>
    <row r="2451" spans="1:1" x14ac:dyDescent="0.45">
      <c r="A2451" s="3"/>
    </row>
    <row r="2452" spans="1:1" x14ac:dyDescent="0.45">
      <c r="A2452" s="3"/>
    </row>
    <row r="2453" spans="1:1" x14ac:dyDescent="0.45">
      <c r="A2453" s="3"/>
    </row>
    <row r="2454" spans="1:1" x14ac:dyDescent="0.45">
      <c r="A2454" s="3"/>
    </row>
    <row r="2455" spans="1:1" x14ac:dyDescent="0.45">
      <c r="A2455" s="3"/>
    </row>
    <row r="2456" spans="1:1" x14ac:dyDescent="0.45">
      <c r="A2456" s="3"/>
    </row>
    <row r="2457" spans="1:1" x14ac:dyDescent="0.45">
      <c r="A2457" s="3"/>
    </row>
    <row r="2458" spans="1:1" x14ac:dyDescent="0.45">
      <c r="A2458" s="3"/>
    </row>
    <row r="2459" spans="1:1" x14ac:dyDescent="0.45">
      <c r="A2459" s="3"/>
    </row>
    <row r="2460" spans="1:1" x14ac:dyDescent="0.45">
      <c r="A2460" s="3"/>
    </row>
    <row r="2461" spans="1:1" x14ac:dyDescent="0.45">
      <c r="A2461" s="3"/>
    </row>
    <row r="2462" spans="1:1" x14ac:dyDescent="0.45">
      <c r="A2462" s="3"/>
    </row>
    <row r="2463" spans="1:1" x14ac:dyDescent="0.45">
      <c r="A2463" s="3"/>
    </row>
    <row r="2464" spans="1:1" x14ac:dyDescent="0.45">
      <c r="A2464" s="3"/>
    </row>
    <row r="2465" spans="1:1" x14ac:dyDescent="0.45">
      <c r="A2465" s="3"/>
    </row>
    <row r="2466" spans="1:1" x14ac:dyDescent="0.45">
      <c r="A2466" s="3"/>
    </row>
    <row r="2467" spans="1:1" x14ac:dyDescent="0.45">
      <c r="A2467" s="3"/>
    </row>
    <row r="2468" spans="1:1" x14ac:dyDescent="0.45">
      <c r="A2468" s="3"/>
    </row>
    <row r="2469" spans="1:1" x14ac:dyDescent="0.45">
      <c r="A2469" s="3"/>
    </row>
    <row r="2470" spans="1:1" x14ac:dyDescent="0.45">
      <c r="A2470" s="3"/>
    </row>
    <row r="2471" spans="1:1" x14ac:dyDescent="0.45">
      <c r="A2471" s="3"/>
    </row>
    <row r="2472" spans="1:1" x14ac:dyDescent="0.45">
      <c r="A2472" s="3"/>
    </row>
    <row r="2473" spans="1:1" x14ac:dyDescent="0.45">
      <c r="A2473" s="3"/>
    </row>
    <row r="2474" spans="1:1" x14ac:dyDescent="0.45">
      <c r="A2474" s="3"/>
    </row>
    <row r="2475" spans="1:1" x14ac:dyDescent="0.45">
      <c r="A2475" s="3"/>
    </row>
    <row r="2476" spans="1:1" x14ac:dyDescent="0.45">
      <c r="A2476" s="3"/>
    </row>
    <row r="2477" spans="1:1" x14ac:dyDescent="0.45">
      <c r="A2477" s="3"/>
    </row>
    <row r="2478" spans="1:1" x14ac:dyDescent="0.45">
      <c r="A2478" s="3"/>
    </row>
    <row r="2479" spans="1:1" x14ac:dyDescent="0.45">
      <c r="A2479" s="3"/>
    </row>
    <row r="2480" spans="1:1" x14ac:dyDescent="0.45">
      <c r="A2480" s="3"/>
    </row>
    <row r="2481" spans="1:1" x14ac:dyDescent="0.45">
      <c r="A2481" s="3"/>
    </row>
    <row r="2482" spans="1:1" x14ac:dyDescent="0.45">
      <c r="A2482" s="3"/>
    </row>
    <row r="2483" spans="1:1" x14ac:dyDescent="0.45">
      <c r="A2483" s="3"/>
    </row>
    <row r="2484" spans="1:1" x14ac:dyDescent="0.45">
      <c r="A2484" s="3"/>
    </row>
    <row r="2485" spans="1:1" x14ac:dyDescent="0.45">
      <c r="A2485" s="3"/>
    </row>
    <row r="2486" spans="1:1" x14ac:dyDescent="0.45">
      <c r="A2486" s="3"/>
    </row>
    <row r="2487" spans="1:1" x14ac:dyDescent="0.45">
      <c r="A2487" s="3"/>
    </row>
    <row r="2488" spans="1:1" x14ac:dyDescent="0.45">
      <c r="A2488" s="3"/>
    </row>
    <row r="2489" spans="1:1" x14ac:dyDescent="0.45">
      <c r="A2489" s="3"/>
    </row>
    <row r="2490" spans="1:1" x14ac:dyDescent="0.45">
      <c r="A2490" s="3"/>
    </row>
    <row r="2491" spans="1:1" x14ac:dyDescent="0.45">
      <c r="A2491" s="3"/>
    </row>
    <row r="2492" spans="1:1" x14ac:dyDescent="0.45">
      <c r="A2492" s="3"/>
    </row>
    <row r="2493" spans="1:1" x14ac:dyDescent="0.45">
      <c r="A2493" s="3"/>
    </row>
    <row r="2494" spans="1:1" x14ac:dyDescent="0.45">
      <c r="A2494" s="3"/>
    </row>
    <row r="2495" spans="1:1" x14ac:dyDescent="0.45">
      <c r="A2495" s="3"/>
    </row>
    <row r="2496" spans="1:1" x14ac:dyDescent="0.45">
      <c r="A2496" s="3"/>
    </row>
    <row r="2497" spans="1:1" x14ac:dyDescent="0.45">
      <c r="A2497" s="3"/>
    </row>
    <row r="2498" spans="1:1" x14ac:dyDescent="0.45">
      <c r="A2498" s="3"/>
    </row>
    <row r="2499" spans="1:1" x14ac:dyDescent="0.45">
      <c r="A2499" s="3"/>
    </row>
    <row r="2500" spans="1:1" x14ac:dyDescent="0.45">
      <c r="A2500" s="3"/>
    </row>
    <row r="2501" spans="1:1" x14ac:dyDescent="0.45">
      <c r="A2501" s="3"/>
    </row>
    <row r="2502" spans="1:1" x14ac:dyDescent="0.45">
      <c r="A2502" s="3"/>
    </row>
    <row r="2503" spans="1:1" x14ac:dyDescent="0.45">
      <c r="A2503" s="3"/>
    </row>
    <row r="2504" spans="1:1" x14ac:dyDescent="0.45">
      <c r="A2504" s="3"/>
    </row>
    <row r="2505" spans="1:1" x14ac:dyDescent="0.45">
      <c r="A2505" s="3"/>
    </row>
    <row r="2506" spans="1:1" x14ac:dyDescent="0.45">
      <c r="A2506" s="3"/>
    </row>
    <row r="2507" spans="1:1" x14ac:dyDescent="0.45">
      <c r="A2507" s="3"/>
    </row>
    <row r="2508" spans="1:1" x14ac:dyDescent="0.45">
      <c r="A2508" s="3"/>
    </row>
    <row r="2509" spans="1:1" x14ac:dyDescent="0.45">
      <c r="A2509" s="3"/>
    </row>
    <row r="2510" spans="1:1" x14ac:dyDescent="0.45">
      <c r="A2510" s="3"/>
    </row>
    <row r="2511" spans="1:1" x14ac:dyDescent="0.45">
      <c r="A2511" s="3"/>
    </row>
    <row r="2512" spans="1:1" x14ac:dyDescent="0.45">
      <c r="A2512" s="3"/>
    </row>
    <row r="2513" spans="1:1" x14ac:dyDescent="0.45">
      <c r="A2513" s="3"/>
    </row>
    <row r="2514" spans="1:1" x14ac:dyDescent="0.45">
      <c r="A2514" s="3"/>
    </row>
    <row r="2515" spans="1:1" x14ac:dyDescent="0.45">
      <c r="A2515" s="3"/>
    </row>
    <row r="2516" spans="1:1" x14ac:dyDescent="0.45">
      <c r="A2516" s="3"/>
    </row>
    <row r="2517" spans="1:1" x14ac:dyDescent="0.45">
      <c r="A2517" s="3"/>
    </row>
    <row r="2518" spans="1:1" x14ac:dyDescent="0.45">
      <c r="A2518" s="3"/>
    </row>
    <row r="2519" spans="1:1" x14ac:dyDescent="0.45">
      <c r="A2519" s="3"/>
    </row>
    <row r="2520" spans="1:1" x14ac:dyDescent="0.45">
      <c r="A2520" s="3"/>
    </row>
    <row r="2521" spans="1:1" x14ac:dyDescent="0.45">
      <c r="A2521" s="3"/>
    </row>
    <row r="2522" spans="1:1" x14ac:dyDescent="0.45">
      <c r="A2522" s="3"/>
    </row>
    <row r="2523" spans="1:1" x14ac:dyDescent="0.45">
      <c r="A2523" s="3"/>
    </row>
    <row r="2524" spans="1:1" x14ac:dyDescent="0.45">
      <c r="A2524" s="3"/>
    </row>
    <row r="2525" spans="1:1" x14ac:dyDescent="0.45">
      <c r="A2525" s="3"/>
    </row>
    <row r="2526" spans="1:1" x14ac:dyDescent="0.45">
      <c r="A2526" s="3"/>
    </row>
    <row r="2527" spans="1:1" x14ac:dyDescent="0.45">
      <c r="A2527" s="3"/>
    </row>
    <row r="2528" spans="1:1" x14ac:dyDescent="0.45">
      <c r="A2528" s="3"/>
    </row>
    <row r="2529" spans="1:1" x14ac:dyDescent="0.45">
      <c r="A2529" s="3"/>
    </row>
    <row r="2530" spans="1:1" x14ac:dyDescent="0.45">
      <c r="A2530" s="3"/>
    </row>
    <row r="2531" spans="1:1" x14ac:dyDescent="0.45">
      <c r="A2531" s="3"/>
    </row>
    <row r="2532" spans="1:1" x14ac:dyDescent="0.45">
      <c r="A2532" s="3"/>
    </row>
    <row r="2533" spans="1:1" x14ac:dyDescent="0.45">
      <c r="A2533" s="3"/>
    </row>
    <row r="2534" spans="1:1" x14ac:dyDescent="0.45">
      <c r="A2534" s="3"/>
    </row>
    <row r="2535" spans="1:1" x14ac:dyDescent="0.45">
      <c r="A2535" s="3"/>
    </row>
    <row r="2536" spans="1:1" x14ac:dyDescent="0.45">
      <c r="A2536" s="3"/>
    </row>
    <row r="2537" spans="1:1" x14ac:dyDescent="0.45">
      <c r="A2537" s="3"/>
    </row>
    <row r="2538" spans="1:1" x14ac:dyDescent="0.45">
      <c r="A2538" s="3"/>
    </row>
    <row r="2539" spans="1:1" x14ac:dyDescent="0.45">
      <c r="A2539" s="3"/>
    </row>
    <row r="2540" spans="1:1" x14ac:dyDescent="0.45">
      <c r="A2540" s="3"/>
    </row>
    <row r="2541" spans="1:1" x14ac:dyDescent="0.45">
      <c r="A2541" s="3"/>
    </row>
    <row r="2542" spans="1:1" x14ac:dyDescent="0.45">
      <c r="A2542" s="3"/>
    </row>
    <row r="2543" spans="1:1" x14ac:dyDescent="0.45">
      <c r="A2543" s="3"/>
    </row>
    <row r="2544" spans="1:1" x14ac:dyDescent="0.45">
      <c r="A2544" s="3"/>
    </row>
    <row r="2545" spans="1:1" x14ac:dyDescent="0.45">
      <c r="A2545" s="3"/>
    </row>
    <row r="2546" spans="1:1" x14ac:dyDescent="0.45">
      <c r="A2546" s="3"/>
    </row>
    <row r="2547" spans="1:1" x14ac:dyDescent="0.45">
      <c r="A2547" s="3"/>
    </row>
    <row r="2548" spans="1:1" x14ac:dyDescent="0.45">
      <c r="A2548" s="3"/>
    </row>
    <row r="2549" spans="1:1" x14ac:dyDescent="0.45">
      <c r="A2549" s="3"/>
    </row>
    <row r="2550" spans="1:1" x14ac:dyDescent="0.45">
      <c r="A2550" s="3"/>
    </row>
    <row r="2551" spans="1:1" x14ac:dyDescent="0.45">
      <c r="A2551" s="3"/>
    </row>
    <row r="2552" spans="1:1" x14ac:dyDescent="0.45">
      <c r="A2552" s="3"/>
    </row>
    <row r="2553" spans="1:1" x14ac:dyDescent="0.45">
      <c r="A2553" s="3"/>
    </row>
    <row r="2554" spans="1:1" x14ac:dyDescent="0.45">
      <c r="A2554" s="3"/>
    </row>
    <row r="2555" spans="1:1" x14ac:dyDescent="0.45">
      <c r="A2555" s="3"/>
    </row>
    <row r="2556" spans="1:1" x14ac:dyDescent="0.45">
      <c r="A2556" s="3"/>
    </row>
    <row r="2557" spans="1:1" x14ac:dyDescent="0.45">
      <c r="A2557" s="3"/>
    </row>
    <row r="2558" spans="1:1" x14ac:dyDescent="0.45">
      <c r="A2558" s="3"/>
    </row>
    <row r="2559" spans="1:1" x14ac:dyDescent="0.45">
      <c r="A2559" s="3"/>
    </row>
    <row r="2560" spans="1:1" x14ac:dyDescent="0.45">
      <c r="A2560" s="3"/>
    </row>
    <row r="2561" spans="1:1" x14ac:dyDescent="0.45">
      <c r="A2561" s="3"/>
    </row>
    <row r="2562" spans="1:1" x14ac:dyDescent="0.45">
      <c r="A2562" s="3"/>
    </row>
    <row r="2563" spans="1:1" x14ac:dyDescent="0.45">
      <c r="A2563" s="3"/>
    </row>
    <row r="2564" spans="1:1" x14ac:dyDescent="0.45">
      <c r="A2564" s="3"/>
    </row>
    <row r="2565" spans="1:1" x14ac:dyDescent="0.45">
      <c r="A2565" s="3"/>
    </row>
    <row r="2566" spans="1:1" x14ac:dyDescent="0.45">
      <c r="A2566" s="3"/>
    </row>
    <row r="2567" spans="1:1" x14ac:dyDescent="0.45">
      <c r="A2567" s="3"/>
    </row>
    <row r="2568" spans="1:1" x14ac:dyDescent="0.45">
      <c r="A2568" s="3"/>
    </row>
    <row r="2569" spans="1:1" x14ac:dyDescent="0.45">
      <c r="A2569" s="3"/>
    </row>
    <row r="2570" spans="1:1" x14ac:dyDescent="0.45">
      <c r="A2570" s="3"/>
    </row>
    <row r="2571" spans="1:1" x14ac:dyDescent="0.45">
      <c r="A2571" s="3"/>
    </row>
    <row r="2572" spans="1:1" x14ac:dyDescent="0.45">
      <c r="A2572" s="3"/>
    </row>
    <row r="2573" spans="1:1" x14ac:dyDescent="0.45">
      <c r="A2573" s="3"/>
    </row>
    <row r="2574" spans="1:1" x14ac:dyDescent="0.45">
      <c r="A2574" s="3"/>
    </row>
    <row r="2575" spans="1:1" x14ac:dyDescent="0.45">
      <c r="A2575" s="3"/>
    </row>
    <row r="2576" spans="1:1" x14ac:dyDescent="0.45">
      <c r="A2576" s="3"/>
    </row>
    <row r="2577" spans="1:1" x14ac:dyDescent="0.45">
      <c r="A2577" s="3"/>
    </row>
    <row r="2578" spans="1:1" x14ac:dyDescent="0.45">
      <c r="A2578" s="3"/>
    </row>
    <row r="2579" spans="1:1" x14ac:dyDescent="0.45">
      <c r="A2579" s="3"/>
    </row>
    <row r="2580" spans="1:1" x14ac:dyDescent="0.45">
      <c r="A2580" s="3"/>
    </row>
    <row r="2581" spans="1:1" x14ac:dyDescent="0.45">
      <c r="A2581" s="3"/>
    </row>
    <row r="2582" spans="1:1" x14ac:dyDescent="0.45">
      <c r="A2582" s="3"/>
    </row>
    <row r="2583" spans="1:1" x14ac:dyDescent="0.45">
      <c r="A2583" s="3"/>
    </row>
    <row r="2584" spans="1:1" x14ac:dyDescent="0.45">
      <c r="A2584" s="3"/>
    </row>
    <row r="2585" spans="1:1" x14ac:dyDescent="0.45">
      <c r="A2585" s="3"/>
    </row>
    <row r="2586" spans="1:1" x14ac:dyDescent="0.45">
      <c r="A2586" s="3"/>
    </row>
    <row r="2587" spans="1:1" x14ac:dyDescent="0.45">
      <c r="A2587" s="3"/>
    </row>
    <row r="2588" spans="1:1" x14ac:dyDescent="0.45">
      <c r="A2588" s="3"/>
    </row>
    <row r="2589" spans="1:1" x14ac:dyDescent="0.45">
      <c r="A2589" s="3"/>
    </row>
    <row r="2590" spans="1:1" x14ac:dyDescent="0.45">
      <c r="A2590" s="3"/>
    </row>
    <row r="2591" spans="1:1" x14ac:dyDescent="0.45">
      <c r="A2591" s="3"/>
    </row>
    <row r="2592" spans="1:1" x14ac:dyDescent="0.45">
      <c r="A2592" s="3"/>
    </row>
    <row r="2593" spans="1:1" x14ac:dyDescent="0.45">
      <c r="A2593" s="3"/>
    </row>
    <row r="2594" spans="1:1" x14ac:dyDescent="0.45">
      <c r="A2594" s="3"/>
    </row>
    <row r="2595" spans="1:1" x14ac:dyDescent="0.45">
      <c r="A2595" s="3"/>
    </row>
    <row r="2596" spans="1:1" x14ac:dyDescent="0.45">
      <c r="A2596" s="3"/>
    </row>
    <row r="2597" spans="1:1" x14ac:dyDescent="0.45">
      <c r="A2597" s="3"/>
    </row>
    <row r="2598" spans="1:1" x14ac:dyDescent="0.45">
      <c r="A2598" s="3"/>
    </row>
    <row r="2599" spans="1:1" x14ac:dyDescent="0.45">
      <c r="A2599" s="3"/>
    </row>
    <row r="2600" spans="1:1" x14ac:dyDescent="0.45">
      <c r="A2600" s="3"/>
    </row>
    <row r="2601" spans="1:1" x14ac:dyDescent="0.45">
      <c r="A2601" s="3"/>
    </row>
    <row r="2602" spans="1:1" x14ac:dyDescent="0.45">
      <c r="A2602" s="3"/>
    </row>
    <row r="2603" spans="1:1" x14ac:dyDescent="0.45">
      <c r="A2603" s="3"/>
    </row>
    <row r="2604" spans="1:1" x14ac:dyDescent="0.45">
      <c r="A2604" s="3"/>
    </row>
    <row r="2605" spans="1:1" x14ac:dyDescent="0.45">
      <c r="A2605" s="3"/>
    </row>
    <row r="2606" spans="1:1" x14ac:dyDescent="0.45">
      <c r="A2606" s="3"/>
    </row>
    <row r="2607" spans="1:1" x14ac:dyDescent="0.45">
      <c r="A2607" s="3"/>
    </row>
    <row r="2608" spans="1:1" x14ac:dyDescent="0.45">
      <c r="A2608" s="3"/>
    </row>
    <row r="2609" spans="1:1" x14ac:dyDescent="0.45">
      <c r="A2609" s="3"/>
    </row>
    <row r="2610" spans="1:1" x14ac:dyDescent="0.45">
      <c r="A2610" s="3"/>
    </row>
    <row r="2611" spans="1:1" x14ac:dyDescent="0.45">
      <c r="A2611" s="3"/>
    </row>
    <row r="2612" spans="1:1" x14ac:dyDescent="0.45">
      <c r="A2612" s="3"/>
    </row>
    <row r="2613" spans="1:1" x14ac:dyDescent="0.45">
      <c r="A2613" s="3"/>
    </row>
    <row r="2614" spans="1:1" x14ac:dyDescent="0.45">
      <c r="A2614" s="3"/>
    </row>
    <row r="2615" spans="1:1" x14ac:dyDescent="0.45">
      <c r="A2615" s="3"/>
    </row>
    <row r="2616" spans="1:1" x14ac:dyDescent="0.45">
      <c r="A2616" s="3"/>
    </row>
    <row r="2617" spans="1:1" x14ac:dyDescent="0.45">
      <c r="A2617" s="3"/>
    </row>
    <row r="2618" spans="1:1" x14ac:dyDescent="0.45">
      <c r="A2618" s="3"/>
    </row>
    <row r="2619" spans="1:1" x14ac:dyDescent="0.45">
      <c r="A2619" s="3"/>
    </row>
    <row r="2620" spans="1:1" x14ac:dyDescent="0.45">
      <c r="A2620" s="3"/>
    </row>
    <row r="2621" spans="1:1" x14ac:dyDescent="0.45">
      <c r="A2621" s="3"/>
    </row>
    <row r="2622" spans="1:1" x14ac:dyDescent="0.45">
      <c r="A2622" s="3"/>
    </row>
    <row r="2623" spans="1:1" x14ac:dyDescent="0.45">
      <c r="A2623" s="3"/>
    </row>
    <row r="2624" spans="1:1" x14ac:dyDescent="0.45">
      <c r="A2624" s="3"/>
    </row>
    <row r="2625" spans="1:1" x14ac:dyDescent="0.45">
      <c r="A2625" s="3"/>
    </row>
    <row r="2626" spans="1:1" x14ac:dyDescent="0.45">
      <c r="A2626" s="3"/>
    </row>
    <row r="2627" spans="1:1" x14ac:dyDescent="0.45">
      <c r="A2627" s="3"/>
    </row>
    <row r="2628" spans="1:1" x14ac:dyDescent="0.45">
      <c r="A2628" s="3"/>
    </row>
    <row r="2629" spans="1:1" x14ac:dyDescent="0.45">
      <c r="A2629" s="3"/>
    </row>
    <row r="2630" spans="1:1" x14ac:dyDescent="0.45">
      <c r="A2630" s="3"/>
    </row>
    <row r="2631" spans="1:1" x14ac:dyDescent="0.45">
      <c r="A2631" s="3"/>
    </row>
    <row r="2632" spans="1:1" x14ac:dyDescent="0.45">
      <c r="A2632" s="3"/>
    </row>
    <row r="2633" spans="1:1" x14ac:dyDescent="0.45">
      <c r="A2633" s="3"/>
    </row>
    <row r="2634" spans="1:1" x14ac:dyDescent="0.45">
      <c r="A2634" s="3"/>
    </row>
    <row r="2635" spans="1:1" x14ac:dyDescent="0.45">
      <c r="A2635" s="3"/>
    </row>
    <row r="2636" spans="1:1" x14ac:dyDescent="0.45">
      <c r="A2636" s="3"/>
    </row>
    <row r="2637" spans="1:1" x14ac:dyDescent="0.45">
      <c r="A2637" s="3"/>
    </row>
    <row r="2638" spans="1:1" x14ac:dyDescent="0.45">
      <c r="A2638" s="3"/>
    </row>
    <row r="2639" spans="1:1" x14ac:dyDescent="0.45">
      <c r="A2639" s="3"/>
    </row>
    <row r="2640" spans="1:1" x14ac:dyDescent="0.45">
      <c r="A2640" s="3"/>
    </row>
    <row r="2641" spans="1:1" x14ac:dyDescent="0.45">
      <c r="A2641" s="3"/>
    </row>
    <row r="2642" spans="1:1" x14ac:dyDescent="0.45">
      <c r="A2642" s="3"/>
    </row>
    <row r="2643" spans="1:1" x14ac:dyDescent="0.45">
      <c r="A2643" s="3"/>
    </row>
    <row r="2644" spans="1:1" x14ac:dyDescent="0.45">
      <c r="A2644" s="3"/>
    </row>
    <row r="2645" spans="1:1" x14ac:dyDescent="0.45">
      <c r="A2645" s="3"/>
    </row>
    <row r="2646" spans="1:1" x14ac:dyDescent="0.45">
      <c r="A2646" s="3"/>
    </row>
    <row r="2647" spans="1:1" x14ac:dyDescent="0.45">
      <c r="A2647" s="3"/>
    </row>
    <row r="2648" spans="1:1" x14ac:dyDescent="0.45">
      <c r="A2648" s="3"/>
    </row>
    <row r="2649" spans="1:1" x14ac:dyDescent="0.45">
      <c r="A2649" s="3"/>
    </row>
    <row r="2650" spans="1:1" x14ac:dyDescent="0.45">
      <c r="A2650" s="3"/>
    </row>
    <row r="2651" spans="1:1" x14ac:dyDescent="0.45">
      <c r="A2651" s="3"/>
    </row>
    <row r="2652" spans="1:1" x14ac:dyDescent="0.45">
      <c r="A2652" s="3"/>
    </row>
    <row r="2653" spans="1:1" x14ac:dyDescent="0.45">
      <c r="A2653" s="3"/>
    </row>
    <row r="2654" spans="1:1" x14ac:dyDescent="0.45">
      <c r="A2654" s="3"/>
    </row>
    <row r="2655" spans="1:1" x14ac:dyDescent="0.45">
      <c r="A2655" s="3"/>
    </row>
    <row r="2656" spans="1:1" x14ac:dyDescent="0.45">
      <c r="A2656" s="3"/>
    </row>
    <row r="2657" spans="1:1" x14ac:dyDescent="0.45">
      <c r="A2657" s="3"/>
    </row>
    <row r="2658" spans="1:1" x14ac:dyDescent="0.45">
      <c r="A2658" s="3"/>
    </row>
    <row r="2659" spans="1:1" x14ac:dyDescent="0.45">
      <c r="A2659" s="3"/>
    </row>
    <row r="2660" spans="1:1" x14ac:dyDescent="0.45">
      <c r="A2660" s="3"/>
    </row>
    <row r="2661" spans="1:1" x14ac:dyDescent="0.45">
      <c r="A2661" s="3"/>
    </row>
    <row r="2662" spans="1:1" x14ac:dyDescent="0.45">
      <c r="A2662" s="3"/>
    </row>
    <row r="2663" spans="1:1" x14ac:dyDescent="0.45">
      <c r="A2663" s="3"/>
    </row>
    <row r="2664" spans="1:1" x14ac:dyDescent="0.45">
      <c r="A2664" s="3"/>
    </row>
    <row r="2665" spans="1:1" x14ac:dyDescent="0.45">
      <c r="A2665" s="3"/>
    </row>
    <row r="2666" spans="1:1" x14ac:dyDescent="0.45">
      <c r="A2666" s="3"/>
    </row>
    <row r="2667" spans="1:1" x14ac:dyDescent="0.45">
      <c r="A2667" s="3"/>
    </row>
    <row r="2668" spans="1:1" x14ac:dyDescent="0.45">
      <c r="A2668" s="3"/>
    </row>
    <row r="2669" spans="1:1" x14ac:dyDescent="0.45">
      <c r="A2669" s="3"/>
    </row>
    <row r="2670" spans="1:1" x14ac:dyDescent="0.45">
      <c r="A2670" s="3"/>
    </row>
    <row r="2671" spans="1:1" x14ac:dyDescent="0.45">
      <c r="A2671" s="3"/>
    </row>
    <row r="2672" spans="1:1" x14ac:dyDescent="0.45">
      <c r="A2672" s="3"/>
    </row>
    <row r="2673" spans="1:1" x14ac:dyDescent="0.45">
      <c r="A2673" s="3"/>
    </row>
    <row r="2674" spans="1:1" x14ac:dyDescent="0.45">
      <c r="A2674" s="3"/>
    </row>
    <row r="2675" spans="1:1" x14ac:dyDescent="0.45">
      <c r="A2675" s="3"/>
    </row>
    <row r="2676" spans="1:1" x14ac:dyDescent="0.45">
      <c r="A2676" s="3"/>
    </row>
    <row r="2677" spans="1:1" x14ac:dyDescent="0.45">
      <c r="A2677" s="3"/>
    </row>
    <row r="2678" spans="1:1" x14ac:dyDescent="0.45">
      <c r="A2678" s="3"/>
    </row>
    <row r="2679" spans="1:1" x14ac:dyDescent="0.45">
      <c r="A2679" s="3"/>
    </row>
    <row r="2680" spans="1:1" x14ac:dyDescent="0.45">
      <c r="A2680" s="3"/>
    </row>
    <row r="2681" spans="1:1" x14ac:dyDescent="0.45">
      <c r="A2681" s="3"/>
    </row>
    <row r="2682" spans="1:1" x14ac:dyDescent="0.45">
      <c r="A2682" s="3"/>
    </row>
    <row r="2683" spans="1:1" x14ac:dyDescent="0.45">
      <c r="A2683" s="3"/>
    </row>
    <row r="2684" spans="1:1" x14ac:dyDescent="0.45">
      <c r="A2684" s="3"/>
    </row>
    <row r="2685" spans="1:1" x14ac:dyDescent="0.45">
      <c r="A2685" s="3"/>
    </row>
    <row r="2686" spans="1:1" x14ac:dyDescent="0.45">
      <c r="A2686" s="3"/>
    </row>
    <row r="2687" spans="1:1" x14ac:dyDescent="0.45">
      <c r="A2687" s="3"/>
    </row>
    <row r="2688" spans="1:1" x14ac:dyDescent="0.45">
      <c r="A2688" s="3"/>
    </row>
    <row r="2689" spans="1:1" x14ac:dyDescent="0.45">
      <c r="A2689" s="3"/>
    </row>
    <row r="2690" spans="1:1" x14ac:dyDescent="0.45">
      <c r="A2690" s="3"/>
    </row>
    <row r="2691" spans="1:1" x14ac:dyDescent="0.45">
      <c r="A2691" s="3"/>
    </row>
    <row r="2692" spans="1:1" x14ac:dyDescent="0.45">
      <c r="A2692" s="3"/>
    </row>
    <row r="2693" spans="1:1" x14ac:dyDescent="0.45">
      <c r="A2693" s="3"/>
    </row>
    <row r="2694" spans="1:1" x14ac:dyDescent="0.45">
      <c r="A2694" s="3"/>
    </row>
    <row r="2695" spans="1:1" x14ac:dyDescent="0.45">
      <c r="A2695" s="3"/>
    </row>
    <row r="2696" spans="1:1" x14ac:dyDescent="0.45">
      <c r="A2696" s="3"/>
    </row>
    <row r="2697" spans="1:1" x14ac:dyDescent="0.45">
      <c r="A2697" s="3"/>
    </row>
    <row r="2698" spans="1:1" x14ac:dyDescent="0.45">
      <c r="A2698" s="3"/>
    </row>
    <row r="2699" spans="1:1" x14ac:dyDescent="0.45">
      <c r="A2699" s="3"/>
    </row>
    <row r="2700" spans="1:1" x14ac:dyDescent="0.45">
      <c r="A2700" s="3"/>
    </row>
    <row r="2701" spans="1:1" x14ac:dyDescent="0.45">
      <c r="A2701" s="3"/>
    </row>
    <row r="2702" spans="1:1" x14ac:dyDescent="0.45">
      <c r="A2702" s="3"/>
    </row>
    <row r="2703" spans="1:1" x14ac:dyDescent="0.45">
      <c r="A2703" s="3"/>
    </row>
    <row r="2704" spans="1:1" x14ac:dyDescent="0.45">
      <c r="A2704" s="3"/>
    </row>
    <row r="2705" spans="1:1" x14ac:dyDescent="0.45">
      <c r="A2705" s="3"/>
    </row>
    <row r="2706" spans="1:1" x14ac:dyDescent="0.45">
      <c r="A2706" s="3"/>
    </row>
    <row r="2707" spans="1:1" x14ac:dyDescent="0.45">
      <c r="A2707" s="3"/>
    </row>
    <row r="2708" spans="1:1" x14ac:dyDescent="0.45">
      <c r="A2708" s="3"/>
    </row>
    <row r="2709" spans="1:1" x14ac:dyDescent="0.45">
      <c r="A2709" s="3"/>
    </row>
    <row r="2710" spans="1:1" x14ac:dyDescent="0.45">
      <c r="A2710" s="3"/>
    </row>
    <row r="2711" spans="1:1" x14ac:dyDescent="0.45">
      <c r="A2711" s="3"/>
    </row>
    <row r="2712" spans="1:1" x14ac:dyDescent="0.45">
      <c r="A2712" s="3"/>
    </row>
    <row r="2713" spans="1:1" x14ac:dyDescent="0.45">
      <c r="A2713" s="3"/>
    </row>
    <row r="2714" spans="1:1" x14ac:dyDescent="0.45">
      <c r="A2714" s="3"/>
    </row>
    <row r="2715" spans="1:1" x14ac:dyDescent="0.45">
      <c r="A2715" s="3"/>
    </row>
    <row r="2716" spans="1:1" x14ac:dyDescent="0.45">
      <c r="A2716" s="3"/>
    </row>
    <row r="2717" spans="1:1" x14ac:dyDescent="0.45">
      <c r="A2717" s="3"/>
    </row>
    <row r="2718" spans="1:1" x14ac:dyDescent="0.45">
      <c r="A2718" s="3"/>
    </row>
    <row r="2719" spans="1:1" x14ac:dyDescent="0.45">
      <c r="A2719" s="3"/>
    </row>
    <row r="2720" spans="1:1" x14ac:dyDescent="0.45">
      <c r="A2720" s="3"/>
    </row>
    <row r="2721" spans="1:1" x14ac:dyDescent="0.45">
      <c r="A2721" s="3"/>
    </row>
    <row r="2722" spans="1:1" x14ac:dyDescent="0.45">
      <c r="A2722" s="3"/>
    </row>
    <row r="2723" spans="1:1" x14ac:dyDescent="0.45">
      <c r="A2723" s="3"/>
    </row>
    <row r="2724" spans="1:1" x14ac:dyDescent="0.45">
      <c r="A2724" s="3"/>
    </row>
    <row r="2725" spans="1:1" x14ac:dyDescent="0.45">
      <c r="A2725" s="3"/>
    </row>
    <row r="2726" spans="1:1" x14ac:dyDescent="0.45">
      <c r="A2726" s="3"/>
    </row>
    <row r="2727" spans="1:1" x14ac:dyDescent="0.45">
      <c r="A2727" s="3"/>
    </row>
    <row r="2728" spans="1:1" x14ac:dyDescent="0.45">
      <c r="A2728" s="3"/>
    </row>
    <row r="2729" spans="1:1" x14ac:dyDescent="0.45">
      <c r="A2729" s="3"/>
    </row>
    <row r="2730" spans="1:1" x14ac:dyDescent="0.45">
      <c r="A2730" s="3"/>
    </row>
    <row r="2731" spans="1:1" x14ac:dyDescent="0.45">
      <c r="A2731" s="3"/>
    </row>
    <row r="2732" spans="1:1" x14ac:dyDescent="0.45">
      <c r="A2732" s="3"/>
    </row>
    <row r="2733" spans="1:1" x14ac:dyDescent="0.45">
      <c r="A2733" s="3"/>
    </row>
    <row r="2734" spans="1:1" x14ac:dyDescent="0.45">
      <c r="A2734" s="3"/>
    </row>
    <row r="2735" spans="1:1" x14ac:dyDescent="0.45">
      <c r="A2735" s="3"/>
    </row>
    <row r="2736" spans="1:1" x14ac:dyDescent="0.45">
      <c r="A2736" s="3"/>
    </row>
    <row r="2737" spans="1:1" x14ac:dyDescent="0.45">
      <c r="A2737" s="3"/>
    </row>
    <row r="2738" spans="1:1" x14ac:dyDescent="0.45">
      <c r="A2738" s="3"/>
    </row>
    <row r="2739" spans="1:1" x14ac:dyDescent="0.45">
      <c r="A2739" s="3"/>
    </row>
    <row r="2740" spans="1:1" x14ac:dyDescent="0.45">
      <c r="A2740" s="3"/>
    </row>
    <row r="2741" spans="1:1" x14ac:dyDescent="0.45">
      <c r="A2741" s="3"/>
    </row>
    <row r="2742" spans="1:1" x14ac:dyDescent="0.45">
      <c r="A2742" s="3"/>
    </row>
    <row r="2743" spans="1:1" x14ac:dyDescent="0.45">
      <c r="A2743" s="3"/>
    </row>
    <row r="2744" spans="1:1" x14ac:dyDescent="0.45">
      <c r="A2744" s="3"/>
    </row>
    <row r="2745" spans="1:1" x14ac:dyDescent="0.45">
      <c r="A2745" s="3"/>
    </row>
    <row r="2746" spans="1:1" x14ac:dyDescent="0.45">
      <c r="A2746" s="3"/>
    </row>
    <row r="2747" spans="1:1" x14ac:dyDescent="0.45">
      <c r="A2747" s="3"/>
    </row>
    <row r="2748" spans="1:1" x14ac:dyDescent="0.45">
      <c r="A2748" s="3"/>
    </row>
    <row r="2749" spans="1:1" x14ac:dyDescent="0.45">
      <c r="A2749" s="3"/>
    </row>
    <row r="2750" spans="1:1" x14ac:dyDescent="0.45">
      <c r="A2750" s="3"/>
    </row>
    <row r="2751" spans="1:1" x14ac:dyDescent="0.45">
      <c r="A2751" s="3"/>
    </row>
    <row r="2752" spans="1:1" x14ac:dyDescent="0.45">
      <c r="A2752" s="3"/>
    </row>
    <row r="2753" spans="1:1" x14ac:dyDescent="0.45">
      <c r="A2753" s="3"/>
    </row>
    <row r="2754" spans="1:1" x14ac:dyDescent="0.45">
      <c r="A2754" s="3"/>
    </row>
    <row r="2755" spans="1:1" x14ac:dyDescent="0.45">
      <c r="A2755" s="3"/>
    </row>
    <row r="2756" spans="1:1" x14ac:dyDescent="0.45">
      <c r="A2756" s="3"/>
    </row>
    <row r="2757" spans="1:1" x14ac:dyDescent="0.45">
      <c r="A2757" s="3"/>
    </row>
    <row r="2758" spans="1:1" x14ac:dyDescent="0.45">
      <c r="A2758" s="3"/>
    </row>
    <row r="2759" spans="1:1" x14ac:dyDescent="0.45">
      <c r="A2759" s="3"/>
    </row>
    <row r="2760" spans="1:1" x14ac:dyDescent="0.45">
      <c r="A2760" s="3"/>
    </row>
    <row r="2761" spans="1:1" x14ac:dyDescent="0.45">
      <c r="A2761" s="3"/>
    </row>
    <row r="2762" spans="1:1" x14ac:dyDescent="0.45">
      <c r="A2762" s="3"/>
    </row>
    <row r="2763" spans="1:1" x14ac:dyDescent="0.45">
      <c r="A2763" s="3"/>
    </row>
    <row r="2764" spans="1:1" x14ac:dyDescent="0.45">
      <c r="A2764" s="3"/>
    </row>
    <row r="2765" spans="1:1" x14ac:dyDescent="0.45">
      <c r="A2765" s="3"/>
    </row>
    <row r="2766" spans="1:1" x14ac:dyDescent="0.45">
      <c r="A2766" s="3"/>
    </row>
    <row r="2767" spans="1:1" x14ac:dyDescent="0.45">
      <c r="A2767" s="3"/>
    </row>
    <row r="2768" spans="1:1" x14ac:dyDescent="0.45">
      <c r="A2768" s="3"/>
    </row>
    <row r="2769" spans="1:1" x14ac:dyDescent="0.45">
      <c r="A2769" s="3"/>
    </row>
    <row r="2770" spans="1:1" x14ac:dyDescent="0.45">
      <c r="A2770" s="3"/>
    </row>
    <row r="2771" spans="1:1" x14ac:dyDescent="0.45">
      <c r="A2771" s="3"/>
    </row>
    <row r="2772" spans="1:1" x14ac:dyDescent="0.45">
      <c r="A2772" s="3"/>
    </row>
    <row r="2773" spans="1:1" x14ac:dyDescent="0.45">
      <c r="A2773" s="3"/>
    </row>
    <row r="2774" spans="1:1" x14ac:dyDescent="0.45">
      <c r="A2774" s="3"/>
    </row>
    <row r="2775" spans="1:1" x14ac:dyDescent="0.45">
      <c r="A2775" s="3"/>
    </row>
    <row r="2776" spans="1:1" x14ac:dyDescent="0.45">
      <c r="A2776" s="3"/>
    </row>
    <row r="2777" spans="1:1" x14ac:dyDescent="0.45">
      <c r="A2777" s="3"/>
    </row>
    <row r="2778" spans="1:1" x14ac:dyDescent="0.45">
      <c r="A2778" s="3"/>
    </row>
    <row r="2779" spans="1:1" x14ac:dyDescent="0.45">
      <c r="A2779" s="3"/>
    </row>
    <row r="2780" spans="1:1" x14ac:dyDescent="0.45">
      <c r="A2780" s="3"/>
    </row>
    <row r="2781" spans="1:1" x14ac:dyDescent="0.45">
      <c r="A2781" s="3"/>
    </row>
    <row r="2782" spans="1:1" x14ac:dyDescent="0.45">
      <c r="A2782" s="3"/>
    </row>
    <row r="2783" spans="1:1" x14ac:dyDescent="0.45">
      <c r="A2783" s="3"/>
    </row>
    <row r="2784" spans="1:1" x14ac:dyDescent="0.45">
      <c r="A2784" s="3"/>
    </row>
    <row r="2785" spans="1:1" x14ac:dyDescent="0.45">
      <c r="A2785" s="3"/>
    </row>
    <row r="2786" spans="1:1" x14ac:dyDescent="0.45">
      <c r="A2786" s="3"/>
    </row>
    <row r="2787" spans="1:1" x14ac:dyDescent="0.45">
      <c r="A2787" s="3"/>
    </row>
    <row r="2788" spans="1:1" x14ac:dyDescent="0.45">
      <c r="A2788" s="3"/>
    </row>
    <row r="2789" spans="1:1" x14ac:dyDescent="0.45">
      <c r="A2789" s="3"/>
    </row>
    <row r="2790" spans="1:1" x14ac:dyDescent="0.45">
      <c r="A2790" s="3"/>
    </row>
    <row r="2791" spans="1:1" x14ac:dyDescent="0.45">
      <c r="A2791" s="3"/>
    </row>
    <row r="2792" spans="1:1" x14ac:dyDescent="0.45">
      <c r="A2792" s="3"/>
    </row>
    <row r="2793" spans="1:1" x14ac:dyDescent="0.45">
      <c r="A2793" s="3"/>
    </row>
    <row r="2794" spans="1:1" x14ac:dyDescent="0.45">
      <c r="A2794" s="3"/>
    </row>
    <row r="2795" spans="1:1" x14ac:dyDescent="0.45">
      <c r="A2795" s="3"/>
    </row>
    <row r="2796" spans="1:1" x14ac:dyDescent="0.45">
      <c r="A2796" s="3"/>
    </row>
    <row r="2797" spans="1:1" x14ac:dyDescent="0.45">
      <c r="A2797" s="3"/>
    </row>
    <row r="2798" spans="1:1" x14ac:dyDescent="0.45">
      <c r="A2798" s="3"/>
    </row>
    <row r="2799" spans="1:1" x14ac:dyDescent="0.45">
      <c r="A2799" s="3"/>
    </row>
    <row r="2800" spans="1:1" x14ac:dyDescent="0.45">
      <c r="A2800" s="3"/>
    </row>
    <row r="2801" spans="1:1" x14ac:dyDescent="0.45">
      <c r="A2801" s="3"/>
    </row>
    <row r="2802" spans="1:1" x14ac:dyDescent="0.45">
      <c r="A2802" s="3"/>
    </row>
    <row r="2803" spans="1:1" x14ac:dyDescent="0.45">
      <c r="A2803" s="3"/>
    </row>
    <row r="2804" spans="1:1" x14ac:dyDescent="0.45">
      <c r="A2804" s="3"/>
    </row>
    <row r="2805" spans="1:1" x14ac:dyDescent="0.45">
      <c r="A2805" s="3"/>
    </row>
    <row r="2806" spans="1:1" x14ac:dyDescent="0.45">
      <c r="A2806" s="3"/>
    </row>
    <row r="2807" spans="1:1" x14ac:dyDescent="0.45">
      <c r="A2807" s="3"/>
    </row>
    <row r="2808" spans="1:1" x14ac:dyDescent="0.45">
      <c r="A2808" s="3"/>
    </row>
    <row r="2809" spans="1:1" x14ac:dyDescent="0.45">
      <c r="A2809" s="3"/>
    </row>
    <row r="2810" spans="1:1" x14ac:dyDescent="0.45">
      <c r="A2810" s="3"/>
    </row>
    <row r="2811" spans="1:1" x14ac:dyDescent="0.45">
      <c r="A2811" s="3"/>
    </row>
    <row r="2812" spans="1:1" x14ac:dyDescent="0.45">
      <c r="A2812" s="3"/>
    </row>
    <row r="2813" spans="1:1" x14ac:dyDescent="0.45">
      <c r="A2813" s="3"/>
    </row>
    <row r="2814" spans="1:1" x14ac:dyDescent="0.45">
      <c r="A2814" s="3"/>
    </row>
    <row r="2815" spans="1:1" x14ac:dyDescent="0.45">
      <c r="A2815" s="3"/>
    </row>
    <row r="2816" spans="1:1" x14ac:dyDescent="0.45">
      <c r="A2816" s="3"/>
    </row>
    <row r="2817" spans="1:1" x14ac:dyDescent="0.45">
      <c r="A2817" s="3"/>
    </row>
    <row r="2818" spans="1:1" x14ac:dyDescent="0.45">
      <c r="A2818" s="3"/>
    </row>
    <row r="2819" spans="1:1" x14ac:dyDescent="0.45">
      <c r="A2819" s="3"/>
    </row>
    <row r="2820" spans="1:1" x14ac:dyDescent="0.45">
      <c r="A2820" s="3"/>
    </row>
    <row r="2821" spans="1:1" x14ac:dyDescent="0.45">
      <c r="A2821" s="3"/>
    </row>
    <row r="2822" spans="1:1" x14ac:dyDescent="0.45">
      <c r="A2822" s="3"/>
    </row>
    <row r="2823" spans="1:1" x14ac:dyDescent="0.45">
      <c r="A2823" s="3"/>
    </row>
    <row r="2824" spans="1:1" x14ac:dyDescent="0.45">
      <c r="A2824" s="3"/>
    </row>
    <row r="2825" spans="1:1" x14ac:dyDescent="0.45">
      <c r="A2825" s="3"/>
    </row>
    <row r="2826" spans="1:1" x14ac:dyDescent="0.45">
      <c r="A2826" s="3"/>
    </row>
    <row r="2827" spans="1:1" x14ac:dyDescent="0.45">
      <c r="A2827" s="3"/>
    </row>
    <row r="2828" spans="1:1" x14ac:dyDescent="0.45">
      <c r="A2828" s="3"/>
    </row>
    <row r="2829" spans="1:1" x14ac:dyDescent="0.45">
      <c r="A2829" s="3"/>
    </row>
    <row r="2830" spans="1:1" x14ac:dyDescent="0.45">
      <c r="A2830" s="3"/>
    </row>
    <row r="2831" spans="1:1" x14ac:dyDescent="0.45">
      <c r="A2831" s="3"/>
    </row>
    <row r="2832" spans="1:1" x14ac:dyDescent="0.45">
      <c r="A2832" s="3"/>
    </row>
    <row r="2833" spans="1:1" x14ac:dyDescent="0.45">
      <c r="A2833" s="3"/>
    </row>
    <row r="2834" spans="1:1" x14ac:dyDescent="0.45">
      <c r="A2834" s="3"/>
    </row>
    <row r="2835" spans="1:1" x14ac:dyDescent="0.45">
      <c r="A2835" s="3"/>
    </row>
    <row r="2836" spans="1:1" x14ac:dyDescent="0.45">
      <c r="A2836" s="3"/>
    </row>
    <row r="2837" spans="1:1" x14ac:dyDescent="0.45">
      <c r="A2837" s="3"/>
    </row>
    <row r="2838" spans="1:1" x14ac:dyDescent="0.45">
      <c r="A2838" s="3"/>
    </row>
    <row r="2839" spans="1:1" x14ac:dyDescent="0.45">
      <c r="A2839" s="3"/>
    </row>
    <row r="2840" spans="1:1" x14ac:dyDescent="0.45">
      <c r="A2840" s="3"/>
    </row>
    <row r="2841" spans="1:1" x14ac:dyDescent="0.45">
      <c r="A2841" s="3"/>
    </row>
    <row r="2842" spans="1:1" x14ac:dyDescent="0.45">
      <c r="A2842" s="3"/>
    </row>
    <row r="2843" spans="1:1" x14ac:dyDescent="0.45">
      <c r="A2843" s="3"/>
    </row>
    <row r="2844" spans="1:1" x14ac:dyDescent="0.45">
      <c r="A2844" s="3"/>
    </row>
    <row r="2845" spans="1:1" x14ac:dyDescent="0.45">
      <c r="A2845" s="3"/>
    </row>
    <row r="2846" spans="1:1" x14ac:dyDescent="0.45">
      <c r="A2846" s="3"/>
    </row>
    <row r="2847" spans="1:1" x14ac:dyDescent="0.45">
      <c r="A2847" s="3"/>
    </row>
    <row r="2848" spans="1:1" x14ac:dyDescent="0.45">
      <c r="A2848" s="3"/>
    </row>
    <row r="2849" spans="1:1" x14ac:dyDescent="0.45">
      <c r="A2849" s="3"/>
    </row>
    <row r="2850" spans="1:1" x14ac:dyDescent="0.45">
      <c r="A2850" s="3"/>
    </row>
    <row r="2851" spans="1:1" x14ac:dyDescent="0.45">
      <c r="A2851" s="3"/>
    </row>
    <row r="2852" spans="1:1" x14ac:dyDescent="0.45">
      <c r="A2852" s="3"/>
    </row>
    <row r="2853" spans="1:1" x14ac:dyDescent="0.45">
      <c r="A2853" s="3"/>
    </row>
    <row r="2854" spans="1:1" x14ac:dyDescent="0.45">
      <c r="A2854" s="3"/>
    </row>
    <row r="2855" spans="1:1" x14ac:dyDescent="0.45">
      <c r="A2855" s="3"/>
    </row>
    <row r="2856" spans="1:1" x14ac:dyDescent="0.45">
      <c r="A2856" s="3"/>
    </row>
    <row r="2857" spans="1:1" x14ac:dyDescent="0.45">
      <c r="A2857" s="3"/>
    </row>
    <row r="2858" spans="1:1" x14ac:dyDescent="0.45">
      <c r="A2858" s="3"/>
    </row>
    <row r="2859" spans="1:1" x14ac:dyDescent="0.45">
      <c r="A2859" s="3"/>
    </row>
    <row r="2860" spans="1:1" x14ac:dyDescent="0.45">
      <c r="A2860" s="3"/>
    </row>
    <row r="2861" spans="1:1" x14ac:dyDescent="0.45">
      <c r="A2861" s="3"/>
    </row>
    <row r="2862" spans="1:1" x14ac:dyDescent="0.45">
      <c r="A2862" s="3"/>
    </row>
    <row r="2863" spans="1:1" x14ac:dyDescent="0.45">
      <c r="A2863" s="3"/>
    </row>
    <row r="2864" spans="1:1" x14ac:dyDescent="0.45">
      <c r="A2864" s="3"/>
    </row>
    <row r="2865" spans="1:1" x14ac:dyDescent="0.45">
      <c r="A2865" s="3"/>
    </row>
    <row r="2866" spans="1:1" x14ac:dyDescent="0.45">
      <c r="A2866" s="3"/>
    </row>
    <row r="2867" spans="1:1" x14ac:dyDescent="0.45">
      <c r="A2867" s="3"/>
    </row>
    <row r="2868" spans="1:1" x14ac:dyDescent="0.45">
      <c r="A2868" s="3"/>
    </row>
    <row r="2869" spans="1:1" x14ac:dyDescent="0.45">
      <c r="A2869" s="3"/>
    </row>
    <row r="2870" spans="1:1" x14ac:dyDescent="0.45">
      <c r="A2870" s="3"/>
    </row>
    <row r="2871" spans="1:1" x14ac:dyDescent="0.45">
      <c r="A2871" s="3"/>
    </row>
    <row r="2872" spans="1:1" x14ac:dyDescent="0.45">
      <c r="A2872" s="3"/>
    </row>
    <row r="2873" spans="1:1" x14ac:dyDescent="0.45">
      <c r="A2873" s="3"/>
    </row>
    <row r="2874" spans="1:1" x14ac:dyDescent="0.45">
      <c r="A2874" s="3"/>
    </row>
    <row r="2875" spans="1:1" x14ac:dyDescent="0.45">
      <c r="A2875" s="3"/>
    </row>
    <row r="2876" spans="1:1" x14ac:dyDescent="0.45">
      <c r="A2876" s="3"/>
    </row>
    <row r="2877" spans="1:1" x14ac:dyDescent="0.45">
      <c r="A2877" s="3"/>
    </row>
    <row r="2878" spans="1:1" x14ac:dyDescent="0.45">
      <c r="A2878" s="3"/>
    </row>
    <row r="2879" spans="1:1" x14ac:dyDescent="0.45">
      <c r="A2879" s="3"/>
    </row>
    <row r="2880" spans="1:1" x14ac:dyDescent="0.45">
      <c r="A2880" s="3"/>
    </row>
    <row r="2881" spans="1:1" x14ac:dyDescent="0.45">
      <c r="A2881" s="3"/>
    </row>
    <row r="2882" spans="1:1" x14ac:dyDescent="0.45">
      <c r="A2882" s="3"/>
    </row>
    <row r="2883" spans="1:1" x14ac:dyDescent="0.45">
      <c r="A2883" s="3"/>
    </row>
    <row r="2884" spans="1:1" x14ac:dyDescent="0.45">
      <c r="A2884" s="3"/>
    </row>
    <row r="2885" spans="1:1" x14ac:dyDescent="0.45">
      <c r="A2885" s="3"/>
    </row>
    <row r="2886" spans="1:1" x14ac:dyDescent="0.45">
      <c r="A2886" s="3"/>
    </row>
    <row r="2887" spans="1:1" x14ac:dyDescent="0.45">
      <c r="A2887" s="3"/>
    </row>
    <row r="2888" spans="1:1" x14ac:dyDescent="0.45">
      <c r="A2888" s="3"/>
    </row>
    <row r="2889" spans="1:1" x14ac:dyDescent="0.45">
      <c r="A2889" s="3"/>
    </row>
    <row r="2890" spans="1:1" x14ac:dyDescent="0.45">
      <c r="A2890" s="3"/>
    </row>
    <row r="2891" spans="1:1" x14ac:dyDescent="0.45">
      <c r="A2891" s="3"/>
    </row>
    <row r="2892" spans="1:1" x14ac:dyDescent="0.45">
      <c r="A2892" s="3"/>
    </row>
    <row r="2893" spans="1:1" x14ac:dyDescent="0.45">
      <c r="A2893" s="3"/>
    </row>
    <row r="2894" spans="1:1" x14ac:dyDescent="0.45">
      <c r="A2894" s="3"/>
    </row>
    <row r="2895" spans="1:1" x14ac:dyDescent="0.45">
      <c r="A2895" s="3"/>
    </row>
    <row r="2896" spans="1:1" x14ac:dyDescent="0.45">
      <c r="A2896" s="3"/>
    </row>
    <row r="2897" spans="1:1" x14ac:dyDescent="0.45">
      <c r="A2897" s="3"/>
    </row>
    <row r="2898" spans="1:1" x14ac:dyDescent="0.45">
      <c r="A2898" s="3"/>
    </row>
    <row r="2899" spans="1:1" x14ac:dyDescent="0.45">
      <c r="A2899" s="3"/>
    </row>
    <row r="2900" spans="1:1" x14ac:dyDescent="0.45">
      <c r="A2900" s="3"/>
    </row>
    <row r="2901" spans="1:1" x14ac:dyDescent="0.45">
      <c r="A2901" s="3"/>
    </row>
    <row r="2902" spans="1:1" x14ac:dyDescent="0.45">
      <c r="A2902" s="3"/>
    </row>
    <row r="2903" spans="1:1" x14ac:dyDescent="0.45">
      <c r="A2903" s="3"/>
    </row>
    <row r="2904" spans="1:1" x14ac:dyDescent="0.45">
      <c r="A2904" s="3"/>
    </row>
    <row r="2905" spans="1:1" x14ac:dyDescent="0.45">
      <c r="A2905" s="3"/>
    </row>
    <row r="2906" spans="1:1" x14ac:dyDescent="0.45">
      <c r="A2906" s="3"/>
    </row>
    <row r="2907" spans="1:1" x14ac:dyDescent="0.45">
      <c r="A2907" s="3"/>
    </row>
    <row r="2908" spans="1:1" x14ac:dyDescent="0.45">
      <c r="A2908" s="3"/>
    </row>
    <row r="2909" spans="1:1" x14ac:dyDescent="0.45">
      <c r="A2909" s="3"/>
    </row>
    <row r="2910" spans="1:1" x14ac:dyDescent="0.45">
      <c r="A2910" s="3"/>
    </row>
    <row r="2911" spans="1:1" x14ac:dyDescent="0.45">
      <c r="A2911" s="3"/>
    </row>
    <row r="2912" spans="1:1" x14ac:dyDescent="0.45">
      <c r="A2912" s="3"/>
    </row>
    <row r="2913" spans="1:1" x14ac:dyDescent="0.45">
      <c r="A2913" s="3"/>
    </row>
    <row r="2914" spans="1:1" x14ac:dyDescent="0.45">
      <c r="A2914" s="3"/>
    </row>
    <row r="2915" spans="1:1" x14ac:dyDescent="0.45">
      <c r="A2915" s="3"/>
    </row>
    <row r="2916" spans="1:1" x14ac:dyDescent="0.45">
      <c r="A2916" s="3"/>
    </row>
    <row r="2917" spans="1:1" x14ac:dyDescent="0.45">
      <c r="A2917" s="3"/>
    </row>
    <row r="2918" spans="1:1" x14ac:dyDescent="0.45">
      <c r="A2918" s="3"/>
    </row>
    <row r="2919" spans="1:1" x14ac:dyDescent="0.45">
      <c r="A2919" s="3"/>
    </row>
    <row r="2920" spans="1:1" x14ac:dyDescent="0.45">
      <c r="A2920" s="3"/>
    </row>
    <row r="2921" spans="1:1" x14ac:dyDescent="0.45">
      <c r="A2921" s="3"/>
    </row>
    <row r="2922" spans="1:1" x14ac:dyDescent="0.45">
      <c r="A2922" s="3"/>
    </row>
    <row r="2923" spans="1:1" x14ac:dyDescent="0.45">
      <c r="A2923" s="3"/>
    </row>
    <row r="2924" spans="1:1" x14ac:dyDescent="0.45">
      <c r="A2924" s="3"/>
    </row>
    <row r="2925" spans="1:1" x14ac:dyDescent="0.45">
      <c r="A2925" s="3"/>
    </row>
    <row r="2926" spans="1:1" x14ac:dyDescent="0.45">
      <c r="A2926" s="3"/>
    </row>
    <row r="2927" spans="1:1" x14ac:dyDescent="0.45">
      <c r="A2927" s="3"/>
    </row>
    <row r="2928" spans="1:1" x14ac:dyDescent="0.45">
      <c r="A2928" s="3"/>
    </row>
    <row r="2929" spans="1:1" x14ac:dyDescent="0.45">
      <c r="A2929" s="3"/>
    </row>
    <row r="2930" spans="1:1" x14ac:dyDescent="0.45">
      <c r="A2930" s="3"/>
    </row>
    <row r="2931" spans="1:1" x14ac:dyDescent="0.45">
      <c r="A2931" s="3"/>
    </row>
    <row r="2932" spans="1:1" x14ac:dyDescent="0.45">
      <c r="A2932" s="3"/>
    </row>
    <row r="2933" spans="1:1" x14ac:dyDescent="0.45">
      <c r="A2933" s="3"/>
    </row>
    <row r="2934" spans="1:1" x14ac:dyDescent="0.45">
      <c r="A2934" s="3"/>
    </row>
    <row r="2935" spans="1:1" x14ac:dyDescent="0.45">
      <c r="A2935" s="3"/>
    </row>
    <row r="2936" spans="1:1" x14ac:dyDescent="0.45">
      <c r="A2936" s="3"/>
    </row>
    <row r="2937" spans="1:1" x14ac:dyDescent="0.45">
      <c r="A2937" s="3"/>
    </row>
    <row r="2938" spans="1:1" x14ac:dyDescent="0.45">
      <c r="A2938" s="3"/>
    </row>
    <row r="2939" spans="1:1" x14ac:dyDescent="0.45">
      <c r="A2939" s="3"/>
    </row>
    <row r="2940" spans="1:1" x14ac:dyDescent="0.45">
      <c r="A2940" s="3"/>
    </row>
    <row r="2941" spans="1:1" x14ac:dyDescent="0.45">
      <c r="A2941" s="3"/>
    </row>
    <row r="2942" spans="1:1" x14ac:dyDescent="0.45">
      <c r="A2942" s="3"/>
    </row>
    <row r="2943" spans="1:1" x14ac:dyDescent="0.45">
      <c r="A2943" s="3"/>
    </row>
    <row r="2944" spans="1:1" x14ac:dyDescent="0.45">
      <c r="A2944" s="3"/>
    </row>
    <row r="2945" spans="1:1" x14ac:dyDescent="0.45">
      <c r="A2945" s="3"/>
    </row>
    <row r="2946" spans="1:1" x14ac:dyDescent="0.45">
      <c r="A2946" s="3"/>
    </row>
    <row r="2947" spans="1:1" x14ac:dyDescent="0.45">
      <c r="A2947" s="3"/>
    </row>
    <row r="2948" spans="1:1" x14ac:dyDescent="0.45">
      <c r="A2948" s="3"/>
    </row>
    <row r="2949" spans="1:1" x14ac:dyDescent="0.45">
      <c r="A2949" s="3"/>
    </row>
    <row r="2950" spans="1:1" x14ac:dyDescent="0.45">
      <c r="A2950" s="3"/>
    </row>
    <row r="2951" spans="1:1" x14ac:dyDescent="0.45">
      <c r="A2951" s="3"/>
    </row>
    <row r="2952" spans="1:1" x14ac:dyDescent="0.45">
      <c r="A2952" s="3"/>
    </row>
    <row r="2953" spans="1:1" x14ac:dyDescent="0.45">
      <c r="A2953" s="3"/>
    </row>
    <row r="2954" spans="1:1" x14ac:dyDescent="0.45">
      <c r="A2954" s="3"/>
    </row>
    <row r="2955" spans="1:1" x14ac:dyDescent="0.45">
      <c r="A2955" s="3"/>
    </row>
    <row r="2956" spans="1:1" x14ac:dyDescent="0.45">
      <c r="A2956" s="3"/>
    </row>
    <row r="2957" spans="1:1" x14ac:dyDescent="0.45">
      <c r="A2957" s="3"/>
    </row>
    <row r="2958" spans="1:1" x14ac:dyDescent="0.45">
      <c r="A2958" s="3"/>
    </row>
    <row r="2959" spans="1:1" x14ac:dyDescent="0.45">
      <c r="A2959" s="3"/>
    </row>
    <row r="2960" spans="1:1" x14ac:dyDescent="0.45">
      <c r="A2960" s="3"/>
    </row>
    <row r="2961" spans="1:1" x14ac:dyDescent="0.45">
      <c r="A2961" s="3"/>
    </row>
    <row r="2962" spans="1:1" x14ac:dyDescent="0.45">
      <c r="A2962" s="3"/>
    </row>
    <row r="2963" spans="1:1" x14ac:dyDescent="0.45">
      <c r="A2963" s="3"/>
    </row>
    <row r="2964" spans="1:1" x14ac:dyDescent="0.45">
      <c r="A2964" s="3"/>
    </row>
    <row r="2965" spans="1:1" x14ac:dyDescent="0.45">
      <c r="A2965" s="3"/>
    </row>
    <row r="2966" spans="1:1" x14ac:dyDescent="0.45">
      <c r="A2966" s="3"/>
    </row>
    <row r="2967" spans="1:1" x14ac:dyDescent="0.45">
      <c r="A2967" s="3"/>
    </row>
    <row r="2968" spans="1:1" x14ac:dyDescent="0.45">
      <c r="A2968" s="3"/>
    </row>
    <row r="2969" spans="1:1" x14ac:dyDescent="0.45">
      <c r="A2969" s="3"/>
    </row>
    <row r="2970" spans="1:1" x14ac:dyDescent="0.45">
      <c r="A2970" s="3"/>
    </row>
    <row r="2971" spans="1:1" x14ac:dyDescent="0.45">
      <c r="A2971" s="3"/>
    </row>
    <row r="2972" spans="1:1" x14ac:dyDescent="0.45">
      <c r="A2972" s="3"/>
    </row>
    <row r="2973" spans="1:1" x14ac:dyDescent="0.45">
      <c r="A2973" s="3"/>
    </row>
    <row r="2974" spans="1:1" x14ac:dyDescent="0.45">
      <c r="A2974" s="3"/>
    </row>
    <row r="2975" spans="1:1" x14ac:dyDescent="0.45">
      <c r="A2975" s="3"/>
    </row>
    <row r="2976" spans="1:1" x14ac:dyDescent="0.45">
      <c r="A2976" s="3"/>
    </row>
    <row r="2977" spans="1:1" x14ac:dyDescent="0.45">
      <c r="A2977" s="3"/>
    </row>
    <row r="2978" spans="1:1" x14ac:dyDescent="0.45">
      <c r="A2978" s="3"/>
    </row>
    <row r="2979" spans="1:1" x14ac:dyDescent="0.45">
      <c r="A2979" s="3"/>
    </row>
    <row r="2980" spans="1:1" x14ac:dyDescent="0.45">
      <c r="A2980" s="3"/>
    </row>
    <row r="2981" spans="1:1" x14ac:dyDescent="0.45">
      <c r="A2981" s="3"/>
    </row>
    <row r="2982" spans="1:1" x14ac:dyDescent="0.45">
      <c r="A2982" s="3"/>
    </row>
    <row r="2983" spans="1:1" x14ac:dyDescent="0.45">
      <c r="A2983" s="3"/>
    </row>
    <row r="2984" spans="1:1" x14ac:dyDescent="0.45">
      <c r="A2984" s="3"/>
    </row>
    <row r="2985" spans="1:1" x14ac:dyDescent="0.45">
      <c r="A2985" s="3"/>
    </row>
    <row r="2986" spans="1:1" x14ac:dyDescent="0.45">
      <c r="A2986" s="3"/>
    </row>
    <row r="2987" spans="1:1" x14ac:dyDescent="0.45">
      <c r="A2987" s="3"/>
    </row>
    <row r="2988" spans="1:1" x14ac:dyDescent="0.45">
      <c r="A2988" s="3"/>
    </row>
    <row r="2989" spans="1:1" x14ac:dyDescent="0.45">
      <c r="A2989" s="3"/>
    </row>
    <row r="2990" spans="1:1" x14ac:dyDescent="0.45">
      <c r="A2990" s="3"/>
    </row>
    <row r="2991" spans="1:1" x14ac:dyDescent="0.45">
      <c r="A2991" s="3"/>
    </row>
    <row r="2992" spans="1:1" x14ac:dyDescent="0.45">
      <c r="A2992" s="3"/>
    </row>
    <row r="2993" spans="1:1" x14ac:dyDescent="0.45">
      <c r="A2993" s="3"/>
    </row>
    <row r="2994" spans="1:1" x14ac:dyDescent="0.45">
      <c r="A2994" s="3"/>
    </row>
    <row r="2995" spans="1:1" x14ac:dyDescent="0.45">
      <c r="A2995" s="3"/>
    </row>
    <row r="2996" spans="1:1" x14ac:dyDescent="0.45">
      <c r="A2996" s="3"/>
    </row>
    <row r="2997" spans="1:1" x14ac:dyDescent="0.45">
      <c r="A2997" s="3"/>
    </row>
    <row r="2998" spans="1:1" x14ac:dyDescent="0.45">
      <c r="A2998" s="3"/>
    </row>
    <row r="2999" spans="1:1" x14ac:dyDescent="0.45">
      <c r="A2999" s="3"/>
    </row>
    <row r="3000" spans="1:1" x14ac:dyDescent="0.45">
      <c r="A3000" s="3"/>
    </row>
    <row r="3001" spans="1:1" x14ac:dyDescent="0.45">
      <c r="A3001" s="3"/>
    </row>
    <row r="3002" spans="1:1" x14ac:dyDescent="0.45">
      <c r="A3002" s="3"/>
    </row>
    <row r="3003" spans="1:1" x14ac:dyDescent="0.45">
      <c r="A3003" s="3"/>
    </row>
    <row r="3004" spans="1:1" x14ac:dyDescent="0.45">
      <c r="A3004" s="3"/>
    </row>
    <row r="3005" spans="1:1" x14ac:dyDescent="0.45">
      <c r="A3005" s="3"/>
    </row>
    <row r="3006" spans="1:1" x14ac:dyDescent="0.45">
      <c r="A3006" s="3"/>
    </row>
    <row r="3007" spans="1:1" x14ac:dyDescent="0.45">
      <c r="A3007" s="3"/>
    </row>
    <row r="3008" spans="1:1" x14ac:dyDescent="0.45">
      <c r="A3008" s="3"/>
    </row>
    <row r="3009" spans="1:1" x14ac:dyDescent="0.45">
      <c r="A3009" s="3"/>
    </row>
    <row r="3010" spans="1:1" x14ac:dyDescent="0.45">
      <c r="A3010" s="3"/>
    </row>
    <row r="3011" spans="1:1" x14ac:dyDescent="0.45">
      <c r="A3011" s="3"/>
    </row>
    <row r="3012" spans="1:1" x14ac:dyDescent="0.45">
      <c r="A3012" s="3"/>
    </row>
    <row r="3013" spans="1:1" x14ac:dyDescent="0.45">
      <c r="A3013" s="3"/>
    </row>
    <row r="3014" spans="1:1" x14ac:dyDescent="0.45">
      <c r="A3014" s="3"/>
    </row>
    <row r="3015" spans="1:1" x14ac:dyDescent="0.45">
      <c r="A3015" s="3"/>
    </row>
    <row r="3016" spans="1:1" x14ac:dyDescent="0.45">
      <c r="A3016" s="3"/>
    </row>
    <row r="3017" spans="1:1" x14ac:dyDescent="0.45">
      <c r="A3017" s="3"/>
    </row>
    <row r="3018" spans="1:1" x14ac:dyDescent="0.45">
      <c r="A3018" s="3"/>
    </row>
    <row r="3019" spans="1:1" x14ac:dyDescent="0.45">
      <c r="A3019" s="3"/>
    </row>
    <row r="3020" spans="1:1" x14ac:dyDescent="0.45">
      <c r="A3020" s="3"/>
    </row>
    <row r="3021" spans="1:1" x14ac:dyDescent="0.45">
      <c r="A3021" s="3"/>
    </row>
    <row r="3022" spans="1:1" x14ac:dyDescent="0.45">
      <c r="A3022" s="3"/>
    </row>
    <row r="3023" spans="1:1" x14ac:dyDescent="0.45">
      <c r="A3023" s="3"/>
    </row>
    <row r="3024" spans="1:1" x14ac:dyDescent="0.45">
      <c r="A3024" s="3"/>
    </row>
    <row r="3025" spans="1:1" x14ac:dyDescent="0.45">
      <c r="A3025" s="3"/>
    </row>
    <row r="3026" spans="1:1" x14ac:dyDescent="0.45">
      <c r="A3026" s="3"/>
    </row>
    <row r="3027" spans="1:1" x14ac:dyDescent="0.45">
      <c r="A3027" s="3"/>
    </row>
    <row r="3028" spans="1:1" x14ac:dyDescent="0.45">
      <c r="A3028" s="3"/>
    </row>
    <row r="3029" spans="1:1" x14ac:dyDescent="0.45">
      <c r="A3029" s="3"/>
    </row>
    <row r="3030" spans="1:1" x14ac:dyDescent="0.45">
      <c r="A3030" s="3"/>
    </row>
    <row r="3031" spans="1:1" x14ac:dyDescent="0.45">
      <c r="A3031" s="3"/>
    </row>
    <row r="3032" spans="1:1" x14ac:dyDescent="0.45">
      <c r="A3032" s="3"/>
    </row>
    <row r="3033" spans="1:1" x14ac:dyDescent="0.45">
      <c r="A3033" s="3"/>
    </row>
    <row r="3034" spans="1:1" x14ac:dyDescent="0.45">
      <c r="A3034" s="3"/>
    </row>
    <row r="3035" spans="1:1" x14ac:dyDescent="0.45">
      <c r="A3035" s="3"/>
    </row>
    <row r="3036" spans="1:1" x14ac:dyDescent="0.45">
      <c r="A3036" s="3"/>
    </row>
    <row r="3037" spans="1:1" x14ac:dyDescent="0.45">
      <c r="A3037" s="3"/>
    </row>
    <row r="3038" spans="1:1" x14ac:dyDescent="0.45">
      <c r="A3038" s="3"/>
    </row>
    <row r="3039" spans="1:1" x14ac:dyDescent="0.45">
      <c r="A3039" s="3"/>
    </row>
    <row r="3040" spans="1:1" x14ac:dyDescent="0.45">
      <c r="A3040" s="3"/>
    </row>
    <row r="3041" spans="1:1" x14ac:dyDescent="0.45">
      <c r="A3041" s="3"/>
    </row>
    <row r="3042" spans="1:1" x14ac:dyDescent="0.45">
      <c r="A3042" s="3"/>
    </row>
    <row r="3043" spans="1:1" x14ac:dyDescent="0.45">
      <c r="A3043" s="3"/>
    </row>
    <row r="3044" spans="1:1" x14ac:dyDescent="0.45">
      <c r="A3044" s="3"/>
    </row>
    <row r="3045" spans="1:1" x14ac:dyDescent="0.45">
      <c r="A3045" s="3"/>
    </row>
    <row r="3046" spans="1:1" x14ac:dyDescent="0.45">
      <c r="A3046" s="3"/>
    </row>
    <row r="3047" spans="1:1" x14ac:dyDescent="0.45">
      <c r="A3047" s="3"/>
    </row>
    <row r="3048" spans="1:1" x14ac:dyDescent="0.45">
      <c r="A3048" s="3"/>
    </row>
    <row r="3049" spans="1:1" x14ac:dyDescent="0.45">
      <c r="A3049" s="3"/>
    </row>
    <row r="3050" spans="1:1" x14ac:dyDescent="0.45">
      <c r="A3050" s="3"/>
    </row>
    <row r="3051" spans="1:1" x14ac:dyDescent="0.45">
      <c r="A3051" s="3"/>
    </row>
    <row r="3052" spans="1:1" x14ac:dyDescent="0.45">
      <c r="A3052" s="3"/>
    </row>
    <row r="3053" spans="1:1" x14ac:dyDescent="0.45">
      <c r="A3053" s="3"/>
    </row>
    <row r="3054" spans="1:1" x14ac:dyDescent="0.45">
      <c r="A3054" s="3"/>
    </row>
    <row r="3055" spans="1:1" x14ac:dyDescent="0.45">
      <c r="A3055" s="3"/>
    </row>
    <row r="3056" spans="1:1" x14ac:dyDescent="0.45">
      <c r="A3056" s="3"/>
    </row>
    <row r="3057" spans="1:1" x14ac:dyDescent="0.45">
      <c r="A3057" s="3"/>
    </row>
    <row r="3058" spans="1:1" x14ac:dyDescent="0.45">
      <c r="A3058" s="3"/>
    </row>
    <row r="3059" spans="1:1" x14ac:dyDescent="0.45">
      <c r="A3059" s="3"/>
    </row>
    <row r="3060" spans="1:1" x14ac:dyDescent="0.45">
      <c r="A3060" s="3"/>
    </row>
    <row r="3061" spans="1:1" x14ac:dyDescent="0.45">
      <c r="A3061" s="3"/>
    </row>
    <row r="3062" spans="1:1" x14ac:dyDescent="0.45">
      <c r="A3062" s="3"/>
    </row>
    <row r="3063" spans="1:1" x14ac:dyDescent="0.45">
      <c r="A3063" s="3"/>
    </row>
    <row r="3064" spans="1:1" x14ac:dyDescent="0.45">
      <c r="A3064" s="3"/>
    </row>
    <row r="3065" spans="1:1" x14ac:dyDescent="0.45">
      <c r="A3065" s="3"/>
    </row>
    <row r="3066" spans="1:1" x14ac:dyDescent="0.45">
      <c r="A3066" s="3"/>
    </row>
    <row r="3067" spans="1:1" x14ac:dyDescent="0.45">
      <c r="A3067" s="3"/>
    </row>
    <row r="3068" spans="1:1" x14ac:dyDescent="0.45">
      <c r="A3068" s="3"/>
    </row>
    <row r="3069" spans="1:1" x14ac:dyDescent="0.45">
      <c r="A3069" s="3"/>
    </row>
    <row r="3070" spans="1:1" x14ac:dyDescent="0.45">
      <c r="A3070" s="3"/>
    </row>
    <row r="3071" spans="1:1" x14ac:dyDescent="0.45">
      <c r="A3071" s="3"/>
    </row>
    <row r="3072" spans="1:1" x14ac:dyDescent="0.45">
      <c r="A3072" s="3"/>
    </row>
    <row r="3073" spans="1:1" x14ac:dyDescent="0.45">
      <c r="A3073" s="3"/>
    </row>
    <row r="3074" spans="1:1" x14ac:dyDescent="0.45">
      <c r="A3074" s="3"/>
    </row>
    <row r="3075" spans="1:1" x14ac:dyDescent="0.45">
      <c r="A3075" s="3"/>
    </row>
    <row r="3076" spans="1:1" x14ac:dyDescent="0.45">
      <c r="A3076" s="3"/>
    </row>
    <row r="3077" spans="1:1" x14ac:dyDescent="0.45">
      <c r="A3077" s="3"/>
    </row>
    <row r="3078" spans="1:1" x14ac:dyDescent="0.45">
      <c r="A3078" s="3"/>
    </row>
    <row r="3079" spans="1:1" x14ac:dyDescent="0.45">
      <c r="A3079" s="3"/>
    </row>
    <row r="3080" spans="1:1" x14ac:dyDescent="0.45">
      <c r="A3080" s="3"/>
    </row>
    <row r="3081" spans="1:1" x14ac:dyDescent="0.45">
      <c r="A3081" s="3"/>
    </row>
    <row r="3082" spans="1:1" x14ac:dyDescent="0.45">
      <c r="A3082" s="3"/>
    </row>
    <row r="3083" spans="1:1" x14ac:dyDescent="0.45">
      <c r="A3083" s="3"/>
    </row>
    <row r="3084" spans="1:1" x14ac:dyDescent="0.45">
      <c r="A3084" s="3"/>
    </row>
    <row r="3085" spans="1:1" x14ac:dyDescent="0.45">
      <c r="A3085" s="3"/>
    </row>
    <row r="3086" spans="1:1" x14ac:dyDescent="0.45">
      <c r="A3086" s="3"/>
    </row>
    <row r="3087" spans="1:1" x14ac:dyDescent="0.45">
      <c r="A3087" s="3"/>
    </row>
    <row r="3088" spans="1:1" x14ac:dyDescent="0.45">
      <c r="A3088" s="3"/>
    </row>
    <row r="3089" spans="1:1" x14ac:dyDescent="0.45">
      <c r="A3089" s="3"/>
    </row>
    <row r="3090" spans="1:1" x14ac:dyDescent="0.45">
      <c r="A3090" s="3"/>
    </row>
    <row r="3091" spans="1:1" x14ac:dyDescent="0.45">
      <c r="A3091" s="3"/>
    </row>
    <row r="3092" spans="1:1" x14ac:dyDescent="0.45">
      <c r="A3092" s="3"/>
    </row>
    <row r="3093" spans="1:1" x14ac:dyDescent="0.45">
      <c r="A3093" s="3"/>
    </row>
    <row r="3094" spans="1:1" x14ac:dyDescent="0.45">
      <c r="A3094" s="3"/>
    </row>
    <row r="3095" spans="1:1" x14ac:dyDescent="0.45">
      <c r="A3095" s="3"/>
    </row>
    <row r="3096" spans="1:1" x14ac:dyDescent="0.45">
      <c r="A3096" s="3"/>
    </row>
    <row r="3097" spans="1:1" x14ac:dyDescent="0.45">
      <c r="A3097" s="3"/>
    </row>
    <row r="3098" spans="1:1" x14ac:dyDescent="0.45">
      <c r="A3098" s="3"/>
    </row>
    <row r="3099" spans="1:1" x14ac:dyDescent="0.45">
      <c r="A3099" s="3"/>
    </row>
    <row r="3100" spans="1:1" x14ac:dyDescent="0.45">
      <c r="A3100" s="3"/>
    </row>
    <row r="3101" spans="1:1" x14ac:dyDescent="0.45">
      <c r="A3101" s="3"/>
    </row>
    <row r="3102" spans="1:1" x14ac:dyDescent="0.45">
      <c r="A3102" s="3"/>
    </row>
    <row r="3103" spans="1:1" x14ac:dyDescent="0.45">
      <c r="A3103" s="3"/>
    </row>
    <row r="3104" spans="1:1" x14ac:dyDescent="0.45">
      <c r="A3104" s="3"/>
    </row>
    <row r="3105" spans="1:1" x14ac:dyDescent="0.45">
      <c r="A3105" s="3"/>
    </row>
    <row r="3106" spans="1:1" x14ac:dyDescent="0.45">
      <c r="A3106" s="3"/>
    </row>
    <row r="3107" spans="1:1" x14ac:dyDescent="0.45">
      <c r="A3107" s="3"/>
    </row>
    <row r="3108" spans="1:1" x14ac:dyDescent="0.45">
      <c r="A3108" s="3"/>
    </row>
    <row r="3109" spans="1:1" x14ac:dyDescent="0.45">
      <c r="A3109" s="3"/>
    </row>
    <row r="3110" spans="1:1" x14ac:dyDescent="0.45">
      <c r="A3110" s="3"/>
    </row>
    <row r="3111" spans="1:1" x14ac:dyDescent="0.45">
      <c r="A3111" s="3"/>
    </row>
    <row r="3112" spans="1:1" x14ac:dyDescent="0.45">
      <c r="A3112" s="3"/>
    </row>
    <row r="3113" spans="1:1" x14ac:dyDescent="0.45">
      <c r="A3113" s="3"/>
    </row>
    <row r="3114" spans="1:1" x14ac:dyDescent="0.45">
      <c r="A3114" s="3"/>
    </row>
    <row r="3115" spans="1:1" x14ac:dyDescent="0.45">
      <c r="A3115" s="3"/>
    </row>
    <row r="3116" spans="1:1" x14ac:dyDescent="0.45">
      <c r="A3116" s="3"/>
    </row>
    <row r="3117" spans="1:1" x14ac:dyDescent="0.45">
      <c r="A3117" s="3"/>
    </row>
    <row r="3118" spans="1:1" x14ac:dyDescent="0.45">
      <c r="A3118" s="3"/>
    </row>
    <row r="3119" spans="1:1" x14ac:dyDescent="0.45">
      <c r="A3119" s="3"/>
    </row>
    <row r="3120" spans="1:1" x14ac:dyDescent="0.45">
      <c r="A3120" s="3"/>
    </row>
    <row r="3121" spans="1:1" x14ac:dyDescent="0.45">
      <c r="A3121" s="3"/>
    </row>
    <row r="3122" spans="1:1" x14ac:dyDescent="0.45">
      <c r="A3122" s="3"/>
    </row>
    <row r="3123" spans="1:1" x14ac:dyDescent="0.45">
      <c r="A3123" s="3"/>
    </row>
    <row r="3124" spans="1:1" x14ac:dyDescent="0.45">
      <c r="A3124" s="3"/>
    </row>
    <row r="3125" spans="1:1" x14ac:dyDescent="0.45">
      <c r="A3125" s="3"/>
    </row>
    <row r="3126" spans="1:1" x14ac:dyDescent="0.45">
      <c r="A3126" s="3"/>
    </row>
    <row r="3127" spans="1:1" x14ac:dyDescent="0.45">
      <c r="A3127" s="3"/>
    </row>
    <row r="3128" spans="1:1" x14ac:dyDescent="0.45">
      <c r="A3128" s="3"/>
    </row>
    <row r="3129" spans="1:1" x14ac:dyDescent="0.45">
      <c r="A3129" s="3"/>
    </row>
    <row r="3130" spans="1:1" x14ac:dyDescent="0.45">
      <c r="A3130" s="3"/>
    </row>
    <row r="3131" spans="1:1" x14ac:dyDescent="0.45">
      <c r="A3131" s="3"/>
    </row>
    <row r="3132" spans="1:1" x14ac:dyDescent="0.45">
      <c r="A3132" s="3"/>
    </row>
    <row r="3133" spans="1:1" x14ac:dyDescent="0.45">
      <c r="A3133" s="3"/>
    </row>
    <row r="3134" spans="1:1" x14ac:dyDescent="0.45">
      <c r="A3134" s="3"/>
    </row>
    <row r="3135" spans="1:1" x14ac:dyDescent="0.45">
      <c r="A3135" s="3"/>
    </row>
    <row r="3136" spans="1:1" x14ac:dyDescent="0.45">
      <c r="A3136" s="3"/>
    </row>
    <row r="3137" spans="1:1" x14ac:dyDescent="0.45">
      <c r="A3137" s="3"/>
    </row>
    <row r="3138" spans="1:1" x14ac:dyDescent="0.45">
      <c r="A3138" s="3"/>
    </row>
    <row r="3139" spans="1:1" x14ac:dyDescent="0.45">
      <c r="A3139" s="3"/>
    </row>
    <row r="3140" spans="1:1" x14ac:dyDescent="0.45">
      <c r="A3140" s="3"/>
    </row>
    <row r="3141" spans="1:1" x14ac:dyDescent="0.45">
      <c r="A3141" s="3"/>
    </row>
    <row r="3142" spans="1:1" x14ac:dyDescent="0.45">
      <c r="A3142" s="3"/>
    </row>
    <row r="3143" spans="1:1" x14ac:dyDescent="0.45">
      <c r="A3143" s="3"/>
    </row>
    <row r="3144" spans="1:1" x14ac:dyDescent="0.45">
      <c r="A3144" s="3"/>
    </row>
    <row r="3145" spans="1:1" x14ac:dyDescent="0.45">
      <c r="A3145" s="3"/>
    </row>
    <row r="3146" spans="1:1" x14ac:dyDescent="0.45">
      <c r="A3146" s="3"/>
    </row>
    <row r="3147" spans="1:1" x14ac:dyDescent="0.45">
      <c r="A3147" s="3"/>
    </row>
    <row r="3148" spans="1:1" x14ac:dyDescent="0.45">
      <c r="A3148" s="3"/>
    </row>
    <row r="3149" spans="1:1" x14ac:dyDescent="0.45">
      <c r="A3149" s="3"/>
    </row>
    <row r="3150" spans="1:1" x14ac:dyDescent="0.45">
      <c r="A3150" s="3"/>
    </row>
    <row r="3151" spans="1:1" x14ac:dyDescent="0.45">
      <c r="A3151" s="3"/>
    </row>
    <row r="3152" spans="1:1" x14ac:dyDescent="0.45">
      <c r="A3152" s="3"/>
    </row>
    <row r="3153" spans="1:1" x14ac:dyDescent="0.45">
      <c r="A3153" s="3"/>
    </row>
    <row r="3154" spans="1:1" x14ac:dyDescent="0.45">
      <c r="A3154" s="3"/>
    </row>
    <row r="3155" spans="1:1" x14ac:dyDescent="0.45">
      <c r="A3155" s="3"/>
    </row>
    <row r="3156" spans="1:1" x14ac:dyDescent="0.45">
      <c r="A3156" s="3"/>
    </row>
    <row r="3157" spans="1:1" x14ac:dyDescent="0.45">
      <c r="A3157" s="3"/>
    </row>
    <row r="3158" spans="1:1" x14ac:dyDescent="0.45">
      <c r="A3158" s="3"/>
    </row>
    <row r="3159" spans="1:1" x14ac:dyDescent="0.45">
      <c r="A3159" s="3"/>
    </row>
    <row r="3160" spans="1:1" x14ac:dyDescent="0.45">
      <c r="A3160" s="3"/>
    </row>
    <row r="3161" spans="1:1" x14ac:dyDescent="0.45">
      <c r="A3161" s="3"/>
    </row>
    <row r="3162" spans="1:1" x14ac:dyDescent="0.45">
      <c r="A3162" s="3"/>
    </row>
    <row r="3163" spans="1:1" x14ac:dyDescent="0.45">
      <c r="A3163" s="3"/>
    </row>
    <row r="3164" spans="1:1" x14ac:dyDescent="0.45">
      <c r="A3164" s="3"/>
    </row>
    <row r="3165" spans="1:1" x14ac:dyDescent="0.45">
      <c r="A3165" s="3"/>
    </row>
    <row r="3166" spans="1:1" x14ac:dyDescent="0.45">
      <c r="A3166" s="3"/>
    </row>
    <row r="3167" spans="1:1" x14ac:dyDescent="0.45">
      <c r="A3167" s="3"/>
    </row>
    <row r="3168" spans="1:1" x14ac:dyDescent="0.45">
      <c r="A3168" s="3"/>
    </row>
    <row r="3169" spans="1:1" x14ac:dyDescent="0.45">
      <c r="A3169" s="3"/>
    </row>
    <row r="3170" spans="1:1" x14ac:dyDescent="0.45">
      <c r="A3170" s="3"/>
    </row>
    <row r="3171" spans="1:1" x14ac:dyDescent="0.45">
      <c r="A3171" s="3"/>
    </row>
    <row r="3172" spans="1:1" x14ac:dyDescent="0.45">
      <c r="A3172" s="3"/>
    </row>
    <row r="3173" spans="1:1" x14ac:dyDescent="0.45">
      <c r="A3173" s="3"/>
    </row>
    <row r="3174" spans="1:1" x14ac:dyDescent="0.45">
      <c r="A3174" s="3"/>
    </row>
    <row r="3175" spans="1:1" x14ac:dyDescent="0.45">
      <c r="A3175" s="3"/>
    </row>
    <row r="3176" spans="1:1" x14ac:dyDescent="0.45">
      <c r="A3176" s="3"/>
    </row>
    <row r="3177" spans="1:1" x14ac:dyDescent="0.45">
      <c r="A3177" s="3"/>
    </row>
    <row r="3178" spans="1:1" x14ac:dyDescent="0.45">
      <c r="A3178" s="3"/>
    </row>
    <row r="3179" spans="1:1" x14ac:dyDescent="0.45">
      <c r="A3179" s="3"/>
    </row>
    <row r="3180" spans="1:1" x14ac:dyDescent="0.45">
      <c r="A3180" s="3"/>
    </row>
    <row r="3181" spans="1:1" x14ac:dyDescent="0.45">
      <c r="A3181" s="3"/>
    </row>
    <row r="3182" spans="1:1" x14ac:dyDescent="0.45">
      <c r="A3182" s="3"/>
    </row>
    <row r="3183" spans="1:1" x14ac:dyDescent="0.45">
      <c r="A3183" s="3"/>
    </row>
    <row r="3184" spans="1:1" x14ac:dyDescent="0.45">
      <c r="A3184" s="3"/>
    </row>
    <row r="3185" spans="1:1" x14ac:dyDescent="0.45">
      <c r="A3185" s="3"/>
    </row>
    <row r="3186" spans="1:1" x14ac:dyDescent="0.45">
      <c r="A3186" s="3"/>
    </row>
    <row r="3187" spans="1:1" x14ac:dyDescent="0.45">
      <c r="A3187" s="3"/>
    </row>
    <row r="3188" spans="1:1" x14ac:dyDescent="0.45">
      <c r="A3188" s="3"/>
    </row>
    <row r="3189" spans="1:1" x14ac:dyDescent="0.45">
      <c r="A3189" s="3"/>
    </row>
    <row r="3190" spans="1:1" x14ac:dyDescent="0.45">
      <c r="A3190" s="3"/>
    </row>
    <row r="3191" spans="1:1" x14ac:dyDescent="0.45">
      <c r="A3191" s="3"/>
    </row>
    <row r="3192" spans="1:1" x14ac:dyDescent="0.45">
      <c r="A3192" s="3"/>
    </row>
    <row r="3193" spans="1:1" x14ac:dyDescent="0.45">
      <c r="A3193" s="3"/>
    </row>
    <row r="3194" spans="1:1" x14ac:dyDescent="0.45">
      <c r="A3194" s="3"/>
    </row>
    <row r="3195" spans="1:1" x14ac:dyDescent="0.45">
      <c r="A3195" s="3"/>
    </row>
    <row r="3196" spans="1:1" x14ac:dyDescent="0.45">
      <c r="A3196" s="3"/>
    </row>
    <row r="3197" spans="1:1" x14ac:dyDescent="0.45">
      <c r="A3197" s="3"/>
    </row>
    <row r="3198" spans="1:1" x14ac:dyDescent="0.45">
      <c r="A3198" s="3"/>
    </row>
    <row r="3199" spans="1:1" x14ac:dyDescent="0.45">
      <c r="A3199" s="3"/>
    </row>
    <row r="3200" spans="1:1" x14ac:dyDescent="0.45">
      <c r="A3200" s="3"/>
    </row>
    <row r="3201" spans="1:1" x14ac:dyDescent="0.45">
      <c r="A3201" s="3"/>
    </row>
    <row r="3202" spans="1:1" x14ac:dyDescent="0.45">
      <c r="A3202" s="3"/>
    </row>
    <row r="3203" spans="1:1" x14ac:dyDescent="0.45">
      <c r="A3203" s="3"/>
    </row>
    <row r="3204" spans="1:1" x14ac:dyDescent="0.45">
      <c r="A3204" s="3"/>
    </row>
    <row r="3205" spans="1:1" x14ac:dyDescent="0.45">
      <c r="A3205" s="3"/>
    </row>
    <row r="3206" spans="1:1" x14ac:dyDescent="0.45">
      <c r="A3206" s="3"/>
    </row>
    <row r="3207" spans="1:1" x14ac:dyDescent="0.45">
      <c r="A3207" s="3"/>
    </row>
    <row r="3208" spans="1:1" x14ac:dyDescent="0.45">
      <c r="A3208" s="3"/>
    </row>
    <row r="3209" spans="1:1" x14ac:dyDescent="0.45">
      <c r="A3209" s="3"/>
    </row>
    <row r="3210" spans="1:1" x14ac:dyDescent="0.45">
      <c r="A3210" s="3"/>
    </row>
    <row r="3211" spans="1:1" x14ac:dyDescent="0.45">
      <c r="A3211" s="3"/>
    </row>
    <row r="3212" spans="1:1" x14ac:dyDescent="0.45">
      <c r="A3212" s="3"/>
    </row>
    <row r="3213" spans="1:1" x14ac:dyDescent="0.45">
      <c r="A3213" s="3"/>
    </row>
    <row r="3214" spans="1:1" x14ac:dyDescent="0.45">
      <c r="A3214" s="3"/>
    </row>
    <row r="3215" spans="1:1" x14ac:dyDescent="0.45">
      <c r="A3215" s="3"/>
    </row>
    <row r="3216" spans="1:1" x14ac:dyDescent="0.45">
      <c r="A3216" s="3"/>
    </row>
    <row r="3217" spans="1:1" x14ac:dyDescent="0.45">
      <c r="A3217" s="3"/>
    </row>
    <row r="3218" spans="1:1" x14ac:dyDescent="0.45">
      <c r="A3218" s="3"/>
    </row>
    <row r="3219" spans="1:1" x14ac:dyDescent="0.45">
      <c r="A3219" s="3"/>
    </row>
    <row r="3220" spans="1:1" x14ac:dyDescent="0.45">
      <c r="A3220" s="3"/>
    </row>
    <row r="3221" spans="1:1" x14ac:dyDescent="0.45">
      <c r="A3221" s="3"/>
    </row>
    <row r="3222" spans="1:1" x14ac:dyDescent="0.45">
      <c r="A3222" s="3"/>
    </row>
    <row r="3223" spans="1:1" x14ac:dyDescent="0.45">
      <c r="A3223" s="3"/>
    </row>
    <row r="3224" spans="1:1" x14ac:dyDescent="0.45">
      <c r="A3224" s="3"/>
    </row>
    <row r="3225" spans="1:1" x14ac:dyDescent="0.45">
      <c r="A3225" s="3"/>
    </row>
    <row r="3226" spans="1:1" x14ac:dyDescent="0.45">
      <c r="A3226" s="3"/>
    </row>
    <row r="3227" spans="1:1" x14ac:dyDescent="0.45">
      <c r="A3227" s="3"/>
    </row>
    <row r="3228" spans="1:1" x14ac:dyDescent="0.45">
      <c r="A3228" s="3"/>
    </row>
    <row r="3229" spans="1:1" x14ac:dyDescent="0.45">
      <c r="A3229" s="3"/>
    </row>
    <row r="3230" spans="1:1" x14ac:dyDescent="0.45">
      <c r="A3230" s="3"/>
    </row>
    <row r="3231" spans="1:1" x14ac:dyDescent="0.45">
      <c r="A3231" s="3"/>
    </row>
    <row r="3232" spans="1:1" x14ac:dyDescent="0.45">
      <c r="A3232" s="3"/>
    </row>
    <row r="3233" spans="1:1" x14ac:dyDescent="0.45">
      <c r="A3233" s="3"/>
    </row>
    <row r="3234" spans="1:1" x14ac:dyDescent="0.45">
      <c r="A3234" s="3"/>
    </row>
    <row r="3235" spans="1:1" x14ac:dyDescent="0.45">
      <c r="A3235" s="3"/>
    </row>
    <row r="3236" spans="1:1" x14ac:dyDescent="0.45">
      <c r="A3236" s="3"/>
    </row>
    <row r="3237" spans="1:1" x14ac:dyDescent="0.45">
      <c r="A3237" s="3"/>
    </row>
    <row r="3238" spans="1:1" x14ac:dyDescent="0.45">
      <c r="A3238" s="3"/>
    </row>
    <row r="3239" spans="1:1" x14ac:dyDescent="0.45">
      <c r="A3239" s="3"/>
    </row>
    <row r="3240" spans="1:1" x14ac:dyDescent="0.45">
      <c r="A3240" s="3"/>
    </row>
    <row r="3241" spans="1:1" x14ac:dyDescent="0.45">
      <c r="A3241" s="3"/>
    </row>
    <row r="3242" spans="1:1" x14ac:dyDescent="0.45">
      <c r="A3242" s="3"/>
    </row>
    <row r="3243" spans="1:1" x14ac:dyDescent="0.45">
      <c r="A3243" s="3"/>
    </row>
    <row r="3244" spans="1:1" x14ac:dyDescent="0.45">
      <c r="A3244" s="3"/>
    </row>
    <row r="3245" spans="1:1" x14ac:dyDescent="0.45">
      <c r="A3245" s="3"/>
    </row>
    <row r="3246" spans="1:1" x14ac:dyDescent="0.45">
      <c r="A3246" s="3"/>
    </row>
    <row r="3247" spans="1:1" x14ac:dyDescent="0.45">
      <c r="A3247" s="3"/>
    </row>
    <row r="3248" spans="1:1" x14ac:dyDescent="0.45">
      <c r="A3248" s="3"/>
    </row>
    <row r="3249" spans="1:1" x14ac:dyDescent="0.45">
      <c r="A3249" s="3"/>
    </row>
    <row r="3250" spans="1:1" x14ac:dyDescent="0.45">
      <c r="A3250" s="3"/>
    </row>
    <row r="3251" spans="1:1" x14ac:dyDescent="0.45">
      <c r="A3251" s="3"/>
    </row>
    <row r="3252" spans="1:1" x14ac:dyDescent="0.45">
      <c r="A3252" s="3"/>
    </row>
    <row r="3253" spans="1:1" x14ac:dyDescent="0.45">
      <c r="A3253" s="3"/>
    </row>
    <row r="3254" spans="1:1" x14ac:dyDescent="0.45">
      <c r="A3254" s="3"/>
    </row>
    <row r="3255" spans="1:1" x14ac:dyDescent="0.45">
      <c r="A3255" s="3"/>
    </row>
    <row r="3256" spans="1:1" x14ac:dyDescent="0.45">
      <c r="A3256" s="3"/>
    </row>
    <row r="3257" spans="1:1" x14ac:dyDescent="0.45">
      <c r="A3257" s="3"/>
    </row>
    <row r="3258" spans="1:1" x14ac:dyDescent="0.45">
      <c r="A3258" s="3"/>
    </row>
    <row r="3259" spans="1:1" x14ac:dyDescent="0.45">
      <c r="A3259" s="3"/>
    </row>
    <row r="3260" spans="1:1" x14ac:dyDescent="0.45">
      <c r="A3260" s="3"/>
    </row>
    <row r="3261" spans="1:1" x14ac:dyDescent="0.45">
      <c r="A3261" s="3"/>
    </row>
    <row r="3262" spans="1:1" x14ac:dyDescent="0.45">
      <c r="A3262" s="3"/>
    </row>
    <row r="3263" spans="1:1" x14ac:dyDescent="0.45">
      <c r="A3263" s="3"/>
    </row>
    <row r="3264" spans="1:1" x14ac:dyDescent="0.45">
      <c r="A3264" s="3"/>
    </row>
    <row r="3265" spans="1:1" x14ac:dyDescent="0.45">
      <c r="A3265" s="3"/>
    </row>
    <row r="3266" spans="1:1" x14ac:dyDescent="0.45">
      <c r="A3266" s="3"/>
    </row>
    <row r="3267" spans="1:1" x14ac:dyDescent="0.45">
      <c r="A3267" s="3"/>
    </row>
    <row r="3268" spans="1:1" x14ac:dyDescent="0.45">
      <c r="A3268" s="3"/>
    </row>
    <row r="3269" spans="1:1" x14ac:dyDescent="0.45">
      <c r="A3269" s="3"/>
    </row>
    <row r="3270" spans="1:1" x14ac:dyDescent="0.45">
      <c r="A3270" s="3"/>
    </row>
    <row r="3271" spans="1:1" x14ac:dyDescent="0.45">
      <c r="A3271" s="3"/>
    </row>
    <row r="3272" spans="1:1" x14ac:dyDescent="0.45">
      <c r="A3272" s="3"/>
    </row>
    <row r="3273" spans="1:1" x14ac:dyDescent="0.45">
      <c r="A3273" s="3"/>
    </row>
    <row r="3274" spans="1:1" x14ac:dyDescent="0.45">
      <c r="A3274" s="3"/>
    </row>
    <row r="3275" spans="1:1" x14ac:dyDescent="0.45">
      <c r="A3275" s="3"/>
    </row>
    <row r="3276" spans="1:1" x14ac:dyDescent="0.45">
      <c r="A3276" s="3"/>
    </row>
    <row r="3277" spans="1:1" x14ac:dyDescent="0.45">
      <c r="A3277" s="3"/>
    </row>
    <row r="3278" spans="1:1" x14ac:dyDescent="0.45">
      <c r="A3278" s="3"/>
    </row>
    <row r="3279" spans="1:1" x14ac:dyDescent="0.45">
      <c r="A3279" s="3"/>
    </row>
    <row r="3280" spans="1:1" x14ac:dyDescent="0.45">
      <c r="A3280" s="3"/>
    </row>
    <row r="3281" spans="1:1" x14ac:dyDescent="0.45">
      <c r="A3281" s="3"/>
    </row>
    <row r="3282" spans="1:1" x14ac:dyDescent="0.45">
      <c r="A3282" s="3"/>
    </row>
    <row r="3283" spans="1:1" x14ac:dyDescent="0.45">
      <c r="A3283" s="3"/>
    </row>
    <row r="3284" spans="1:1" x14ac:dyDescent="0.45">
      <c r="A3284" s="3"/>
    </row>
    <row r="3285" spans="1:1" x14ac:dyDescent="0.45">
      <c r="A3285" s="3"/>
    </row>
    <row r="3286" spans="1:1" x14ac:dyDescent="0.45">
      <c r="A3286" s="3"/>
    </row>
    <row r="3287" spans="1:1" x14ac:dyDescent="0.45">
      <c r="A3287" s="3"/>
    </row>
    <row r="3288" spans="1:1" x14ac:dyDescent="0.45">
      <c r="A3288" s="3"/>
    </row>
    <row r="3289" spans="1:1" x14ac:dyDescent="0.45">
      <c r="A3289" s="3"/>
    </row>
    <row r="3290" spans="1:1" x14ac:dyDescent="0.45">
      <c r="A3290" s="3"/>
    </row>
    <row r="3291" spans="1:1" x14ac:dyDescent="0.45">
      <c r="A3291" s="3"/>
    </row>
    <row r="3292" spans="1:1" x14ac:dyDescent="0.45">
      <c r="A3292" s="3"/>
    </row>
    <row r="3293" spans="1:1" x14ac:dyDescent="0.45">
      <c r="A3293" s="3"/>
    </row>
    <row r="3294" spans="1:1" x14ac:dyDescent="0.45">
      <c r="A3294" s="3"/>
    </row>
    <row r="3295" spans="1:1" x14ac:dyDescent="0.45">
      <c r="A3295" s="3"/>
    </row>
    <row r="3296" spans="1:1" x14ac:dyDescent="0.45">
      <c r="A3296" s="3"/>
    </row>
    <row r="3297" spans="1:1" x14ac:dyDescent="0.45">
      <c r="A3297" s="3"/>
    </row>
    <row r="3298" spans="1:1" x14ac:dyDescent="0.45">
      <c r="A3298" s="3"/>
    </row>
    <row r="3299" spans="1:1" x14ac:dyDescent="0.45">
      <c r="A3299" s="3"/>
    </row>
    <row r="3300" spans="1:1" x14ac:dyDescent="0.45">
      <c r="A3300" s="3"/>
    </row>
    <row r="3301" spans="1:1" x14ac:dyDescent="0.45">
      <c r="A3301" s="3"/>
    </row>
    <row r="3302" spans="1:1" x14ac:dyDescent="0.45">
      <c r="A3302" s="3"/>
    </row>
    <row r="3303" spans="1:1" x14ac:dyDescent="0.45">
      <c r="A3303" s="3"/>
    </row>
    <row r="3304" spans="1:1" x14ac:dyDescent="0.45">
      <c r="A3304" s="3"/>
    </row>
    <row r="3305" spans="1:1" x14ac:dyDescent="0.45">
      <c r="A3305" s="3"/>
    </row>
    <row r="3306" spans="1:1" x14ac:dyDescent="0.45">
      <c r="A3306" s="3"/>
    </row>
    <row r="3307" spans="1:1" x14ac:dyDescent="0.45">
      <c r="A3307" s="3"/>
    </row>
    <row r="3308" spans="1:1" x14ac:dyDescent="0.45">
      <c r="A3308" s="3"/>
    </row>
    <row r="3309" spans="1:1" x14ac:dyDescent="0.45">
      <c r="A3309" s="3"/>
    </row>
    <row r="3310" spans="1:1" x14ac:dyDescent="0.45">
      <c r="A3310" s="3"/>
    </row>
    <row r="3311" spans="1:1" x14ac:dyDescent="0.45">
      <c r="A3311" s="3"/>
    </row>
    <row r="3312" spans="1:1" x14ac:dyDescent="0.45">
      <c r="A3312" s="3"/>
    </row>
    <row r="3313" spans="1:1" x14ac:dyDescent="0.45">
      <c r="A3313" s="3"/>
    </row>
    <row r="3314" spans="1:1" x14ac:dyDescent="0.45">
      <c r="A3314" s="3"/>
    </row>
    <row r="3315" spans="1:1" x14ac:dyDescent="0.45">
      <c r="A3315" s="3"/>
    </row>
    <row r="3316" spans="1:1" x14ac:dyDescent="0.45">
      <c r="A3316" s="3"/>
    </row>
    <row r="3317" spans="1:1" x14ac:dyDescent="0.45">
      <c r="A3317" s="3"/>
    </row>
    <row r="3318" spans="1:1" x14ac:dyDescent="0.45">
      <c r="A3318" s="3"/>
    </row>
    <row r="3319" spans="1:1" x14ac:dyDescent="0.45">
      <c r="A3319" s="3"/>
    </row>
    <row r="3320" spans="1:1" x14ac:dyDescent="0.45">
      <c r="A3320" s="3"/>
    </row>
    <row r="3321" spans="1:1" x14ac:dyDescent="0.45">
      <c r="A3321" s="3"/>
    </row>
    <row r="3322" spans="1:1" x14ac:dyDescent="0.45">
      <c r="A3322" s="3"/>
    </row>
    <row r="3323" spans="1:1" x14ac:dyDescent="0.45">
      <c r="A3323" s="3"/>
    </row>
    <row r="3324" spans="1:1" x14ac:dyDescent="0.45">
      <c r="A3324" s="3"/>
    </row>
    <row r="3325" spans="1:1" x14ac:dyDescent="0.45">
      <c r="A3325" s="3"/>
    </row>
    <row r="3326" spans="1:1" x14ac:dyDescent="0.45">
      <c r="A3326" s="3"/>
    </row>
    <row r="3327" spans="1:1" x14ac:dyDescent="0.45">
      <c r="A3327" s="3"/>
    </row>
    <row r="3328" spans="1:1" x14ac:dyDescent="0.45">
      <c r="A3328" s="3"/>
    </row>
    <row r="3329" spans="1:1" x14ac:dyDescent="0.45">
      <c r="A3329" s="3"/>
    </row>
    <row r="3330" spans="1:1" x14ac:dyDescent="0.45">
      <c r="A3330" s="3"/>
    </row>
    <row r="3331" spans="1:1" x14ac:dyDescent="0.45">
      <c r="A3331" s="3"/>
    </row>
    <row r="3332" spans="1:1" x14ac:dyDescent="0.45">
      <c r="A3332" s="3"/>
    </row>
    <row r="3333" spans="1:1" x14ac:dyDescent="0.45">
      <c r="A3333" s="3"/>
    </row>
    <row r="3334" spans="1:1" x14ac:dyDescent="0.45">
      <c r="A3334" s="3"/>
    </row>
    <row r="3335" spans="1:1" x14ac:dyDescent="0.45">
      <c r="A3335" s="3"/>
    </row>
    <row r="3336" spans="1:1" x14ac:dyDescent="0.45">
      <c r="A3336" s="3"/>
    </row>
    <row r="3337" spans="1:1" x14ac:dyDescent="0.45">
      <c r="A3337" s="3"/>
    </row>
    <row r="3338" spans="1:1" x14ac:dyDescent="0.45">
      <c r="A3338" s="3"/>
    </row>
    <row r="3339" spans="1:1" x14ac:dyDescent="0.45">
      <c r="A3339" s="3"/>
    </row>
    <row r="3340" spans="1:1" x14ac:dyDescent="0.45">
      <c r="A3340" s="3"/>
    </row>
    <row r="3341" spans="1:1" x14ac:dyDescent="0.45">
      <c r="A3341" s="3"/>
    </row>
    <row r="3342" spans="1:1" x14ac:dyDescent="0.45">
      <c r="A3342" s="3"/>
    </row>
    <row r="3343" spans="1:1" x14ac:dyDescent="0.45">
      <c r="A3343" s="3"/>
    </row>
    <row r="3344" spans="1:1" x14ac:dyDescent="0.45">
      <c r="A3344" s="3"/>
    </row>
    <row r="3345" spans="1:1" x14ac:dyDescent="0.45">
      <c r="A3345" s="3"/>
    </row>
    <row r="3346" spans="1:1" x14ac:dyDescent="0.45">
      <c r="A3346" s="3"/>
    </row>
    <row r="3347" spans="1:1" x14ac:dyDescent="0.45">
      <c r="A3347" s="3"/>
    </row>
    <row r="3348" spans="1:1" x14ac:dyDescent="0.45">
      <c r="A3348" s="3"/>
    </row>
    <row r="3349" spans="1:1" x14ac:dyDescent="0.45">
      <c r="A3349" s="3"/>
    </row>
    <row r="3350" spans="1:1" x14ac:dyDescent="0.45">
      <c r="A3350" s="3"/>
    </row>
    <row r="3351" spans="1:1" x14ac:dyDescent="0.45">
      <c r="A3351" s="3"/>
    </row>
    <row r="3352" spans="1:1" x14ac:dyDescent="0.45">
      <c r="A3352" s="3"/>
    </row>
    <row r="3353" spans="1:1" x14ac:dyDescent="0.45">
      <c r="A3353" s="3"/>
    </row>
    <row r="3354" spans="1:1" x14ac:dyDescent="0.45">
      <c r="A3354" s="3"/>
    </row>
    <row r="3355" spans="1:1" x14ac:dyDescent="0.45">
      <c r="A3355" s="3"/>
    </row>
    <row r="3356" spans="1:1" x14ac:dyDescent="0.45">
      <c r="A3356" s="3"/>
    </row>
    <row r="3357" spans="1:1" x14ac:dyDescent="0.45">
      <c r="A3357" s="3"/>
    </row>
    <row r="3358" spans="1:1" x14ac:dyDescent="0.45">
      <c r="A3358" s="3"/>
    </row>
    <row r="3359" spans="1:1" x14ac:dyDescent="0.45">
      <c r="A3359" s="3"/>
    </row>
    <row r="3360" spans="1:1" x14ac:dyDescent="0.45">
      <c r="A3360" s="3"/>
    </row>
    <row r="3361" spans="1:1" x14ac:dyDescent="0.45">
      <c r="A3361" s="3"/>
    </row>
    <row r="3362" spans="1:1" x14ac:dyDescent="0.45">
      <c r="A3362" s="3"/>
    </row>
    <row r="3363" spans="1:1" x14ac:dyDescent="0.45">
      <c r="A3363" s="3"/>
    </row>
    <row r="3364" spans="1:1" x14ac:dyDescent="0.45">
      <c r="A3364" s="3"/>
    </row>
    <row r="3365" spans="1:1" x14ac:dyDescent="0.45">
      <c r="A3365" s="3"/>
    </row>
    <row r="3366" spans="1:1" x14ac:dyDescent="0.45">
      <c r="A3366" s="3"/>
    </row>
    <row r="3367" spans="1:1" x14ac:dyDescent="0.45">
      <c r="A3367" s="3"/>
    </row>
    <row r="3368" spans="1:1" x14ac:dyDescent="0.45">
      <c r="A3368" s="3"/>
    </row>
    <row r="3369" spans="1:1" x14ac:dyDescent="0.45">
      <c r="A3369" s="3"/>
    </row>
    <row r="3370" spans="1:1" x14ac:dyDescent="0.45">
      <c r="A3370" s="3"/>
    </row>
    <row r="3371" spans="1:1" x14ac:dyDescent="0.45">
      <c r="A3371" s="3"/>
    </row>
    <row r="3372" spans="1:1" x14ac:dyDescent="0.45">
      <c r="A3372" s="3"/>
    </row>
    <row r="3373" spans="1:1" x14ac:dyDescent="0.45">
      <c r="A3373" s="3"/>
    </row>
    <row r="3374" spans="1:1" x14ac:dyDescent="0.45">
      <c r="A3374" s="3"/>
    </row>
    <row r="3375" spans="1:1" x14ac:dyDescent="0.45">
      <c r="A3375" s="3"/>
    </row>
    <row r="3376" spans="1:1" x14ac:dyDescent="0.45">
      <c r="A3376" s="3"/>
    </row>
    <row r="3377" spans="1:1" x14ac:dyDescent="0.45">
      <c r="A3377" s="3"/>
    </row>
    <row r="3378" spans="1:1" x14ac:dyDescent="0.45">
      <c r="A3378" s="3"/>
    </row>
    <row r="3379" spans="1:1" x14ac:dyDescent="0.45">
      <c r="A3379" s="3"/>
    </row>
    <row r="3380" spans="1:1" x14ac:dyDescent="0.45">
      <c r="A3380" s="3"/>
    </row>
    <row r="3381" spans="1:1" x14ac:dyDescent="0.45">
      <c r="A3381" s="3"/>
    </row>
    <row r="3382" spans="1:1" x14ac:dyDescent="0.45">
      <c r="A3382" s="3"/>
    </row>
    <row r="3383" spans="1:1" x14ac:dyDescent="0.45">
      <c r="A3383" s="3"/>
    </row>
    <row r="3384" spans="1:1" x14ac:dyDescent="0.45">
      <c r="A3384" s="3"/>
    </row>
    <row r="3385" spans="1:1" x14ac:dyDescent="0.45">
      <c r="A3385" s="3"/>
    </row>
    <row r="3386" spans="1:1" x14ac:dyDescent="0.45">
      <c r="A3386" s="3"/>
    </row>
    <row r="3387" spans="1:1" x14ac:dyDescent="0.45">
      <c r="A3387" s="3"/>
    </row>
    <row r="3388" spans="1:1" x14ac:dyDescent="0.45">
      <c r="A3388" s="3"/>
    </row>
    <row r="3389" spans="1:1" x14ac:dyDescent="0.45">
      <c r="A3389" s="3"/>
    </row>
    <row r="3390" spans="1:1" x14ac:dyDescent="0.45">
      <c r="A3390" s="3"/>
    </row>
    <row r="3391" spans="1:1" x14ac:dyDescent="0.45">
      <c r="A3391" s="3"/>
    </row>
    <row r="3392" spans="1:1" x14ac:dyDescent="0.45">
      <c r="A3392" s="3"/>
    </row>
    <row r="3393" spans="1:1" x14ac:dyDescent="0.45">
      <c r="A3393" s="3"/>
    </row>
    <row r="3394" spans="1:1" x14ac:dyDescent="0.45">
      <c r="A3394" s="3"/>
    </row>
    <row r="3395" spans="1:1" x14ac:dyDescent="0.45">
      <c r="A3395" s="3"/>
    </row>
    <row r="3396" spans="1:1" x14ac:dyDescent="0.45">
      <c r="A3396" s="3"/>
    </row>
    <row r="3397" spans="1:1" x14ac:dyDescent="0.45">
      <c r="A3397" s="3"/>
    </row>
    <row r="3398" spans="1:1" x14ac:dyDescent="0.45">
      <c r="A3398" s="3"/>
    </row>
    <row r="3399" spans="1:1" x14ac:dyDescent="0.45">
      <c r="A3399" s="3"/>
    </row>
    <row r="3400" spans="1:1" x14ac:dyDescent="0.45">
      <c r="A3400" s="3"/>
    </row>
    <row r="3401" spans="1:1" x14ac:dyDescent="0.45">
      <c r="A3401" s="3"/>
    </row>
    <row r="3402" spans="1:1" x14ac:dyDescent="0.45">
      <c r="A3402" s="3"/>
    </row>
    <row r="3403" spans="1:1" x14ac:dyDescent="0.45">
      <c r="A3403" s="3"/>
    </row>
    <row r="3404" spans="1:1" x14ac:dyDescent="0.45">
      <c r="A3404" s="3"/>
    </row>
    <row r="3405" spans="1:1" x14ac:dyDescent="0.45">
      <c r="A3405" s="3"/>
    </row>
    <row r="3406" spans="1:1" x14ac:dyDescent="0.45">
      <c r="A3406" s="3"/>
    </row>
    <row r="3407" spans="1:1" x14ac:dyDescent="0.45">
      <c r="A3407" s="3"/>
    </row>
    <row r="3408" spans="1:1" x14ac:dyDescent="0.45">
      <c r="A3408" s="3"/>
    </row>
    <row r="3409" spans="1:1" x14ac:dyDescent="0.45">
      <c r="A3409" s="3"/>
    </row>
    <row r="3410" spans="1:1" x14ac:dyDescent="0.45">
      <c r="A3410" s="3"/>
    </row>
    <row r="3411" spans="1:1" x14ac:dyDescent="0.45">
      <c r="A3411" s="3"/>
    </row>
    <row r="3412" spans="1:1" x14ac:dyDescent="0.45">
      <c r="A3412" s="3"/>
    </row>
    <row r="3413" spans="1:1" x14ac:dyDescent="0.45">
      <c r="A3413" s="3"/>
    </row>
    <row r="3414" spans="1:1" x14ac:dyDescent="0.45">
      <c r="A3414" s="3"/>
    </row>
    <row r="3415" spans="1:1" x14ac:dyDescent="0.45">
      <c r="A3415" s="3"/>
    </row>
    <row r="3416" spans="1:1" x14ac:dyDescent="0.45">
      <c r="A3416" s="3"/>
    </row>
    <row r="3417" spans="1:1" x14ac:dyDescent="0.45">
      <c r="A3417" s="3"/>
    </row>
    <row r="3418" spans="1:1" x14ac:dyDescent="0.45">
      <c r="A3418" s="3"/>
    </row>
    <row r="3419" spans="1:1" x14ac:dyDescent="0.45">
      <c r="A3419" s="3"/>
    </row>
    <row r="3420" spans="1:1" x14ac:dyDescent="0.45">
      <c r="A3420" s="3"/>
    </row>
    <row r="3421" spans="1:1" x14ac:dyDescent="0.45">
      <c r="A3421" s="3"/>
    </row>
    <row r="3422" spans="1:1" x14ac:dyDescent="0.45">
      <c r="A3422" s="3"/>
    </row>
    <row r="3423" spans="1:1" x14ac:dyDescent="0.45">
      <c r="A3423" s="3"/>
    </row>
    <row r="3424" spans="1:1" x14ac:dyDescent="0.45">
      <c r="A3424" s="3"/>
    </row>
    <row r="3425" spans="1:1" x14ac:dyDescent="0.45">
      <c r="A3425" s="3"/>
    </row>
    <row r="3426" spans="1:1" x14ac:dyDescent="0.45">
      <c r="A3426" s="3"/>
    </row>
    <row r="3427" spans="1:1" x14ac:dyDescent="0.45">
      <c r="A3427" s="3"/>
    </row>
    <row r="3428" spans="1:1" x14ac:dyDescent="0.45">
      <c r="A3428" s="3"/>
    </row>
    <row r="3429" spans="1:1" x14ac:dyDescent="0.45">
      <c r="A3429" s="3"/>
    </row>
    <row r="3430" spans="1:1" x14ac:dyDescent="0.45">
      <c r="A3430" s="3"/>
    </row>
    <row r="3431" spans="1:1" x14ac:dyDescent="0.45">
      <c r="A3431" s="3"/>
    </row>
    <row r="3432" spans="1:1" x14ac:dyDescent="0.45">
      <c r="A3432" s="3"/>
    </row>
    <row r="3433" spans="1:1" x14ac:dyDescent="0.45">
      <c r="A3433" s="3"/>
    </row>
    <row r="3434" spans="1:1" x14ac:dyDescent="0.45">
      <c r="A3434" s="3"/>
    </row>
    <row r="3435" spans="1:1" x14ac:dyDescent="0.45">
      <c r="A3435" s="3"/>
    </row>
    <row r="3436" spans="1:1" x14ac:dyDescent="0.45">
      <c r="A3436" s="3"/>
    </row>
    <row r="3437" spans="1:1" x14ac:dyDescent="0.45">
      <c r="A3437" s="3"/>
    </row>
    <row r="3438" spans="1:1" x14ac:dyDescent="0.45">
      <c r="A3438" s="3"/>
    </row>
    <row r="3439" spans="1:1" x14ac:dyDescent="0.45">
      <c r="A3439" s="3"/>
    </row>
    <row r="3440" spans="1:1" x14ac:dyDescent="0.45">
      <c r="A3440" s="3"/>
    </row>
    <row r="3441" spans="1:1" x14ac:dyDescent="0.45">
      <c r="A3441" s="3"/>
    </row>
    <row r="3442" spans="1:1" x14ac:dyDescent="0.45">
      <c r="A3442" s="3"/>
    </row>
    <row r="3443" spans="1:1" x14ac:dyDescent="0.45">
      <c r="A3443" s="3"/>
    </row>
    <row r="3444" spans="1:1" x14ac:dyDescent="0.45">
      <c r="A3444" s="3"/>
    </row>
    <row r="3445" spans="1:1" x14ac:dyDescent="0.45">
      <c r="A3445" s="3"/>
    </row>
    <row r="3446" spans="1:1" x14ac:dyDescent="0.45">
      <c r="A3446" s="3"/>
    </row>
    <row r="3447" spans="1:1" x14ac:dyDescent="0.45">
      <c r="A3447" s="3"/>
    </row>
    <row r="3448" spans="1:1" x14ac:dyDescent="0.45">
      <c r="A3448" s="3"/>
    </row>
    <row r="3449" spans="1:1" x14ac:dyDescent="0.45">
      <c r="A3449" s="3"/>
    </row>
    <row r="3450" spans="1:1" x14ac:dyDescent="0.45">
      <c r="A3450" s="3"/>
    </row>
    <row r="3451" spans="1:1" x14ac:dyDescent="0.45">
      <c r="A3451" s="3"/>
    </row>
    <row r="3452" spans="1:1" x14ac:dyDescent="0.45">
      <c r="A3452" s="3"/>
    </row>
    <row r="3453" spans="1:1" x14ac:dyDescent="0.45">
      <c r="A3453" s="3"/>
    </row>
    <row r="3454" spans="1:1" x14ac:dyDescent="0.45">
      <c r="A3454" s="3"/>
    </row>
    <row r="3455" spans="1:1" x14ac:dyDescent="0.45">
      <c r="A3455" s="3"/>
    </row>
    <row r="3456" spans="1:1" x14ac:dyDescent="0.45">
      <c r="A3456" s="3"/>
    </row>
    <row r="3457" spans="1:1" x14ac:dyDescent="0.45">
      <c r="A3457" s="3"/>
    </row>
    <row r="3458" spans="1:1" x14ac:dyDescent="0.45">
      <c r="A3458" s="3"/>
    </row>
    <row r="3459" spans="1:1" x14ac:dyDescent="0.45">
      <c r="A3459" s="3"/>
    </row>
    <row r="3460" spans="1:1" x14ac:dyDescent="0.45">
      <c r="A3460" s="3"/>
    </row>
    <row r="3461" spans="1:1" x14ac:dyDescent="0.45">
      <c r="A3461" s="3"/>
    </row>
    <row r="3462" spans="1:1" x14ac:dyDescent="0.45">
      <c r="A3462" s="3"/>
    </row>
    <row r="3463" spans="1:1" x14ac:dyDescent="0.45">
      <c r="A3463" s="3"/>
    </row>
    <row r="3464" spans="1:1" x14ac:dyDescent="0.45">
      <c r="A3464" s="3"/>
    </row>
    <row r="3465" spans="1:1" x14ac:dyDescent="0.45">
      <c r="A3465" s="3"/>
    </row>
    <row r="3466" spans="1:1" x14ac:dyDescent="0.45">
      <c r="A3466" s="3"/>
    </row>
    <row r="3467" spans="1:1" x14ac:dyDescent="0.45">
      <c r="A3467" s="3"/>
    </row>
    <row r="3468" spans="1:1" x14ac:dyDescent="0.45">
      <c r="A3468" s="3"/>
    </row>
    <row r="3469" spans="1:1" x14ac:dyDescent="0.45">
      <c r="A3469" s="3"/>
    </row>
    <row r="3470" spans="1:1" x14ac:dyDescent="0.45">
      <c r="A3470" s="3"/>
    </row>
    <row r="3471" spans="1:1" x14ac:dyDescent="0.45">
      <c r="A3471" s="3"/>
    </row>
    <row r="3472" spans="1:1" x14ac:dyDescent="0.45">
      <c r="A3472" s="3"/>
    </row>
    <row r="3473" spans="1:1" x14ac:dyDescent="0.45">
      <c r="A3473" s="3"/>
    </row>
    <row r="3474" spans="1:1" x14ac:dyDescent="0.45">
      <c r="A3474" s="3"/>
    </row>
    <row r="3475" spans="1:1" x14ac:dyDescent="0.45">
      <c r="A3475" s="3"/>
    </row>
    <row r="3476" spans="1:1" x14ac:dyDescent="0.45">
      <c r="A3476" s="3"/>
    </row>
    <row r="3477" spans="1:1" x14ac:dyDescent="0.45">
      <c r="A3477" s="3"/>
    </row>
    <row r="3478" spans="1:1" x14ac:dyDescent="0.45">
      <c r="A3478" s="3"/>
    </row>
    <row r="3479" spans="1:1" x14ac:dyDescent="0.45">
      <c r="A3479" s="3"/>
    </row>
    <row r="3480" spans="1:1" x14ac:dyDescent="0.45">
      <c r="A3480" s="3"/>
    </row>
    <row r="3481" spans="1:1" x14ac:dyDescent="0.45">
      <c r="A3481" s="3"/>
    </row>
    <row r="3482" spans="1:1" x14ac:dyDescent="0.45">
      <c r="A3482" s="3"/>
    </row>
    <row r="3483" spans="1:1" x14ac:dyDescent="0.45">
      <c r="A3483" s="3"/>
    </row>
    <row r="3484" spans="1:1" x14ac:dyDescent="0.45">
      <c r="A3484" s="3"/>
    </row>
    <row r="3485" spans="1:1" x14ac:dyDescent="0.45">
      <c r="A3485" s="3"/>
    </row>
    <row r="3486" spans="1:1" x14ac:dyDescent="0.45">
      <c r="A3486" s="3"/>
    </row>
    <row r="3487" spans="1:1" x14ac:dyDescent="0.45">
      <c r="A3487" s="3"/>
    </row>
    <row r="3488" spans="1:1" x14ac:dyDescent="0.45">
      <c r="A3488" s="3"/>
    </row>
    <row r="3489" spans="1:1" x14ac:dyDescent="0.45">
      <c r="A3489" s="3"/>
    </row>
    <row r="3490" spans="1:1" x14ac:dyDescent="0.45">
      <c r="A3490" s="3"/>
    </row>
    <row r="3491" spans="1:1" x14ac:dyDescent="0.45">
      <c r="A3491" s="3"/>
    </row>
    <row r="3492" spans="1:1" x14ac:dyDescent="0.45">
      <c r="A3492" s="3"/>
    </row>
    <row r="3493" spans="1:1" x14ac:dyDescent="0.45">
      <c r="A3493" s="3"/>
    </row>
    <row r="3494" spans="1:1" x14ac:dyDescent="0.45">
      <c r="A3494" s="3"/>
    </row>
    <row r="3495" spans="1:1" x14ac:dyDescent="0.45">
      <c r="A3495" s="3"/>
    </row>
    <row r="3496" spans="1:1" x14ac:dyDescent="0.45">
      <c r="A3496" s="3"/>
    </row>
    <row r="3497" spans="1:1" x14ac:dyDescent="0.45">
      <c r="A3497" s="3"/>
    </row>
    <row r="3498" spans="1:1" x14ac:dyDescent="0.45">
      <c r="A3498" s="3"/>
    </row>
    <row r="3499" spans="1:1" x14ac:dyDescent="0.45">
      <c r="A3499" s="3"/>
    </row>
    <row r="3500" spans="1:1" x14ac:dyDescent="0.45">
      <c r="A3500" s="3"/>
    </row>
    <row r="3501" spans="1:1" x14ac:dyDescent="0.45">
      <c r="A3501" s="3"/>
    </row>
    <row r="3502" spans="1:1" x14ac:dyDescent="0.45">
      <c r="A3502" s="3"/>
    </row>
    <row r="3503" spans="1:1" x14ac:dyDescent="0.45">
      <c r="A3503" s="3"/>
    </row>
    <row r="3504" spans="1:1" x14ac:dyDescent="0.45">
      <c r="A3504" s="3"/>
    </row>
    <row r="3505" spans="1:1" x14ac:dyDescent="0.45">
      <c r="A3505" s="3"/>
    </row>
    <row r="3506" spans="1:1" x14ac:dyDescent="0.45">
      <c r="A3506" s="3"/>
    </row>
    <row r="3507" spans="1:1" x14ac:dyDescent="0.45">
      <c r="A3507" s="3"/>
    </row>
    <row r="3508" spans="1:1" x14ac:dyDescent="0.45">
      <c r="A3508" s="3"/>
    </row>
    <row r="3509" spans="1:1" x14ac:dyDescent="0.45">
      <c r="A3509" s="3"/>
    </row>
    <row r="3510" spans="1:1" x14ac:dyDescent="0.45">
      <c r="A3510" s="3"/>
    </row>
    <row r="3511" spans="1:1" x14ac:dyDescent="0.45">
      <c r="A3511" s="3"/>
    </row>
    <row r="3512" spans="1:1" x14ac:dyDescent="0.45">
      <c r="A3512" s="3"/>
    </row>
    <row r="3513" spans="1:1" x14ac:dyDescent="0.45">
      <c r="A3513" s="3"/>
    </row>
    <row r="3514" spans="1:1" x14ac:dyDescent="0.45">
      <c r="A3514" s="3"/>
    </row>
    <row r="3515" spans="1:1" x14ac:dyDescent="0.45">
      <c r="A3515" s="3"/>
    </row>
    <row r="3516" spans="1:1" x14ac:dyDescent="0.45">
      <c r="A3516" s="3"/>
    </row>
    <row r="3517" spans="1:1" x14ac:dyDescent="0.45">
      <c r="A3517" s="3"/>
    </row>
    <row r="3518" spans="1:1" x14ac:dyDescent="0.45">
      <c r="A3518" s="3"/>
    </row>
    <row r="3519" spans="1:1" x14ac:dyDescent="0.45">
      <c r="A3519" s="3"/>
    </row>
    <row r="3520" spans="1:1" x14ac:dyDescent="0.45">
      <c r="A3520" s="3"/>
    </row>
    <row r="3521" spans="1:1" x14ac:dyDescent="0.45">
      <c r="A3521" s="3"/>
    </row>
    <row r="3522" spans="1:1" x14ac:dyDescent="0.45">
      <c r="A3522" s="3"/>
    </row>
    <row r="3523" spans="1:1" x14ac:dyDescent="0.45">
      <c r="A3523" s="3"/>
    </row>
    <row r="3524" spans="1:1" x14ac:dyDescent="0.45">
      <c r="A3524" s="3"/>
    </row>
    <row r="3525" spans="1:1" x14ac:dyDescent="0.45">
      <c r="A3525" s="3"/>
    </row>
    <row r="3526" spans="1:1" x14ac:dyDescent="0.45">
      <c r="A3526" s="3"/>
    </row>
    <row r="3527" spans="1:1" x14ac:dyDescent="0.45">
      <c r="A3527" s="3"/>
    </row>
    <row r="3528" spans="1:1" x14ac:dyDescent="0.45">
      <c r="A3528" s="3"/>
    </row>
    <row r="3529" spans="1:1" x14ac:dyDescent="0.45">
      <c r="A3529" s="3"/>
    </row>
    <row r="3530" spans="1:1" x14ac:dyDescent="0.45">
      <c r="A3530" s="3"/>
    </row>
    <row r="3531" spans="1:1" x14ac:dyDescent="0.45">
      <c r="A3531" s="3"/>
    </row>
    <row r="3532" spans="1:1" x14ac:dyDescent="0.45">
      <c r="A3532" s="3"/>
    </row>
    <row r="3533" spans="1:1" x14ac:dyDescent="0.45">
      <c r="A3533" s="3"/>
    </row>
    <row r="3534" spans="1:1" x14ac:dyDescent="0.45">
      <c r="A3534" s="3"/>
    </row>
    <row r="3535" spans="1:1" x14ac:dyDescent="0.45">
      <c r="A3535" s="3"/>
    </row>
    <row r="3536" spans="1:1" x14ac:dyDescent="0.45">
      <c r="A3536" s="3"/>
    </row>
    <row r="3537" spans="1:1" x14ac:dyDescent="0.45">
      <c r="A3537" s="3"/>
    </row>
    <row r="3538" spans="1:1" x14ac:dyDescent="0.45">
      <c r="A3538" s="3"/>
    </row>
    <row r="3539" spans="1:1" x14ac:dyDescent="0.45">
      <c r="A3539" s="3"/>
    </row>
    <row r="3540" spans="1:1" x14ac:dyDescent="0.45">
      <c r="A3540" s="3"/>
    </row>
    <row r="3541" spans="1:1" x14ac:dyDescent="0.45">
      <c r="A3541" s="3"/>
    </row>
    <row r="3542" spans="1:1" x14ac:dyDescent="0.45">
      <c r="A3542" s="3"/>
    </row>
    <row r="3543" spans="1:1" x14ac:dyDescent="0.45">
      <c r="A3543" s="3"/>
    </row>
    <row r="3544" spans="1:1" x14ac:dyDescent="0.45">
      <c r="A3544" s="3"/>
    </row>
    <row r="3545" spans="1:1" x14ac:dyDescent="0.45">
      <c r="A3545" s="3"/>
    </row>
    <row r="3546" spans="1:1" x14ac:dyDescent="0.45">
      <c r="A3546" s="3"/>
    </row>
    <row r="3547" spans="1:1" x14ac:dyDescent="0.45">
      <c r="A3547" s="3"/>
    </row>
    <row r="3548" spans="1:1" x14ac:dyDescent="0.45">
      <c r="A3548" s="3"/>
    </row>
    <row r="3549" spans="1:1" x14ac:dyDescent="0.45">
      <c r="A3549" s="3"/>
    </row>
    <row r="3550" spans="1:1" x14ac:dyDescent="0.45">
      <c r="A3550" s="3"/>
    </row>
    <row r="3551" spans="1:1" x14ac:dyDescent="0.45">
      <c r="A3551" s="3"/>
    </row>
    <row r="3552" spans="1:1" x14ac:dyDescent="0.45">
      <c r="A3552" s="3"/>
    </row>
    <row r="3553" spans="1:1" x14ac:dyDescent="0.45">
      <c r="A3553" s="3"/>
    </row>
    <row r="3554" spans="1:1" x14ac:dyDescent="0.45">
      <c r="A3554" s="3"/>
    </row>
    <row r="3555" spans="1:1" x14ac:dyDescent="0.45">
      <c r="A3555" s="3"/>
    </row>
    <row r="3556" spans="1:1" x14ac:dyDescent="0.45">
      <c r="A3556" s="3"/>
    </row>
    <row r="3557" spans="1:1" x14ac:dyDescent="0.45">
      <c r="A3557" s="3"/>
    </row>
    <row r="3558" spans="1:1" x14ac:dyDescent="0.45">
      <c r="A3558" s="3"/>
    </row>
    <row r="3559" spans="1:1" x14ac:dyDescent="0.45">
      <c r="A3559" s="3"/>
    </row>
    <row r="3560" spans="1:1" x14ac:dyDescent="0.45">
      <c r="A3560" s="3"/>
    </row>
    <row r="3561" spans="1:1" x14ac:dyDescent="0.45">
      <c r="A3561" s="3"/>
    </row>
    <row r="3562" spans="1:1" x14ac:dyDescent="0.45">
      <c r="A3562" s="3"/>
    </row>
    <row r="3563" spans="1:1" x14ac:dyDescent="0.45">
      <c r="A3563" s="3"/>
    </row>
    <row r="3564" spans="1:1" x14ac:dyDescent="0.45">
      <c r="A3564" s="3"/>
    </row>
    <row r="3565" spans="1:1" x14ac:dyDescent="0.45">
      <c r="A3565" s="3"/>
    </row>
    <row r="3566" spans="1:1" x14ac:dyDescent="0.45">
      <c r="A3566" s="3"/>
    </row>
    <row r="3567" spans="1:1" x14ac:dyDescent="0.45">
      <c r="A3567" s="3"/>
    </row>
    <row r="3568" spans="1:1" x14ac:dyDescent="0.45">
      <c r="A3568" s="3"/>
    </row>
    <row r="3569" spans="1:1" x14ac:dyDescent="0.45">
      <c r="A3569" s="3"/>
    </row>
    <row r="3570" spans="1:1" x14ac:dyDescent="0.45">
      <c r="A3570" s="3"/>
    </row>
    <row r="3571" spans="1:1" x14ac:dyDescent="0.45">
      <c r="A3571" s="3"/>
    </row>
    <row r="3572" spans="1:1" x14ac:dyDescent="0.45">
      <c r="A3572" s="3"/>
    </row>
    <row r="3573" spans="1:1" x14ac:dyDescent="0.45">
      <c r="A3573" s="3"/>
    </row>
    <row r="3574" spans="1:1" x14ac:dyDescent="0.45">
      <c r="A3574" s="3"/>
    </row>
    <row r="3575" spans="1:1" x14ac:dyDescent="0.45">
      <c r="A3575" s="3"/>
    </row>
    <row r="3576" spans="1:1" x14ac:dyDescent="0.45">
      <c r="A3576" s="3"/>
    </row>
    <row r="3577" spans="1:1" x14ac:dyDescent="0.45">
      <c r="A3577" s="3"/>
    </row>
    <row r="3578" spans="1:1" x14ac:dyDescent="0.45">
      <c r="A3578" s="3"/>
    </row>
    <row r="3579" spans="1:1" x14ac:dyDescent="0.45">
      <c r="A3579" s="3"/>
    </row>
    <row r="3580" spans="1:1" x14ac:dyDescent="0.45">
      <c r="A3580" s="3"/>
    </row>
    <row r="3581" spans="1:1" x14ac:dyDescent="0.45">
      <c r="A3581" s="3"/>
    </row>
    <row r="3582" spans="1:1" x14ac:dyDescent="0.45">
      <c r="A3582" s="3"/>
    </row>
    <row r="3583" spans="1:1" x14ac:dyDescent="0.45">
      <c r="A3583" s="3"/>
    </row>
    <row r="3584" spans="1:1" x14ac:dyDescent="0.45">
      <c r="A3584" s="3"/>
    </row>
    <row r="3585" spans="1:1" x14ac:dyDescent="0.45">
      <c r="A3585" s="3"/>
    </row>
    <row r="3586" spans="1:1" x14ac:dyDescent="0.45">
      <c r="A3586" s="3"/>
    </row>
    <row r="3587" spans="1:1" x14ac:dyDescent="0.45">
      <c r="A3587" s="3"/>
    </row>
    <row r="3588" spans="1:1" x14ac:dyDescent="0.45">
      <c r="A3588" s="3"/>
    </row>
    <row r="3589" spans="1:1" x14ac:dyDescent="0.45">
      <c r="A3589" s="3"/>
    </row>
    <row r="3590" spans="1:1" x14ac:dyDescent="0.45">
      <c r="A3590" s="3"/>
    </row>
    <row r="3591" spans="1:1" x14ac:dyDescent="0.45">
      <c r="A3591" s="3"/>
    </row>
    <row r="3592" spans="1:1" x14ac:dyDescent="0.45">
      <c r="A3592" s="3"/>
    </row>
    <row r="3593" spans="1:1" x14ac:dyDescent="0.45">
      <c r="A3593" s="3"/>
    </row>
    <row r="3594" spans="1:1" x14ac:dyDescent="0.45">
      <c r="A3594" s="3"/>
    </row>
    <row r="3595" spans="1:1" x14ac:dyDescent="0.45">
      <c r="A3595" s="3"/>
    </row>
    <row r="3596" spans="1:1" x14ac:dyDescent="0.45">
      <c r="A3596" s="3"/>
    </row>
    <row r="3597" spans="1:1" x14ac:dyDescent="0.45">
      <c r="A3597" s="3"/>
    </row>
    <row r="3598" spans="1:1" x14ac:dyDescent="0.45">
      <c r="A3598" s="3"/>
    </row>
    <row r="3599" spans="1:1" x14ac:dyDescent="0.45">
      <c r="A3599" s="3"/>
    </row>
    <row r="3600" spans="1:1" x14ac:dyDescent="0.45">
      <c r="A3600" s="3"/>
    </row>
    <row r="3601" spans="1:1" x14ac:dyDescent="0.45">
      <c r="A3601" s="3"/>
    </row>
    <row r="3602" spans="1:1" x14ac:dyDescent="0.45">
      <c r="A3602" s="3"/>
    </row>
    <row r="3603" spans="1:1" x14ac:dyDescent="0.45">
      <c r="A3603" s="3"/>
    </row>
    <row r="3604" spans="1:1" x14ac:dyDescent="0.45">
      <c r="A3604" s="3"/>
    </row>
    <row r="3605" spans="1:1" x14ac:dyDescent="0.45">
      <c r="A3605" s="3"/>
    </row>
    <row r="3606" spans="1:1" x14ac:dyDescent="0.45">
      <c r="A3606" s="3"/>
    </row>
    <row r="3607" spans="1:1" x14ac:dyDescent="0.45">
      <c r="A3607" s="3"/>
    </row>
    <row r="3608" spans="1:1" x14ac:dyDescent="0.45">
      <c r="A3608" s="3"/>
    </row>
    <row r="3609" spans="1:1" x14ac:dyDescent="0.45">
      <c r="A3609" s="3"/>
    </row>
    <row r="3610" spans="1:1" x14ac:dyDescent="0.45">
      <c r="A3610" s="3"/>
    </row>
    <row r="3611" spans="1:1" x14ac:dyDescent="0.45">
      <c r="A3611" s="3"/>
    </row>
    <row r="3612" spans="1:1" x14ac:dyDescent="0.45">
      <c r="A3612" s="3"/>
    </row>
    <row r="3613" spans="1:1" x14ac:dyDescent="0.45">
      <c r="A3613" s="3"/>
    </row>
    <row r="3614" spans="1:1" x14ac:dyDescent="0.45">
      <c r="A3614" s="3"/>
    </row>
    <row r="3615" spans="1:1" x14ac:dyDescent="0.45">
      <c r="A3615" s="3"/>
    </row>
    <row r="3616" spans="1:1" x14ac:dyDescent="0.45">
      <c r="A3616" s="3"/>
    </row>
    <row r="3617" spans="1:1" x14ac:dyDescent="0.45">
      <c r="A3617" s="3"/>
    </row>
    <row r="3618" spans="1:1" x14ac:dyDescent="0.45">
      <c r="A3618" s="3"/>
    </row>
    <row r="3619" spans="1:1" x14ac:dyDescent="0.45">
      <c r="A3619" s="3"/>
    </row>
    <row r="3620" spans="1:1" x14ac:dyDescent="0.45">
      <c r="A3620" s="3"/>
    </row>
    <row r="3621" spans="1:1" x14ac:dyDescent="0.45">
      <c r="A3621" s="3"/>
    </row>
    <row r="3622" spans="1:1" x14ac:dyDescent="0.45">
      <c r="A3622" s="3"/>
    </row>
    <row r="3623" spans="1:1" x14ac:dyDescent="0.45">
      <c r="A3623" s="3"/>
    </row>
    <row r="3624" spans="1:1" x14ac:dyDescent="0.45">
      <c r="A3624" s="3"/>
    </row>
    <row r="3625" spans="1:1" x14ac:dyDescent="0.45">
      <c r="A3625" s="3"/>
    </row>
    <row r="3626" spans="1:1" x14ac:dyDescent="0.45">
      <c r="A3626" s="3"/>
    </row>
    <row r="3627" spans="1:1" x14ac:dyDescent="0.45">
      <c r="A3627" s="3"/>
    </row>
    <row r="3628" spans="1:1" x14ac:dyDescent="0.45">
      <c r="A3628" s="3"/>
    </row>
    <row r="3629" spans="1:1" x14ac:dyDescent="0.45">
      <c r="A3629" s="3"/>
    </row>
    <row r="3630" spans="1:1" x14ac:dyDescent="0.45">
      <c r="A3630" s="3"/>
    </row>
    <row r="3631" spans="1:1" x14ac:dyDescent="0.45">
      <c r="A3631" s="3"/>
    </row>
    <row r="3632" spans="1:1" x14ac:dyDescent="0.45">
      <c r="A3632" s="3"/>
    </row>
    <row r="3633" spans="1:1" x14ac:dyDescent="0.45">
      <c r="A3633" s="3"/>
    </row>
    <row r="3634" spans="1:1" x14ac:dyDescent="0.45">
      <c r="A3634" s="3"/>
    </row>
    <row r="3635" spans="1:1" x14ac:dyDescent="0.45">
      <c r="A3635" s="3"/>
    </row>
    <row r="3636" spans="1:1" x14ac:dyDescent="0.45">
      <c r="A3636" s="3"/>
    </row>
    <row r="3637" spans="1:1" x14ac:dyDescent="0.45">
      <c r="A3637" s="3"/>
    </row>
    <row r="3638" spans="1:1" x14ac:dyDescent="0.45">
      <c r="A3638" s="3"/>
    </row>
    <row r="3639" spans="1:1" x14ac:dyDescent="0.45">
      <c r="A3639" s="3"/>
    </row>
    <row r="3640" spans="1:1" x14ac:dyDescent="0.45">
      <c r="A3640" s="3"/>
    </row>
    <row r="3641" spans="1:1" x14ac:dyDescent="0.45">
      <c r="A3641" s="3"/>
    </row>
    <row r="3642" spans="1:1" x14ac:dyDescent="0.45">
      <c r="A3642" s="3"/>
    </row>
    <row r="3643" spans="1:1" x14ac:dyDescent="0.45">
      <c r="A3643" s="3"/>
    </row>
    <row r="3644" spans="1:1" x14ac:dyDescent="0.45">
      <c r="A3644" s="3"/>
    </row>
    <row r="3645" spans="1:1" x14ac:dyDescent="0.45">
      <c r="A3645" s="3"/>
    </row>
    <row r="3646" spans="1:1" x14ac:dyDescent="0.45">
      <c r="A3646" s="3"/>
    </row>
    <row r="3647" spans="1:1" x14ac:dyDescent="0.45">
      <c r="A3647" s="3"/>
    </row>
    <row r="3648" spans="1:1" x14ac:dyDescent="0.45">
      <c r="A3648" s="3"/>
    </row>
    <row r="3649" spans="1:1" x14ac:dyDescent="0.45">
      <c r="A3649" s="3"/>
    </row>
    <row r="3650" spans="1:1" x14ac:dyDescent="0.45">
      <c r="A3650" s="3"/>
    </row>
    <row r="3651" spans="1:1" x14ac:dyDescent="0.45">
      <c r="A3651" s="3"/>
    </row>
    <row r="3652" spans="1:1" x14ac:dyDescent="0.45">
      <c r="A3652" s="3"/>
    </row>
    <row r="3653" spans="1:1" x14ac:dyDescent="0.45">
      <c r="A3653" s="3"/>
    </row>
    <row r="3654" spans="1:1" x14ac:dyDescent="0.45">
      <c r="A3654" s="3"/>
    </row>
    <row r="3655" spans="1:1" x14ac:dyDescent="0.45">
      <c r="A3655" s="3"/>
    </row>
    <row r="3656" spans="1:1" x14ac:dyDescent="0.45">
      <c r="A3656" s="3"/>
    </row>
    <row r="3657" spans="1:1" x14ac:dyDescent="0.45">
      <c r="A3657" s="3"/>
    </row>
    <row r="3658" spans="1:1" x14ac:dyDescent="0.45">
      <c r="A3658" s="3"/>
    </row>
    <row r="3659" spans="1:1" x14ac:dyDescent="0.45">
      <c r="A3659" s="3"/>
    </row>
    <row r="3660" spans="1:1" x14ac:dyDescent="0.45">
      <c r="A3660" s="3"/>
    </row>
    <row r="3661" spans="1:1" x14ac:dyDescent="0.45">
      <c r="A3661" s="3"/>
    </row>
    <row r="3662" spans="1:1" x14ac:dyDescent="0.45">
      <c r="A3662" s="3"/>
    </row>
    <row r="3663" spans="1:1" x14ac:dyDescent="0.45">
      <c r="A3663" s="3"/>
    </row>
    <row r="3664" spans="1:1" x14ac:dyDescent="0.45">
      <c r="A3664" s="3"/>
    </row>
    <row r="3665" spans="1:1" x14ac:dyDescent="0.45">
      <c r="A3665" s="3"/>
    </row>
    <row r="3666" spans="1:1" x14ac:dyDescent="0.45">
      <c r="A3666" s="3"/>
    </row>
    <row r="3667" spans="1:1" x14ac:dyDescent="0.45">
      <c r="A3667" s="3"/>
    </row>
    <row r="3668" spans="1:1" x14ac:dyDescent="0.45">
      <c r="A3668" s="3"/>
    </row>
    <row r="3669" spans="1:1" x14ac:dyDescent="0.45">
      <c r="A3669" s="3"/>
    </row>
    <row r="3670" spans="1:1" x14ac:dyDescent="0.45">
      <c r="A3670" s="3"/>
    </row>
    <row r="3671" spans="1:1" x14ac:dyDescent="0.45">
      <c r="A3671" s="3"/>
    </row>
    <row r="3672" spans="1:1" x14ac:dyDescent="0.45">
      <c r="A3672" s="3"/>
    </row>
    <row r="3673" spans="1:1" x14ac:dyDescent="0.45">
      <c r="A3673" s="3"/>
    </row>
    <row r="3674" spans="1:1" x14ac:dyDescent="0.45">
      <c r="A3674" s="3"/>
    </row>
    <row r="3675" spans="1:1" x14ac:dyDescent="0.45">
      <c r="A3675" s="3"/>
    </row>
    <row r="3676" spans="1:1" x14ac:dyDescent="0.45">
      <c r="A3676" s="3"/>
    </row>
    <row r="3677" spans="1:1" x14ac:dyDescent="0.45">
      <c r="A3677" s="3"/>
    </row>
    <row r="3678" spans="1:1" x14ac:dyDescent="0.45">
      <c r="A3678" s="3"/>
    </row>
    <row r="3679" spans="1:1" x14ac:dyDescent="0.45">
      <c r="A3679" s="3"/>
    </row>
    <row r="3680" spans="1:1" x14ac:dyDescent="0.45">
      <c r="A3680" s="3"/>
    </row>
    <row r="3681" spans="1:1" x14ac:dyDescent="0.45">
      <c r="A3681" s="3"/>
    </row>
    <row r="3682" spans="1:1" x14ac:dyDescent="0.45">
      <c r="A3682" s="3"/>
    </row>
    <row r="3683" spans="1:1" x14ac:dyDescent="0.45">
      <c r="A3683" s="3"/>
    </row>
    <row r="3684" spans="1:1" x14ac:dyDescent="0.45">
      <c r="A3684" s="3"/>
    </row>
    <row r="3685" spans="1:1" x14ac:dyDescent="0.45">
      <c r="A3685" s="3"/>
    </row>
    <row r="3686" spans="1:1" x14ac:dyDescent="0.45">
      <c r="A3686" s="3"/>
    </row>
    <row r="3687" spans="1:1" x14ac:dyDescent="0.45">
      <c r="A3687" s="3"/>
    </row>
    <row r="3688" spans="1:1" x14ac:dyDescent="0.45">
      <c r="A3688" s="3"/>
    </row>
    <row r="3689" spans="1:1" x14ac:dyDescent="0.45">
      <c r="A3689" s="3"/>
    </row>
    <row r="3690" spans="1:1" x14ac:dyDescent="0.45">
      <c r="A3690" s="3"/>
    </row>
    <row r="3691" spans="1:1" x14ac:dyDescent="0.45">
      <c r="A3691" s="3"/>
    </row>
    <row r="3692" spans="1:1" x14ac:dyDescent="0.45">
      <c r="A3692" s="3"/>
    </row>
    <row r="3693" spans="1:1" x14ac:dyDescent="0.45">
      <c r="A3693" s="3"/>
    </row>
    <row r="3694" spans="1:1" x14ac:dyDescent="0.45">
      <c r="A3694" s="3"/>
    </row>
    <row r="3695" spans="1:1" x14ac:dyDescent="0.45">
      <c r="A3695" s="3"/>
    </row>
    <row r="3696" spans="1:1" x14ac:dyDescent="0.45">
      <c r="A3696" s="3"/>
    </row>
    <row r="3697" spans="1:1" x14ac:dyDescent="0.45">
      <c r="A3697" s="3"/>
    </row>
    <row r="3698" spans="1:1" x14ac:dyDescent="0.45">
      <c r="A3698" s="3"/>
    </row>
    <row r="3699" spans="1:1" x14ac:dyDescent="0.45">
      <c r="A3699" s="3"/>
    </row>
    <row r="3700" spans="1:1" x14ac:dyDescent="0.45">
      <c r="A3700" s="3"/>
    </row>
    <row r="3701" spans="1:1" x14ac:dyDescent="0.45">
      <c r="A3701" s="3"/>
    </row>
    <row r="3702" spans="1:1" x14ac:dyDescent="0.45">
      <c r="A3702" s="3"/>
    </row>
    <row r="3703" spans="1:1" x14ac:dyDescent="0.45">
      <c r="A3703" s="3"/>
    </row>
    <row r="3704" spans="1:1" x14ac:dyDescent="0.45">
      <c r="A3704" s="3"/>
    </row>
    <row r="3705" spans="1:1" x14ac:dyDescent="0.45">
      <c r="A3705" s="3"/>
    </row>
    <row r="3706" spans="1:1" x14ac:dyDescent="0.45">
      <c r="A3706" s="3"/>
    </row>
    <row r="3707" spans="1:1" x14ac:dyDescent="0.45">
      <c r="A3707" s="3"/>
    </row>
    <row r="3708" spans="1:1" x14ac:dyDescent="0.45">
      <c r="A3708" s="3"/>
    </row>
    <row r="3709" spans="1:1" x14ac:dyDescent="0.45">
      <c r="A3709" s="3"/>
    </row>
    <row r="3710" spans="1:1" x14ac:dyDescent="0.45">
      <c r="A3710" s="3"/>
    </row>
    <row r="3711" spans="1:1" x14ac:dyDescent="0.45">
      <c r="A3711" s="3"/>
    </row>
    <row r="3712" spans="1:1" x14ac:dyDescent="0.45">
      <c r="A3712" s="3"/>
    </row>
    <row r="3713" spans="1:1" x14ac:dyDescent="0.45">
      <c r="A3713" s="3"/>
    </row>
    <row r="3714" spans="1:1" x14ac:dyDescent="0.45">
      <c r="A3714" s="3"/>
    </row>
    <row r="3715" spans="1:1" x14ac:dyDescent="0.45">
      <c r="A3715" s="3"/>
    </row>
    <row r="3716" spans="1:1" x14ac:dyDescent="0.45">
      <c r="A3716" s="3"/>
    </row>
    <row r="3717" spans="1:1" x14ac:dyDescent="0.45">
      <c r="A3717" s="3"/>
    </row>
    <row r="3718" spans="1:1" x14ac:dyDescent="0.45">
      <c r="A3718" s="3"/>
    </row>
    <row r="3719" spans="1:1" x14ac:dyDescent="0.45">
      <c r="A3719" s="3"/>
    </row>
    <row r="3720" spans="1:1" x14ac:dyDescent="0.45">
      <c r="A3720" s="3"/>
    </row>
    <row r="3721" spans="1:1" x14ac:dyDescent="0.45">
      <c r="A3721" s="3"/>
    </row>
    <row r="3722" spans="1:1" x14ac:dyDescent="0.45">
      <c r="A3722" s="3"/>
    </row>
    <row r="3723" spans="1:1" x14ac:dyDescent="0.45">
      <c r="A3723" s="3"/>
    </row>
    <row r="3724" spans="1:1" x14ac:dyDescent="0.45">
      <c r="A3724" s="3"/>
    </row>
    <row r="3725" spans="1:1" x14ac:dyDescent="0.45">
      <c r="A3725" s="3"/>
    </row>
    <row r="3726" spans="1:1" x14ac:dyDescent="0.45">
      <c r="A3726" s="3"/>
    </row>
    <row r="3727" spans="1:1" x14ac:dyDescent="0.45">
      <c r="A3727" s="3"/>
    </row>
    <row r="3728" spans="1:1" x14ac:dyDescent="0.45">
      <c r="A3728" s="3"/>
    </row>
    <row r="3729" spans="1:1" x14ac:dyDescent="0.45">
      <c r="A3729" s="3"/>
    </row>
    <row r="3730" spans="1:1" x14ac:dyDescent="0.45">
      <c r="A3730" s="3"/>
    </row>
    <row r="3731" spans="1:1" x14ac:dyDescent="0.45">
      <c r="A3731" s="3"/>
    </row>
    <row r="3732" spans="1:1" x14ac:dyDescent="0.45">
      <c r="A3732" s="3"/>
    </row>
    <row r="3733" spans="1:1" x14ac:dyDescent="0.45">
      <c r="A3733" s="3"/>
    </row>
    <row r="3734" spans="1:1" x14ac:dyDescent="0.45">
      <c r="A3734" s="3"/>
    </row>
    <row r="3735" spans="1:1" x14ac:dyDescent="0.45">
      <c r="A3735" s="3"/>
    </row>
    <row r="3736" spans="1:1" x14ac:dyDescent="0.45">
      <c r="A3736" s="3"/>
    </row>
    <row r="3737" spans="1:1" x14ac:dyDescent="0.45">
      <c r="A3737" s="3"/>
    </row>
    <row r="3738" spans="1:1" x14ac:dyDescent="0.45">
      <c r="A3738" s="3"/>
    </row>
    <row r="3739" spans="1:1" x14ac:dyDescent="0.45">
      <c r="A3739" s="3"/>
    </row>
    <row r="3740" spans="1:1" x14ac:dyDescent="0.45">
      <c r="A3740" s="3"/>
    </row>
    <row r="3741" spans="1:1" x14ac:dyDescent="0.45">
      <c r="A3741" s="3"/>
    </row>
    <row r="3742" spans="1:1" x14ac:dyDescent="0.45">
      <c r="A3742" s="3"/>
    </row>
    <row r="3743" spans="1:1" x14ac:dyDescent="0.45">
      <c r="A3743" s="3"/>
    </row>
    <row r="3744" spans="1:1" x14ac:dyDescent="0.45">
      <c r="A3744" s="3"/>
    </row>
    <row r="3745" spans="1:1" x14ac:dyDescent="0.45">
      <c r="A3745" s="3"/>
    </row>
    <row r="3746" spans="1:1" x14ac:dyDescent="0.45">
      <c r="A3746" s="3"/>
    </row>
    <row r="3747" spans="1:1" x14ac:dyDescent="0.45">
      <c r="A3747" s="3"/>
    </row>
    <row r="3748" spans="1:1" x14ac:dyDescent="0.45">
      <c r="A3748" s="3"/>
    </row>
    <row r="3749" spans="1:1" x14ac:dyDescent="0.45">
      <c r="A3749" s="3"/>
    </row>
    <row r="3750" spans="1:1" x14ac:dyDescent="0.45">
      <c r="A3750" s="3"/>
    </row>
    <row r="3751" spans="1:1" x14ac:dyDescent="0.45">
      <c r="A3751" s="3"/>
    </row>
    <row r="3752" spans="1:1" x14ac:dyDescent="0.45">
      <c r="A3752" s="3"/>
    </row>
    <row r="3753" spans="1:1" x14ac:dyDescent="0.45">
      <c r="A3753" s="3"/>
    </row>
    <row r="3754" spans="1:1" x14ac:dyDescent="0.45">
      <c r="A3754" s="3"/>
    </row>
    <row r="3755" spans="1:1" x14ac:dyDescent="0.45">
      <c r="A3755" s="3"/>
    </row>
    <row r="3756" spans="1:1" x14ac:dyDescent="0.45">
      <c r="A3756" s="3"/>
    </row>
    <row r="3757" spans="1:1" x14ac:dyDescent="0.45">
      <c r="A3757" s="3"/>
    </row>
    <row r="3758" spans="1:1" x14ac:dyDescent="0.45">
      <c r="A3758" s="3"/>
    </row>
    <row r="3759" spans="1:1" x14ac:dyDescent="0.45">
      <c r="A3759" s="3"/>
    </row>
    <row r="3760" spans="1:1" x14ac:dyDescent="0.45">
      <c r="A3760" s="3"/>
    </row>
    <row r="3761" spans="1:1" x14ac:dyDescent="0.45">
      <c r="A3761" s="3"/>
    </row>
    <row r="3762" spans="1:1" x14ac:dyDescent="0.45">
      <c r="A3762" s="3"/>
    </row>
    <row r="3763" spans="1:1" x14ac:dyDescent="0.45">
      <c r="A3763" s="3"/>
    </row>
    <row r="3764" spans="1:1" x14ac:dyDescent="0.45">
      <c r="A3764" s="3"/>
    </row>
    <row r="3765" spans="1:1" x14ac:dyDescent="0.45">
      <c r="A3765" s="3"/>
    </row>
    <row r="3766" spans="1:1" x14ac:dyDescent="0.45">
      <c r="A3766" s="3"/>
    </row>
    <row r="3767" spans="1:1" x14ac:dyDescent="0.45">
      <c r="A3767" s="3"/>
    </row>
    <row r="3768" spans="1:1" x14ac:dyDescent="0.45">
      <c r="A3768" s="3"/>
    </row>
    <row r="3769" spans="1:1" x14ac:dyDescent="0.45">
      <c r="A3769" s="3"/>
    </row>
    <row r="3770" spans="1:1" x14ac:dyDescent="0.45">
      <c r="A3770" s="3"/>
    </row>
    <row r="3771" spans="1:1" x14ac:dyDescent="0.45">
      <c r="A3771" s="3"/>
    </row>
    <row r="3772" spans="1:1" x14ac:dyDescent="0.45">
      <c r="A3772" s="3"/>
    </row>
    <row r="3773" spans="1:1" x14ac:dyDescent="0.45">
      <c r="A3773" s="3"/>
    </row>
    <row r="3774" spans="1:1" x14ac:dyDescent="0.45">
      <c r="A3774" s="3"/>
    </row>
    <row r="3775" spans="1:1" x14ac:dyDescent="0.45">
      <c r="A3775" s="3"/>
    </row>
    <row r="3776" spans="1:1" x14ac:dyDescent="0.45">
      <c r="A3776" s="3"/>
    </row>
    <row r="3777" spans="1:1" x14ac:dyDescent="0.45">
      <c r="A3777" s="3"/>
    </row>
    <row r="3778" spans="1:1" x14ac:dyDescent="0.45">
      <c r="A3778" s="3"/>
    </row>
    <row r="3779" spans="1:1" x14ac:dyDescent="0.45">
      <c r="A3779" s="3"/>
    </row>
    <row r="3780" spans="1:1" x14ac:dyDescent="0.45">
      <c r="A3780" s="3"/>
    </row>
    <row r="3781" spans="1:1" x14ac:dyDescent="0.45">
      <c r="A3781" s="3"/>
    </row>
  </sheetData>
  <sortState xmlns:xlrd2="http://schemas.microsoft.com/office/spreadsheetml/2017/richdata2" ref="Y100:Y120">
    <sortCondition ref="Y100"/>
  </sortState>
  <phoneticPr fontId="7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CC2C8-4457-4D71-9490-71FB89E83E55}">
  <dimension ref="A1:AI3580"/>
  <sheetViews>
    <sheetView workbookViewId="0">
      <pane xSplit="1" ySplit="8" topLeftCell="B9" activePane="bottomRight" state="frozen"/>
      <selection pane="topRight" activeCell="B1" sqref="B1"/>
      <selection pane="bottomLeft" activeCell="A9" sqref="A9"/>
      <selection pane="bottomRight" sqref="A1:K1048576"/>
    </sheetView>
  </sheetViews>
  <sheetFormatPr defaultRowHeight="14.25" x14ac:dyDescent="0.45"/>
  <cols>
    <col min="1" max="1" width="19" customWidth="1"/>
    <col min="2" max="2" width="13.796875" customWidth="1"/>
    <col min="3" max="6" width="13.796875" style="48" customWidth="1"/>
    <col min="7" max="7" width="18.265625" style="48" bestFit="1" customWidth="1"/>
    <col min="8" max="8" width="11.6640625" bestFit="1" customWidth="1"/>
    <col min="9" max="9" width="12.9296875" style="48" bestFit="1" customWidth="1"/>
    <col min="10" max="10" width="12.9296875" style="49" bestFit="1" customWidth="1"/>
    <col min="11" max="11" width="9.06640625" style="49"/>
    <col min="12" max="12" width="8" style="50" customWidth="1"/>
    <col min="13" max="17" width="6.33203125" style="50" bestFit="1" customWidth="1"/>
    <col min="18" max="18" width="9.06640625" style="47"/>
    <col min="19" max="19" width="7.1328125" style="50" bestFit="1" customWidth="1"/>
    <col min="20" max="20" width="19.33203125" style="50" bestFit="1" customWidth="1"/>
    <col min="21" max="21" width="15.9296875" style="50" bestFit="1" customWidth="1"/>
    <col min="22" max="22" width="5.33203125" style="50" bestFit="1" customWidth="1"/>
    <col min="23" max="23" width="12.1328125" style="50" bestFit="1" customWidth="1"/>
    <col min="24" max="24" width="15.59765625" bestFit="1" customWidth="1"/>
    <col min="25" max="34" width="11.6640625" customWidth="1"/>
  </cols>
  <sheetData>
    <row r="1" spans="1:35" x14ac:dyDescent="0.45">
      <c r="A1" t="s">
        <v>0</v>
      </c>
      <c r="B1" s="3">
        <v>45973</v>
      </c>
    </row>
    <row r="2" spans="1:35" x14ac:dyDescent="0.45">
      <c r="A2" t="s">
        <v>1</v>
      </c>
      <c r="B2">
        <v>5</v>
      </c>
    </row>
    <row r="3" spans="1:35" x14ac:dyDescent="0.45">
      <c r="A3" t="s">
        <v>5</v>
      </c>
      <c r="B3" s="3">
        <v>44147</v>
      </c>
      <c r="L3" s="49">
        <v>9</v>
      </c>
    </row>
    <row r="4" spans="1:35" x14ac:dyDescent="0.45">
      <c r="A4" t="s">
        <v>2</v>
      </c>
      <c r="B4" t="s">
        <v>451</v>
      </c>
      <c r="L4" s="49">
        <f>_xlfn.XMATCH("*",D:D,-1,2)</f>
        <v>68</v>
      </c>
    </row>
    <row r="5" spans="1:35" ht="28.5" x14ac:dyDescent="0.45">
      <c r="A5" s="1"/>
      <c r="B5" s="1" t="s">
        <v>392</v>
      </c>
      <c r="C5" s="51" t="s">
        <v>393</v>
      </c>
      <c r="D5" s="51" t="s">
        <v>394</v>
      </c>
      <c r="E5" s="51" t="s">
        <v>395</v>
      </c>
      <c r="F5" s="51" t="s">
        <v>396</v>
      </c>
      <c r="G5" s="51" t="s">
        <v>397</v>
      </c>
      <c r="H5" s="1" t="s">
        <v>13</v>
      </c>
      <c r="I5" s="51" t="s">
        <v>28</v>
      </c>
      <c r="J5" s="52" t="s">
        <v>385</v>
      </c>
      <c r="K5" s="52" t="s">
        <v>386</v>
      </c>
    </row>
    <row r="6" spans="1:35" x14ac:dyDescent="0.45">
      <c r="A6" s="4"/>
      <c r="B6" s="53" t="s">
        <v>3</v>
      </c>
      <c r="C6" s="54" t="s">
        <v>7</v>
      </c>
      <c r="D6" s="54" t="s">
        <v>8</v>
      </c>
      <c r="E6" s="54" t="s">
        <v>9</v>
      </c>
      <c r="F6" s="54" t="s">
        <v>10</v>
      </c>
      <c r="G6" s="54" t="s">
        <v>389</v>
      </c>
      <c r="H6" s="55" t="s">
        <v>14</v>
      </c>
      <c r="I6" s="54" t="s">
        <v>27</v>
      </c>
      <c r="J6" s="52" t="s">
        <v>383</v>
      </c>
      <c r="K6" s="56" t="s">
        <v>641</v>
      </c>
      <c r="L6" s="50" t="str" cm="1">
        <f t="array" ref="L6:Q6">B6:G6</f>
        <v>COP</v>
      </c>
      <c r="M6" s="50" t="str">
        <v>XOM</v>
      </c>
      <c r="N6" s="50" t="str">
        <v>CVX</v>
      </c>
      <c r="O6" s="50" t="str">
        <v>EOG</v>
      </c>
      <c r="P6" s="50" t="str">
        <v>BP</v>
      </c>
      <c r="Q6" s="50" t="str">
        <v>DVN</v>
      </c>
      <c r="R6" s="47" t="s">
        <v>403</v>
      </c>
      <c r="S6" s="50" t="str" cm="1">
        <f t="array" ref="S6:V6">H5:K5</f>
        <v>Oil Price</v>
      </c>
      <c r="T6" s="50" t="str">
        <v>Copper-Price Per Pound</v>
      </c>
      <c r="U6" s="50" t="str">
        <v>Energy Sector Index</v>
      </c>
      <c r="V6" s="50" t="str">
        <v>SPX</v>
      </c>
      <c r="W6" s="50" t="s">
        <v>404</v>
      </c>
      <c r="Y6" s="57">
        <f>B9/B67-1</f>
        <v>1.6359254750361303</v>
      </c>
      <c r="Z6" s="57">
        <f t="shared" ref="Z6:AD6" si="0">C9/C67-1</f>
        <v>2.3650942488940179</v>
      </c>
      <c r="AA6" s="57">
        <f t="shared" si="0"/>
        <v>1.2843056815803595</v>
      </c>
      <c r="AB6" s="57">
        <f t="shared" si="0"/>
        <v>1.7012176151852123</v>
      </c>
      <c r="AC6" s="57">
        <f t="shared" si="0"/>
        <v>1.1630916021719417</v>
      </c>
      <c r="AD6" s="57">
        <f t="shared" si="0"/>
        <v>1.6458925958169002</v>
      </c>
      <c r="AE6" s="63">
        <f>AVERAGE(Y6:AD6)</f>
        <v>1.6325878697807603</v>
      </c>
      <c r="AF6" s="57">
        <f>H9/H67-1</f>
        <v>0.25680131904369308</v>
      </c>
      <c r="AG6" s="57">
        <f>I9/I67-1</f>
        <v>0.44614947428246676</v>
      </c>
      <c r="AH6" s="57">
        <f>J9/J67-1</f>
        <v>1.3580539551424575</v>
      </c>
      <c r="AI6" s="57">
        <f>K9/K67-1</f>
        <v>0.91422226870481205</v>
      </c>
    </row>
    <row r="7" spans="1:35" x14ac:dyDescent="0.45">
      <c r="A7" s="2" t="s">
        <v>4</v>
      </c>
      <c r="B7" t="s">
        <v>6</v>
      </c>
      <c r="H7" t="s">
        <v>15</v>
      </c>
      <c r="I7" s="48" t="s">
        <v>15</v>
      </c>
      <c r="J7" s="49" t="s">
        <v>15</v>
      </c>
      <c r="K7" s="49" t="s">
        <v>15</v>
      </c>
      <c r="Y7" t="s">
        <v>405</v>
      </c>
      <c r="Z7">
        <f>COUNT(_xlfn.ANCHORARRAY(L9))</f>
        <v>59</v>
      </c>
    </row>
    <row r="8" spans="1:35" s="1" customFormat="1" ht="42.75" x14ac:dyDescent="0.45">
      <c r="A8" s="1" t="s">
        <v>4</v>
      </c>
      <c r="B8" s="1" t="s">
        <v>6</v>
      </c>
      <c r="C8" s="51" t="s">
        <v>6</v>
      </c>
      <c r="D8" s="51" t="s">
        <v>6</v>
      </c>
      <c r="E8" s="51" t="s">
        <v>6</v>
      </c>
      <c r="F8" s="51" t="s">
        <v>6</v>
      </c>
      <c r="G8" s="51" t="s">
        <v>6</v>
      </c>
      <c r="H8" s="1" t="s">
        <v>15</v>
      </c>
      <c r="I8" s="51" t="s">
        <v>15</v>
      </c>
      <c r="J8" s="52" t="s">
        <v>15</v>
      </c>
      <c r="K8" s="52" t="s">
        <v>15</v>
      </c>
      <c r="L8" s="60" t="s">
        <v>398</v>
      </c>
      <c r="M8" s="60"/>
      <c r="N8" s="60"/>
      <c r="O8" s="60"/>
      <c r="P8" s="60"/>
      <c r="Q8" s="60"/>
      <c r="R8" s="61"/>
      <c r="S8" s="60"/>
      <c r="T8" s="60"/>
      <c r="U8" s="60"/>
      <c r="V8" s="60"/>
      <c r="W8" s="60"/>
      <c r="Y8" s="62" t="str" cm="1">
        <f t="array" ref="Y8:AI8">L6:V6</f>
        <v>COP</v>
      </c>
      <c r="Z8" s="1" t="str">
        <v>XOM</v>
      </c>
      <c r="AA8" s="1" t="str">
        <v>CVX</v>
      </c>
      <c r="AB8" s="1" t="str">
        <v>EOG</v>
      </c>
      <c r="AC8" s="1" t="str">
        <v>BP</v>
      </c>
      <c r="AD8" s="1" t="str">
        <v>DVN</v>
      </c>
      <c r="AE8" s="1" t="str">
        <v>Peers Average</v>
      </c>
      <c r="AF8" s="1" t="str">
        <v>Oil Price</v>
      </c>
      <c r="AG8" s="1" t="str">
        <v>Copper-Price Per Pound</v>
      </c>
      <c r="AH8" s="1" t="str">
        <v>Energy Sector Index</v>
      </c>
      <c r="AI8" s="1" t="str">
        <v>SPX</v>
      </c>
    </row>
    <row r="9" spans="1:35" x14ac:dyDescent="0.45">
      <c r="A9" s="3">
        <v>45961</v>
      </c>
      <c r="B9" s="48">
        <v>88.86</v>
      </c>
      <c r="C9" s="48">
        <v>113.36841</v>
      </c>
      <c r="D9" s="48">
        <v>157.72</v>
      </c>
      <c r="E9" s="48">
        <v>105.84</v>
      </c>
      <c r="F9" s="48">
        <v>34.654220000000002</v>
      </c>
      <c r="G9" s="48">
        <v>32.49</v>
      </c>
      <c r="H9">
        <v>60.98</v>
      </c>
      <c r="I9" s="48">
        <v>5.0890000000000004</v>
      </c>
      <c r="J9" s="49">
        <v>674.73685999999998</v>
      </c>
      <c r="K9" s="49">
        <v>13085.09786</v>
      </c>
      <c r="L9" s="50" cm="1">
        <f t="array" ref="L9:L67">INDEX(B:B,$L$3):INDEX(B:B,$L$4-1)/INDEX(B:B,$L$3+1):INDEX(B:B,$L$4)-1</f>
        <v>-6.0577228036790443E-2</v>
      </c>
      <c r="M9" s="50" cm="1">
        <f t="array" ref="M9:M67">INDEX(C:C,$L$3):INDEX(C:C,$L$4-1)/INDEX(C:C,$L$3+1):INDEX(C:C,$L$4)-1</f>
        <v>1.4279378705130741E-2</v>
      </c>
      <c r="N9" s="50" cm="1">
        <f t="array" ref="N9:N67">INDEX(D:D,$L$3):INDEX(D:D,$L$4-1)/INDEX(D:D,$L$3+1):INDEX(D:D,$L$4)-1</f>
        <v>1.5648142185588299E-2</v>
      </c>
      <c r="O9" s="50" cm="1">
        <f t="array" ref="O9:O67">INDEX(E:E,$L$3):INDEX(E:E,$L$4-1)/INDEX(E:E,$L$3+1):INDEX(E:E,$L$4)-1</f>
        <v>-4.6947386164960969E-2</v>
      </c>
      <c r="P9" s="50" cm="1">
        <f t="array" ref="P9:P67">INDEX(F:F,$L$3):INDEX(F:F,$L$4-1)/INDEX(F:F,$L$3+1):INDEX(F:F,$L$4)-1</f>
        <v>1.9442954771368148E-2</v>
      </c>
      <c r="Q9" s="50" cm="1">
        <f t="array" ref="Q9:Q67">INDEX(G:G,$L$3):INDEX(G:G,$L$4-1)/INDEX(G:G,$L$3+1):INDEX(G:G,$L$4)-1</f>
        <v>-7.3302909298345709E-2</v>
      </c>
      <c r="R9" s="47" cm="1">
        <f t="array" ref="R9:R67">INDEX(W:W,$L$3):INDEX(W:W,$L$4-1)</f>
        <v>-1.4175963960243898E-2</v>
      </c>
      <c r="S9" s="50" cm="1">
        <f t="array" ref="S9:S67">INDEX(H:H,$L$3):INDEX(H:H,$L$4-1)/INDEX(H:H,$L$3+1):INDEX(H:H,$L$4)-1</f>
        <v>-1.5816655907036847E-2</v>
      </c>
      <c r="T9" s="50" cm="1">
        <f t="array" ref="T9:T67">INDEX(I:I,$L$3):INDEX(I:I,$L$4-1)/INDEX(I:I,$L$3+1):INDEX(I:I,$L$4)-1</f>
        <v>4.78739833213222E-2</v>
      </c>
      <c r="U9" s="50" cm="1">
        <f t="array" ref="U9:U67">INDEX(J:J,$L$3):INDEX(J:J,$L$4-1)/INDEX(J:J,$L$3+1):INDEX(J:J,$L$4)-1</f>
        <v>-1.1841134350850546E-2</v>
      </c>
      <c r="V9" s="50" cm="1">
        <f t="array" ref="V9:V67">INDEX(K:K,$L$3):INDEX(K:K,$L$4-1)/INDEX(K:K,$L$3+1):INDEX(K:K,$L$4)-1</f>
        <v>2.3195512399542872E-2</v>
      </c>
      <c r="W9" s="50">
        <f t="shared" ref="W9:W40" si="1">AVERAGE(M9:Q9)</f>
        <v>-1.4175963960243898E-2</v>
      </c>
      <c r="X9" s="1" t="s">
        <v>406</v>
      </c>
      <c r="Y9" s="62">
        <f>MIN(_xlfn.ANCHORARRAY(L9))</f>
        <v>-0.19449185461213614</v>
      </c>
      <c r="Z9" s="62">
        <f t="shared" ref="Z9:AI9" si="2">MIN(_xlfn.ANCHORARRAY(M9))</f>
        <v>-0.12906317492968933</v>
      </c>
      <c r="AA9" s="62">
        <f t="shared" si="2"/>
        <v>-0.18668183882941869</v>
      </c>
      <c r="AB9" s="62">
        <f t="shared" si="2"/>
        <v>-0.18254741060250923</v>
      </c>
      <c r="AC9" s="62">
        <f t="shared" si="2"/>
        <v>-0.18733342218514226</v>
      </c>
      <c r="AD9" s="62">
        <f t="shared" si="2"/>
        <v>-0.25201685599225554</v>
      </c>
      <c r="AE9" s="62">
        <f t="shared" si="2"/>
        <v>-0.16754896997946886</v>
      </c>
      <c r="AF9" s="62">
        <f t="shared" si="2"/>
        <v>-0.20808902716285738</v>
      </c>
      <c r="AG9" s="62">
        <f t="shared" si="2"/>
        <v>-0.14323659616330542</v>
      </c>
      <c r="AH9" s="62">
        <f t="shared" si="2"/>
        <v>-0.16985360467974808</v>
      </c>
      <c r="AI9" s="62">
        <f t="shared" si="2"/>
        <v>-9.2487548148768806E-2</v>
      </c>
    </row>
    <row r="10" spans="1:35" x14ac:dyDescent="0.45">
      <c r="A10" s="3">
        <v>45930</v>
      </c>
      <c r="B10" s="48">
        <v>94.59</v>
      </c>
      <c r="C10" s="48">
        <v>111.77237</v>
      </c>
      <c r="D10" s="48">
        <v>155.29</v>
      </c>
      <c r="E10" s="48">
        <v>111.05368</v>
      </c>
      <c r="F10" s="48">
        <v>33.993290000000002</v>
      </c>
      <c r="G10" s="48">
        <v>35.06</v>
      </c>
      <c r="H10">
        <v>61.96</v>
      </c>
      <c r="I10" s="48">
        <v>4.8564999999999996</v>
      </c>
      <c r="J10" s="49">
        <v>682.82225000000005</v>
      </c>
      <c r="K10" s="49">
        <v>12788.46291</v>
      </c>
      <c r="L10" s="50">
        <v>-4.4255835101545848E-2</v>
      </c>
      <c r="M10" s="50">
        <v>-1.3474520785793254E-2</v>
      </c>
      <c r="N10" s="50">
        <v>-3.3063511830635162E-2</v>
      </c>
      <c r="O10" s="50">
        <v>-0.10174654157590746</v>
      </c>
      <c r="P10" s="50">
        <v>-2.1856612130163655E-2</v>
      </c>
      <c r="Q10" s="50">
        <v>-2.2058630737037399E-2</v>
      </c>
      <c r="R10" s="47">
        <v>-3.8439963411907384E-2</v>
      </c>
      <c r="S10" s="50">
        <v>-3.2026245899078321E-2</v>
      </c>
      <c r="T10" s="50">
        <v>7.4803585260595051E-2</v>
      </c>
      <c r="U10" s="50">
        <v>-5.2031512062624685E-3</v>
      </c>
      <c r="V10" s="50">
        <v>3.6146868375737329E-2</v>
      </c>
      <c r="W10" s="50">
        <f t="shared" si="1"/>
        <v>-3.8439963411907384E-2</v>
      </c>
      <c r="X10" s="1" t="s">
        <v>407</v>
      </c>
      <c r="Y10" s="62">
        <f>MAX(_xlfn.ANCHORARRAY(L9))</f>
        <v>0.31120817286435476</v>
      </c>
      <c r="Z10" s="62">
        <f t="shared" ref="Z10:AI10" si="3">MAX(_xlfn.ANCHORARRAY(M9))</f>
        <v>0.26915593683318551</v>
      </c>
      <c r="AA10" s="62">
        <f t="shared" si="3"/>
        <v>0.2591354673389934</v>
      </c>
      <c r="AB10" s="62">
        <f t="shared" si="3"/>
        <v>0.26687587400697654</v>
      </c>
      <c r="AC10" s="62">
        <f t="shared" si="3"/>
        <v>0.1656744985279841</v>
      </c>
      <c r="AD10" s="62">
        <f t="shared" si="3"/>
        <v>0.30862741263664284</v>
      </c>
      <c r="AE10" s="62">
        <f t="shared" si="3"/>
        <v>0.24189176523344411</v>
      </c>
      <c r="AF10" s="62">
        <f t="shared" si="3"/>
        <v>0.17816091954022983</v>
      </c>
      <c r="AG10" s="62">
        <f t="shared" si="3"/>
        <v>0.15087176602924646</v>
      </c>
      <c r="AH10" s="62">
        <f t="shared" si="3"/>
        <v>0.24842778933798693</v>
      </c>
      <c r="AI10" s="62">
        <f t="shared" si="3"/>
        <v>9.1877167906923463E-2</v>
      </c>
    </row>
    <row r="11" spans="1:35" x14ac:dyDescent="0.45">
      <c r="A11" s="3">
        <v>45898</v>
      </c>
      <c r="B11" s="48">
        <v>98.97</v>
      </c>
      <c r="C11" s="48">
        <v>113.29902</v>
      </c>
      <c r="D11" s="48">
        <v>160.6</v>
      </c>
      <c r="E11" s="48">
        <v>123.63290000000001</v>
      </c>
      <c r="F11" s="48">
        <v>34.752870000000001</v>
      </c>
      <c r="G11" s="48">
        <v>35.850819999999999</v>
      </c>
      <c r="H11">
        <v>64.010000000000005</v>
      </c>
      <c r="I11" s="48">
        <v>4.5185000000000004</v>
      </c>
      <c r="J11" s="49">
        <v>686.39365999999995</v>
      </c>
      <c r="K11" s="49">
        <v>12342.32646</v>
      </c>
      <c r="L11" s="50">
        <v>4.6637941318055098E-2</v>
      </c>
      <c r="M11" s="50">
        <v>3.3263247748665847E-2</v>
      </c>
      <c r="N11" s="50">
        <v>7.0877129718560639E-2</v>
      </c>
      <c r="O11" s="50">
        <v>3.9993337738389423E-2</v>
      </c>
      <c r="P11" s="50">
        <v>0.11166069351662666</v>
      </c>
      <c r="Q11" s="50">
        <v>8.6694735182945459E-2</v>
      </c>
      <c r="R11" s="47">
        <v>6.8497828781037606E-2</v>
      </c>
      <c r="S11" s="50">
        <v>-7.5801328328039319E-2</v>
      </c>
      <c r="T11" s="50">
        <v>3.7662188540590336E-2</v>
      </c>
      <c r="U11" s="50">
        <v>2.9218761913665681E-2</v>
      </c>
      <c r="V11" s="50">
        <v>1.9909775674051611E-2</v>
      </c>
      <c r="W11" s="50">
        <f t="shared" si="1"/>
        <v>6.8497828781037606E-2</v>
      </c>
      <c r="X11" t="s">
        <v>399</v>
      </c>
      <c r="Y11" s="58">
        <f t="shared" ref="Y11:AI11" si="4">AVERAGE(_xlfn.ANCHORARRAY(L9))</f>
        <v>2.0828878921989615E-2</v>
      </c>
      <c r="Z11" s="58">
        <f t="shared" si="4"/>
        <v>2.5003594618573453E-2</v>
      </c>
      <c r="AA11" s="58">
        <f t="shared" si="4"/>
        <v>1.6577185894280751E-2</v>
      </c>
      <c r="AB11" s="58">
        <f t="shared" si="4"/>
        <v>2.2247340586839873E-2</v>
      </c>
      <c r="AC11" s="58">
        <f t="shared" si="4"/>
        <v>1.6517143515277225E-2</v>
      </c>
      <c r="AD11" s="58">
        <f t="shared" si="4"/>
        <v>2.5259763759320965E-2</v>
      </c>
      <c r="AE11" s="58">
        <f t="shared" si="4"/>
        <v>2.1121005674858456E-2</v>
      </c>
      <c r="AF11" s="58">
        <f t="shared" si="4"/>
        <v>8.450906575439605E-3</v>
      </c>
      <c r="AG11" s="58">
        <f t="shared" si="4"/>
        <v>8.7589705066839444E-3</v>
      </c>
      <c r="AH11" s="58">
        <f t="shared" si="4"/>
        <v>1.8104070166589735E-2</v>
      </c>
      <c r="AI11" s="58">
        <f t="shared" si="4"/>
        <v>1.2664085257809881E-2</v>
      </c>
    </row>
    <row r="12" spans="1:35" x14ac:dyDescent="0.45">
      <c r="A12" s="3">
        <v>45869</v>
      </c>
      <c r="B12" s="48">
        <v>94.559920000000005</v>
      </c>
      <c r="C12" s="48">
        <v>109.65165</v>
      </c>
      <c r="D12" s="48">
        <v>149.97051999999999</v>
      </c>
      <c r="E12" s="48">
        <v>118.87855</v>
      </c>
      <c r="F12" s="48">
        <v>31.262119999999999</v>
      </c>
      <c r="G12" s="48">
        <v>32.990699999999997</v>
      </c>
      <c r="H12">
        <v>69.260000000000005</v>
      </c>
      <c r="I12" s="48">
        <v>4.3544999999999998</v>
      </c>
      <c r="J12" s="49">
        <v>666.90745000000004</v>
      </c>
      <c r="K12" s="49">
        <v>12101.39049</v>
      </c>
      <c r="L12" s="50">
        <v>6.2402492243758712E-2</v>
      </c>
      <c r="M12" s="50">
        <v>3.5621539243846145E-2</v>
      </c>
      <c r="N12" s="50">
        <v>5.9012502687772361E-2</v>
      </c>
      <c r="O12" s="50">
        <v>1.1731134958647749E-2</v>
      </c>
      <c r="P12" s="50">
        <v>7.4173413296444224E-2</v>
      </c>
      <c r="Q12" s="50">
        <v>4.4325765746145107E-2</v>
      </c>
      <c r="R12" s="47">
        <v>4.4972871186571117E-2</v>
      </c>
      <c r="S12" s="50">
        <v>6.3738289049301233E-2</v>
      </c>
      <c r="T12" s="50">
        <v>-0.14323659616330542</v>
      </c>
      <c r="U12" s="50">
        <v>2.8097328666387922E-2</v>
      </c>
      <c r="V12" s="50">
        <v>2.2210032853138495E-2</v>
      </c>
      <c r="W12" s="50">
        <f t="shared" si="1"/>
        <v>4.4972871186571117E-2</v>
      </c>
      <c r="X12" t="s">
        <v>400</v>
      </c>
      <c r="Y12" s="58">
        <f t="shared" ref="Y12:AI12" si="5">MEDIAN(_xlfn.ANCHORARRAY(L9))</f>
        <v>1.0869408767493871E-2</v>
      </c>
      <c r="Z12" s="58">
        <f t="shared" si="5"/>
        <v>2.5255288562757716E-2</v>
      </c>
      <c r="AA12" s="58">
        <f t="shared" si="5"/>
        <v>1.6941503015395654E-2</v>
      </c>
      <c r="AB12" s="58">
        <f t="shared" si="5"/>
        <v>1.4719757890040652E-2</v>
      </c>
      <c r="AC12" s="58">
        <f t="shared" si="5"/>
        <v>2.022950241456134E-2</v>
      </c>
      <c r="AD12" s="58">
        <f t="shared" si="5"/>
        <v>2.6894491393212983E-2</v>
      </c>
      <c r="AE12" s="58">
        <f t="shared" si="5"/>
        <v>2.5851028332778726E-2</v>
      </c>
      <c r="AF12" s="58">
        <f t="shared" si="5"/>
        <v>1.4668957314655673E-2</v>
      </c>
      <c r="AG12" s="58">
        <f t="shared" si="5"/>
        <v>3.9840637450199168E-3</v>
      </c>
      <c r="AH12" s="58">
        <f t="shared" si="5"/>
        <v>2.0317084547548658E-2</v>
      </c>
      <c r="AI12" s="58">
        <f t="shared" si="5"/>
        <v>2.3005150965854648E-2</v>
      </c>
    </row>
    <row r="13" spans="1:35" x14ac:dyDescent="0.45">
      <c r="A13" s="3">
        <v>45838</v>
      </c>
      <c r="B13" s="48">
        <v>89.005740000000003</v>
      </c>
      <c r="C13" s="48">
        <v>105.88003999999999</v>
      </c>
      <c r="D13" s="48">
        <v>141.61355</v>
      </c>
      <c r="E13" s="48">
        <v>117.50014</v>
      </c>
      <c r="F13" s="48">
        <v>29.10342</v>
      </c>
      <c r="G13" s="48">
        <v>31.590430000000001</v>
      </c>
      <c r="H13">
        <v>65.11</v>
      </c>
      <c r="I13" s="48">
        <v>5.0824999999999996</v>
      </c>
      <c r="J13" s="49">
        <v>648.68124</v>
      </c>
      <c r="K13" s="49">
        <v>11838.45795</v>
      </c>
      <c r="L13" s="50">
        <v>5.143525832807061E-2</v>
      </c>
      <c r="M13" s="50">
        <v>5.3763515770966164E-2</v>
      </c>
      <c r="N13" s="50">
        <v>4.7476238026554318E-2</v>
      </c>
      <c r="O13" s="50">
        <v>0.10168554875313718</v>
      </c>
      <c r="P13" s="50">
        <v>2.852205319767398E-2</v>
      </c>
      <c r="Q13" s="50">
        <v>5.862362705857449E-2</v>
      </c>
      <c r="R13" s="47">
        <v>5.8014196561381223E-2</v>
      </c>
      <c r="S13" s="50">
        <v>7.1064319789439168E-2</v>
      </c>
      <c r="T13" s="50">
        <v>8.6584714056654022E-2</v>
      </c>
      <c r="U13" s="50">
        <v>4.7374487864353609E-2</v>
      </c>
      <c r="V13" s="50">
        <v>5.0479124134485742E-2</v>
      </c>
      <c r="W13" s="50">
        <f t="shared" si="1"/>
        <v>5.8014196561381223E-2</v>
      </c>
      <c r="X13" t="s">
        <v>401</v>
      </c>
      <c r="Y13" s="59">
        <f>_xlfn.STDEV.S(_xlfn.ANCHORARRAY(L9))</f>
        <v>9.3464567379558897E-2</v>
      </c>
      <c r="Z13" s="59">
        <f t="shared" ref="Z13:AI13" si="6">_xlfn.STDEV.S(_xlfn.ANCHORARRAY(M9))</f>
        <v>7.856464859076244E-2</v>
      </c>
      <c r="AA13" s="59">
        <f t="shared" si="6"/>
        <v>7.8855703550111442E-2</v>
      </c>
      <c r="AB13" s="59">
        <f t="shared" si="6"/>
        <v>9.4388353108565484E-2</v>
      </c>
      <c r="AC13" s="59">
        <f t="shared" si="6"/>
        <v>7.1435520289686277E-2</v>
      </c>
      <c r="AD13" s="59">
        <f t="shared" si="6"/>
        <v>0.11565505653980938</v>
      </c>
      <c r="AE13" s="59">
        <f t="shared" si="6"/>
        <v>7.8802681141285608E-2</v>
      </c>
      <c r="AF13" s="59">
        <f t="shared" si="6"/>
        <v>8.2871697628944058E-2</v>
      </c>
      <c r="AG13" s="59">
        <f t="shared" si="6"/>
        <v>6.401090765367097E-2</v>
      </c>
      <c r="AH13" s="59">
        <f t="shared" si="6"/>
        <v>7.5776124432255704E-2</v>
      </c>
      <c r="AI13" s="59">
        <f t="shared" si="6"/>
        <v>4.4046332589711863E-2</v>
      </c>
    </row>
    <row r="14" spans="1:35" x14ac:dyDescent="0.45">
      <c r="A14" s="3">
        <v>45807</v>
      </c>
      <c r="B14" s="48">
        <v>84.651660000000007</v>
      </c>
      <c r="C14" s="48">
        <v>100.47799000000001</v>
      </c>
      <c r="D14" s="48">
        <v>135.19499999999999</v>
      </c>
      <c r="E14" s="48">
        <v>106.65488000000001</v>
      </c>
      <c r="F14" s="48">
        <v>28.29635</v>
      </c>
      <c r="G14" s="48">
        <v>29.84104</v>
      </c>
      <c r="H14">
        <v>60.79</v>
      </c>
      <c r="I14" s="48">
        <v>4.6775000000000002</v>
      </c>
      <c r="J14" s="49">
        <v>619.34031000000004</v>
      </c>
      <c r="K14" s="49">
        <v>11269.579449999999</v>
      </c>
      <c r="L14" s="50">
        <v>-3.4151901593817757E-2</v>
      </c>
      <c r="M14" s="50">
        <v>-2.2605330292661985E-2</v>
      </c>
      <c r="N14" s="50">
        <v>1.6941503015395654E-2</v>
      </c>
      <c r="O14" s="50">
        <v>-1.5952102818289404E-2</v>
      </c>
      <c r="P14" s="50">
        <v>7.6708848910652438E-2</v>
      </c>
      <c r="Q14" s="50">
        <v>-4.932813631145061E-3</v>
      </c>
      <c r="R14" s="47">
        <v>1.0032021036790328E-2</v>
      </c>
      <c r="S14" s="50">
        <v>4.4322281394949314E-2</v>
      </c>
      <c r="T14" s="50">
        <v>1.486222607940979E-2</v>
      </c>
      <c r="U14" s="50">
        <v>3.0309548114975104E-3</v>
      </c>
      <c r="V14" s="50">
        <v>6.2517824236641317E-2</v>
      </c>
      <c r="W14" s="50">
        <f t="shared" si="1"/>
        <v>1.0032021036790328E-2</v>
      </c>
      <c r="X14" t="s">
        <v>402</v>
      </c>
      <c r="Y14" s="48">
        <f>SKEW(_xlfn.ANCHORARRAY(L9))</f>
        <v>0.74828098759424333</v>
      </c>
      <c r="Z14" s="48">
        <f t="shared" ref="Z14:AI14" si="7">SKEW(_xlfn.ANCHORARRAY(M9))</f>
        <v>0.80380968238051786</v>
      </c>
      <c r="AA14" s="48">
        <f t="shared" si="7"/>
        <v>0.1035474589139518</v>
      </c>
      <c r="AB14" s="48">
        <f t="shared" si="7"/>
        <v>0.53924036501879824</v>
      </c>
      <c r="AC14" s="48">
        <f t="shared" si="7"/>
        <v>-0.40097759966916013</v>
      </c>
      <c r="AD14" s="48">
        <f t="shared" si="7"/>
        <v>0.2474653148275483</v>
      </c>
      <c r="AE14" s="48">
        <f t="shared" si="7"/>
        <v>0.31231511340116674</v>
      </c>
      <c r="AF14" s="48">
        <f t="shared" si="7"/>
        <v>-0.22467212971981726</v>
      </c>
      <c r="AG14" s="48">
        <f t="shared" si="7"/>
        <v>3.7294525508923877E-2</v>
      </c>
      <c r="AH14" s="48">
        <f t="shared" si="7"/>
        <v>0.46684994632891469</v>
      </c>
      <c r="AI14" s="48">
        <f t="shared" si="7"/>
        <v>-0.53834288549873699</v>
      </c>
    </row>
    <row r="15" spans="1:35" x14ac:dyDescent="0.45">
      <c r="A15" s="3">
        <v>45777</v>
      </c>
      <c r="B15" s="48">
        <v>87.644900000000007</v>
      </c>
      <c r="C15" s="48">
        <v>102.80186</v>
      </c>
      <c r="D15" s="48">
        <v>132.94274999999999</v>
      </c>
      <c r="E15" s="48">
        <v>108.38383</v>
      </c>
      <c r="F15" s="48">
        <v>26.28041</v>
      </c>
      <c r="G15" s="48">
        <v>29.988969999999998</v>
      </c>
      <c r="H15">
        <v>58.21</v>
      </c>
      <c r="I15" s="48">
        <v>4.609</v>
      </c>
      <c r="J15" s="49">
        <v>617.46879000000001</v>
      </c>
      <c r="K15" s="49">
        <v>10606.48508</v>
      </c>
      <c r="L15" s="50">
        <v>-0.15139968621746425</v>
      </c>
      <c r="M15" s="50">
        <v>-0.11183052305064789</v>
      </c>
      <c r="N15" s="50">
        <v>-0.18668183882941869</v>
      </c>
      <c r="O15" s="50">
        <v>-0.13178407901430933</v>
      </c>
      <c r="P15" s="50">
        <v>-0.18733342218514226</v>
      </c>
      <c r="Q15" s="50">
        <v>-0.18689833765294317</v>
      </c>
      <c r="R15" s="47">
        <v>-0.16090564014649228</v>
      </c>
      <c r="S15" s="50">
        <v>-0.18564633463905988</v>
      </c>
      <c r="T15" s="50">
        <v>-8.4425903853794115E-2</v>
      </c>
      <c r="U15" s="50">
        <v>-0.13731366238277121</v>
      </c>
      <c r="V15" s="50">
        <v>-7.0340899658393186E-3</v>
      </c>
      <c r="W15" s="50">
        <f t="shared" si="1"/>
        <v>-0.16090564014649228</v>
      </c>
      <c r="X15" t="s">
        <v>408</v>
      </c>
      <c r="Y15" s="48">
        <f>KURT(_xlfn.ANCHORARRAY(L9))</f>
        <v>1.4005198101938237</v>
      </c>
      <c r="Z15" s="48">
        <f t="shared" ref="Z15:AI15" si="8">KURT(_xlfn.ANCHORARRAY(M9))</f>
        <v>1.9185741153489011</v>
      </c>
      <c r="AA15" s="48">
        <f t="shared" si="8"/>
        <v>1.5021758488582457</v>
      </c>
      <c r="AB15" s="48">
        <f t="shared" si="8"/>
        <v>0.60089911661646056</v>
      </c>
      <c r="AC15" s="48">
        <f t="shared" si="8"/>
        <v>0.55894897409359867</v>
      </c>
      <c r="AD15" s="48">
        <f t="shared" si="8"/>
        <v>0.2360839984834624</v>
      </c>
      <c r="AE15" s="48">
        <f t="shared" si="8"/>
        <v>1.287064225162355</v>
      </c>
      <c r="AF15" s="48">
        <f t="shared" si="8"/>
        <v>-5.114250693440292E-2</v>
      </c>
      <c r="AG15" s="48">
        <f t="shared" si="8"/>
        <v>-0.18298665238586675</v>
      </c>
      <c r="AH15" s="48">
        <f t="shared" si="8"/>
        <v>1.7065867321246109</v>
      </c>
      <c r="AI15" s="48">
        <f t="shared" si="8"/>
        <v>-0.23616187868564786</v>
      </c>
    </row>
    <row r="16" spans="1:35" x14ac:dyDescent="0.45">
      <c r="A16" s="3">
        <v>45747</v>
      </c>
      <c r="B16" s="48">
        <v>103.28172000000001</v>
      </c>
      <c r="C16" s="48">
        <v>115.74576999999999</v>
      </c>
      <c r="D16" s="48">
        <v>163.45724999999999</v>
      </c>
      <c r="E16" s="48">
        <v>124.83511</v>
      </c>
      <c r="F16" s="48">
        <v>32.33849</v>
      </c>
      <c r="G16" s="48">
        <v>36.882190000000001</v>
      </c>
      <c r="H16">
        <v>71.48</v>
      </c>
      <c r="I16" s="48">
        <v>5.0339999999999998</v>
      </c>
      <c r="J16" s="49">
        <v>715.75121000000001</v>
      </c>
      <c r="K16" s="49">
        <v>10681.620559999999</v>
      </c>
      <c r="L16" s="50">
        <v>5.9203223337197519E-2</v>
      </c>
      <c r="M16" s="50">
        <v>6.8265539447665669E-2</v>
      </c>
      <c r="N16" s="50">
        <v>5.4658911207981387E-2</v>
      </c>
      <c r="O16" s="50">
        <v>1.0241109424792283E-2</v>
      </c>
      <c r="P16" s="50">
        <v>2.022950241456134E-2</v>
      </c>
      <c r="Q16" s="50">
        <v>3.9965227522590796E-2</v>
      </c>
      <c r="R16" s="47">
        <v>3.8672058003518292E-2</v>
      </c>
      <c r="S16" s="50">
        <v>2.4655963302752326E-2</v>
      </c>
      <c r="T16" s="50">
        <v>0.10686015831134554</v>
      </c>
      <c r="U16" s="50">
        <v>3.7499404969911554E-2</v>
      </c>
      <c r="V16" s="50">
        <v>-5.6704650118412525E-2</v>
      </c>
      <c r="W16" s="50">
        <f t="shared" si="1"/>
        <v>3.8672058003518292E-2</v>
      </c>
      <c r="X16" t="s">
        <v>411</v>
      </c>
      <c r="Y16" s="50">
        <f>Y11-1.97*Y13</f>
        <v>-0.16329631881574141</v>
      </c>
      <c r="Z16" s="50">
        <f t="shared" ref="Z16:AI16" si="9">Z11-1.97*Z13</f>
        <v>-0.12976876310522856</v>
      </c>
      <c r="AA16" s="50">
        <f t="shared" si="9"/>
        <v>-0.13876855009943878</v>
      </c>
      <c r="AB16" s="50">
        <f t="shared" si="9"/>
        <v>-0.16369771503703412</v>
      </c>
      <c r="AC16" s="50">
        <f t="shared" si="9"/>
        <v>-0.12421083145540474</v>
      </c>
      <c r="AD16" s="50">
        <f t="shared" si="9"/>
        <v>-0.20258069762410352</v>
      </c>
      <c r="AE16" s="50">
        <f t="shared" si="9"/>
        <v>-0.13412027617347419</v>
      </c>
      <c r="AF16" s="50">
        <f t="shared" si="9"/>
        <v>-0.15480633775358019</v>
      </c>
      <c r="AG16" s="50">
        <f t="shared" si="9"/>
        <v>-0.11734251757104786</v>
      </c>
      <c r="AH16" s="50">
        <f t="shared" si="9"/>
        <v>-0.13117489496495399</v>
      </c>
      <c r="AI16" s="50">
        <f t="shared" si="9"/>
        <v>-7.41071899439225E-2</v>
      </c>
    </row>
    <row r="17" spans="1:35" x14ac:dyDescent="0.45">
      <c r="A17" s="3">
        <v>45716</v>
      </c>
      <c r="B17" s="48">
        <v>97.508880000000005</v>
      </c>
      <c r="C17" s="48">
        <v>108.34925</v>
      </c>
      <c r="D17" s="48">
        <v>154.98589000000001</v>
      </c>
      <c r="E17" s="48">
        <v>123.56962</v>
      </c>
      <c r="F17" s="48">
        <v>31.69727</v>
      </c>
      <c r="G17" s="48">
        <v>35.464829999999999</v>
      </c>
      <c r="H17">
        <v>69.760000000000005</v>
      </c>
      <c r="I17" s="48">
        <v>4.548</v>
      </c>
      <c r="J17" s="49">
        <v>689.88108</v>
      </c>
      <c r="K17" s="49">
        <v>11323.72863</v>
      </c>
      <c r="L17" s="50">
        <v>1.1379000145314233E-2</v>
      </c>
      <c r="M17" s="50">
        <v>5.144447247884476E-2</v>
      </c>
      <c r="N17" s="50">
        <v>7.5000752569034823E-2</v>
      </c>
      <c r="O17" s="50">
        <v>9.1421685361618987E-3</v>
      </c>
      <c r="P17" s="50">
        <v>8.1143941985662993E-2</v>
      </c>
      <c r="Q17" s="50">
        <v>6.2170119946581393E-2</v>
      </c>
      <c r="R17" s="47">
        <v>5.5780291103257176E-2</v>
      </c>
      <c r="S17" s="50">
        <v>-3.8191093340686599E-2</v>
      </c>
      <c r="T17" s="50">
        <v>6.2865155410142481E-2</v>
      </c>
      <c r="U17" s="50">
        <v>3.2827539868775402E-2</v>
      </c>
      <c r="V17" s="50">
        <v>-1.3406017243591251E-2</v>
      </c>
      <c r="W17" s="50">
        <f t="shared" si="1"/>
        <v>5.5780291103257176E-2</v>
      </c>
      <c r="X17" t="s">
        <v>412</v>
      </c>
      <c r="Y17" s="50">
        <f>Y11+1.97*Y13</f>
        <v>0.20495407665972065</v>
      </c>
      <c r="Z17" s="50">
        <f t="shared" ref="Z17:AI17" si="10">Z11+1.97*Z13</f>
        <v>0.17977595234237548</v>
      </c>
      <c r="AA17" s="50">
        <f t="shared" si="10"/>
        <v>0.17192292188800029</v>
      </c>
      <c r="AB17" s="50">
        <f t="shared" si="10"/>
        <v>0.20819239621071389</v>
      </c>
      <c r="AC17" s="50">
        <f t="shared" si="10"/>
        <v>0.15724511848595918</v>
      </c>
      <c r="AD17" s="50">
        <f t="shared" si="10"/>
        <v>0.25310022514274544</v>
      </c>
      <c r="AE17" s="50">
        <f t="shared" si="10"/>
        <v>0.17636228752319108</v>
      </c>
      <c r="AF17" s="50">
        <f t="shared" si="10"/>
        <v>0.17170815090445937</v>
      </c>
      <c r="AG17" s="50">
        <f t="shared" si="10"/>
        <v>0.13486045858441575</v>
      </c>
      <c r="AH17" s="50">
        <f t="shared" si="10"/>
        <v>0.16738303529813348</v>
      </c>
      <c r="AI17" s="50">
        <f t="shared" si="10"/>
        <v>9.9435360459542252E-2</v>
      </c>
    </row>
    <row r="18" spans="1:35" x14ac:dyDescent="0.45">
      <c r="A18" s="3">
        <v>45688</v>
      </c>
      <c r="B18" s="48">
        <v>96.411810000000003</v>
      </c>
      <c r="C18" s="48">
        <v>103.048</v>
      </c>
      <c r="D18" s="48">
        <v>144.17282</v>
      </c>
      <c r="E18" s="48">
        <v>122.45016</v>
      </c>
      <c r="F18" s="48">
        <v>29.318269999999998</v>
      </c>
      <c r="G18" s="48">
        <v>33.389029999999998</v>
      </c>
      <c r="H18">
        <v>72.53</v>
      </c>
      <c r="I18" s="48">
        <v>4.2789999999999999</v>
      </c>
      <c r="J18" s="49">
        <v>667.9538</v>
      </c>
      <c r="K18" s="49">
        <v>11477.5975</v>
      </c>
      <c r="L18" s="50">
        <v>-3.4284477436155036E-3</v>
      </c>
      <c r="M18" s="50">
        <v>-6.8792175926014609E-3</v>
      </c>
      <c r="N18" s="50">
        <v>3.0033126594860793E-2</v>
      </c>
      <c r="O18" s="50">
        <v>3.3486174302511662E-2</v>
      </c>
      <c r="P18" s="50">
        <v>5.0744416784517909E-2</v>
      </c>
      <c r="Q18" s="50">
        <v>4.1857749677900902E-2</v>
      </c>
      <c r="R18" s="47">
        <v>2.984844995343796E-2</v>
      </c>
      <c r="S18" s="50">
        <v>1.1293920803123303E-2</v>
      </c>
      <c r="T18" s="50">
        <v>6.2709549236309226E-2</v>
      </c>
      <c r="U18" s="50">
        <v>2.0016116147678842E-2</v>
      </c>
      <c r="V18" s="50">
        <v>2.7597929349253425E-2</v>
      </c>
      <c r="W18" s="50">
        <f t="shared" si="1"/>
        <v>2.984844995343796E-2</v>
      </c>
      <c r="X18" t="s">
        <v>416</v>
      </c>
      <c r="Y18" s="48">
        <f>Y11/(Y13/SQRT($Z$7))</f>
        <v>1.7117679913372286</v>
      </c>
      <c r="Z18" s="48">
        <f t="shared" ref="Z18:AI18" si="11">Z11/(Z13/SQRT($Z$7))</f>
        <v>2.4445632728059792</v>
      </c>
      <c r="AA18" s="48">
        <f t="shared" si="11"/>
        <v>1.6147440858550568</v>
      </c>
      <c r="AB18" s="48">
        <f t="shared" si="11"/>
        <v>1.8104465214414514</v>
      </c>
      <c r="AC18" s="48">
        <f t="shared" si="11"/>
        <v>1.7760154355259108</v>
      </c>
      <c r="AD18" s="48">
        <f t="shared" si="11"/>
        <v>1.677608682204822</v>
      </c>
      <c r="AE18" s="48">
        <f t="shared" si="11"/>
        <v>2.0587310048407961</v>
      </c>
      <c r="AF18" s="48">
        <f t="shared" si="11"/>
        <v>0.78329088174611217</v>
      </c>
      <c r="AG18" s="48">
        <f t="shared" si="11"/>
        <v>1.0510541332601075</v>
      </c>
      <c r="AH18" s="48">
        <f t="shared" si="11"/>
        <v>1.8351426999085458</v>
      </c>
      <c r="AI18" s="48">
        <f t="shared" si="11"/>
        <v>2.2084627461445643</v>
      </c>
    </row>
    <row r="19" spans="1:35" ht="14.65" thickBot="1" x14ac:dyDescent="0.5">
      <c r="A19" s="3">
        <v>45657</v>
      </c>
      <c r="B19" s="48">
        <v>96.743489999999994</v>
      </c>
      <c r="C19" s="48">
        <v>103.76179999999999</v>
      </c>
      <c r="D19" s="48">
        <v>139.96911</v>
      </c>
      <c r="E19" s="48">
        <v>118.48263</v>
      </c>
      <c r="F19" s="48">
        <v>27.902380000000001</v>
      </c>
      <c r="G19" s="48">
        <v>32.04759</v>
      </c>
      <c r="H19">
        <v>71.72</v>
      </c>
      <c r="I19" s="48">
        <v>4.0265000000000004</v>
      </c>
      <c r="J19" s="49">
        <v>654.84631999999999</v>
      </c>
      <c r="K19" s="49">
        <v>11169.346659999999</v>
      </c>
      <c r="L19" s="50">
        <v>-8.4640973451193591E-2</v>
      </c>
      <c r="M19" s="50">
        <v>-8.8080764972362613E-2</v>
      </c>
      <c r="N19" s="50">
        <v>-0.10553941549948942</v>
      </c>
      <c r="O19" s="50">
        <v>-8.0144083752854423E-2</v>
      </c>
      <c r="P19" s="50">
        <v>8.5294798022150786E-3</v>
      </c>
      <c r="Q19" s="50">
        <v>-0.13195423307738741</v>
      </c>
      <c r="R19" s="47">
        <v>-7.9437803499975757E-2</v>
      </c>
      <c r="S19" s="50">
        <v>5.470588235294116E-2</v>
      </c>
      <c r="T19" s="50">
        <v>-1.3233672344075353E-2</v>
      </c>
      <c r="U19" s="50">
        <v>-9.558603730021098E-2</v>
      </c>
      <c r="V19" s="50">
        <v>-2.4184247390678815E-2</v>
      </c>
      <c r="W19" s="50">
        <f t="shared" si="1"/>
        <v>-7.9437803499975757E-2</v>
      </c>
      <c r="X19" t="s">
        <v>417</v>
      </c>
      <c r="Y19" s="48">
        <f>_xlfn.T.DIST(ABS(Y18),$Z$7-1,1)</f>
        <v>0.9538588162402083</v>
      </c>
      <c r="Z19" s="48">
        <f t="shared" ref="Z19:AI19" si="12">_xlfn.T.DIST(ABS(Z18),$Z$7-1,1)</f>
        <v>0.99121865138113452</v>
      </c>
      <c r="AA19" s="48">
        <f t="shared" si="12"/>
        <v>0.94410311207663911</v>
      </c>
      <c r="AB19" s="48">
        <f t="shared" si="12"/>
        <v>0.96229630359553708</v>
      </c>
      <c r="AC19" s="48">
        <f t="shared" si="12"/>
        <v>0.95951203034927712</v>
      </c>
      <c r="AD19" s="48">
        <f t="shared" si="12"/>
        <v>0.95059744836004578</v>
      </c>
      <c r="AE19" s="48">
        <f t="shared" si="12"/>
        <v>0.9779895855778602</v>
      </c>
      <c r="AF19" s="48">
        <f t="shared" si="12"/>
        <v>0.7816784065509137</v>
      </c>
      <c r="AG19" s="48">
        <f t="shared" si="12"/>
        <v>0.85120334080261084</v>
      </c>
      <c r="AH19" s="48">
        <f t="shared" si="12"/>
        <v>0.96419307876348848</v>
      </c>
      <c r="AI19" s="48">
        <f t="shared" si="12"/>
        <v>0.98441096007477302</v>
      </c>
    </row>
    <row r="20" spans="1:35" x14ac:dyDescent="0.45">
      <c r="A20" s="3">
        <v>45625</v>
      </c>
      <c r="B20" s="48">
        <v>105.68912</v>
      </c>
      <c r="C20" s="48">
        <v>113.78398</v>
      </c>
      <c r="D20" s="48">
        <v>156.48437999999999</v>
      </c>
      <c r="E20" s="48">
        <v>128.80564000000001</v>
      </c>
      <c r="F20" s="48">
        <v>27.666399999999999</v>
      </c>
      <c r="G20" s="48">
        <v>36.919240000000002</v>
      </c>
      <c r="H20">
        <v>68</v>
      </c>
      <c r="I20" s="48">
        <v>4.0804999999999998</v>
      </c>
      <c r="J20" s="49">
        <v>724.05596000000003</v>
      </c>
      <c r="K20" s="49">
        <v>11446.16351</v>
      </c>
      <c r="L20" s="50">
        <v>-4.0434157382993607E-3</v>
      </c>
      <c r="M20" s="50">
        <v>1.8404661978541181E-2</v>
      </c>
      <c r="N20" s="50">
        <v>9.9192536152117317E-2</v>
      </c>
      <c r="O20" s="50">
        <v>9.2653280327265941E-2</v>
      </c>
      <c r="P20" s="50">
        <v>1.4201400344587389E-2</v>
      </c>
      <c r="Q20" s="50">
        <v>-1.8872738105646603E-2</v>
      </c>
      <c r="R20" s="47">
        <v>4.1115828139373048E-2</v>
      </c>
      <c r="S20" s="50">
        <v>-1.8192318798729512E-2</v>
      </c>
      <c r="T20" s="50">
        <v>-5.9792626728110587E-2</v>
      </c>
      <c r="U20" s="50">
        <v>6.2831207250496846E-2</v>
      </c>
      <c r="V20" s="50">
        <v>5.8281375412549297E-2</v>
      </c>
      <c r="W20" s="50">
        <f t="shared" si="1"/>
        <v>4.1115828139373048E-2</v>
      </c>
      <c r="Y20" s="65"/>
      <c r="Z20" s="65"/>
    </row>
    <row r="21" spans="1:35" x14ac:dyDescent="0.45">
      <c r="A21" s="3">
        <v>45596</v>
      </c>
      <c r="B21" s="48">
        <v>106.1182</v>
      </c>
      <c r="C21" s="48">
        <v>111.72767</v>
      </c>
      <c r="D21" s="48">
        <v>142.36303000000001</v>
      </c>
      <c r="E21" s="48">
        <v>117.88336</v>
      </c>
      <c r="F21" s="48">
        <v>27.279</v>
      </c>
      <c r="G21" s="48">
        <v>37.62941</v>
      </c>
      <c r="H21">
        <v>69.260000000000005</v>
      </c>
      <c r="I21" s="48">
        <v>4.34</v>
      </c>
      <c r="J21" s="49">
        <v>681.25207</v>
      </c>
      <c r="K21" s="49">
        <v>10815.803599999999</v>
      </c>
      <c r="L21" s="50">
        <v>4.0463459229063581E-2</v>
      </c>
      <c r="M21" s="50">
        <v>-3.7535902132731502E-3</v>
      </c>
      <c r="N21" s="50">
        <v>1.0524893902823074E-2</v>
      </c>
      <c r="O21" s="50">
        <v>-7.5085651723627578E-4</v>
      </c>
      <c r="P21" s="50">
        <v>-6.4670400807540052E-2</v>
      </c>
      <c r="Q21" s="50">
        <v>-1.1247466331173905E-2</v>
      </c>
      <c r="R21" s="47">
        <v>-1.3979483993280062E-2</v>
      </c>
      <c r="S21" s="50">
        <v>1.5989438169282666E-2</v>
      </c>
      <c r="T21" s="50">
        <v>-4.678234131341974E-2</v>
      </c>
      <c r="U21" s="50">
        <v>7.0644934559338513E-3</v>
      </c>
      <c r="V21" s="50">
        <v>-9.3174660614931959E-3</v>
      </c>
      <c r="W21" s="50">
        <f t="shared" si="1"/>
        <v>-1.3979483993280062E-2</v>
      </c>
      <c r="Y21" s="63"/>
    </row>
    <row r="22" spans="1:35" x14ac:dyDescent="0.45">
      <c r="A22" s="3">
        <v>45565</v>
      </c>
      <c r="B22" s="48">
        <v>101.99128</v>
      </c>
      <c r="C22" s="48">
        <v>112.14863</v>
      </c>
      <c r="D22" s="48">
        <v>140.88028</v>
      </c>
      <c r="E22" s="48">
        <v>117.97194</v>
      </c>
      <c r="F22" s="48">
        <v>29.165120000000002</v>
      </c>
      <c r="G22" s="48">
        <v>38.057459999999999</v>
      </c>
      <c r="H22">
        <v>68.17</v>
      </c>
      <c r="I22" s="48">
        <v>4.5529999999999999</v>
      </c>
      <c r="J22" s="49">
        <v>676.47312999999997</v>
      </c>
      <c r="K22" s="49">
        <v>10917.52729</v>
      </c>
      <c r="L22" s="50">
        <v>-7.4786838062241956E-2</v>
      </c>
      <c r="M22" s="50">
        <v>-6.1047978029995509E-3</v>
      </c>
      <c r="N22" s="50">
        <v>-4.5961733553647743E-3</v>
      </c>
      <c r="O22" s="50">
        <v>-4.5722773637143943E-2</v>
      </c>
      <c r="P22" s="50">
        <v>-7.5677210632536407E-2</v>
      </c>
      <c r="Q22" s="50">
        <v>-0.11668149020161245</v>
      </c>
      <c r="R22" s="47">
        <v>-4.9756489125931426E-2</v>
      </c>
      <c r="S22" s="50">
        <v>-7.3147518694765434E-2</v>
      </c>
      <c r="T22" s="50">
        <v>9.2632589392848574E-2</v>
      </c>
      <c r="U22" s="50">
        <v>-2.7862118499764388E-2</v>
      </c>
      <c r="V22" s="50">
        <v>2.1009318181426373E-2</v>
      </c>
      <c r="W22" s="50">
        <f t="shared" si="1"/>
        <v>-4.9756489125931426E-2</v>
      </c>
      <c r="X22" t="s">
        <v>452</v>
      </c>
      <c r="Y22" s="63"/>
    </row>
    <row r="23" spans="1:35" x14ac:dyDescent="0.45">
      <c r="A23" s="3">
        <v>45534</v>
      </c>
      <c r="B23" s="48">
        <v>110.23544</v>
      </c>
      <c r="C23" s="48">
        <v>112.83748</v>
      </c>
      <c r="D23" s="48">
        <v>141.53077999999999</v>
      </c>
      <c r="E23" s="48">
        <v>123.62439000000001</v>
      </c>
      <c r="F23" s="48">
        <v>31.552959999999999</v>
      </c>
      <c r="G23" s="48">
        <v>43.08464</v>
      </c>
      <c r="H23">
        <v>73.55</v>
      </c>
      <c r="I23" s="48">
        <v>4.1669999999999998</v>
      </c>
      <c r="J23" s="49">
        <v>695.86130000000003</v>
      </c>
      <c r="K23" s="49">
        <v>10692.87723</v>
      </c>
      <c r="L23" s="50">
        <v>3.069347764885566E-2</v>
      </c>
      <c r="M23" s="50">
        <v>2.525649868182267E-3</v>
      </c>
      <c r="N23" s="50">
        <v>-6.7702058639260931E-2</v>
      </c>
      <c r="O23" s="50">
        <v>1.5930610179358595E-2</v>
      </c>
      <c r="P23" s="50">
        <v>-2.6604971653879095E-2</v>
      </c>
      <c r="Q23" s="50">
        <v>-4.7841896897775071E-2</v>
      </c>
      <c r="R23" s="47">
        <v>-2.4738533428674846E-2</v>
      </c>
      <c r="S23" s="50">
        <v>-5.5962007444487205E-2</v>
      </c>
      <c r="T23" s="50">
        <v>-2.2746318687896228E-3</v>
      </c>
      <c r="U23" s="50">
        <v>-2.3240299155224964E-2</v>
      </c>
      <c r="V23" s="50">
        <v>2.3829656557774692E-2</v>
      </c>
      <c r="W23" s="50">
        <f t="shared" si="1"/>
        <v>-2.4738533428674846E-2</v>
      </c>
      <c r="Y23" s="63"/>
    </row>
    <row r="24" spans="1:35" x14ac:dyDescent="0.45">
      <c r="A24" s="3">
        <v>45504</v>
      </c>
      <c r="B24" s="48">
        <v>106.95269</v>
      </c>
      <c r="C24" s="48">
        <v>112.55321000000001</v>
      </c>
      <c r="D24" s="48">
        <v>151.80852999999999</v>
      </c>
      <c r="E24" s="48">
        <v>121.68586000000001</v>
      </c>
      <c r="F24" s="48">
        <v>32.415370000000003</v>
      </c>
      <c r="G24" s="48">
        <v>45.249459999999999</v>
      </c>
      <c r="H24">
        <v>77.91</v>
      </c>
      <c r="I24" s="48">
        <v>4.1764999999999999</v>
      </c>
      <c r="J24" s="49">
        <v>712.41810999999996</v>
      </c>
      <c r="K24" s="49">
        <v>10444.00029</v>
      </c>
      <c r="L24" s="50">
        <v>-2.7802070752231289E-2</v>
      </c>
      <c r="M24" s="50">
        <v>3.0142453975545491E-2</v>
      </c>
      <c r="N24" s="50">
        <v>2.5891838826715974E-2</v>
      </c>
      <c r="O24" s="50">
        <v>1.4407341794712591E-2</v>
      </c>
      <c r="P24" s="50">
        <v>-1.966751638934483E-2</v>
      </c>
      <c r="Q24" s="50">
        <v>-7.8058653077647255E-3</v>
      </c>
      <c r="R24" s="47">
        <v>8.5936505799729009E-3</v>
      </c>
      <c r="S24" s="50">
        <v>-4.451802796173665E-2</v>
      </c>
      <c r="T24" s="50">
        <v>-4.8958214733006877E-2</v>
      </c>
      <c r="U24" s="50">
        <v>2.0317084547548658E-2</v>
      </c>
      <c r="V24" s="50">
        <v>1.1916956360991326E-2</v>
      </c>
      <c r="W24" s="50">
        <f t="shared" si="1"/>
        <v>8.5936505799729009E-3</v>
      </c>
      <c r="X24" t="s">
        <v>418</v>
      </c>
    </row>
    <row r="25" spans="1:35" ht="14.65" thickBot="1" x14ac:dyDescent="0.5">
      <c r="A25" s="3">
        <v>45471</v>
      </c>
      <c r="B25" s="48">
        <v>110.01123</v>
      </c>
      <c r="C25" s="48">
        <v>109.25985</v>
      </c>
      <c r="D25" s="48">
        <v>147.97712999999999</v>
      </c>
      <c r="E25" s="48">
        <v>119.95759</v>
      </c>
      <c r="F25" s="48">
        <v>33.065689999999996</v>
      </c>
      <c r="G25" s="48">
        <v>45.605449999999998</v>
      </c>
      <c r="H25">
        <v>81.540000000000006</v>
      </c>
      <c r="I25" s="48">
        <v>4.3914999999999997</v>
      </c>
      <c r="J25" s="49">
        <v>698.23207000000002</v>
      </c>
      <c r="K25" s="49">
        <v>10321.00532</v>
      </c>
      <c r="L25" s="50">
        <v>-1.802884593927645E-2</v>
      </c>
      <c r="M25" s="50">
        <v>-1.8250096234265989E-2</v>
      </c>
      <c r="N25" s="50">
        <v>-3.6229184950477111E-2</v>
      </c>
      <c r="O25" s="50">
        <v>1.0598183195072552E-2</v>
      </c>
      <c r="P25" s="50">
        <v>-3.9126900892214489E-2</v>
      </c>
      <c r="Q25" s="50">
        <v>-2.6786215391286561E-2</v>
      </c>
      <c r="R25" s="47">
        <v>-2.1958842854634321E-2</v>
      </c>
      <c r="S25" s="50">
        <v>5.9098584231718654E-2</v>
      </c>
      <c r="T25" s="50">
        <v>-4.5740982181660228E-2</v>
      </c>
      <c r="U25" s="50">
        <v>-1.3858771910869483E-2</v>
      </c>
      <c r="V25" s="50">
        <v>3.5518568584628429E-2</v>
      </c>
      <c r="W25" s="50">
        <f t="shared" si="1"/>
        <v>-2.1958842854634321E-2</v>
      </c>
    </row>
    <row r="26" spans="1:35" x14ac:dyDescent="0.45">
      <c r="A26" s="3">
        <v>45443</v>
      </c>
      <c r="B26" s="48">
        <v>112.03102</v>
      </c>
      <c r="C26" s="48">
        <v>111.29092</v>
      </c>
      <c r="D26" s="48">
        <v>153.53975</v>
      </c>
      <c r="E26" s="48">
        <v>118.69959</v>
      </c>
      <c r="F26" s="48">
        <v>34.412129999999998</v>
      </c>
      <c r="G26" s="48">
        <v>46.860669999999999</v>
      </c>
      <c r="H26">
        <v>76.989999999999995</v>
      </c>
      <c r="I26" s="48">
        <v>4.6020000000000003</v>
      </c>
      <c r="J26" s="49">
        <v>708.04470000000003</v>
      </c>
      <c r="K26" s="49">
        <v>9966.9920299999994</v>
      </c>
      <c r="L26" s="50">
        <v>-6.6860350588443973E-2</v>
      </c>
      <c r="M26" s="50">
        <v>-4.866850461596739E-4</v>
      </c>
      <c r="N26" s="50">
        <v>1.6549174736043781E-2</v>
      </c>
      <c r="O26" s="50">
        <v>-5.7367748714815425E-2</v>
      </c>
      <c r="P26" s="50">
        <v>-1.9758016849091731E-2</v>
      </c>
      <c r="Q26" s="50">
        <v>-4.103163547608335E-2</v>
      </c>
      <c r="R26" s="47">
        <v>-2.0418982270021278E-2</v>
      </c>
      <c r="S26" s="50">
        <v>-6.0295374099841426E-2</v>
      </c>
      <c r="T26" s="50">
        <v>8.215576733486829E-3</v>
      </c>
      <c r="U26" s="50">
        <v>-9.6577866132732115E-3</v>
      </c>
      <c r="V26" s="50">
        <v>4.9115150817354847E-2</v>
      </c>
      <c r="W26" s="50">
        <f t="shared" si="1"/>
        <v>-2.0418982270021278E-2</v>
      </c>
      <c r="X26" s="65"/>
      <c r="Y26" s="65" t="s">
        <v>419</v>
      </c>
      <c r="Z26" s="65" t="s">
        <v>420</v>
      </c>
    </row>
    <row r="27" spans="1:35" x14ac:dyDescent="0.45">
      <c r="A27" s="3">
        <v>45412</v>
      </c>
      <c r="B27" s="48">
        <v>120.05815</v>
      </c>
      <c r="C27" s="48">
        <v>111.34511000000001</v>
      </c>
      <c r="D27" s="48">
        <v>151.04015999999999</v>
      </c>
      <c r="E27" s="48">
        <v>125.92354</v>
      </c>
      <c r="F27" s="48">
        <v>35.10575</v>
      </c>
      <c r="G27" s="48">
        <v>48.86571</v>
      </c>
      <c r="H27">
        <v>81.93</v>
      </c>
      <c r="I27" s="48">
        <v>4.5644999999999998</v>
      </c>
      <c r="J27" s="49">
        <v>714.94952999999998</v>
      </c>
      <c r="K27" s="49">
        <v>9500.3794600000001</v>
      </c>
      <c r="L27" s="50">
        <v>-1.3042167243510816E-2</v>
      </c>
      <c r="M27" s="50">
        <v>1.7463864282726949E-2</v>
      </c>
      <c r="N27" s="50">
        <v>2.2378587256237648E-2</v>
      </c>
      <c r="O27" s="50">
        <v>4.0556688789167961E-2</v>
      </c>
      <c r="P27" s="50">
        <v>2.8927772015228115E-2</v>
      </c>
      <c r="Q27" s="50">
        <v>1.9928229320532953E-2</v>
      </c>
      <c r="R27" s="47">
        <v>2.5851028332778726E-2</v>
      </c>
      <c r="S27" s="50">
        <v>-1.4909222075267459E-2</v>
      </c>
      <c r="T27" s="50">
        <v>0.1391315198402796</v>
      </c>
      <c r="U27" s="50">
        <v>-8.7248630061573795E-3</v>
      </c>
      <c r="V27" s="50">
        <v>-4.1075904825150555E-2</v>
      </c>
      <c r="W27" s="50">
        <f t="shared" si="1"/>
        <v>2.5851028332778726E-2</v>
      </c>
      <c r="X27" t="s">
        <v>421</v>
      </c>
      <c r="Y27">
        <v>2.1000593924653334E-2</v>
      </c>
      <c r="Z27">
        <v>1.1356441367331131E-2</v>
      </c>
    </row>
    <row r="28" spans="1:35" x14ac:dyDescent="0.45">
      <c r="A28" s="3">
        <v>45379</v>
      </c>
      <c r="B28" s="48">
        <v>121.64466</v>
      </c>
      <c r="C28" s="48">
        <v>109.43397</v>
      </c>
      <c r="D28" s="48">
        <v>147.73408000000001</v>
      </c>
      <c r="E28" s="48">
        <v>121.01555</v>
      </c>
      <c r="F28" s="48">
        <v>34.118769999999998</v>
      </c>
      <c r="G28" s="48">
        <v>47.91093</v>
      </c>
      <c r="H28">
        <v>83.17</v>
      </c>
      <c r="I28" s="48">
        <v>4.0069999999999997</v>
      </c>
      <c r="J28" s="49">
        <v>721.24226999999996</v>
      </c>
      <c r="K28" s="49">
        <v>9907.3320899999999</v>
      </c>
      <c r="L28" s="50">
        <v>0.13097571182310586</v>
      </c>
      <c r="M28" s="50">
        <v>0.11213169405465595</v>
      </c>
      <c r="N28" s="50">
        <v>3.7694896063042549E-2</v>
      </c>
      <c r="O28" s="50">
        <v>0.11689674398136929</v>
      </c>
      <c r="P28" s="50">
        <v>7.6879059155048557E-2</v>
      </c>
      <c r="Q28" s="50">
        <v>0.14957032913639945</v>
      </c>
      <c r="R28" s="47">
        <v>9.8634544478103159E-2</v>
      </c>
      <c r="S28" s="50">
        <v>6.273958599539986E-2</v>
      </c>
      <c r="T28" s="50">
        <v>4.1590850012997116E-2</v>
      </c>
      <c r="U28" s="50">
        <v>0.10426139844611115</v>
      </c>
      <c r="V28" s="50">
        <v>3.1828014210129263E-2</v>
      </c>
      <c r="W28" s="50">
        <f t="shared" si="1"/>
        <v>9.8634544478103159E-2</v>
      </c>
      <c r="X28" t="s">
        <v>422</v>
      </c>
      <c r="Y28">
        <v>8.8871117435050471E-3</v>
      </c>
      <c r="Z28">
        <v>1.9591091019017072E-3</v>
      </c>
    </row>
    <row r="29" spans="1:35" x14ac:dyDescent="0.45">
      <c r="A29" s="3">
        <v>45351</v>
      </c>
      <c r="B29" s="48">
        <v>107.55727</v>
      </c>
      <c r="C29" s="48">
        <v>98.400189999999995</v>
      </c>
      <c r="D29" s="48">
        <v>142.36754999999999</v>
      </c>
      <c r="E29" s="48">
        <v>108.34981000000001</v>
      </c>
      <c r="F29" s="48">
        <v>31.683009999999999</v>
      </c>
      <c r="G29" s="48">
        <v>41.677250000000001</v>
      </c>
      <c r="H29">
        <v>78.260000000000005</v>
      </c>
      <c r="I29" s="48">
        <v>3.847</v>
      </c>
      <c r="J29" s="49">
        <v>653.14450999999997</v>
      </c>
      <c r="K29" s="49">
        <v>9601.7281500000008</v>
      </c>
      <c r="L29" s="50">
        <v>1.3165552024394955E-2</v>
      </c>
      <c r="M29" s="50">
        <v>2.6080860438048026E-2</v>
      </c>
      <c r="N29" s="50">
        <v>4.2316341022314852E-2</v>
      </c>
      <c r="O29" s="50">
        <v>5.8880061732944355E-3</v>
      </c>
      <c r="P29" s="50">
        <v>9.0333022605229019E-3</v>
      </c>
      <c r="Q29" s="50">
        <v>4.8548376668057891E-2</v>
      </c>
      <c r="R29" s="47">
        <v>2.637337731244762E-2</v>
      </c>
      <c r="S29" s="50">
        <v>3.1773236651285508E-2</v>
      </c>
      <c r="T29" s="50">
        <v>-1.5104966717869983E-2</v>
      </c>
      <c r="U29" s="50">
        <v>2.5778405721691433E-2</v>
      </c>
      <c r="V29" s="50">
        <v>5.2893008686458742E-2</v>
      </c>
      <c r="W29" s="50">
        <f t="shared" si="1"/>
        <v>2.637337731244762E-2</v>
      </c>
      <c r="X29" t="s">
        <v>423</v>
      </c>
      <c r="Y29">
        <v>58</v>
      </c>
      <c r="Z29">
        <v>58</v>
      </c>
    </row>
    <row r="30" spans="1:35" x14ac:dyDescent="0.45">
      <c r="A30" s="3">
        <v>45322</v>
      </c>
      <c r="B30" s="48">
        <v>106.15962</v>
      </c>
      <c r="C30" s="48">
        <v>95.899060000000006</v>
      </c>
      <c r="D30" s="48">
        <v>136.58766</v>
      </c>
      <c r="E30" s="48">
        <v>107.71558</v>
      </c>
      <c r="F30" s="48">
        <v>31.399370000000001</v>
      </c>
      <c r="G30" s="48">
        <v>39.747570000000003</v>
      </c>
      <c r="H30">
        <v>75.849999999999994</v>
      </c>
      <c r="I30" s="48">
        <v>3.9060000000000001</v>
      </c>
      <c r="J30" s="49">
        <v>636.73060999999996</v>
      </c>
      <c r="K30" s="49">
        <v>9119.3768700000001</v>
      </c>
      <c r="L30" s="50">
        <v>-3.6185131559021477E-2</v>
      </c>
      <c r="M30" s="50">
        <v>2.830559525966847E-2</v>
      </c>
      <c r="N30" s="50">
        <v>-1.1598270589359916E-2</v>
      </c>
      <c r="O30" s="50">
        <v>-5.1762493907112739E-2</v>
      </c>
      <c r="P30" s="50">
        <v>-8.4745548624561851E-3</v>
      </c>
      <c r="Q30" s="50">
        <v>-7.2406213368015337E-2</v>
      </c>
      <c r="R30" s="47">
        <v>-2.3187187493455143E-2</v>
      </c>
      <c r="S30" s="50">
        <v>5.8618283321702602E-2</v>
      </c>
      <c r="T30" s="50">
        <v>3.9840637450199168E-3</v>
      </c>
      <c r="U30" s="50">
        <v>-5.183110861754936E-3</v>
      </c>
      <c r="V30" s="50">
        <v>1.6531489784583187E-2</v>
      </c>
      <c r="W30" s="50">
        <f t="shared" si="1"/>
        <v>-2.3187187493455143E-2</v>
      </c>
      <c r="X30" t="s">
        <v>424</v>
      </c>
      <c r="Y30">
        <v>57</v>
      </c>
      <c r="Z30">
        <v>57</v>
      </c>
    </row>
    <row r="31" spans="1:35" x14ac:dyDescent="0.45">
      <c r="A31" s="3">
        <v>45289</v>
      </c>
      <c r="B31" s="48">
        <v>110.14524</v>
      </c>
      <c r="C31" s="48">
        <v>93.259299999999996</v>
      </c>
      <c r="D31" s="48">
        <v>138.19042999999999</v>
      </c>
      <c r="E31" s="48">
        <v>113.59557</v>
      </c>
      <c r="F31" s="48">
        <v>31.667739999999998</v>
      </c>
      <c r="G31" s="48">
        <v>42.850189999999998</v>
      </c>
      <c r="H31">
        <v>71.650000000000006</v>
      </c>
      <c r="I31" s="48">
        <v>3.8904999999999998</v>
      </c>
      <c r="J31" s="49">
        <v>640.04804999999999</v>
      </c>
      <c r="K31" s="49">
        <v>8971.0716900000007</v>
      </c>
      <c r="L31" s="50">
        <v>4.3264038655335124E-3</v>
      </c>
      <c r="M31" s="50">
        <v>-2.6863912376608012E-2</v>
      </c>
      <c r="N31" s="50">
        <v>3.871862553727512E-2</v>
      </c>
      <c r="O31" s="50">
        <v>-4.6241218597886657E-3</v>
      </c>
      <c r="P31" s="50">
        <v>-2.4524772277892626E-2</v>
      </c>
      <c r="Q31" s="50">
        <v>2.5189892557704541E-2</v>
      </c>
      <c r="R31" s="47">
        <v>1.5791423161380714E-3</v>
      </c>
      <c r="S31" s="50">
        <v>-5.6740389678778147E-2</v>
      </c>
      <c r="T31" s="50">
        <v>1.6061634891616494E-2</v>
      </c>
      <c r="U31" s="50">
        <v>-1.9265581626047856E-3</v>
      </c>
      <c r="V31" s="50">
        <v>4.5070104829980195E-2</v>
      </c>
      <c r="W31" s="50">
        <f t="shared" si="1"/>
        <v>1.5791423161380714E-3</v>
      </c>
      <c r="X31" t="s">
        <v>425</v>
      </c>
      <c r="Y31">
        <v>4.5363026157544404</v>
      </c>
    </row>
    <row r="32" spans="1:35" x14ac:dyDescent="0.45">
      <c r="A32" s="3">
        <v>45260</v>
      </c>
      <c r="B32" s="48">
        <v>109.67076</v>
      </c>
      <c r="C32" s="48">
        <v>95.833770000000001</v>
      </c>
      <c r="D32" s="48">
        <v>133.03933000000001</v>
      </c>
      <c r="E32" s="48">
        <v>114.12329</v>
      </c>
      <c r="F32" s="48">
        <v>32.463909999999998</v>
      </c>
      <c r="G32" s="48">
        <v>41.797319999999999</v>
      </c>
      <c r="H32">
        <v>75.959999999999994</v>
      </c>
      <c r="I32" s="48">
        <v>3.8290000000000002</v>
      </c>
      <c r="J32" s="49">
        <v>641.28351999999995</v>
      </c>
      <c r="K32" s="49">
        <v>8584.1817200000005</v>
      </c>
      <c r="L32" s="50">
        <v>-2.2283438664245314E-2</v>
      </c>
      <c r="M32" s="50">
        <v>-2.0505512927581848E-2</v>
      </c>
      <c r="N32" s="50">
        <v>-4.2868123470852781E-3</v>
      </c>
      <c r="O32" s="50">
        <v>-2.5188065714370378E-2</v>
      </c>
      <c r="P32" s="50">
        <v>4.4828078070413557E-3</v>
      </c>
      <c r="Q32" s="50">
        <v>-3.4356919022170529E-2</v>
      </c>
      <c r="R32" s="47">
        <v>-1.5970900440833335E-2</v>
      </c>
      <c r="S32" s="50">
        <v>-6.2453715132066212E-2</v>
      </c>
      <c r="T32" s="50">
        <v>4.9328583173472218E-2</v>
      </c>
      <c r="U32" s="50">
        <v>-1.6456004983335992E-2</v>
      </c>
      <c r="V32" s="50">
        <v>9.068098742839914E-2</v>
      </c>
      <c r="W32" s="50">
        <f t="shared" si="1"/>
        <v>-1.5970900440833335E-2</v>
      </c>
      <c r="X32" t="s">
        <v>426</v>
      </c>
      <c r="Y32">
        <v>2.6110450520243806E-8</v>
      </c>
    </row>
    <row r="33" spans="1:27" ht="14.65" thickBot="1" x14ac:dyDescent="0.5">
      <c r="A33" s="3">
        <v>45230</v>
      </c>
      <c r="B33" s="48">
        <v>112.1703</v>
      </c>
      <c r="C33" s="48">
        <v>97.840029999999999</v>
      </c>
      <c r="D33" s="48">
        <v>133.6121</v>
      </c>
      <c r="E33" s="48">
        <v>117.07211</v>
      </c>
      <c r="F33" s="48">
        <v>32.319029999999998</v>
      </c>
      <c r="G33" s="48">
        <v>43.284439999999996</v>
      </c>
      <c r="H33">
        <v>81.02</v>
      </c>
      <c r="I33" s="48">
        <v>3.649</v>
      </c>
      <c r="J33" s="49">
        <v>652.01305000000002</v>
      </c>
      <c r="K33" s="49">
        <v>7870.4789199999996</v>
      </c>
      <c r="L33" s="50">
        <v>-8.3472941134868917E-3</v>
      </c>
      <c r="M33" s="50">
        <v>-9.9761884147008595E-2</v>
      </c>
      <c r="N33" s="50">
        <v>-0.13574898938361191</v>
      </c>
      <c r="O33" s="50">
        <v>2.1539887526569323E-3</v>
      </c>
      <c r="P33" s="50">
        <v>-5.5268454168767689E-2</v>
      </c>
      <c r="Q33" s="50">
        <v>-2.3689785342052461E-2</v>
      </c>
      <c r="R33" s="47">
        <v>-6.2463024857756747E-2</v>
      </c>
      <c r="S33" s="50">
        <v>-0.10761097037118639</v>
      </c>
      <c r="T33" s="50">
        <v>-2.3678929765886259E-2</v>
      </c>
      <c r="U33" s="50">
        <v>-6.0758909474183054E-2</v>
      </c>
      <c r="V33" s="50">
        <v>-2.1312784516718697E-2</v>
      </c>
      <c r="W33" s="50">
        <f t="shared" si="1"/>
        <v>-6.2463024857756747E-2</v>
      </c>
      <c r="X33" s="64" t="s">
        <v>427</v>
      </c>
      <c r="Y33" s="64">
        <v>1.5517575399582508</v>
      </c>
      <c r="Z33" s="64"/>
    </row>
    <row r="34" spans="1:27" x14ac:dyDescent="0.45">
      <c r="A34" s="3">
        <v>45198</v>
      </c>
      <c r="B34" s="48">
        <v>113.11450000000001</v>
      </c>
      <c r="C34" s="48">
        <v>108.68239</v>
      </c>
      <c r="D34" s="48">
        <v>154.59871999999999</v>
      </c>
      <c r="E34" s="48">
        <v>116.82048</v>
      </c>
      <c r="F34" s="48">
        <v>34.20975</v>
      </c>
      <c r="G34" s="48">
        <v>44.334719999999997</v>
      </c>
      <c r="H34">
        <v>90.79</v>
      </c>
      <c r="I34" s="48">
        <v>3.7374999999999998</v>
      </c>
      <c r="J34" s="49">
        <v>694.19136000000003</v>
      </c>
      <c r="K34" s="49">
        <v>8041.8736399999998</v>
      </c>
      <c r="L34" s="50">
        <v>1.1520646460368544E-2</v>
      </c>
      <c r="M34" s="50">
        <v>5.7469189773404095E-2</v>
      </c>
      <c r="N34" s="50">
        <v>4.6679021101927898E-2</v>
      </c>
      <c r="O34" s="50">
        <v>-1.4461257907393055E-2</v>
      </c>
      <c r="P34" s="50">
        <v>4.1419958026298387E-2</v>
      </c>
      <c r="Q34" s="50">
        <v>-5.72328253040435E-2</v>
      </c>
      <c r="R34" s="47">
        <v>1.4774817138038765E-2</v>
      </c>
      <c r="S34" s="50">
        <v>8.5615209852923702E-2</v>
      </c>
      <c r="T34" s="50">
        <v>-9.2776673293571976E-3</v>
      </c>
      <c r="U34" s="50">
        <v>2.4650668298413336E-2</v>
      </c>
      <c r="V34" s="50">
        <v>-4.7990269488475845E-2</v>
      </c>
      <c r="W34" s="50">
        <f t="shared" si="1"/>
        <v>1.4774817138038765E-2</v>
      </c>
      <c r="Y34" s="63"/>
    </row>
    <row r="35" spans="1:27" x14ac:dyDescent="0.45">
      <c r="A35" s="3">
        <v>45169</v>
      </c>
      <c r="B35" s="48">
        <v>111.82619</v>
      </c>
      <c r="C35" s="48">
        <v>102.77594000000001</v>
      </c>
      <c r="D35" s="48">
        <v>147.70403999999999</v>
      </c>
      <c r="E35" s="48">
        <v>118.53464</v>
      </c>
      <c r="F35" s="48">
        <v>32.849139999999998</v>
      </c>
      <c r="G35" s="48">
        <v>47.026159999999997</v>
      </c>
      <c r="H35">
        <v>83.63</v>
      </c>
      <c r="I35" s="48">
        <v>3.7725</v>
      </c>
      <c r="J35" s="49">
        <v>677.49076000000002</v>
      </c>
      <c r="K35" s="49">
        <v>8447.2599200000004</v>
      </c>
      <c r="L35" s="50">
        <v>1.5528867184949391E-2</v>
      </c>
      <c r="M35" s="50">
        <v>4.5332697036418734E-2</v>
      </c>
      <c r="N35" s="50">
        <v>-6.182024659333929E-3</v>
      </c>
      <c r="O35" s="50">
        <v>-2.9502763471334403E-2</v>
      </c>
      <c r="P35" s="50">
        <v>8.402964076277275E-3</v>
      </c>
      <c r="Q35" s="50">
        <v>-5.388887849416224E-2</v>
      </c>
      <c r="R35" s="47">
        <v>-7.1676011024269124E-3</v>
      </c>
      <c r="S35" s="50">
        <v>2.2371638141809314E-2</v>
      </c>
      <c r="T35" s="50">
        <v>-5.875748502994016E-2</v>
      </c>
      <c r="U35" s="50">
        <v>1.2719133547845374E-2</v>
      </c>
      <c r="V35" s="50">
        <v>-1.6460274929841257E-2</v>
      </c>
      <c r="W35" s="50">
        <f t="shared" si="1"/>
        <v>-7.1676011024269124E-3</v>
      </c>
      <c r="X35" t="s">
        <v>429</v>
      </c>
    </row>
    <row r="36" spans="1:27" ht="14.65" thickBot="1" x14ac:dyDescent="0.5">
      <c r="A36" s="3">
        <v>45138</v>
      </c>
      <c r="B36" s="48">
        <v>110.11621</v>
      </c>
      <c r="C36" s="48">
        <v>98.318879999999993</v>
      </c>
      <c r="D36" s="48">
        <v>148.62282999999999</v>
      </c>
      <c r="E36" s="48">
        <v>122.13805000000001</v>
      </c>
      <c r="F36" s="48">
        <v>32.575409999999998</v>
      </c>
      <c r="G36" s="48">
        <v>49.704689999999999</v>
      </c>
      <c r="H36">
        <v>81.8</v>
      </c>
      <c r="I36" s="48">
        <v>4.008</v>
      </c>
      <c r="J36" s="49">
        <v>668.98189000000002</v>
      </c>
      <c r="K36" s="49">
        <v>8588.6311499999993</v>
      </c>
      <c r="L36" s="50">
        <v>0.13618371315594757</v>
      </c>
      <c r="M36" s="50">
        <v>-9.3259247996968497E-5</v>
      </c>
      <c r="N36" s="50">
        <v>4.0101729557844745E-2</v>
      </c>
      <c r="O36" s="50">
        <v>0.16592179741541924</v>
      </c>
      <c r="P36" s="50">
        <v>5.6956846203763734E-2</v>
      </c>
      <c r="Q36" s="50">
        <v>0.11708735158411399</v>
      </c>
      <c r="R36" s="47">
        <v>7.5994893102628941E-2</v>
      </c>
      <c r="S36" s="50">
        <v>0.15798414496036228</v>
      </c>
      <c r="T36" s="50">
        <v>6.6099215321186344E-2</v>
      </c>
      <c r="U36" s="50">
        <v>7.2847929471729911E-2</v>
      </c>
      <c r="V36" s="50">
        <v>3.1829040030162403E-2</v>
      </c>
      <c r="W36" s="50">
        <f t="shared" si="1"/>
        <v>7.5994893102628941E-2</v>
      </c>
    </row>
    <row r="37" spans="1:27" x14ac:dyDescent="0.45">
      <c r="A37" s="3">
        <v>45107</v>
      </c>
      <c r="B37" s="48">
        <v>96.917609999999996</v>
      </c>
      <c r="C37" s="48">
        <v>98.328050000000005</v>
      </c>
      <c r="D37" s="48">
        <v>142.89259000000001</v>
      </c>
      <c r="E37" s="48">
        <v>104.75664</v>
      </c>
      <c r="F37" s="48">
        <v>30.82</v>
      </c>
      <c r="G37" s="48">
        <v>44.494900000000001</v>
      </c>
      <c r="H37">
        <v>70.64</v>
      </c>
      <c r="I37" s="48">
        <v>3.7595000000000001</v>
      </c>
      <c r="J37" s="49">
        <v>623.55705</v>
      </c>
      <c r="K37" s="49">
        <v>8323.6959000000006</v>
      </c>
      <c r="L37" s="50">
        <v>4.9673003416828454E-2</v>
      </c>
      <c r="M37" s="50">
        <v>4.9618263570532006E-2</v>
      </c>
      <c r="N37" s="50">
        <v>4.4681953152102105E-2</v>
      </c>
      <c r="O37" s="50">
        <v>6.6641795208796095E-2</v>
      </c>
      <c r="P37" s="50">
        <v>4.6870377270752606E-2</v>
      </c>
      <c r="Q37" s="50">
        <v>6.3790008169409163E-2</v>
      </c>
      <c r="R37" s="47">
        <v>5.4320479474318395E-2</v>
      </c>
      <c r="S37" s="50">
        <v>3.7450433250110216E-2</v>
      </c>
      <c r="T37" s="50">
        <v>3.3681605718999252E-2</v>
      </c>
      <c r="U37" s="50">
        <v>6.4703769310952008E-2</v>
      </c>
      <c r="V37" s="50">
        <v>6.5671223561701408E-2</v>
      </c>
      <c r="W37" s="50">
        <f t="shared" si="1"/>
        <v>5.4320479474318395E-2</v>
      </c>
      <c r="X37" s="65"/>
      <c r="Y37" s="65" t="s">
        <v>419</v>
      </c>
      <c r="Z37" s="65" t="s">
        <v>420</v>
      </c>
    </row>
    <row r="38" spans="1:27" x14ac:dyDescent="0.45">
      <c r="A38" s="3">
        <v>45077</v>
      </c>
      <c r="B38" s="48">
        <v>92.331239999999994</v>
      </c>
      <c r="C38" s="48">
        <v>93.679820000000007</v>
      </c>
      <c r="D38" s="48">
        <v>136.78094999999999</v>
      </c>
      <c r="E38" s="48">
        <v>98.211640000000003</v>
      </c>
      <c r="F38" s="48">
        <v>29.44013</v>
      </c>
      <c r="G38" s="48">
        <v>41.826770000000003</v>
      </c>
      <c r="H38">
        <v>68.09</v>
      </c>
      <c r="I38" s="48">
        <v>3.637</v>
      </c>
      <c r="J38" s="49">
        <v>585.66247999999996</v>
      </c>
      <c r="K38" s="49">
        <v>7810.7541199999996</v>
      </c>
      <c r="L38" s="50">
        <v>-2.991576466049406E-2</v>
      </c>
      <c r="M38" s="50">
        <v>-0.12906317492968933</v>
      </c>
      <c r="N38" s="50">
        <v>-9.7787708772011039E-2</v>
      </c>
      <c r="O38" s="50">
        <v>-0.10195030167510311</v>
      </c>
      <c r="P38" s="50">
        <v>-0.15409460651493689</v>
      </c>
      <c r="Q38" s="50">
        <v>-0.13718889575578841</v>
      </c>
      <c r="R38" s="47">
        <v>-0.12401693752950575</v>
      </c>
      <c r="S38" s="50">
        <v>-0.11318051575931232</v>
      </c>
      <c r="T38" s="50">
        <v>-6.5158719958874123E-2</v>
      </c>
      <c r="U38" s="50">
        <v>-0.10612647992706437</v>
      </c>
      <c r="V38" s="50">
        <v>3.78659731939468E-3</v>
      </c>
      <c r="W38" s="50">
        <f t="shared" si="1"/>
        <v>-0.12401693752950575</v>
      </c>
      <c r="X38" t="s">
        <v>421</v>
      </c>
      <c r="Y38">
        <v>2.1000593924653334E-2</v>
      </c>
      <c r="Z38">
        <v>1.1356441367331131E-2</v>
      </c>
    </row>
    <row r="39" spans="1:27" x14ac:dyDescent="0.45">
      <c r="A39" s="3">
        <v>45044</v>
      </c>
      <c r="B39" s="48">
        <v>95.178579999999997</v>
      </c>
      <c r="C39" s="48">
        <v>107.56213</v>
      </c>
      <c r="D39" s="48">
        <v>151.60616999999999</v>
      </c>
      <c r="E39" s="48">
        <v>109.36103</v>
      </c>
      <c r="F39" s="48">
        <v>34.803100000000001</v>
      </c>
      <c r="G39" s="48">
        <v>48.477319999999999</v>
      </c>
      <c r="H39">
        <v>76.78</v>
      </c>
      <c r="I39" s="48">
        <v>3.8904999999999998</v>
      </c>
      <c r="J39" s="49">
        <v>655.19614000000001</v>
      </c>
      <c r="K39" s="49">
        <v>7781.2895099999996</v>
      </c>
      <c r="L39" s="50">
        <v>3.7093027804379952E-2</v>
      </c>
      <c r="M39" s="50">
        <v>7.9153693785869228E-2</v>
      </c>
      <c r="N39" s="50">
        <v>3.3218884237169899E-2</v>
      </c>
      <c r="O39" s="50">
        <v>4.9300541656963848E-2</v>
      </c>
      <c r="P39" s="50">
        <v>6.1676378004879018E-2</v>
      </c>
      <c r="Q39" s="50">
        <v>5.5720194291130065E-2</v>
      </c>
      <c r="R39" s="47">
        <v>5.5813938395202413E-2</v>
      </c>
      <c r="S39" s="50">
        <v>1.4668957314655673E-2</v>
      </c>
      <c r="T39" s="50">
        <v>-4.9822933203077291E-2</v>
      </c>
      <c r="U39" s="50">
        <v>3.196581778945351E-2</v>
      </c>
      <c r="V39" s="50">
        <v>1.531846262067349E-2</v>
      </c>
      <c r="W39" s="50">
        <f t="shared" si="1"/>
        <v>5.5813938395202413E-2</v>
      </c>
      <c r="X39" t="s">
        <v>422</v>
      </c>
      <c r="Y39">
        <v>8.8871117435050471E-3</v>
      </c>
      <c r="Z39">
        <v>1.9591091019017072E-3</v>
      </c>
    </row>
    <row r="40" spans="1:27" x14ac:dyDescent="0.45">
      <c r="A40" s="3">
        <v>45016</v>
      </c>
      <c r="B40" s="48">
        <v>91.774389999999997</v>
      </c>
      <c r="C40" s="48">
        <v>99.672669999999997</v>
      </c>
      <c r="D40" s="48">
        <v>146.7319</v>
      </c>
      <c r="E40" s="48">
        <v>104.22279</v>
      </c>
      <c r="F40" s="48">
        <v>32.781269999999999</v>
      </c>
      <c r="G40" s="48">
        <v>45.91872</v>
      </c>
      <c r="H40">
        <v>75.67</v>
      </c>
      <c r="I40" s="48">
        <v>4.0945</v>
      </c>
      <c r="J40" s="49">
        <v>634.90101000000004</v>
      </c>
      <c r="K40" s="49">
        <v>7663.8904899999998</v>
      </c>
      <c r="L40" s="50">
        <v>-3.4112906663270715E-2</v>
      </c>
      <c r="M40" s="50">
        <v>-2.2745768514282894E-3</v>
      </c>
      <c r="N40" s="50">
        <v>1.4865972059973531E-2</v>
      </c>
      <c r="O40" s="50">
        <v>2.3619018061157293E-2</v>
      </c>
      <c r="P40" s="50">
        <v>-4.1919232068684642E-2</v>
      </c>
      <c r="Q40" s="50">
        <v>-4.4370180355182809E-2</v>
      </c>
      <c r="R40" s="47">
        <v>-1.0015799830832983E-2</v>
      </c>
      <c r="S40" s="50">
        <v>-1.7910447761193993E-2</v>
      </c>
      <c r="T40" s="50">
        <v>1.2226433549333837E-3</v>
      </c>
      <c r="U40" s="50">
        <v>-4.8743836547500141E-3</v>
      </c>
      <c r="V40" s="50">
        <v>3.6215089666281619E-2</v>
      </c>
      <c r="W40" s="50">
        <f t="shared" si="1"/>
        <v>-1.0015799830832983E-2</v>
      </c>
      <c r="X40" t="s">
        <v>423</v>
      </c>
      <c r="Y40">
        <v>58</v>
      </c>
      <c r="Z40">
        <v>58</v>
      </c>
    </row>
    <row r="41" spans="1:27" x14ac:dyDescent="0.45">
      <c r="A41" s="3">
        <v>44985</v>
      </c>
      <c r="B41" s="48">
        <v>95.015649999999994</v>
      </c>
      <c r="C41" s="48">
        <v>99.899900000000002</v>
      </c>
      <c r="D41" s="48">
        <v>144.58253999999999</v>
      </c>
      <c r="E41" s="48">
        <v>101.81795</v>
      </c>
      <c r="F41" s="48">
        <v>34.215560000000004</v>
      </c>
      <c r="G41" s="48">
        <v>48.050739999999998</v>
      </c>
      <c r="H41">
        <v>77.05</v>
      </c>
      <c r="I41" s="48">
        <v>4.0895000000000001</v>
      </c>
      <c r="J41" s="49">
        <v>638.01092000000006</v>
      </c>
      <c r="K41" s="49">
        <v>7396.04216</v>
      </c>
      <c r="L41" s="50">
        <v>-0.14818960937389347</v>
      </c>
      <c r="M41" s="50">
        <v>-4.5291365612201484E-2</v>
      </c>
      <c r="N41" s="50">
        <v>-6.7973560773528452E-2</v>
      </c>
      <c r="O41" s="50">
        <v>-0.14540638289032537</v>
      </c>
      <c r="P41" s="50">
        <v>0.10358854737999179</v>
      </c>
      <c r="Q41" s="50">
        <v>-0.14737513585449713</v>
      </c>
      <c r="R41" s="47">
        <v>-6.0491579550112126E-2</v>
      </c>
      <c r="S41" s="50">
        <v>-2.3075947762140281E-2</v>
      </c>
      <c r="T41" s="50">
        <v>-3.2300047326076609E-2</v>
      </c>
      <c r="U41" s="50">
        <v>-7.6136396134927842E-2</v>
      </c>
      <c r="V41" s="50">
        <v>-2.4913313593583286E-2</v>
      </c>
      <c r="W41" s="50">
        <f t="shared" ref="W41:W67" si="13">AVERAGE(M41:Q41)</f>
        <v>-6.0491579550112126E-2</v>
      </c>
      <c r="X41" t="s">
        <v>430</v>
      </c>
      <c r="Y41">
        <v>0</v>
      </c>
    </row>
    <row r="42" spans="1:27" x14ac:dyDescent="0.45">
      <c r="A42" s="3">
        <v>44957</v>
      </c>
      <c r="B42" s="48">
        <v>111.54554</v>
      </c>
      <c r="C42" s="48">
        <v>104.63915</v>
      </c>
      <c r="D42" s="48">
        <v>155.12708000000001</v>
      </c>
      <c r="E42" s="48">
        <v>119.14194999999999</v>
      </c>
      <c r="F42" s="48">
        <v>31.003910000000001</v>
      </c>
      <c r="G42" s="48">
        <v>56.356250000000003</v>
      </c>
      <c r="H42">
        <v>78.87</v>
      </c>
      <c r="I42" s="48">
        <v>4.226</v>
      </c>
      <c r="J42" s="49">
        <v>690.58995000000004</v>
      </c>
      <c r="K42" s="49">
        <v>7585.0098900000003</v>
      </c>
      <c r="L42" s="50">
        <v>3.2796655734602442E-2</v>
      </c>
      <c r="M42" s="50">
        <v>5.1767927290724769E-2</v>
      </c>
      <c r="N42" s="50">
        <v>-3.0475201091277992E-2</v>
      </c>
      <c r="O42" s="50">
        <v>2.7576443613894552E-2</v>
      </c>
      <c r="P42" s="50">
        <v>3.7217356279040548E-2</v>
      </c>
      <c r="Q42" s="50">
        <v>2.8125556421505493E-2</v>
      </c>
      <c r="R42" s="47">
        <v>2.2842416502777473E-2</v>
      </c>
      <c r="S42" s="50">
        <v>-1.7318714178918504E-2</v>
      </c>
      <c r="T42" s="50">
        <v>0.10904080829287488</v>
      </c>
      <c r="U42" s="50">
        <v>2.713844568667656E-2</v>
      </c>
      <c r="V42" s="50">
        <v>6.2510071332126493E-2</v>
      </c>
      <c r="W42" s="50">
        <f t="shared" si="13"/>
        <v>2.2842416502777473E-2</v>
      </c>
      <c r="X42" t="s">
        <v>424</v>
      </c>
      <c r="Y42">
        <v>81</v>
      </c>
    </row>
    <row r="43" spans="1:27" x14ac:dyDescent="0.45">
      <c r="A43" s="3">
        <v>44925</v>
      </c>
      <c r="B43" s="48">
        <v>108.00339</v>
      </c>
      <c r="C43" s="48">
        <v>99.488820000000004</v>
      </c>
      <c r="D43" s="48">
        <v>160.00321</v>
      </c>
      <c r="E43" s="48">
        <v>115.94461</v>
      </c>
      <c r="F43" s="48">
        <v>29.89143</v>
      </c>
      <c r="G43" s="48">
        <v>54.81456</v>
      </c>
      <c r="H43">
        <v>80.260000000000005</v>
      </c>
      <c r="I43" s="48">
        <v>3.8105000000000002</v>
      </c>
      <c r="J43" s="49">
        <v>672.34358999999995</v>
      </c>
      <c r="K43" s="49">
        <v>7138.7651699999997</v>
      </c>
      <c r="L43" s="50">
        <v>-3.865132354865386E-2</v>
      </c>
      <c r="M43" s="50">
        <v>-9.3408249523608822E-3</v>
      </c>
      <c r="N43" s="50">
        <v>-2.0839004193662469E-2</v>
      </c>
      <c r="O43" s="50">
        <v>-7.6570186397338147E-2</v>
      </c>
      <c r="P43" s="50">
        <v>-2.7019505226142826E-2</v>
      </c>
      <c r="Q43" s="50">
        <v>-8.2806589187756519E-2</v>
      </c>
      <c r="R43" s="47">
        <v>-4.3315221991452171E-2</v>
      </c>
      <c r="S43" s="50">
        <v>-3.6002482929856638E-3</v>
      </c>
      <c r="T43" s="50">
        <v>2.1718729052151886E-2</v>
      </c>
      <c r="U43" s="50">
        <v>-3.1616834342750533E-2</v>
      </c>
      <c r="V43" s="50">
        <v>-5.8021777917540818E-2</v>
      </c>
      <c r="W43" s="50">
        <f t="shared" si="13"/>
        <v>-4.3315221991452171E-2</v>
      </c>
      <c r="X43" t="s">
        <v>431</v>
      </c>
      <c r="Y43">
        <v>0.70524310190849682</v>
      </c>
    </row>
    <row r="44" spans="1:27" x14ac:dyDescent="0.45">
      <c r="A44" s="3">
        <v>44895</v>
      </c>
      <c r="B44" s="48">
        <v>112.34569999999999</v>
      </c>
      <c r="C44" s="48">
        <v>100.42689</v>
      </c>
      <c r="D44" s="48">
        <v>163.40848</v>
      </c>
      <c r="E44" s="48">
        <v>125.55866</v>
      </c>
      <c r="F44" s="48">
        <v>30.721509999999999</v>
      </c>
      <c r="G44" s="48">
        <v>59.763359999999999</v>
      </c>
      <c r="H44">
        <v>80.55</v>
      </c>
      <c r="I44" s="48">
        <v>3.7294999999999998</v>
      </c>
      <c r="J44" s="49">
        <v>694.29499999999996</v>
      </c>
      <c r="K44" s="49">
        <v>7578.48218</v>
      </c>
      <c r="L44" s="50">
        <v>-1.6718095110061837E-2</v>
      </c>
      <c r="M44" s="50">
        <v>1.2871726004821893E-2</v>
      </c>
      <c r="N44" s="50">
        <v>2.1160803358132307E-2</v>
      </c>
      <c r="O44" s="50">
        <v>3.9627915880651621E-2</v>
      </c>
      <c r="P44" s="50">
        <v>9.0211643966869426E-2</v>
      </c>
      <c r="Q44" s="50">
        <v>-0.11415638144333107</v>
      </c>
      <c r="R44" s="47">
        <v>9.9431415534288366E-3</v>
      </c>
      <c r="S44" s="50">
        <v>-6.910897954466666E-2</v>
      </c>
      <c r="T44" s="50">
        <v>0.10503703703703704</v>
      </c>
      <c r="U44" s="50">
        <v>6.4687136374679266E-3</v>
      </c>
      <c r="V44" s="50">
        <v>5.5244222232585738E-2</v>
      </c>
      <c r="W44" s="50">
        <f t="shared" si="13"/>
        <v>9.9431415534288366E-3</v>
      </c>
      <c r="X44" t="s">
        <v>432</v>
      </c>
      <c r="Y44" s="73">
        <v>0.24134106262040189</v>
      </c>
      <c r="AA44" t="s">
        <v>453</v>
      </c>
    </row>
    <row r="45" spans="1:27" x14ac:dyDescent="0.45">
      <c r="A45" s="3">
        <v>44865</v>
      </c>
      <c r="B45" s="48">
        <v>114.25584000000001</v>
      </c>
      <c r="C45" s="48">
        <v>99.150649999999999</v>
      </c>
      <c r="D45" s="48">
        <v>160.02227999999999</v>
      </c>
      <c r="E45" s="48">
        <v>120.77269</v>
      </c>
      <c r="F45" s="48">
        <v>28.179400000000001</v>
      </c>
      <c r="G45" s="48">
        <v>67.464910000000003</v>
      </c>
      <c r="H45">
        <v>86.53</v>
      </c>
      <c r="I45" s="48">
        <v>3.375</v>
      </c>
      <c r="J45" s="49">
        <v>689.83267000000001</v>
      </c>
      <c r="K45" s="49">
        <v>7181.7329300000001</v>
      </c>
      <c r="L45" s="50">
        <v>0.23206961263446813</v>
      </c>
      <c r="M45" s="50">
        <v>0.26915593683318551</v>
      </c>
      <c r="N45" s="50">
        <v>0.2591354673389934</v>
      </c>
      <c r="O45" s="50">
        <v>0.22911334936766248</v>
      </c>
      <c r="P45" s="50">
        <v>0.1656744985279841</v>
      </c>
      <c r="Q45" s="50">
        <v>0.28637957409939507</v>
      </c>
      <c r="R45" s="47">
        <v>0.24189176523344411</v>
      </c>
      <c r="S45" s="50">
        <v>9.9212398373983879E-2</v>
      </c>
      <c r="T45" s="50">
        <v>-1.0989010989011061E-2</v>
      </c>
      <c r="U45" s="50">
        <v>0.24842778933798693</v>
      </c>
      <c r="V45" s="50">
        <v>8.0631279999767935E-2</v>
      </c>
      <c r="W45" s="50">
        <f t="shared" si="13"/>
        <v>0.24189176523344411</v>
      </c>
      <c r="X45" t="s">
        <v>433</v>
      </c>
      <c r="Y45">
        <v>1.6638839129226006</v>
      </c>
    </row>
    <row r="46" spans="1:27" x14ac:dyDescent="0.45">
      <c r="A46" s="3">
        <v>44834</v>
      </c>
      <c r="B46" s="48">
        <v>92.734889999999993</v>
      </c>
      <c r="C46" s="48">
        <v>78.1233</v>
      </c>
      <c r="D46" s="48">
        <v>127.08901</v>
      </c>
      <c r="E46" s="48">
        <v>98.260009999999994</v>
      </c>
      <c r="F46" s="48">
        <v>24.174330000000001</v>
      </c>
      <c r="G46" s="48">
        <v>52.445569999999996</v>
      </c>
      <c r="H46">
        <v>78.72</v>
      </c>
      <c r="I46" s="48">
        <v>3.4125000000000001</v>
      </c>
      <c r="J46" s="49">
        <v>552.56113000000005</v>
      </c>
      <c r="K46" s="49">
        <v>6645.8680800000002</v>
      </c>
      <c r="L46" s="50">
        <v>-5.1515643694706625E-2</v>
      </c>
      <c r="M46" s="50">
        <v>-8.6619897470048612E-2</v>
      </c>
      <c r="N46" s="50">
        <v>-9.1041334017554987E-2</v>
      </c>
      <c r="O46" s="50">
        <v>-6.7515177787997538E-2</v>
      </c>
      <c r="P46" s="50">
        <v>-7.4254328052766772E-2</v>
      </c>
      <c r="Q46" s="50">
        <v>-0.1289488771875279</v>
      </c>
      <c r="R46" s="47">
        <v>-8.9675922903179162E-2</v>
      </c>
      <c r="S46" s="50">
        <v>-0.12093802345058624</v>
      </c>
      <c r="T46" s="50">
        <v>-3.0126474349864929E-2</v>
      </c>
      <c r="U46" s="50">
        <v>-9.6826163468539894E-2</v>
      </c>
      <c r="V46" s="50">
        <v>-9.2487548148768806E-2</v>
      </c>
      <c r="W46" s="50">
        <f t="shared" si="13"/>
        <v>-8.9675922903179162E-2</v>
      </c>
      <c r="X46" t="s">
        <v>434</v>
      </c>
      <c r="Y46" s="73">
        <v>0.48268212524080378</v>
      </c>
    </row>
    <row r="47" spans="1:27" ht="14.65" thickBot="1" x14ac:dyDescent="0.5">
      <c r="A47" s="3">
        <v>44804</v>
      </c>
      <c r="B47" s="48">
        <v>97.771659999999997</v>
      </c>
      <c r="C47" s="48">
        <v>85.532079999999993</v>
      </c>
      <c r="D47" s="48">
        <v>139.81825000000001</v>
      </c>
      <c r="E47" s="48">
        <v>105.37438</v>
      </c>
      <c r="F47" s="48">
        <v>26.11336</v>
      </c>
      <c r="G47" s="48">
        <v>60.209519999999998</v>
      </c>
      <c r="H47">
        <v>89.55</v>
      </c>
      <c r="I47" s="48">
        <v>3.5185</v>
      </c>
      <c r="J47" s="49">
        <v>611.79930999999999</v>
      </c>
      <c r="K47" s="49">
        <v>7323.1701300000004</v>
      </c>
      <c r="L47" s="50">
        <v>0.12842237296836645</v>
      </c>
      <c r="M47" s="50">
        <v>-4.2425477173110293E-3</v>
      </c>
      <c r="N47" s="50">
        <v>-2.6155999753714965E-2</v>
      </c>
      <c r="O47" s="50">
        <v>9.0631125941596613E-2</v>
      </c>
      <c r="P47" s="50">
        <v>6.1946067726442733E-2</v>
      </c>
      <c r="Q47" s="50">
        <v>0.1236276461259449</v>
      </c>
      <c r="R47" s="47">
        <v>4.9161258464591649E-2</v>
      </c>
      <c r="S47" s="50">
        <v>-9.1969174609612736E-2</v>
      </c>
      <c r="T47" s="50">
        <v>-1.5391073177557058E-2</v>
      </c>
      <c r="U47" s="50">
        <v>2.1819392734288012E-2</v>
      </c>
      <c r="V47" s="50">
        <v>-4.1279406591634649E-2</v>
      </c>
      <c r="W47" s="50">
        <f t="shared" si="13"/>
        <v>4.9161258464591649E-2</v>
      </c>
      <c r="X47" s="64" t="s">
        <v>435</v>
      </c>
      <c r="Y47" s="64">
        <v>1.9896863234569038</v>
      </c>
      <c r="Z47" s="64"/>
    </row>
    <row r="48" spans="1:27" ht="14.65" thickBot="1" x14ac:dyDescent="0.5">
      <c r="A48" s="3">
        <v>44771</v>
      </c>
      <c r="B48" s="48">
        <v>86.644559999999998</v>
      </c>
      <c r="C48" s="48">
        <v>85.896500000000003</v>
      </c>
      <c r="D48" s="48">
        <v>143.57355999999999</v>
      </c>
      <c r="E48" s="48">
        <v>96.617800000000003</v>
      </c>
      <c r="F48" s="48">
        <v>24.5901</v>
      </c>
      <c r="G48" s="48">
        <v>53.584940000000003</v>
      </c>
      <c r="H48">
        <v>98.62</v>
      </c>
      <c r="I48" s="48">
        <v>3.5735000000000001</v>
      </c>
      <c r="J48" s="49">
        <v>598.73527000000001</v>
      </c>
      <c r="K48" s="49">
        <v>7638.4821400000001</v>
      </c>
      <c r="L48" s="50">
        <v>8.4845775077380781E-2</v>
      </c>
      <c r="M48" s="50">
        <v>0.13183085778618042</v>
      </c>
      <c r="N48" s="50">
        <v>0.1312335474090689</v>
      </c>
      <c r="O48" s="50">
        <v>1.4719757890040652E-2</v>
      </c>
      <c r="P48" s="50">
        <v>3.6331292568325235E-2</v>
      </c>
      <c r="Q48" s="50">
        <v>0.14044651239211392</v>
      </c>
      <c r="R48" s="47">
        <v>9.0912393609145825E-2</v>
      </c>
      <c r="S48" s="50">
        <v>-6.7511346444780629E-2</v>
      </c>
      <c r="T48" s="50">
        <v>-3.6792452830188616E-2</v>
      </c>
      <c r="U48" s="50">
        <v>9.6102578905857827E-2</v>
      </c>
      <c r="V48" s="50">
        <v>9.1877167906923463E-2</v>
      </c>
      <c r="W48" s="50">
        <f t="shared" si="13"/>
        <v>9.0912393609145825E-2</v>
      </c>
    </row>
    <row r="49" spans="1:26" x14ac:dyDescent="0.45">
      <c r="A49" s="3">
        <v>44742</v>
      </c>
      <c r="B49" s="48">
        <v>79.868089999999995</v>
      </c>
      <c r="C49" s="48">
        <v>75.891639999999995</v>
      </c>
      <c r="D49" s="48">
        <v>126.9177</v>
      </c>
      <c r="E49" s="48">
        <v>95.216239999999999</v>
      </c>
      <c r="F49" s="48">
        <v>23.72803</v>
      </c>
      <c r="G49" s="48">
        <v>46.985930000000003</v>
      </c>
      <c r="H49">
        <v>105.76</v>
      </c>
      <c r="I49" s="48">
        <v>3.71</v>
      </c>
      <c r="J49" s="49">
        <v>546.24018000000001</v>
      </c>
      <c r="K49" s="49">
        <v>6995.7339199999997</v>
      </c>
      <c r="L49" s="50">
        <v>-0.19449185461213614</v>
      </c>
      <c r="M49" s="50">
        <v>-0.10791660181990959</v>
      </c>
      <c r="N49" s="50">
        <v>-0.17107522609052095</v>
      </c>
      <c r="O49" s="50">
        <v>-0.18254741060250923</v>
      </c>
      <c r="P49" s="50">
        <v>-0.12418875539214902</v>
      </c>
      <c r="Q49" s="50">
        <v>-0.25201685599225554</v>
      </c>
      <c r="R49" s="47">
        <v>-0.16754896997946886</v>
      </c>
      <c r="S49" s="50">
        <v>-7.7701229615418144E-2</v>
      </c>
      <c r="T49" s="50">
        <v>-0.13640595903165742</v>
      </c>
      <c r="U49" s="50">
        <v>-0.16985360467974808</v>
      </c>
      <c r="V49" s="50">
        <v>-8.2956326460695284E-2</v>
      </c>
      <c r="W49" s="50">
        <f t="shared" si="13"/>
        <v>-0.16754896997946886</v>
      </c>
      <c r="Y49" s="65"/>
      <c r="Z49" s="65"/>
    </row>
    <row r="50" spans="1:26" x14ac:dyDescent="0.45">
      <c r="A50" s="3">
        <v>44712</v>
      </c>
      <c r="B50" s="48">
        <v>99.152429999999995</v>
      </c>
      <c r="C50" s="48">
        <v>85.072360000000003</v>
      </c>
      <c r="D50" s="48">
        <v>153.11124000000001</v>
      </c>
      <c r="E50" s="48">
        <v>116.47922</v>
      </c>
      <c r="F50" s="48">
        <v>27.09263</v>
      </c>
      <c r="G50" s="48">
        <v>62.816830000000003</v>
      </c>
      <c r="H50">
        <v>114.67</v>
      </c>
      <c r="I50" s="48">
        <v>4.2960000000000003</v>
      </c>
      <c r="J50" s="49">
        <v>658.00463999999999</v>
      </c>
      <c r="K50" s="49">
        <v>7628.5722500000002</v>
      </c>
      <c r="L50" s="50">
        <v>0.18157974830286894</v>
      </c>
      <c r="M50" s="50">
        <v>0.13763458805317574</v>
      </c>
      <c r="N50" s="50">
        <v>0.12399863368211439</v>
      </c>
      <c r="O50" s="50">
        <v>0.17300452195868488</v>
      </c>
      <c r="P50" s="50">
        <v>0.13925049724360949</v>
      </c>
      <c r="Q50" s="50">
        <v>0.28760532269854044</v>
      </c>
      <c r="R50" s="47">
        <v>0.172298712727225</v>
      </c>
      <c r="S50" s="50">
        <v>9.5329066768554904E-2</v>
      </c>
      <c r="T50" s="50">
        <v>-2.5518883974140816E-2</v>
      </c>
      <c r="U50" s="50">
        <v>0.14953241002539608</v>
      </c>
      <c r="V50" s="50">
        <v>1.3000041562383213E-3</v>
      </c>
      <c r="W50" s="50">
        <f t="shared" si="13"/>
        <v>0.172298712727225</v>
      </c>
      <c r="Y50" s="63"/>
    </row>
    <row r="51" spans="1:26" x14ac:dyDescent="0.45">
      <c r="A51" s="3">
        <v>44680</v>
      </c>
      <c r="B51" s="48">
        <v>83.915139999999994</v>
      </c>
      <c r="C51" s="48">
        <v>74.78004</v>
      </c>
      <c r="D51" s="48">
        <v>136.22013000000001</v>
      </c>
      <c r="E51" s="48">
        <v>99.299890000000005</v>
      </c>
      <c r="F51" s="48">
        <v>23.781099999999999</v>
      </c>
      <c r="G51" s="48">
        <v>48.785780000000003</v>
      </c>
      <c r="H51">
        <v>104.69</v>
      </c>
      <c r="I51" s="48">
        <v>4.4085000000000001</v>
      </c>
      <c r="J51" s="49">
        <v>572.41069000000005</v>
      </c>
      <c r="K51" s="49">
        <v>7618.66795</v>
      </c>
      <c r="L51" s="50">
        <v>-4.4800016755669803E-2</v>
      </c>
      <c r="M51" s="50">
        <v>3.2207393240163196E-2</v>
      </c>
      <c r="N51" s="50">
        <v>-3.7830828331369637E-2</v>
      </c>
      <c r="O51" s="50">
        <v>-1.4784597246374487E-2</v>
      </c>
      <c r="P51" s="50">
        <v>-2.3129161162266487E-2</v>
      </c>
      <c r="Q51" s="50">
        <v>-1.6235435082760041E-2</v>
      </c>
      <c r="R51" s="47">
        <v>-1.1954525716521492E-2</v>
      </c>
      <c r="S51" s="50">
        <v>4.397686477861984E-2</v>
      </c>
      <c r="T51" s="50">
        <v>-7.2090086297621592E-2</v>
      </c>
      <c r="U51" s="50">
        <v>-1.6353606369730156E-2</v>
      </c>
      <c r="V51" s="50">
        <v>-8.7428801835762626E-2</v>
      </c>
      <c r="W51" s="50">
        <f t="shared" si="13"/>
        <v>-1.1954525716521492E-2</v>
      </c>
      <c r="Y51" s="63"/>
    </row>
    <row r="52" spans="1:26" x14ac:dyDescent="0.45">
      <c r="A52" s="3">
        <v>44651</v>
      </c>
      <c r="B52" s="48">
        <v>87.850859999999997</v>
      </c>
      <c r="C52" s="48">
        <v>72.446719999999999</v>
      </c>
      <c r="D52" s="48">
        <v>141.57606999999999</v>
      </c>
      <c r="E52" s="48">
        <v>100.79003</v>
      </c>
      <c r="F52" s="48">
        <v>24.344159999999999</v>
      </c>
      <c r="G52" s="48">
        <v>49.590910000000001</v>
      </c>
      <c r="H52">
        <v>100.28</v>
      </c>
      <c r="I52" s="48">
        <v>4.7510000000000003</v>
      </c>
      <c r="J52" s="49">
        <v>581.92729999999995</v>
      </c>
      <c r="K52" s="49">
        <v>8348.5737499999996</v>
      </c>
      <c r="L52" s="50">
        <v>5.7335422869249308E-2</v>
      </c>
      <c r="M52" s="50">
        <v>5.3175179818360174E-2</v>
      </c>
      <c r="N52" s="50">
        <v>0.13076387704154935</v>
      </c>
      <c r="O52" s="50">
        <v>4.6473088756963987E-2</v>
      </c>
      <c r="P52" s="50">
        <v>6.5043635299195657E-3</v>
      </c>
      <c r="Q52" s="50">
        <v>9.6157056593633161E-3</v>
      </c>
      <c r="R52" s="47">
        <v>4.9306442961231281E-2</v>
      </c>
      <c r="S52" s="50">
        <v>4.7638946928541648E-2</v>
      </c>
      <c r="T52" s="50">
        <v>6.656190369289483E-2</v>
      </c>
      <c r="U52" s="50">
        <v>8.7824459876283401E-2</v>
      </c>
      <c r="V52" s="50">
        <v>3.6722769171593672E-2</v>
      </c>
      <c r="W52" s="50">
        <f t="shared" si="13"/>
        <v>4.9306442961231281E-2</v>
      </c>
      <c r="Y52" s="63"/>
    </row>
    <row r="53" spans="1:26" x14ac:dyDescent="0.45">
      <c r="A53" s="3">
        <v>44620</v>
      </c>
      <c r="B53" s="48">
        <v>83.087029999999999</v>
      </c>
      <c r="C53" s="48">
        <v>68.78886</v>
      </c>
      <c r="D53" s="48">
        <v>125.20392</v>
      </c>
      <c r="E53" s="48">
        <v>96.314019999999999</v>
      </c>
      <c r="F53" s="48">
        <v>24.18684</v>
      </c>
      <c r="G53" s="48">
        <v>49.118600000000001</v>
      </c>
      <c r="H53">
        <v>95.72</v>
      </c>
      <c r="I53" s="48">
        <v>4.4545000000000003</v>
      </c>
      <c r="J53" s="49">
        <v>534.94596000000001</v>
      </c>
      <c r="K53" s="49">
        <v>8052.85077</v>
      </c>
      <c r="L53" s="50">
        <v>7.5797282456277149E-2</v>
      </c>
      <c r="M53" s="50">
        <v>4.3830373159988945E-2</v>
      </c>
      <c r="N53" s="50">
        <v>0.10798644723676198</v>
      </c>
      <c r="O53" s="50">
        <v>3.0857541134379662E-2</v>
      </c>
      <c r="P53" s="50">
        <v>-4.582681091726204E-2</v>
      </c>
      <c r="Q53" s="50">
        <v>0.17757565455965163</v>
      </c>
      <c r="R53" s="47">
        <v>6.2884641034704036E-2</v>
      </c>
      <c r="S53" s="50">
        <v>8.5876347135564357E-2</v>
      </c>
      <c r="T53" s="50">
        <v>3.0061278760550536E-2</v>
      </c>
      <c r="U53" s="50">
        <v>6.3665583321534047E-2</v>
      </c>
      <c r="V53" s="50">
        <v>-3.0367273159837449E-2</v>
      </c>
      <c r="W53" s="50">
        <f t="shared" si="13"/>
        <v>6.2884641034704036E-2</v>
      </c>
      <c r="Y53" s="63"/>
    </row>
    <row r="54" spans="1:26" x14ac:dyDescent="0.45">
      <c r="A54" s="3">
        <v>44592</v>
      </c>
      <c r="B54" s="48">
        <v>77.232979999999998</v>
      </c>
      <c r="C54" s="48">
        <v>65.900419999999997</v>
      </c>
      <c r="D54" s="48">
        <v>113.00131</v>
      </c>
      <c r="E54" s="48">
        <v>93.430970000000002</v>
      </c>
      <c r="F54" s="48">
        <v>25.348479999999999</v>
      </c>
      <c r="G54" s="48">
        <v>41.71163</v>
      </c>
      <c r="H54">
        <v>88.15</v>
      </c>
      <c r="I54" s="48">
        <v>4.3244999999999996</v>
      </c>
      <c r="J54" s="49">
        <v>502.92683</v>
      </c>
      <c r="K54" s="49">
        <v>8305.0525699999998</v>
      </c>
      <c r="L54" s="50">
        <v>0.22776391216016423</v>
      </c>
      <c r="M54" s="50">
        <v>0.24137929735365615</v>
      </c>
      <c r="N54" s="50">
        <v>0.1191308950031682</v>
      </c>
      <c r="O54" s="50">
        <v>0.26420740309354818</v>
      </c>
      <c r="P54" s="50">
        <v>0.16109658062890775</v>
      </c>
      <c r="Q54" s="50">
        <v>0.14801366443421471</v>
      </c>
      <c r="R54" s="47">
        <v>0.18676556810269901</v>
      </c>
      <c r="S54" s="50">
        <v>0.17205158888445693</v>
      </c>
      <c r="T54" s="50">
        <v>-3.1141480900638618E-2</v>
      </c>
      <c r="U54" s="50">
        <v>0.18969347050436713</v>
      </c>
      <c r="V54" s="50">
        <v>-5.19988554656583E-2</v>
      </c>
      <c r="W54" s="50">
        <f t="shared" si="13"/>
        <v>0.18676556810269901</v>
      </c>
      <c r="Y54" s="63"/>
    </row>
    <row r="55" spans="1:26" x14ac:dyDescent="0.45">
      <c r="A55" s="3">
        <v>44561</v>
      </c>
      <c r="B55" s="48">
        <v>62.9054</v>
      </c>
      <c r="C55" s="48">
        <v>53.086449999999999</v>
      </c>
      <c r="D55" s="48">
        <v>100.97238</v>
      </c>
      <c r="E55" s="48">
        <v>73.904780000000002</v>
      </c>
      <c r="F55" s="48">
        <v>21.831499999999998</v>
      </c>
      <c r="G55" s="48">
        <v>36.333739999999999</v>
      </c>
      <c r="H55">
        <v>75.209999999999994</v>
      </c>
      <c r="I55" s="48">
        <v>4.4634999999999998</v>
      </c>
      <c r="J55" s="49">
        <v>422.73647999999997</v>
      </c>
      <c r="K55" s="49">
        <v>8760.5933999999997</v>
      </c>
      <c r="L55" s="50">
        <v>3.2087283790942944E-2</v>
      </c>
      <c r="M55" s="50">
        <v>2.2560239066647725E-2</v>
      </c>
      <c r="N55" s="50">
        <v>3.9691664602159671E-2</v>
      </c>
      <c r="O55" s="50">
        <v>4.4771279158401622E-2</v>
      </c>
      <c r="P55" s="50">
        <v>2.5808855556959998E-2</v>
      </c>
      <c r="Q55" s="50">
        <v>6.7275809965150479E-2</v>
      </c>
      <c r="R55" s="47">
        <v>4.00215696698639E-2</v>
      </c>
      <c r="S55" s="50">
        <v>0.13644605621033534</v>
      </c>
      <c r="T55" s="50">
        <v>4.3361383824217059E-2</v>
      </c>
      <c r="U55" s="50">
        <v>2.9309086166846354E-2</v>
      </c>
      <c r="V55" s="50">
        <v>4.4455113564633386E-2</v>
      </c>
      <c r="W55" s="50">
        <f t="shared" si="13"/>
        <v>4.00215696698639E-2</v>
      </c>
      <c r="Y55" s="63"/>
    </row>
    <row r="56" spans="1:26" x14ac:dyDescent="0.45">
      <c r="A56" s="3">
        <v>44530</v>
      </c>
      <c r="B56" s="48">
        <v>60.949689999999997</v>
      </c>
      <c r="C56" s="48">
        <v>51.915230000000001</v>
      </c>
      <c r="D56" s="48">
        <v>97.117620000000002</v>
      </c>
      <c r="E56" s="48">
        <v>70.737759999999994</v>
      </c>
      <c r="F56" s="48">
        <v>21.282229999999998</v>
      </c>
      <c r="G56" s="48">
        <v>34.043439999999997</v>
      </c>
      <c r="H56">
        <v>66.180000000000007</v>
      </c>
      <c r="I56" s="48">
        <v>4.2779999999999996</v>
      </c>
      <c r="J56" s="49">
        <v>410.69925999999998</v>
      </c>
      <c r="K56" s="49">
        <v>8387.7165100000002</v>
      </c>
      <c r="L56" s="50">
        <v>-5.8531378714050897E-2</v>
      </c>
      <c r="M56" s="50">
        <v>-5.9342428641523615E-2</v>
      </c>
      <c r="N56" s="50">
        <v>-2.7555303910820061E-3</v>
      </c>
      <c r="O56" s="50">
        <v>-5.9052635261476416E-2</v>
      </c>
      <c r="P56" s="50">
        <v>-8.7863252112523993E-2</v>
      </c>
      <c r="Q56" s="50">
        <v>4.9401017174961259E-2</v>
      </c>
      <c r="R56" s="47">
        <v>-3.1922565846328951E-2</v>
      </c>
      <c r="S56" s="50">
        <v>-0.20808902716285738</v>
      </c>
      <c r="T56" s="50">
        <v>-2.0604395604395753E-2</v>
      </c>
      <c r="U56" s="50">
        <v>-5.8449095739255608E-2</v>
      </c>
      <c r="V56" s="50">
        <v>-7.3502623357307728E-3</v>
      </c>
      <c r="W56" s="50">
        <f t="shared" si="13"/>
        <v>-3.1922565846328951E-2</v>
      </c>
      <c r="Y56" s="63"/>
    </row>
    <row r="57" spans="1:26" x14ac:dyDescent="0.45">
      <c r="A57" s="3">
        <v>44498</v>
      </c>
      <c r="B57" s="48">
        <v>64.738950000000003</v>
      </c>
      <c r="C57" s="48">
        <v>55.190359999999998</v>
      </c>
      <c r="D57" s="48">
        <v>97.38597</v>
      </c>
      <c r="E57" s="48">
        <v>75.177170000000004</v>
      </c>
      <c r="F57" s="48">
        <v>23.332280000000001</v>
      </c>
      <c r="G57" s="48">
        <v>32.440829999999998</v>
      </c>
      <c r="H57">
        <v>83.57</v>
      </c>
      <c r="I57" s="48">
        <v>4.3680000000000003</v>
      </c>
      <c r="J57" s="49">
        <v>436.19443000000001</v>
      </c>
      <c r="K57" s="49">
        <v>8449.8249400000004</v>
      </c>
      <c r="L57" s="50">
        <v>0.1057622179825064</v>
      </c>
      <c r="M57" s="50">
        <v>9.6055892726637282E-2</v>
      </c>
      <c r="N57" s="50">
        <v>0.12853619356882739</v>
      </c>
      <c r="O57" s="50">
        <v>0.15714205015179039</v>
      </c>
      <c r="P57" s="50">
        <v>5.3420777224857607E-2</v>
      </c>
      <c r="Q57" s="50">
        <v>0.128696263916114</v>
      </c>
      <c r="R57" s="47">
        <v>0.11277023551764534</v>
      </c>
      <c r="S57" s="50">
        <v>0.11382113821138207</v>
      </c>
      <c r="T57" s="50">
        <v>6.8231841526045445E-2</v>
      </c>
      <c r="U57" s="50">
        <v>0.10183475258467167</v>
      </c>
      <c r="V57" s="50">
        <v>6.9786201355717115E-2</v>
      </c>
      <c r="W57" s="50">
        <f t="shared" si="13"/>
        <v>0.11277023551764534</v>
      </c>
      <c r="Y57" s="63"/>
    </row>
    <row r="58" spans="1:26" x14ac:dyDescent="0.45">
      <c r="A58" s="3">
        <v>44469</v>
      </c>
      <c r="B58" s="48">
        <v>58.546900000000001</v>
      </c>
      <c r="C58" s="48">
        <v>50.3536</v>
      </c>
      <c r="D58" s="48">
        <v>86.294060000000002</v>
      </c>
      <c r="E58" s="48">
        <v>64.967969999999994</v>
      </c>
      <c r="F58" s="48">
        <v>22.149059999999999</v>
      </c>
      <c r="G58" s="48">
        <v>28.741859999999999</v>
      </c>
      <c r="H58">
        <v>75.03</v>
      </c>
      <c r="I58" s="48">
        <v>4.0890000000000004</v>
      </c>
      <c r="J58" s="49">
        <v>395.88008000000002</v>
      </c>
      <c r="K58" s="49">
        <v>7898.6108899999999</v>
      </c>
      <c r="L58" s="50">
        <v>0.22042145228879173</v>
      </c>
      <c r="M58" s="50">
        <v>7.8870161956079876E-2</v>
      </c>
      <c r="N58" s="50">
        <v>4.8362097850138674E-2</v>
      </c>
      <c r="O58" s="50">
        <v>0.18883289266884207</v>
      </c>
      <c r="P58" s="50">
        <v>0.11733470815895775</v>
      </c>
      <c r="Q58" s="50">
        <v>0.2227519241993916</v>
      </c>
      <c r="R58" s="47">
        <v>0.131230356966682</v>
      </c>
      <c r="S58" s="50">
        <v>9.532846715328458E-2</v>
      </c>
      <c r="T58" s="50">
        <v>-6.2155963302752304E-2</v>
      </c>
      <c r="U58" s="50">
        <v>9.281729223736046E-2</v>
      </c>
      <c r="V58" s="50">
        <v>-4.6827788823446737E-2</v>
      </c>
      <c r="W58" s="50">
        <f t="shared" si="13"/>
        <v>0.131230356966682</v>
      </c>
      <c r="Y58" s="63"/>
    </row>
    <row r="59" spans="1:26" x14ac:dyDescent="0.45">
      <c r="A59" s="3">
        <v>44439</v>
      </c>
      <c r="B59" s="48">
        <v>47.97269</v>
      </c>
      <c r="C59" s="48">
        <v>46.672530000000002</v>
      </c>
      <c r="D59" s="48">
        <v>82.313220000000001</v>
      </c>
      <c r="E59" s="48">
        <v>54.648530000000001</v>
      </c>
      <c r="F59" s="48">
        <v>19.823119999999999</v>
      </c>
      <c r="G59" s="48">
        <v>23.505880000000001</v>
      </c>
      <c r="H59">
        <v>68.5</v>
      </c>
      <c r="I59" s="48">
        <v>4.3600000000000003</v>
      </c>
      <c r="J59" s="49">
        <v>362.25641999999999</v>
      </c>
      <c r="K59" s="49">
        <v>8286.6566999999995</v>
      </c>
      <c r="L59" s="50">
        <v>-9.454154566868489E-3</v>
      </c>
      <c r="M59" s="50">
        <v>-3.8645113051430702E-2</v>
      </c>
      <c r="N59" s="50">
        <v>-3.6689224179547231E-2</v>
      </c>
      <c r="O59" s="50">
        <v>-7.3291316887613034E-2</v>
      </c>
      <c r="P59" s="50">
        <v>2.4254264427853833E-2</v>
      </c>
      <c r="Q59" s="50">
        <v>0.14357578210746746</v>
      </c>
      <c r="R59" s="47">
        <v>3.8408784833460661E-3</v>
      </c>
      <c r="S59" s="50">
        <v>-7.36984448951995E-2</v>
      </c>
      <c r="T59" s="50">
        <v>-2.7328499721137711E-2</v>
      </c>
      <c r="U59" s="50">
        <v>-2.8768740811671689E-2</v>
      </c>
      <c r="V59" s="50">
        <v>2.9980599057431556E-2</v>
      </c>
      <c r="W59" s="50">
        <f t="shared" si="13"/>
        <v>3.8408784833460661E-3</v>
      </c>
      <c r="Y59" s="63"/>
    </row>
    <row r="60" spans="1:26" x14ac:dyDescent="0.45">
      <c r="A60" s="3">
        <v>44407</v>
      </c>
      <c r="B60" s="48">
        <v>48.43056</v>
      </c>
      <c r="C60" s="48">
        <v>48.548699999999997</v>
      </c>
      <c r="D60" s="48">
        <v>85.448250000000002</v>
      </c>
      <c r="E60" s="48">
        <v>58.970559999999999</v>
      </c>
      <c r="F60" s="48">
        <v>19.35371</v>
      </c>
      <c r="G60" s="48">
        <v>20.55472</v>
      </c>
      <c r="H60">
        <v>73.95</v>
      </c>
      <c r="I60" s="48">
        <v>4.4824999999999999</v>
      </c>
      <c r="J60" s="49">
        <v>372.98678000000001</v>
      </c>
      <c r="K60" s="49">
        <v>8045.44931</v>
      </c>
      <c r="L60" s="50">
        <v>-7.2436455066644756E-2</v>
      </c>
      <c r="M60" s="50">
        <v>-8.7349479126719531E-2</v>
      </c>
      <c r="N60" s="50">
        <v>-2.7973991259208408E-2</v>
      </c>
      <c r="O60" s="50">
        <v>-0.1110348664884131</v>
      </c>
      <c r="P60" s="50">
        <v>-8.4784275115491359E-2</v>
      </c>
      <c r="Q60" s="50">
        <v>-0.11476550764184612</v>
      </c>
      <c r="R60" s="47">
        <v>-8.5181623926335701E-2</v>
      </c>
      <c r="S60" s="50">
        <v>6.5332788893426308E-3</v>
      </c>
      <c r="T60" s="50">
        <v>4.511541151783649E-2</v>
      </c>
      <c r="U60" s="50">
        <v>-8.4395553961796321E-2</v>
      </c>
      <c r="V60" s="50">
        <v>2.3453291999374626E-2</v>
      </c>
      <c r="W60" s="50">
        <f t="shared" si="13"/>
        <v>-8.5181623926335701E-2</v>
      </c>
      <c r="Y60" s="63"/>
    </row>
    <row r="61" spans="1:26" x14ac:dyDescent="0.45">
      <c r="A61" s="3">
        <v>44377</v>
      </c>
      <c r="B61" s="48">
        <v>52.21266</v>
      </c>
      <c r="C61" s="48">
        <v>53.195279999999997</v>
      </c>
      <c r="D61" s="48">
        <v>87.90737</v>
      </c>
      <c r="E61" s="48">
        <v>66.336190000000002</v>
      </c>
      <c r="F61" s="48">
        <v>21.146609999999999</v>
      </c>
      <c r="G61" s="48">
        <v>23.219519999999999</v>
      </c>
      <c r="H61">
        <v>73.47</v>
      </c>
      <c r="I61" s="48">
        <v>4.2889999999999997</v>
      </c>
      <c r="J61" s="49">
        <v>407.36671999999999</v>
      </c>
      <c r="K61" s="49">
        <v>7861.0810799999999</v>
      </c>
      <c r="L61" s="50">
        <v>9.2572663052564952E-2</v>
      </c>
      <c r="M61" s="50">
        <v>8.0692208208544836E-2</v>
      </c>
      <c r="N61" s="50">
        <v>9.1531355053906527E-3</v>
      </c>
      <c r="O61" s="50">
        <v>3.8585982761676352E-2</v>
      </c>
      <c r="P61" s="50">
        <v>7.2437915971443889E-3</v>
      </c>
      <c r="Q61" s="50">
        <v>0.11188409350362782</v>
      </c>
      <c r="R61" s="47">
        <v>4.9511842315276812E-2</v>
      </c>
      <c r="S61" s="50">
        <v>0.10781061519903501</v>
      </c>
      <c r="T61" s="50">
        <v>-8.3057188669161008E-2</v>
      </c>
      <c r="U61" s="50">
        <v>4.5021506139592438E-2</v>
      </c>
      <c r="V61" s="50">
        <v>2.3005150965854648E-2</v>
      </c>
      <c r="W61" s="50">
        <f t="shared" si="13"/>
        <v>4.9511842315276812E-2</v>
      </c>
      <c r="Y61" s="63"/>
    </row>
    <row r="62" spans="1:26" x14ac:dyDescent="0.45">
      <c r="A62" s="3">
        <v>44344</v>
      </c>
      <c r="B62" s="48">
        <v>47.788730000000001</v>
      </c>
      <c r="C62" s="48">
        <v>49.22334</v>
      </c>
      <c r="D62" s="48">
        <v>87.110039999999998</v>
      </c>
      <c r="E62" s="48">
        <v>63.871639999999999</v>
      </c>
      <c r="F62" s="48">
        <v>20.994530000000001</v>
      </c>
      <c r="G62" s="48">
        <v>20.883040000000001</v>
      </c>
      <c r="H62">
        <v>66.319999999999993</v>
      </c>
      <c r="I62" s="48">
        <v>4.6775000000000002</v>
      </c>
      <c r="J62" s="49">
        <v>389.81659000000002</v>
      </c>
      <c r="K62" s="49">
        <v>7684.3025399999997</v>
      </c>
      <c r="L62" s="50">
        <v>9.8430391128841332E-2</v>
      </c>
      <c r="M62" s="50">
        <v>3.4596953884109993E-2</v>
      </c>
      <c r="N62" s="50">
        <v>1.9311801614937396E-2</v>
      </c>
      <c r="O62" s="50">
        <v>9.098312871306069E-2</v>
      </c>
      <c r="P62" s="50">
        <v>5.4737028252714426E-2</v>
      </c>
      <c r="Q62" s="50">
        <v>0.13601345610066851</v>
      </c>
      <c r="R62" s="47">
        <v>6.71284737130982E-2</v>
      </c>
      <c r="S62" s="50">
        <v>4.3095312991506596E-2</v>
      </c>
      <c r="T62" s="50">
        <v>4.6888988361683204E-2</v>
      </c>
      <c r="U62" s="50">
        <v>4.9020120199995354E-2</v>
      </c>
      <c r="V62" s="50">
        <v>6.5344831542428761E-3</v>
      </c>
      <c r="W62" s="50">
        <f t="shared" si="13"/>
        <v>6.71284737130982E-2</v>
      </c>
      <c r="Y62" s="63"/>
    </row>
    <row r="63" spans="1:26" x14ac:dyDescent="0.45">
      <c r="A63" s="3">
        <v>44316</v>
      </c>
      <c r="B63" s="48">
        <v>43.50638</v>
      </c>
      <c r="C63" s="48">
        <v>47.577309999999997</v>
      </c>
      <c r="D63" s="48">
        <v>85.45966</v>
      </c>
      <c r="E63" s="48">
        <v>58.545029999999997</v>
      </c>
      <c r="F63" s="48">
        <v>19.904990000000002</v>
      </c>
      <c r="G63" s="48">
        <v>18.382739999999998</v>
      </c>
      <c r="H63">
        <v>63.58</v>
      </c>
      <c r="I63" s="48">
        <v>4.468</v>
      </c>
      <c r="J63" s="49">
        <v>371.60068000000001</v>
      </c>
      <c r="K63" s="49">
        <v>7634.4155799999999</v>
      </c>
      <c r="L63" s="50">
        <v>-3.4547908471698197E-2</v>
      </c>
      <c r="M63" s="50">
        <v>2.5255288562757716E-2</v>
      </c>
      <c r="N63" s="50">
        <v>-1.641373306425975E-2</v>
      </c>
      <c r="O63" s="50">
        <v>2.0986141835820815E-2</v>
      </c>
      <c r="P63" s="50">
        <v>3.3264864253170545E-2</v>
      </c>
      <c r="Q63" s="50">
        <v>7.0023096946639329E-2</v>
      </c>
      <c r="R63" s="47">
        <v>2.6623131706825731E-2</v>
      </c>
      <c r="S63" s="50">
        <v>7.4712643678160884E-2</v>
      </c>
      <c r="T63" s="50">
        <v>0.11825804029533238</v>
      </c>
      <c r="U63" s="50">
        <v>4.6338516434276666E-3</v>
      </c>
      <c r="V63" s="50">
        <v>5.3085846562554773E-2</v>
      </c>
      <c r="W63" s="50">
        <f t="shared" si="13"/>
        <v>2.6623131706825731E-2</v>
      </c>
      <c r="Y63" s="63"/>
    </row>
    <row r="64" spans="1:26" x14ac:dyDescent="0.45">
      <c r="A64" s="3">
        <v>44286</v>
      </c>
      <c r="B64" s="48">
        <v>45.063220000000001</v>
      </c>
      <c r="C64" s="48">
        <v>46.405329999999999</v>
      </c>
      <c r="D64" s="48">
        <v>86.885779999999997</v>
      </c>
      <c r="E64" s="48">
        <v>57.341650000000001</v>
      </c>
      <c r="F64" s="48">
        <v>19.26417</v>
      </c>
      <c r="G64" s="48">
        <v>17.179760000000002</v>
      </c>
      <c r="H64">
        <v>59.16</v>
      </c>
      <c r="I64" s="48">
        <v>3.9954999999999998</v>
      </c>
      <c r="J64" s="49">
        <v>369.88668000000001</v>
      </c>
      <c r="K64" s="49">
        <v>7249.5662199999997</v>
      </c>
      <c r="L64" s="50">
        <v>1.8458178961459293E-2</v>
      </c>
      <c r="M64" s="50">
        <v>2.6852880389805156E-2</v>
      </c>
      <c r="N64" s="50">
        <v>4.7900003606137664E-2</v>
      </c>
      <c r="O64" s="50">
        <v>0.12345106241831272</v>
      </c>
      <c r="P64" s="50">
        <v>-2.4581029886638905E-3</v>
      </c>
      <c r="Q64" s="50">
        <v>2.6894491393212983E-2</v>
      </c>
      <c r="R64" s="47">
        <v>4.4528066963760923E-2</v>
      </c>
      <c r="S64" s="50">
        <v>-3.8048780487804912E-2</v>
      </c>
      <c r="T64" s="50">
        <v>-2.3701893708002575E-2</v>
      </c>
      <c r="U64" s="50">
        <v>2.6920814335609E-2</v>
      </c>
      <c r="V64" s="50">
        <v>4.3388582903555406E-2</v>
      </c>
      <c r="W64" s="50">
        <f t="shared" si="13"/>
        <v>4.4528066963760923E-2</v>
      </c>
      <c r="Y64" s="63"/>
    </row>
    <row r="65" spans="1:35" x14ac:dyDescent="0.45">
      <c r="A65" s="3">
        <v>44253</v>
      </c>
      <c r="B65" s="48">
        <v>44.246510000000001</v>
      </c>
      <c r="C65" s="48">
        <v>45.191800000000001</v>
      </c>
      <c r="D65" s="48">
        <v>82.914190000000005</v>
      </c>
      <c r="E65" s="48">
        <v>51.04063</v>
      </c>
      <c r="F65" s="48">
        <v>19.311640000000001</v>
      </c>
      <c r="G65" s="48">
        <v>16.72982</v>
      </c>
      <c r="H65">
        <v>61.5</v>
      </c>
      <c r="I65" s="48">
        <v>4.0925000000000002</v>
      </c>
      <c r="J65" s="49">
        <v>360.19006999999999</v>
      </c>
      <c r="K65" s="49">
        <v>6948.0980900000004</v>
      </c>
      <c r="L65" s="50">
        <v>0.31120817286435476</v>
      </c>
      <c r="M65" s="50">
        <v>0.23312501927107454</v>
      </c>
      <c r="N65" s="50">
        <v>0.19029981234093762</v>
      </c>
      <c r="O65" s="50">
        <v>0.26687587400697654</v>
      </c>
      <c r="P65" s="50">
        <v>0.11319499606293304</v>
      </c>
      <c r="Q65" s="50">
        <v>0.30862741263664284</v>
      </c>
      <c r="R65" s="47">
        <v>0.22242462286371292</v>
      </c>
      <c r="S65" s="50">
        <v>0.17816091954022983</v>
      </c>
      <c r="T65" s="50">
        <v>0.15087176602924646</v>
      </c>
      <c r="U65" s="50">
        <v>0.2147435007829106</v>
      </c>
      <c r="V65" s="50">
        <v>2.7129436030761456E-2</v>
      </c>
      <c r="W65" s="50">
        <f t="shared" si="13"/>
        <v>0.22242462286371292</v>
      </c>
      <c r="Y65" s="63"/>
    </row>
    <row r="66" spans="1:35" x14ac:dyDescent="0.45">
      <c r="A66" s="3">
        <v>44225</v>
      </c>
      <c r="B66" s="48">
        <v>33.744840000000003</v>
      </c>
      <c r="C66" s="48">
        <v>36.64819</v>
      </c>
      <c r="D66" s="48">
        <v>69.658240000000006</v>
      </c>
      <c r="E66" s="48">
        <v>40.288580000000003</v>
      </c>
      <c r="F66" s="48">
        <v>17.347940000000001</v>
      </c>
      <c r="G66" s="48">
        <v>12.78425</v>
      </c>
      <c r="H66">
        <v>52.2</v>
      </c>
      <c r="I66" s="48">
        <v>3.556</v>
      </c>
      <c r="J66" s="49">
        <v>296.51533000000001</v>
      </c>
      <c r="K66" s="49">
        <v>6764.57888</v>
      </c>
      <c r="L66" s="50">
        <v>1.0002634145647171E-3</v>
      </c>
      <c r="M66" s="50">
        <v>8.7821672733835232E-2</v>
      </c>
      <c r="N66" s="50">
        <v>8.881013193559939E-3</v>
      </c>
      <c r="O66" s="50">
        <v>2.8233389897946326E-2</v>
      </c>
      <c r="P66" s="50">
        <v>8.2845994773009357E-2</v>
      </c>
      <c r="Q66" s="50">
        <v>4.1112724471289663E-2</v>
      </c>
      <c r="R66" s="47">
        <v>4.9778959013928106E-2</v>
      </c>
      <c r="S66" s="50">
        <v>7.5845012366034581E-2</v>
      </c>
      <c r="T66" s="50">
        <v>1.0514350667803374E-2</v>
      </c>
      <c r="U66" s="50">
        <v>3.6254558061154407E-2</v>
      </c>
      <c r="V66" s="50">
        <v>-1.04080482202632E-2</v>
      </c>
      <c r="W66" s="50">
        <f t="shared" si="13"/>
        <v>4.9778959013928106E-2</v>
      </c>
      <c r="Y66" s="63"/>
    </row>
    <row r="67" spans="1:35" x14ac:dyDescent="0.45">
      <c r="A67" s="3">
        <v>44196</v>
      </c>
      <c r="B67" s="48">
        <v>33.711120000000001</v>
      </c>
      <c r="C67" s="48">
        <v>33.689520000000002</v>
      </c>
      <c r="D67" s="48">
        <v>69.045050000000003</v>
      </c>
      <c r="E67" s="48">
        <v>39.18233</v>
      </c>
      <c r="F67" s="48">
        <v>16.020689999999998</v>
      </c>
      <c r="G67" s="48">
        <v>12.27941</v>
      </c>
      <c r="H67">
        <v>48.52</v>
      </c>
      <c r="I67" s="48">
        <v>3.5190000000000001</v>
      </c>
      <c r="J67" s="49">
        <v>286.14139999999998</v>
      </c>
      <c r="K67" s="49">
        <v>6835.7254400000002</v>
      </c>
      <c r="L67" s="50">
        <v>1.0869408767493871E-2</v>
      </c>
      <c r="M67" s="50">
        <v>8.1038273599956856E-2</v>
      </c>
      <c r="N67" s="50">
        <v>-3.1314563198874934E-2</v>
      </c>
      <c r="O67" s="50">
        <v>6.3779826417094121E-2</v>
      </c>
      <c r="P67" s="50">
        <v>4.9080031798459434E-2</v>
      </c>
      <c r="Q67" s="50">
        <v>0.13806145827154648</v>
      </c>
      <c r="R67" s="47">
        <v>6.0129005377636394E-2</v>
      </c>
      <c r="S67" s="50">
        <v>7.0136744596382972E-2</v>
      </c>
      <c r="T67" s="50">
        <v>2.8796959508843756E-2</v>
      </c>
      <c r="U67" s="50">
        <v>4.2720578562419842E-2</v>
      </c>
      <c r="V67" s="50">
        <v>3.8049805835205008E-2</v>
      </c>
      <c r="W67" s="50">
        <f t="shared" si="13"/>
        <v>6.0129005377636394E-2</v>
      </c>
      <c r="Y67" s="63"/>
    </row>
    <row r="68" spans="1:35" x14ac:dyDescent="0.45">
      <c r="A68" s="3">
        <v>44165</v>
      </c>
      <c r="B68" s="48">
        <v>33.348640000000003</v>
      </c>
      <c r="C68" s="48">
        <v>31.16404</v>
      </c>
      <c r="D68" s="48">
        <v>71.277060000000006</v>
      </c>
      <c r="E68" s="48">
        <v>36.833120000000001</v>
      </c>
      <c r="F68" s="48">
        <v>15.271179999999999</v>
      </c>
      <c r="G68" s="48">
        <v>10.789759999999999</v>
      </c>
      <c r="H68">
        <v>45.34</v>
      </c>
      <c r="I68" s="48">
        <v>3.4205000000000001</v>
      </c>
      <c r="J68" s="49">
        <v>274.41809999999998</v>
      </c>
      <c r="K68" s="49">
        <v>6585.1613299999999</v>
      </c>
    </row>
    <row r="69" spans="1:35" x14ac:dyDescent="0.45">
      <c r="A69" s="3"/>
      <c r="B69" s="48"/>
    </row>
    <row r="70" spans="1:35" x14ac:dyDescent="0.45">
      <c r="A70" s="3"/>
      <c r="B70" s="48"/>
    </row>
    <row r="71" spans="1:35" x14ac:dyDescent="0.45">
      <c r="A71" s="3"/>
      <c r="B71" s="48"/>
    </row>
    <row r="72" spans="1:35" s="48" customFormat="1" x14ac:dyDescent="0.45">
      <c r="A72" s="3"/>
      <c r="H72"/>
      <c r="J72" s="49"/>
      <c r="K72" s="49"/>
      <c r="L72" s="50"/>
      <c r="M72" s="50"/>
      <c r="N72" s="50"/>
      <c r="O72" s="50"/>
      <c r="P72" s="50"/>
      <c r="Q72" s="50"/>
      <c r="R72" s="47"/>
      <c r="S72" s="50"/>
      <c r="T72" s="50"/>
      <c r="U72" s="50"/>
      <c r="V72" s="50"/>
      <c r="W72" s="50"/>
      <c r="X72"/>
      <c r="Y72"/>
      <c r="Z72"/>
      <c r="AA72"/>
      <c r="AB72"/>
      <c r="AC72"/>
      <c r="AD72"/>
      <c r="AE72"/>
      <c r="AF72"/>
      <c r="AG72"/>
      <c r="AH72"/>
      <c r="AI72"/>
    </row>
    <row r="73" spans="1:35" s="48" customFormat="1" x14ac:dyDescent="0.45">
      <c r="A73" s="3"/>
      <c r="H73"/>
      <c r="J73" s="49"/>
      <c r="K73" s="49"/>
      <c r="L73" s="50"/>
      <c r="M73" s="50"/>
      <c r="N73" s="50"/>
      <c r="O73" s="50"/>
      <c r="P73" s="50"/>
      <c r="Q73" s="50"/>
      <c r="R73" s="47"/>
      <c r="S73" s="50"/>
      <c r="T73" s="50"/>
      <c r="U73" s="50"/>
      <c r="V73" s="50"/>
      <c r="W73" s="50"/>
      <c r="X73"/>
      <c r="Y73"/>
      <c r="Z73"/>
      <c r="AA73"/>
      <c r="AB73"/>
      <c r="AC73"/>
      <c r="AD73"/>
      <c r="AE73"/>
      <c r="AF73"/>
      <c r="AG73"/>
      <c r="AH73"/>
      <c r="AI73"/>
    </row>
    <row r="74" spans="1:35" s="48" customFormat="1" x14ac:dyDescent="0.45">
      <c r="A74" s="3"/>
      <c r="H74"/>
      <c r="J74" s="49"/>
      <c r="K74" s="49"/>
      <c r="L74" s="50"/>
      <c r="M74" s="50"/>
      <c r="N74" s="50"/>
      <c r="O74" s="50"/>
      <c r="P74" s="50"/>
      <c r="Q74" s="50"/>
      <c r="R74" s="47"/>
      <c r="S74" s="50"/>
      <c r="T74" s="50"/>
      <c r="U74" s="50"/>
      <c r="V74" s="50"/>
      <c r="W74" s="50"/>
      <c r="X74"/>
      <c r="Y74"/>
      <c r="Z74"/>
      <c r="AA74"/>
      <c r="AB74"/>
      <c r="AC74"/>
      <c r="AD74"/>
      <c r="AE74"/>
      <c r="AF74"/>
      <c r="AG74"/>
      <c r="AH74"/>
      <c r="AI74"/>
    </row>
    <row r="75" spans="1:35" s="48" customFormat="1" x14ac:dyDescent="0.45">
      <c r="A75" s="3"/>
      <c r="H75"/>
      <c r="J75" s="49"/>
      <c r="K75" s="49"/>
      <c r="L75" s="50"/>
      <c r="M75" s="50"/>
      <c r="N75" s="50"/>
      <c r="O75" s="50"/>
      <c r="P75" s="50"/>
      <c r="Q75" s="50"/>
      <c r="R75" s="47"/>
      <c r="S75" s="50"/>
      <c r="T75" s="50"/>
      <c r="U75" s="50"/>
      <c r="V75" s="50"/>
      <c r="W75" s="50"/>
      <c r="X75"/>
      <c r="Y75"/>
      <c r="Z75"/>
      <c r="AA75"/>
      <c r="AB75"/>
      <c r="AC75"/>
      <c r="AD75"/>
      <c r="AE75"/>
      <c r="AF75"/>
      <c r="AG75"/>
      <c r="AH75"/>
      <c r="AI75"/>
    </row>
    <row r="76" spans="1:35" s="48" customFormat="1" x14ac:dyDescent="0.45">
      <c r="A76" s="3"/>
      <c r="H76"/>
      <c r="J76" s="49"/>
      <c r="K76" s="49"/>
      <c r="L76" s="50"/>
      <c r="M76" s="50"/>
      <c r="N76" s="50"/>
      <c r="O76" s="50"/>
      <c r="P76" s="50"/>
      <c r="Q76" s="50"/>
      <c r="R76" s="47"/>
      <c r="S76" s="50"/>
      <c r="T76" s="50"/>
      <c r="U76" s="50"/>
      <c r="V76" s="50"/>
      <c r="W76" s="50"/>
      <c r="X76"/>
      <c r="Y76"/>
      <c r="Z76"/>
      <c r="AA76"/>
      <c r="AB76"/>
      <c r="AC76"/>
      <c r="AD76"/>
      <c r="AE76"/>
      <c r="AF76"/>
      <c r="AG76"/>
      <c r="AH76"/>
      <c r="AI76"/>
    </row>
    <row r="77" spans="1:35" s="48" customFormat="1" x14ac:dyDescent="0.45">
      <c r="A77" s="3"/>
      <c r="H77"/>
      <c r="J77" s="49"/>
      <c r="K77" s="49"/>
      <c r="L77" s="50"/>
      <c r="M77" s="50"/>
      <c r="N77" s="50"/>
      <c r="O77" s="50"/>
      <c r="P77" s="50"/>
      <c r="Q77" s="50"/>
      <c r="R77" s="47"/>
      <c r="S77" s="50"/>
      <c r="T77" s="50"/>
      <c r="U77" s="50"/>
      <c r="V77" s="50"/>
      <c r="W77" s="50"/>
      <c r="X77"/>
      <c r="Y77"/>
      <c r="Z77"/>
      <c r="AA77"/>
      <c r="AB77"/>
      <c r="AC77"/>
      <c r="AD77"/>
      <c r="AE77"/>
      <c r="AF77"/>
      <c r="AG77"/>
      <c r="AH77"/>
      <c r="AI77"/>
    </row>
    <row r="78" spans="1:35" s="48" customFormat="1" x14ac:dyDescent="0.45">
      <c r="A78" s="3"/>
      <c r="H78"/>
      <c r="J78" s="49"/>
      <c r="K78" s="49"/>
      <c r="L78" s="50"/>
      <c r="M78" s="50"/>
      <c r="N78" s="50"/>
      <c r="O78" s="50"/>
      <c r="P78" s="50"/>
      <c r="Q78" s="50"/>
      <c r="R78" s="47"/>
      <c r="S78" s="50"/>
      <c r="T78" s="50"/>
      <c r="U78" s="50"/>
      <c r="V78" s="50"/>
      <c r="W78" s="50"/>
      <c r="X78"/>
      <c r="Y78"/>
      <c r="Z78"/>
      <c r="AA78"/>
      <c r="AB78"/>
      <c r="AC78"/>
      <c r="AD78"/>
      <c r="AE78"/>
      <c r="AF78"/>
      <c r="AG78"/>
      <c r="AH78"/>
      <c r="AI78"/>
    </row>
    <row r="79" spans="1:35" s="48" customFormat="1" x14ac:dyDescent="0.45">
      <c r="A79" s="3"/>
      <c r="H79"/>
      <c r="J79" s="49"/>
      <c r="K79" s="49"/>
      <c r="L79" s="50"/>
      <c r="M79" s="50"/>
      <c r="N79" s="50"/>
      <c r="O79" s="50"/>
      <c r="P79" s="50"/>
      <c r="Q79" s="50"/>
      <c r="R79" s="47"/>
      <c r="S79" s="50"/>
      <c r="T79" s="50"/>
      <c r="U79" s="50"/>
      <c r="V79" s="50"/>
      <c r="W79" s="50"/>
      <c r="X79"/>
      <c r="Y79"/>
      <c r="Z79"/>
      <c r="AA79"/>
      <c r="AB79"/>
      <c r="AC79"/>
      <c r="AD79"/>
      <c r="AE79"/>
      <c r="AF79"/>
      <c r="AG79"/>
      <c r="AH79"/>
      <c r="AI79"/>
    </row>
    <row r="80" spans="1:35" s="48" customFormat="1" x14ac:dyDescent="0.45">
      <c r="A80" s="3"/>
      <c r="H80"/>
      <c r="J80" s="49"/>
      <c r="K80" s="49"/>
      <c r="L80" s="50"/>
      <c r="M80" s="50"/>
      <c r="N80" s="50"/>
      <c r="O80" s="50"/>
      <c r="P80" s="50"/>
      <c r="Q80" s="50"/>
      <c r="R80" s="47"/>
      <c r="S80" s="50"/>
      <c r="T80" s="50"/>
      <c r="U80" s="50"/>
      <c r="V80" s="50"/>
      <c r="W80" s="50"/>
      <c r="X80"/>
      <c r="Y80"/>
      <c r="Z80"/>
      <c r="AA80"/>
      <c r="AB80"/>
      <c r="AC80"/>
      <c r="AD80"/>
      <c r="AE80"/>
      <c r="AF80"/>
      <c r="AG80"/>
      <c r="AH80"/>
      <c r="AI80"/>
    </row>
    <row r="81" spans="1:35" s="48" customFormat="1" x14ac:dyDescent="0.45">
      <c r="A81" s="3"/>
      <c r="H81"/>
      <c r="J81" s="49"/>
      <c r="K81" s="49"/>
      <c r="L81" s="50"/>
      <c r="M81" s="50"/>
      <c r="N81" s="50"/>
      <c r="O81" s="50"/>
      <c r="P81" s="50"/>
      <c r="Q81" s="50"/>
      <c r="R81" s="47"/>
      <c r="S81" s="50"/>
      <c r="T81" s="50"/>
      <c r="U81" s="50"/>
      <c r="V81" s="50"/>
      <c r="W81" s="50"/>
      <c r="X81"/>
      <c r="Y81"/>
      <c r="Z81"/>
      <c r="AA81"/>
      <c r="AB81"/>
      <c r="AC81"/>
      <c r="AD81"/>
      <c r="AE81"/>
      <c r="AF81"/>
      <c r="AG81"/>
      <c r="AH81"/>
      <c r="AI81"/>
    </row>
    <row r="82" spans="1:35" s="48" customFormat="1" x14ac:dyDescent="0.45">
      <c r="A82" s="3"/>
      <c r="H82"/>
      <c r="J82" s="49"/>
      <c r="K82" s="49"/>
      <c r="L82" s="50"/>
      <c r="M82" s="50"/>
      <c r="N82" s="50"/>
      <c r="O82" s="50"/>
      <c r="P82" s="50"/>
      <c r="Q82" s="50"/>
      <c r="R82" s="47"/>
      <c r="S82" s="50"/>
      <c r="T82" s="50"/>
      <c r="U82" s="50"/>
      <c r="V82" s="50"/>
      <c r="W82" s="50"/>
      <c r="X82"/>
      <c r="Y82"/>
      <c r="Z82"/>
      <c r="AA82"/>
      <c r="AB82"/>
      <c r="AC82"/>
      <c r="AD82"/>
      <c r="AE82"/>
      <c r="AF82"/>
      <c r="AG82"/>
      <c r="AH82"/>
      <c r="AI82"/>
    </row>
    <row r="83" spans="1:35" s="48" customFormat="1" x14ac:dyDescent="0.45">
      <c r="A83" s="3"/>
      <c r="H83"/>
      <c r="J83" s="49"/>
      <c r="K83" s="49"/>
      <c r="L83" s="50"/>
      <c r="M83" s="50"/>
      <c r="N83" s="50"/>
      <c r="O83" s="50"/>
      <c r="P83" s="50"/>
      <c r="Q83" s="50"/>
      <c r="R83" s="47"/>
      <c r="S83" s="50"/>
      <c r="T83" s="50"/>
      <c r="U83" s="50"/>
      <c r="V83" s="50"/>
      <c r="W83" s="50"/>
      <c r="X83"/>
      <c r="Y83"/>
      <c r="Z83"/>
      <c r="AA83"/>
      <c r="AB83"/>
      <c r="AC83"/>
      <c r="AD83"/>
      <c r="AE83"/>
      <c r="AF83"/>
      <c r="AG83"/>
      <c r="AH83"/>
      <c r="AI83"/>
    </row>
    <row r="84" spans="1:35" s="48" customFormat="1" x14ac:dyDescent="0.45">
      <c r="A84" s="3"/>
      <c r="H84"/>
      <c r="J84" s="49"/>
      <c r="K84" s="49"/>
      <c r="L84" s="50"/>
      <c r="M84" s="50"/>
      <c r="N84" s="50"/>
      <c r="O84" s="50"/>
      <c r="P84" s="50"/>
      <c r="Q84" s="50"/>
      <c r="R84" s="47"/>
      <c r="S84" s="50"/>
      <c r="T84" s="50"/>
      <c r="U84" s="50"/>
      <c r="V84" s="50"/>
      <c r="W84" s="50"/>
      <c r="X84"/>
      <c r="Y84"/>
      <c r="Z84"/>
      <c r="AA84"/>
      <c r="AB84"/>
      <c r="AC84"/>
      <c r="AD84"/>
      <c r="AE84"/>
      <c r="AF84"/>
      <c r="AG84"/>
      <c r="AH84"/>
      <c r="AI84"/>
    </row>
    <row r="85" spans="1:35" s="48" customFormat="1" x14ac:dyDescent="0.45">
      <c r="A85" s="3"/>
      <c r="H85"/>
      <c r="J85" s="49"/>
      <c r="K85" s="49"/>
      <c r="L85" s="50"/>
      <c r="M85" s="50"/>
      <c r="N85" s="50"/>
      <c r="O85" s="50"/>
      <c r="P85" s="50"/>
      <c r="Q85" s="50"/>
      <c r="R85" s="47"/>
      <c r="S85" s="50"/>
      <c r="T85" s="50"/>
      <c r="U85" s="50"/>
      <c r="V85" s="50"/>
      <c r="W85" s="50"/>
      <c r="X85"/>
      <c r="Y85"/>
      <c r="Z85"/>
      <c r="AA85"/>
      <c r="AB85"/>
      <c r="AC85"/>
      <c r="AD85"/>
      <c r="AE85"/>
      <c r="AF85"/>
      <c r="AG85"/>
      <c r="AH85"/>
      <c r="AI85"/>
    </row>
    <row r="86" spans="1:35" s="48" customFormat="1" x14ac:dyDescent="0.45">
      <c r="A86" s="3"/>
      <c r="H86"/>
      <c r="J86" s="49"/>
      <c r="K86" s="49"/>
      <c r="L86" s="50"/>
      <c r="M86" s="50"/>
      <c r="N86" s="50"/>
      <c r="O86" s="50"/>
      <c r="P86" s="50"/>
      <c r="Q86" s="50"/>
      <c r="R86" s="47"/>
      <c r="S86" s="50"/>
      <c r="T86" s="50"/>
      <c r="U86" s="50"/>
      <c r="V86" s="50"/>
      <c r="W86" s="50"/>
      <c r="X86"/>
      <c r="Y86"/>
      <c r="Z86"/>
      <c r="AA86"/>
      <c r="AB86"/>
      <c r="AC86"/>
      <c r="AD86"/>
      <c r="AE86"/>
      <c r="AF86"/>
      <c r="AG86"/>
      <c r="AH86"/>
      <c r="AI86"/>
    </row>
    <row r="87" spans="1:35" s="48" customFormat="1" x14ac:dyDescent="0.45">
      <c r="A87" s="3"/>
      <c r="H87"/>
      <c r="J87" s="49"/>
      <c r="K87" s="49"/>
      <c r="L87" s="50"/>
      <c r="M87" s="50"/>
      <c r="N87" s="50"/>
      <c r="O87" s="50"/>
      <c r="P87" s="50"/>
      <c r="Q87" s="50"/>
      <c r="R87" s="47"/>
      <c r="S87" s="50"/>
      <c r="T87" s="50"/>
      <c r="U87" s="50"/>
      <c r="V87" s="50"/>
      <c r="W87" s="50"/>
      <c r="X87"/>
      <c r="Y87"/>
      <c r="Z87"/>
      <c r="AA87"/>
      <c r="AB87"/>
      <c r="AC87"/>
      <c r="AD87"/>
      <c r="AE87"/>
      <c r="AF87"/>
      <c r="AG87"/>
      <c r="AH87"/>
      <c r="AI87"/>
    </row>
    <row r="88" spans="1:35" s="48" customFormat="1" x14ac:dyDescent="0.45">
      <c r="A88" s="3"/>
      <c r="H88"/>
      <c r="J88" s="49"/>
      <c r="K88" s="49"/>
      <c r="L88" s="50"/>
      <c r="M88" s="50"/>
      <c r="N88" s="50"/>
      <c r="O88" s="50"/>
      <c r="P88" s="50"/>
      <c r="Q88" s="50"/>
      <c r="R88" s="47"/>
      <c r="S88" s="50"/>
      <c r="T88" s="50"/>
      <c r="U88" s="50"/>
      <c r="V88" s="50"/>
      <c r="W88" s="50"/>
      <c r="X88"/>
      <c r="Y88"/>
      <c r="Z88"/>
      <c r="AA88"/>
      <c r="AB88"/>
      <c r="AC88"/>
      <c r="AD88"/>
      <c r="AE88"/>
      <c r="AF88"/>
      <c r="AG88"/>
      <c r="AH88"/>
      <c r="AI88"/>
    </row>
    <row r="89" spans="1:35" s="48" customFormat="1" x14ac:dyDescent="0.45">
      <c r="A89" s="3"/>
      <c r="H89"/>
      <c r="J89" s="49"/>
      <c r="K89" s="49"/>
      <c r="L89" s="50"/>
      <c r="M89" s="50"/>
      <c r="N89" s="50"/>
      <c r="O89" s="50"/>
      <c r="P89" s="50"/>
      <c r="Q89" s="50"/>
      <c r="R89" s="47"/>
      <c r="S89" s="50"/>
      <c r="T89" s="50"/>
      <c r="U89" s="50"/>
      <c r="V89" s="50"/>
      <c r="W89" s="50"/>
      <c r="X89"/>
      <c r="Y89"/>
      <c r="Z89"/>
      <c r="AA89"/>
      <c r="AB89"/>
      <c r="AC89"/>
      <c r="AD89"/>
      <c r="AE89"/>
      <c r="AF89"/>
      <c r="AG89"/>
      <c r="AH89"/>
      <c r="AI89"/>
    </row>
    <row r="90" spans="1:35" s="48" customFormat="1" x14ac:dyDescent="0.45">
      <c r="A90" s="3"/>
      <c r="H90"/>
      <c r="J90" s="49"/>
      <c r="K90" s="49"/>
      <c r="L90" s="50"/>
      <c r="M90" s="50"/>
      <c r="N90" s="50"/>
      <c r="O90" s="50"/>
      <c r="P90" s="50"/>
      <c r="Q90" s="50"/>
      <c r="R90" s="47"/>
      <c r="S90" s="50"/>
      <c r="T90" s="50"/>
      <c r="U90" s="50"/>
      <c r="V90" s="50"/>
      <c r="W90" s="50"/>
      <c r="X90"/>
      <c r="Y90"/>
      <c r="Z90"/>
      <c r="AA90"/>
      <c r="AB90"/>
      <c r="AC90"/>
      <c r="AD90"/>
      <c r="AE90"/>
      <c r="AF90"/>
      <c r="AG90"/>
      <c r="AH90"/>
      <c r="AI90"/>
    </row>
    <row r="91" spans="1:35" s="48" customFormat="1" x14ac:dyDescent="0.45">
      <c r="A91" s="3"/>
      <c r="H91"/>
      <c r="J91" s="49"/>
      <c r="K91" s="49"/>
      <c r="L91" s="50"/>
      <c r="M91" s="50"/>
      <c r="N91" s="50"/>
      <c r="O91" s="50"/>
      <c r="P91" s="50"/>
      <c r="Q91" s="50"/>
      <c r="R91" s="47"/>
      <c r="S91" s="50"/>
      <c r="T91" s="50"/>
      <c r="U91" s="50"/>
      <c r="V91" s="50"/>
      <c r="W91" s="50"/>
      <c r="X91"/>
      <c r="Y91"/>
      <c r="Z91"/>
      <c r="AA91"/>
      <c r="AB91"/>
      <c r="AC91"/>
      <c r="AD91"/>
      <c r="AE91"/>
      <c r="AF91"/>
      <c r="AG91"/>
      <c r="AH91"/>
      <c r="AI91"/>
    </row>
    <row r="92" spans="1:35" s="48" customFormat="1" x14ac:dyDescent="0.45">
      <c r="A92" s="3"/>
      <c r="H92"/>
      <c r="J92" s="49"/>
      <c r="K92" s="49"/>
      <c r="L92" s="50"/>
      <c r="M92" s="50"/>
      <c r="N92" s="50"/>
      <c r="O92" s="50"/>
      <c r="P92" s="50"/>
      <c r="Q92" s="50"/>
      <c r="R92" s="47"/>
      <c r="S92" s="50"/>
      <c r="T92" s="50"/>
      <c r="U92" s="50"/>
      <c r="V92" s="50"/>
      <c r="W92" s="50"/>
      <c r="X92"/>
      <c r="Y92"/>
      <c r="Z92"/>
      <c r="AA92"/>
      <c r="AB92"/>
      <c r="AC92"/>
      <c r="AD92"/>
      <c r="AE92"/>
      <c r="AF92"/>
      <c r="AG92"/>
      <c r="AH92"/>
      <c r="AI92"/>
    </row>
    <row r="93" spans="1:35" s="48" customFormat="1" x14ac:dyDescent="0.45">
      <c r="A93" s="3"/>
      <c r="H93"/>
      <c r="J93" s="49"/>
      <c r="K93" s="49"/>
      <c r="L93" s="50"/>
      <c r="M93" s="50"/>
      <c r="N93" s="50"/>
      <c r="O93" s="50"/>
      <c r="P93" s="50"/>
      <c r="Q93" s="50"/>
      <c r="R93" s="47"/>
      <c r="S93" s="50"/>
      <c r="T93" s="50"/>
      <c r="U93" s="50"/>
      <c r="V93" s="50"/>
      <c r="W93" s="50"/>
      <c r="X93"/>
      <c r="Y93"/>
      <c r="Z93"/>
      <c r="AA93"/>
      <c r="AB93"/>
      <c r="AC93"/>
      <c r="AD93"/>
      <c r="AE93"/>
      <c r="AF93"/>
      <c r="AG93"/>
      <c r="AH93"/>
      <c r="AI93"/>
    </row>
    <row r="94" spans="1:35" s="48" customFormat="1" x14ac:dyDescent="0.45">
      <c r="A94" s="3"/>
      <c r="H94"/>
      <c r="J94" s="49"/>
      <c r="K94" s="49"/>
      <c r="L94" s="50"/>
      <c r="M94" s="50"/>
      <c r="N94" s="50"/>
      <c r="O94" s="50"/>
      <c r="P94" s="50"/>
      <c r="Q94" s="50"/>
      <c r="R94" s="47"/>
      <c r="S94" s="50"/>
      <c r="T94" s="50"/>
      <c r="U94" s="50"/>
      <c r="V94" s="50"/>
      <c r="W94" s="50"/>
      <c r="X94"/>
      <c r="Y94"/>
      <c r="Z94"/>
      <c r="AA94"/>
      <c r="AB94"/>
      <c r="AC94"/>
      <c r="AD94"/>
      <c r="AE94"/>
      <c r="AF94"/>
      <c r="AG94"/>
      <c r="AH94"/>
      <c r="AI94"/>
    </row>
    <row r="95" spans="1:35" s="48" customFormat="1" x14ac:dyDescent="0.45">
      <c r="A95" s="3"/>
      <c r="H95"/>
      <c r="J95" s="49"/>
      <c r="K95" s="49"/>
      <c r="L95" s="50"/>
      <c r="M95" s="50"/>
      <c r="N95" s="50"/>
      <c r="O95" s="50"/>
      <c r="P95" s="50"/>
      <c r="Q95" s="50"/>
      <c r="R95" s="47"/>
      <c r="S95" s="50"/>
      <c r="T95" s="50"/>
      <c r="U95" s="50"/>
      <c r="V95" s="50"/>
      <c r="W95" s="50"/>
      <c r="X95"/>
      <c r="Y95"/>
      <c r="Z95"/>
      <c r="AA95"/>
      <c r="AB95"/>
      <c r="AC95"/>
      <c r="AD95"/>
      <c r="AE95"/>
      <c r="AF95"/>
      <c r="AG95"/>
      <c r="AH95"/>
      <c r="AI95"/>
    </row>
    <row r="96" spans="1:35" s="48" customFormat="1" x14ac:dyDescent="0.45">
      <c r="A96" s="3"/>
      <c r="H96"/>
      <c r="J96" s="49"/>
      <c r="K96" s="49"/>
      <c r="L96" s="50"/>
      <c r="M96" s="50"/>
      <c r="N96" s="50"/>
      <c r="O96" s="50"/>
      <c r="P96" s="50"/>
      <c r="Q96" s="50"/>
      <c r="R96" s="47"/>
      <c r="S96" s="50"/>
      <c r="T96" s="50"/>
      <c r="U96" s="50"/>
      <c r="V96" s="50"/>
      <c r="W96" s="50"/>
      <c r="X96"/>
      <c r="Y96"/>
      <c r="Z96"/>
      <c r="AA96"/>
      <c r="AB96"/>
      <c r="AC96"/>
      <c r="AD96"/>
      <c r="AE96"/>
      <c r="AF96"/>
      <c r="AG96"/>
      <c r="AH96"/>
      <c r="AI96"/>
    </row>
    <row r="97" spans="1:35" s="48" customFormat="1" x14ac:dyDescent="0.45">
      <c r="A97" s="3"/>
      <c r="H97"/>
      <c r="J97" s="49"/>
      <c r="K97" s="49"/>
      <c r="L97" s="50"/>
      <c r="M97" s="50"/>
      <c r="N97" s="50"/>
      <c r="O97" s="50"/>
      <c r="P97" s="50"/>
      <c r="Q97" s="50"/>
      <c r="R97" s="47"/>
      <c r="S97" s="50"/>
      <c r="T97" s="50"/>
      <c r="U97" s="50"/>
      <c r="V97" s="50"/>
      <c r="W97" s="50"/>
      <c r="X97"/>
      <c r="Y97"/>
      <c r="Z97"/>
      <c r="AA97"/>
      <c r="AB97"/>
      <c r="AC97"/>
      <c r="AD97"/>
      <c r="AE97"/>
      <c r="AF97"/>
      <c r="AG97"/>
      <c r="AH97"/>
      <c r="AI97"/>
    </row>
    <row r="98" spans="1:35" s="48" customFormat="1" x14ac:dyDescent="0.45">
      <c r="A98" s="3"/>
      <c r="H98"/>
      <c r="J98" s="49"/>
      <c r="K98" s="49"/>
      <c r="L98" s="50"/>
      <c r="M98" s="50"/>
      <c r="N98" s="50"/>
      <c r="O98" s="50"/>
      <c r="P98" s="50"/>
      <c r="Q98" s="50"/>
      <c r="R98" s="47"/>
      <c r="S98" s="50"/>
      <c r="T98" s="50"/>
      <c r="U98" s="50"/>
      <c r="V98" s="50"/>
      <c r="W98" s="50"/>
      <c r="X98"/>
      <c r="Y98"/>
      <c r="Z98"/>
      <c r="AA98"/>
      <c r="AB98"/>
      <c r="AC98"/>
      <c r="AD98"/>
      <c r="AE98"/>
      <c r="AF98"/>
      <c r="AG98"/>
      <c r="AH98"/>
      <c r="AI98"/>
    </row>
    <row r="99" spans="1:35" s="48" customFormat="1" x14ac:dyDescent="0.45">
      <c r="A99" s="3"/>
      <c r="H99"/>
      <c r="J99" s="49"/>
      <c r="K99" s="49"/>
      <c r="L99" s="50"/>
      <c r="M99" s="50"/>
      <c r="N99" s="50"/>
      <c r="O99" s="50"/>
      <c r="P99" s="50"/>
      <c r="Q99" s="50"/>
      <c r="R99" s="47"/>
      <c r="S99" s="50"/>
      <c r="T99" s="50"/>
      <c r="U99" s="50"/>
      <c r="V99" s="50"/>
      <c r="W99" s="50"/>
      <c r="X99"/>
      <c r="Y99"/>
      <c r="Z99"/>
      <c r="AA99"/>
      <c r="AB99"/>
      <c r="AC99"/>
      <c r="AD99"/>
      <c r="AE99"/>
      <c r="AF99"/>
      <c r="AG99"/>
      <c r="AH99"/>
      <c r="AI99"/>
    </row>
    <row r="100" spans="1:35" s="48" customFormat="1" x14ac:dyDescent="0.45">
      <c r="A100" s="3"/>
      <c r="H100"/>
      <c r="J100" s="49"/>
      <c r="K100" s="49"/>
      <c r="L100" s="50"/>
      <c r="M100" s="50"/>
      <c r="N100" s="50"/>
      <c r="O100" s="50"/>
      <c r="P100" s="50"/>
      <c r="Q100" s="50"/>
      <c r="R100" s="47"/>
      <c r="S100" s="50"/>
      <c r="T100" s="50"/>
      <c r="U100" s="50"/>
      <c r="V100" s="50"/>
      <c r="W100" s="50"/>
      <c r="X100"/>
      <c r="Y100"/>
      <c r="Z100"/>
      <c r="AA100"/>
      <c r="AB100"/>
      <c r="AC100"/>
      <c r="AD100"/>
      <c r="AE100"/>
      <c r="AF100"/>
      <c r="AG100"/>
      <c r="AH100"/>
      <c r="AI100"/>
    </row>
    <row r="101" spans="1:35" s="48" customFormat="1" x14ac:dyDescent="0.45">
      <c r="A101" s="3"/>
      <c r="H101"/>
      <c r="J101" s="49"/>
      <c r="K101" s="49"/>
      <c r="L101" s="50"/>
      <c r="M101" s="50"/>
      <c r="N101" s="50"/>
      <c r="O101" s="50"/>
      <c r="P101" s="50"/>
      <c r="Q101" s="50"/>
      <c r="R101" s="47"/>
      <c r="S101" s="50"/>
      <c r="T101" s="50"/>
      <c r="U101" s="50"/>
      <c r="V101" s="50"/>
      <c r="W101" s="50"/>
      <c r="X101"/>
      <c r="Y101"/>
      <c r="Z101"/>
      <c r="AA101"/>
      <c r="AB101"/>
      <c r="AC101"/>
      <c r="AD101"/>
      <c r="AE101"/>
      <c r="AF101"/>
      <c r="AG101"/>
      <c r="AH101"/>
      <c r="AI101"/>
    </row>
    <row r="102" spans="1:35" s="48" customFormat="1" x14ac:dyDescent="0.45">
      <c r="A102" s="3"/>
      <c r="H102"/>
      <c r="J102" s="49"/>
      <c r="K102" s="49"/>
      <c r="L102" s="50"/>
      <c r="M102" s="50"/>
      <c r="N102" s="50"/>
      <c r="O102" s="50"/>
      <c r="P102" s="50"/>
      <c r="Q102" s="50"/>
      <c r="R102" s="47"/>
      <c r="S102" s="50"/>
      <c r="T102" s="50"/>
      <c r="U102" s="50"/>
      <c r="V102" s="50"/>
      <c r="W102" s="50"/>
      <c r="X102"/>
      <c r="Y102"/>
      <c r="Z102"/>
      <c r="AA102"/>
      <c r="AB102"/>
      <c r="AC102"/>
      <c r="AD102"/>
      <c r="AE102"/>
      <c r="AF102"/>
      <c r="AG102"/>
      <c r="AH102"/>
      <c r="AI102"/>
    </row>
    <row r="103" spans="1:35" s="48" customFormat="1" x14ac:dyDescent="0.45">
      <c r="A103" s="3"/>
      <c r="H103"/>
      <c r="J103" s="49"/>
      <c r="K103" s="49"/>
      <c r="L103" s="50"/>
      <c r="M103" s="50"/>
      <c r="N103" s="50"/>
      <c r="O103" s="50"/>
      <c r="P103" s="50"/>
      <c r="Q103" s="50"/>
      <c r="R103" s="47"/>
      <c r="S103" s="50"/>
      <c r="T103" s="50"/>
      <c r="U103" s="50"/>
      <c r="V103" s="50"/>
      <c r="W103" s="50"/>
      <c r="X103"/>
      <c r="Y103"/>
      <c r="Z103"/>
      <c r="AA103"/>
      <c r="AB103"/>
      <c r="AC103"/>
      <c r="AD103"/>
      <c r="AE103"/>
      <c r="AF103"/>
      <c r="AG103"/>
      <c r="AH103"/>
      <c r="AI103"/>
    </row>
    <row r="104" spans="1:35" s="48" customFormat="1" x14ac:dyDescent="0.45">
      <c r="A104" s="3"/>
      <c r="H104"/>
      <c r="J104" s="49"/>
      <c r="K104" s="49"/>
      <c r="L104" s="50"/>
      <c r="M104" s="50"/>
      <c r="N104" s="50"/>
      <c r="O104" s="50"/>
      <c r="P104" s="50"/>
      <c r="Q104" s="50"/>
      <c r="R104" s="47"/>
      <c r="S104" s="50"/>
      <c r="T104" s="50"/>
      <c r="U104" s="50"/>
      <c r="V104" s="50"/>
      <c r="W104" s="50"/>
      <c r="X104"/>
      <c r="Y104"/>
      <c r="Z104"/>
      <c r="AA104"/>
      <c r="AB104"/>
      <c r="AC104"/>
      <c r="AD104"/>
      <c r="AE104"/>
      <c r="AF104"/>
      <c r="AG104"/>
      <c r="AH104"/>
      <c r="AI104"/>
    </row>
    <row r="105" spans="1:35" s="48" customFormat="1" x14ac:dyDescent="0.45">
      <c r="A105" s="3"/>
      <c r="H105"/>
      <c r="J105" s="49"/>
      <c r="K105" s="49"/>
      <c r="L105" s="50"/>
      <c r="M105" s="50"/>
      <c r="N105" s="50"/>
      <c r="O105" s="50"/>
      <c r="P105" s="50"/>
      <c r="Q105" s="50"/>
      <c r="R105" s="47"/>
      <c r="S105" s="50"/>
      <c r="T105" s="50"/>
      <c r="U105" s="50"/>
      <c r="V105" s="50"/>
      <c r="W105" s="50"/>
      <c r="X105"/>
      <c r="Y105"/>
      <c r="Z105"/>
      <c r="AA105"/>
      <c r="AB105"/>
      <c r="AC105"/>
      <c r="AD105"/>
      <c r="AE105"/>
      <c r="AF105"/>
      <c r="AG105"/>
      <c r="AH105"/>
      <c r="AI105"/>
    </row>
    <row r="106" spans="1:35" s="48" customFormat="1" x14ac:dyDescent="0.45">
      <c r="A106" s="3"/>
      <c r="H106"/>
      <c r="J106" s="49"/>
      <c r="K106" s="49"/>
      <c r="L106" s="50"/>
      <c r="M106" s="50"/>
      <c r="N106" s="50"/>
      <c r="O106" s="50"/>
      <c r="P106" s="50"/>
      <c r="Q106" s="50"/>
      <c r="R106" s="47"/>
      <c r="S106" s="50"/>
      <c r="T106" s="50"/>
      <c r="U106" s="50"/>
      <c r="V106" s="50"/>
      <c r="W106" s="50"/>
      <c r="X106"/>
      <c r="Y106"/>
      <c r="Z106"/>
      <c r="AA106"/>
      <c r="AB106"/>
      <c r="AC106"/>
      <c r="AD106"/>
      <c r="AE106"/>
      <c r="AF106"/>
      <c r="AG106"/>
      <c r="AH106"/>
      <c r="AI106"/>
    </row>
    <row r="107" spans="1:35" s="48" customFormat="1" x14ac:dyDescent="0.45">
      <c r="A107" s="3"/>
      <c r="H107"/>
      <c r="J107" s="49"/>
      <c r="K107" s="49"/>
      <c r="L107" s="50"/>
      <c r="M107" s="50"/>
      <c r="N107" s="50"/>
      <c r="O107" s="50"/>
      <c r="P107" s="50"/>
      <c r="Q107" s="50"/>
      <c r="R107" s="47"/>
      <c r="S107" s="50"/>
      <c r="T107" s="50"/>
      <c r="U107" s="50"/>
      <c r="V107" s="50"/>
      <c r="W107" s="50"/>
      <c r="X107"/>
      <c r="Y107"/>
      <c r="Z107"/>
      <c r="AA107"/>
      <c r="AB107"/>
      <c r="AC107"/>
      <c r="AD107"/>
      <c r="AE107"/>
      <c r="AF107"/>
      <c r="AG107"/>
      <c r="AH107"/>
      <c r="AI107"/>
    </row>
    <row r="108" spans="1:35" s="48" customFormat="1" x14ac:dyDescent="0.45">
      <c r="A108" s="3"/>
      <c r="H108"/>
      <c r="J108" s="49"/>
      <c r="K108" s="49"/>
      <c r="L108" s="50"/>
      <c r="M108" s="50"/>
      <c r="N108" s="50"/>
      <c r="O108" s="50"/>
      <c r="P108" s="50"/>
      <c r="Q108" s="50"/>
      <c r="R108" s="47"/>
      <c r="S108" s="50"/>
      <c r="T108" s="50"/>
      <c r="U108" s="50"/>
      <c r="V108" s="50"/>
      <c r="W108" s="50"/>
      <c r="X108"/>
      <c r="Y108"/>
      <c r="Z108"/>
      <c r="AA108"/>
      <c r="AB108"/>
      <c r="AC108"/>
      <c r="AD108"/>
      <c r="AE108"/>
      <c r="AF108"/>
      <c r="AG108"/>
      <c r="AH108"/>
      <c r="AI108"/>
    </row>
    <row r="109" spans="1:35" s="48" customFormat="1" x14ac:dyDescent="0.45">
      <c r="A109" s="3"/>
      <c r="H109"/>
      <c r="J109" s="49"/>
      <c r="K109" s="49"/>
      <c r="L109" s="50"/>
      <c r="M109" s="50"/>
      <c r="N109" s="50"/>
      <c r="O109" s="50"/>
      <c r="P109" s="50"/>
      <c r="Q109" s="50"/>
      <c r="R109" s="47"/>
      <c r="S109" s="50"/>
      <c r="T109" s="50"/>
      <c r="U109" s="50"/>
      <c r="V109" s="50"/>
      <c r="W109" s="50"/>
      <c r="X109"/>
      <c r="Y109"/>
      <c r="Z109"/>
      <c r="AA109"/>
      <c r="AB109"/>
      <c r="AC109"/>
      <c r="AD109"/>
      <c r="AE109"/>
      <c r="AF109"/>
      <c r="AG109"/>
      <c r="AH109"/>
      <c r="AI109"/>
    </row>
    <row r="110" spans="1:35" s="48" customFormat="1" x14ac:dyDescent="0.45">
      <c r="A110" s="3"/>
      <c r="H110"/>
      <c r="J110" s="49"/>
      <c r="K110" s="49"/>
      <c r="L110" s="50"/>
      <c r="M110" s="50"/>
      <c r="N110" s="50"/>
      <c r="O110" s="50"/>
      <c r="P110" s="50"/>
      <c r="Q110" s="50"/>
      <c r="R110" s="47"/>
      <c r="S110" s="50"/>
      <c r="T110" s="50"/>
      <c r="U110" s="50"/>
      <c r="V110" s="50"/>
      <c r="W110" s="50"/>
      <c r="X110"/>
      <c r="Y110"/>
      <c r="Z110"/>
      <c r="AA110"/>
      <c r="AB110"/>
      <c r="AC110"/>
      <c r="AD110"/>
      <c r="AE110"/>
      <c r="AF110"/>
      <c r="AG110"/>
      <c r="AH110"/>
      <c r="AI110"/>
    </row>
    <row r="111" spans="1:35" s="48" customFormat="1" x14ac:dyDescent="0.45">
      <c r="A111" s="3"/>
      <c r="H111"/>
      <c r="J111" s="49"/>
      <c r="K111" s="49"/>
      <c r="L111" s="50"/>
      <c r="M111" s="50"/>
      <c r="N111" s="50"/>
      <c r="O111" s="50"/>
      <c r="P111" s="50"/>
      <c r="Q111" s="50"/>
      <c r="R111" s="47"/>
      <c r="S111" s="50"/>
      <c r="T111" s="50"/>
      <c r="U111" s="50"/>
      <c r="V111" s="50"/>
      <c r="W111" s="50"/>
      <c r="X111"/>
      <c r="Y111"/>
      <c r="Z111"/>
      <c r="AA111"/>
      <c r="AB111"/>
      <c r="AC111"/>
      <c r="AD111"/>
      <c r="AE111"/>
      <c r="AF111"/>
      <c r="AG111"/>
      <c r="AH111"/>
      <c r="AI111"/>
    </row>
    <row r="112" spans="1:35" s="48" customFormat="1" x14ac:dyDescent="0.45">
      <c r="A112" s="3"/>
      <c r="H112"/>
      <c r="J112" s="49"/>
      <c r="K112" s="49"/>
      <c r="L112" s="50"/>
      <c r="M112" s="50"/>
      <c r="N112" s="50"/>
      <c r="O112" s="50"/>
      <c r="P112" s="50"/>
      <c r="Q112" s="50"/>
      <c r="R112" s="47"/>
      <c r="S112" s="50"/>
      <c r="T112" s="50"/>
      <c r="U112" s="50"/>
      <c r="V112" s="50"/>
      <c r="W112" s="50"/>
      <c r="X112"/>
      <c r="Y112"/>
      <c r="Z112"/>
      <c r="AA112"/>
      <c r="AB112"/>
      <c r="AC112"/>
      <c r="AD112"/>
      <c r="AE112"/>
      <c r="AF112"/>
      <c r="AG112"/>
      <c r="AH112"/>
      <c r="AI112"/>
    </row>
    <row r="113" spans="1:35" s="48" customFormat="1" x14ac:dyDescent="0.45">
      <c r="A113" s="3"/>
      <c r="H113"/>
      <c r="J113" s="49"/>
      <c r="K113" s="49"/>
      <c r="L113" s="50"/>
      <c r="M113" s="50"/>
      <c r="N113" s="50"/>
      <c r="O113" s="50"/>
      <c r="P113" s="50"/>
      <c r="Q113" s="50"/>
      <c r="R113" s="47"/>
      <c r="S113" s="50"/>
      <c r="T113" s="50"/>
      <c r="U113" s="50"/>
      <c r="V113" s="50"/>
      <c r="W113" s="50"/>
      <c r="X113"/>
      <c r="Y113"/>
      <c r="Z113"/>
      <c r="AA113"/>
      <c r="AB113"/>
      <c r="AC113"/>
      <c r="AD113"/>
      <c r="AE113"/>
      <c r="AF113"/>
      <c r="AG113"/>
      <c r="AH113"/>
      <c r="AI113"/>
    </row>
    <row r="114" spans="1:35" s="48" customFormat="1" x14ac:dyDescent="0.45">
      <c r="A114" s="3"/>
      <c r="H114"/>
      <c r="J114" s="49"/>
      <c r="K114" s="49"/>
      <c r="L114" s="50"/>
      <c r="M114" s="50"/>
      <c r="N114" s="50"/>
      <c r="O114" s="50"/>
      <c r="P114" s="50"/>
      <c r="Q114" s="50"/>
      <c r="R114" s="47"/>
      <c r="S114" s="50"/>
      <c r="T114" s="50"/>
      <c r="U114" s="50"/>
      <c r="V114" s="50"/>
      <c r="W114" s="50"/>
      <c r="X114"/>
      <c r="Y114"/>
      <c r="Z114"/>
      <c r="AA114"/>
      <c r="AB114"/>
      <c r="AC114"/>
      <c r="AD114"/>
      <c r="AE114"/>
      <c r="AF114"/>
      <c r="AG114"/>
      <c r="AH114"/>
      <c r="AI114"/>
    </row>
    <row r="115" spans="1:35" s="48" customFormat="1" x14ac:dyDescent="0.45">
      <c r="A115" s="3"/>
      <c r="H115"/>
      <c r="J115" s="49"/>
      <c r="K115" s="49"/>
      <c r="L115" s="50"/>
      <c r="M115" s="50"/>
      <c r="N115" s="50"/>
      <c r="O115" s="50"/>
      <c r="P115" s="50"/>
      <c r="Q115" s="50"/>
      <c r="R115" s="47"/>
      <c r="S115" s="50"/>
      <c r="T115" s="50"/>
      <c r="U115" s="50"/>
      <c r="V115" s="50"/>
      <c r="W115" s="50"/>
      <c r="X115"/>
      <c r="Y115"/>
      <c r="Z115"/>
      <c r="AA115"/>
      <c r="AB115"/>
      <c r="AC115"/>
      <c r="AD115"/>
      <c r="AE115"/>
      <c r="AF115"/>
      <c r="AG115"/>
      <c r="AH115"/>
      <c r="AI115"/>
    </row>
    <row r="116" spans="1:35" s="48" customFormat="1" x14ac:dyDescent="0.45">
      <c r="A116" s="3"/>
      <c r="H116"/>
      <c r="J116" s="49"/>
      <c r="K116" s="49"/>
      <c r="L116" s="50"/>
      <c r="M116" s="50"/>
      <c r="N116" s="50"/>
      <c r="O116" s="50"/>
      <c r="P116" s="50"/>
      <c r="Q116" s="50"/>
      <c r="R116" s="47"/>
      <c r="S116" s="50"/>
      <c r="T116" s="50"/>
      <c r="U116" s="50"/>
      <c r="V116" s="50"/>
      <c r="W116" s="50"/>
      <c r="X116"/>
      <c r="Y116"/>
      <c r="Z116"/>
      <c r="AA116"/>
      <c r="AB116"/>
      <c r="AC116"/>
      <c r="AD116"/>
      <c r="AE116"/>
      <c r="AF116"/>
      <c r="AG116"/>
      <c r="AH116"/>
      <c r="AI116"/>
    </row>
    <row r="117" spans="1:35" s="48" customFormat="1" x14ac:dyDescent="0.45">
      <c r="A117" s="3"/>
      <c r="H117"/>
      <c r="J117" s="49"/>
      <c r="K117" s="49"/>
      <c r="L117" s="50"/>
      <c r="M117" s="50"/>
      <c r="N117" s="50"/>
      <c r="O117" s="50"/>
      <c r="P117" s="50"/>
      <c r="Q117" s="50"/>
      <c r="R117" s="47"/>
      <c r="S117" s="50"/>
      <c r="T117" s="50"/>
      <c r="U117" s="50"/>
      <c r="V117" s="50"/>
      <c r="W117" s="50"/>
      <c r="X117"/>
      <c r="Y117"/>
      <c r="Z117"/>
      <c r="AA117"/>
      <c r="AB117"/>
      <c r="AC117"/>
      <c r="AD117"/>
      <c r="AE117"/>
      <c r="AF117"/>
      <c r="AG117"/>
      <c r="AH117"/>
      <c r="AI117"/>
    </row>
    <row r="118" spans="1:35" s="48" customFormat="1" x14ac:dyDescent="0.45">
      <c r="A118" s="3"/>
      <c r="H118"/>
      <c r="J118" s="49"/>
      <c r="K118" s="49"/>
      <c r="L118" s="50"/>
      <c r="M118" s="50"/>
      <c r="N118" s="50"/>
      <c r="O118" s="50"/>
      <c r="P118" s="50"/>
      <c r="Q118" s="50"/>
      <c r="R118" s="47"/>
      <c r="S118" s="50"/>
      <c r="T118" s="50"/>
      <c r="U118" s="50"/>
      <c r="V118" s="50"/>
      <c r="W118" s="50"/>
      <c r="X118"/>
      <c r="Y118"/>
      <c r="Z118"/>
      <c r="AA118"/>
      <c r="AB118"/>
      <c r="AC118"/>
      <c r="AD118"/>
      <c r="AE118"/>
      <c r="AF118"/>
      <c r="AG118"/>
      <c r="AH118"/>
      <c r="AI118"/>
    </row>
    <row r="119" spans="1:35" s="48" customFormat="1" x14ac:dyDescent="0.45">
      <c r="A119" s="3"/>
      <c r="H119"/>
      <c r="J119" s="49"/>
      <c r="K119" s="49"/>
      <c r="L119" s="50"/>
      <c r="M119" s="50"/>
      <c r="N119" s="50"/>
      <c r="O119" s="50"/>
      <c r="P119" s="50"/>
      <c r="Q119" s="50"/>
      <c r="R119" s="47"/>
      <c r="S119" s="50"/>
      <c r="T119" s="50"/>
      <c r="U119" s="50"/>
      <c r="V119" s="50"/>
      <c r="W119" s="50"/>
      <c r="X119"/>
      <c r="Y119"/>
      <c r="Z119"/>
      <c r="AA119"/>
      <c r="AB119"/>
      <c r="AC119"/>
      <c r="AD119"/>
      <c r="AE119"/>
      <c r="AF119"/>
      <c r="AG119"/>
      <c r="AH119"/>
      <c r="AI119"/>
    </row>
    <row r="120" spans="1:35" s="48" customFormat="1" x14ac:dyDescent="0.45">
      <c r="A120" s="3"/>
      <c r="H120"/>
      <c r="J120" s="49"/>
      <c r="K120" s="49"/>
      <c r="L120" s="50"/>
      <c r="M120" s="50"/>
      <c r="N120" s="50"/>
      <c r="O120" s="50"/>
      <c r="P120" s="50"/>
      <c r="Q120" s="50"/>
      <c r="R120" s="47"/>
      <c r="S120" s="50"/>
      <c r="T120" s="50"/>
      <c r="U120" s="50"/>
      <c r="V120" s="50"/>
      <c r="W120" s="50"/>
      <c r="X120"/>
      <c r="Y120"/>
      <c r="Z120"/>
      <c r="AA120"/>
      <c r="AB120"/>
      <c r="AC120"/>
      <c r="AD120"/>
      <c r="AE120"/>
      <c r="AF120"/>
      <c r="AG120"/>
      <c r="AH120"/>
      <c r="AI120"/>
    </row>
    <row r="121" spans="1:35" s="48" customFormat="1" x14ac:dyDescent="0.45">
      <c r="A121" s="3"/>
      <c r="H121"/>
      <c r="J121" s="49"/>
      <c r="K121" s="49"/>
      <c r="L121" s="50"/>
      <c r="M121" s="50"/>
      <c r="N121" s="50"/>
      <c r="O121" s="50"/>
      <c r="P121" s="50"/>
      <c r="Q121" s="50"/>
      <c r="R121" s="47"/>
      <c r="S121" s="50"/>
      <c r="T121" s="50"/>
      <c r="U121" s="50"/>
      <c r="V121" s="50"/>
      <c r="W121" s="50"/>
      <c r="X121"/>
      <c r="Y121"/>
      <c r="Z121"/>
      <c r="AA121"/>
      <c r="AB121"/>
      <c r="AC121"/>
      <c r="AD121"/>
      <c r="AE121"/>
      <c r="AF121"/>
      <c r="AG121"/>
      <c r="AH121"/>
      <c r="AI121"/>
    </row>
    <row r="122" spans="1:35" s="48" customFormat="1" x14ac:dyDescent="0.45">
      <c r="A122" s="3"/>
      <c r="H122"/>
      <c r="J122" s="49"/>
      <c r="K122" s="49"/>
      <c r="L122" s="50"/>
      <c r="M122" s="50"/>
      <c r="N122" s="50"/>
      <c r="O122" s="50"/>
      <c r="P122" s="50"/>
      <c r="Q122" s="50"/>
      <c r="R122" s="47"/>
      <c r="S122" s="50"/>
      <c r="T122" s="50"/>
      <c r="U122" s="50"/>
      <c r="V122" s="50"/>
      <c r="W122" s="50"/>
      <c r="X122"/>
      <c r="Y122"/>
      <c r="Z122"/>
      <c r="AA122"/>
      <c r="AB122"/>
      <c r="AC122"/>
      <c r="AD122"/>
      <c r="AE122"/>
      <c r="AF122"/>
      <c r="AG122"/>
      <c r="AH122"/>
      <c r="AI122"/>
    </row>
    <row r="123" spans="1:35" s="48" customFormat="1" x14ac:dyDescent="0.45">
      <c r="A123" s="3"/>
      <c r="H123"/>
      <c r="J123" s="49"/>
      <c r="K123" s="49"/>
      <c r="L123" s="50"/>
      <c r="M123" s="50"/>
      <c r="N123" s="50"/>
      <c r="O123" s="50"/>
      <c r="P123" s="50"/>
      <c r="Q123" s="50"/>
      <c r="R123" s="47"/>
      <c r="S123" s="50"/>
      <c r="T123" s="50"/>
      <c r="U123" s="50"/>
      <c r="V123" s="50"/>
      <c r="W123" s="50"/>
      <c r="X123"/>
      <c r="Y123"/>
      <c r="Z123"/>
      <c r="AA123"/>
      <c r="AB123"/>
      <c r="AC123"/>
      <c r="AD123"/>
      <c r="AE123"/>
      <c r="AF123"/>
      <c r="AG123"/>
      <c r="AH123"/>
      <c r="AI123"/>
    </row>
    <row r="124" spans="1:35" s="48" customFormat="1" x14ac:dyDescent="0.45">
      <c r="A124" s="3"/>
      <c r="H124"/>
      <c r="J124" s="49"/>
      <c r="K124" s="49"/>
      <c r="L124" s="50"/>
      <c r="M124" s="50"/>
      <c r="N124" s="50"/>
      <c r="O124" s="50"/>
      <c r="P124" s="50"/>
      <c r="Q124" s="50"/>
      <c r="R124" s="47"/>
      <c r="S124" s="50"/>
      <c r="T124" s="50"/>
      <c r="U124" s="50"/>
      <c r="V124" s="50"/>
      <c r="W124" s="50"/>
      <c r="X124"/>
      <c r="Y124"/>
      <c r="Z124"/>
      <c r="AA124"/>
      <c r="AB124"/>
      <c r="AC124"/>
      <c r="AD124"/>
      <c r="AE124"/>
      <c r="AF124"/>
      <c r="AG124"/>
      <c r="AH124"/>
      <c r="AI124"/>
    </row>
    <row r="125" spans="1:35" s="48" customFormat="1" x14ac:dyDescent="0.45">
      <c r="A125" s="3"/>
      <c r="H125"/>
      <c r="J125" s="49"/>
      <c r="K125" s="49"/>
      <c r="L125" s="50"/>
      <c r="M125" s="50"/>
      <c r="N125" s="50"/>
      <c r="O125" s="50"/>
      <c r="P125" s="50"/>
      <c r="Q125" s="50"/>
      <c r="R125" s="47"/>
      <c r="S125" s="50"/>
      <c r="T125" s="50"/>
      <c r="U125" s="50"/>
      <c r="V125" s="50"/>
      <c r="W125" s="50"/>
      <c r="X125"/>
      <c r="Y125"/>
      <c r="Z125"/>
      <c r="AA125"/>
      <c r="AB125"/>
      <c r="AC125"/>
      <c r="AD125"/>
      <c r="AE125"/>
      <c r="AF125"/>
      <c r="AG125"/>
      <c r="AH125"/>
      <c r="AI125"/>
    </row>
    <row r="126" spans="1:35" s="48" customFormat="1" x14ac:dyDescent="0.45">
      <c r="A126" s="3"/>
      <c r="H126"/>
      <c r="J126" s="49"/>
      <c r="K126" s="49"/>
      <c r="L126" s="50"/>
      <c r="M126" s="50"/>
      <c r="N126" s="50"/>
      <c r="O126" s="50"/>
      <c r="P126" s="50"/>
      <c r="Q126" s="50"/>
      <c r="R126" s="47"/>
      <c r="S126" s="50"/>
      <c r="T126" s="50"/>
      <c r="U126" s="50"/>
      <c r="V126" s="50"/>
      <c r="W126" s="50"/>
      <c r="X126"/>
      <c r="Y126"/>
      <c r="Z126"/>
      <c r="AA126"/>
      <c r="AB126"/>
      <c r="AC126"/>
      <c r="AD126"/>
      <c r="AE126"/>
      <c r="AF126"/>
      <c r="AG126"/>
      <c r="AH126"/>
      <c r="AI126"/>
    </row>
    <row r="127" spans="1:35" s="48" customFormat="1" x14ac:dyDescent="0.45">
      <c r="A127" s="3"/>
      <c r="H127"/>
      <c r="J127" s="49"/>
      <c r="K127" s="49"/>
      <c r="L127" s="50"/>
      <c r="M127" s="50"/>
      <c r="N127" s="50"/>
      <c r="O127" s="50"/>
      <c r="P127" s="50"/>
      <c r="Q127" s="50"/>
      <c r="R127" s="47"/>
      <c r="S127" s="50"/>
      <c r="T127" s="50"/>
      <c r="U127" s="50"/>
      <c r="V127" s="50"/>
      <c r="W127" s="50"/>
      <c r="X127"/>
      <c r="Y127"/>
      <c r="Z127"/>
      <c r="AA127"/>
      <c r="AB127"/>
      <c r="AC127"/>
      <c r="AD127"/>
      <c r="AE127"/>
      <c r="AF127"/>
      <c r="AG127"/>
      <c r="AH127"/>
      <c r="AI127"/>
    </row>
    <row r="128" spans="1:35" s="48" customFormat="1" x14ac:dyDescent="0.45">
      <c r="A128" s="3"/>
      <c r="H128"/>
      <c r="J128" s="49"/>
      <c r="K128" s="49"/>
      <c r="L128" s="50"/>
      <c r="M128" s="50"/>
      <c r="N128" s="50"/>
      <c r="O128" s="50"/>
      <c r="P128" s="50"/>
      <c r="Q128" s="50"/>
      <c r="R128" s="47"/>
      <c r="S128" s="50"/>
      <c r="T128" s="50"/>
      <c r="U128" s="50"/>
      <c r="V128" s="50"/>
      <c r="W128" s="50"/>
      <c r="X128"/>
      <c r="Y128"/>
      <c r="Z128"/>
      <c r="AA128"/>
      <c r="AB128"/>
      <c r="AC128"/>
      <c r="AD128"/>
      <c r="AE128"/>
      <c r="AF128"/>
      <c r="AG128"/>
      <c r="AH128"/>
      <c r="AI128"/>
    </row>
    <row r="129" spans="1:35" s="48" customFormat="1" x14ac:dyDescent="0.45">
      <c r="A129" s="3"/>
      <c r="H129"/>
      <c r="J129" s="49"/>
      <c r="K129" s="49"/>
      <c r="L129" s="50"/>
      <c r="M129" s="50"/>
      <c r="N129" s="50"/>
      <c r="O129" s="50"/>
      <c r="P129" s="50"/>
      <c r="Q129" s="50"/>
      <c r="R129" s="47"/>
      <c r="S129" s="50"/>
      <c r="T129" s="50"/>
      <c r="U129" s="50"/>
      <c r="V129" s="50"/>
      <c r="W129" s="50"/>
      <c r="X129"/>
      <c r="Y129"/>
      <c r="Z129"/>
      <c r="AA129"/>
      <c r="AB129"/>
      <c r="AC129"/>
      <c r="AD129"/>
      <c r="AE129"/>
      <c r="AF129"/>
      <c r="AG129"/>
      <c r="AH129"/>
      <c r="AI129"/>
    </row>
    <row r="130" spans="1:35" s="48" customFormat="1" x14ac:dyDescent="0.45">
      <c r="A130" s="3"/>
      <c r="H130"/>
      <c r="J130" s="49"/>
      <c r="K130" s="49"/>
      <c r="L130" s="50"/>
      <c r="M130" s="50"/>
      <c r="N130" s="50"/>
      <c r="O130" s="50"/>
      <c r="P130" s="50"/>
      <c r="Q130" s="50"/>
      <c r="R130" s="47"/>
      <c r="S130" s="50"/>
      <c r="T130" s="50"/>
      <c r="U130" s="50"/>
      <c r="V130" s="50"/>
      <c r="W130" s="50"/>
      <c r="X130"/>
      <c r="Y130"/>
      <c r="Z130"/>
      <c r="AA130"/>
      <c r="AB130"/>
      <c r="AC130"/>
      <c r="AD130"/>
      <c r="AE130"/>
      <c r="AF130"/>
      <c r="AG130"/>
      <c r="AH130"/>
      <c r="AI130"/>
    </row>
    <row r="131" spans="1:35" s="48" customFormat="1" x14ac:dyDescent="0.45">
      <c r="A131" s="3"/>
      <c r="H131"/>
      <c r="J131" s="49"/>
      <c r="K131" s="49"/>
      <c r="L131" s="50"/>
      <c r="M131" s="50"/>
      <c r="N131" s="50"/>
      <c r="O131" s="50"/>
      <c r="P131" s="50"/>
      <c r="Q131" s="50"/>
      <c r="R131" s="47"/>
      <c r="S131" s="50"/>
      <c r="T131" s="50"/>
      <c r="U131" s="50"/>
      <c r="V131" s="50"/>
      <c r="W131" s="50"/>
      <c r="X131"/>
      <c r="Y131"/>
      <c r="Z131"/>
      <c r="AA131"/>
      <c r="AB131"/>
      <c r="AC131"/>
      <c r="AD131"/>
      <c r="AE131"/>
      <c r="AF131"/>
      <c r="AG131"/>
      <c r="AH131"/>
      <c r="AI131"/>
    </row>
    <row r="132" spans="1:35" s="48" customFormat="1" x14ac:dyDescent="0.45">
      <c r="A132" s="3"/>
      <c r="H132"/>
      <c r="J132" s="49"/>
      <c r="K132" s="49"/>
      <c r="L132" s="50"/>
      <c r="M132" s="50"/>
      <c r="N132" s="50"/>
      <c r="O132" s="50"/>
      <c r="P132" s="50"/>
      <c r="Q132" s="50"/>
      <c r="R132" s="47"/>
      <c r="S132" s="50"/>
      <c r="T132" s="50"/>
      <c r="U132" s="50"/>
      <c r="V132" s="50"/>
      <c r="W132" s="50"/>
      <c r="X132"/>
      <c r="Y132"/>
      <c r="Z132"/>
      <c r="AA132"/>
      <c r="AB132"/>
      <c r="AC132"/>
      <c r="AD132"/>
      <c r="AE132"/>
      <c r="AF132"/>
      <c r="AG132"/>
      <c r="AH132"/>
      <c r="AI132"/>
    </row>
    <row r="133" spans="1:35" s="48" customFormat="1" x14ac:dyDescent="0.45">
      <c r="A133" s="3"/>
      <c r="H133"/>
      <c r="J133" s="49"/>
      <c r="K133" s="49"/>
      <c r="L133" s="50"/>
      <c r="M133" s="50"/>
      <c r="N133" s="50"/>
      <c r="O133" s="50"/>
      <c r="P133" s="50"/>
      <c r="Q133" s="50"/>
      <c r="R133" s="47"/>
      <c r="S133" s="50"/>
      <c r="T133" s="50"/>
      <c r="U133" s="50"/>
      <c r="V133" s="50"/>
      <c r="W133" s="50"/>
      <c r="X133"/>
      <c r="Y133"/>
      <c r="Z133"/>
      <c r="AA133"/>
      <c r="AB133"/>
      <c r="AC133"/>
      <c r="AD133"/>
      <c r="AE133"/>
      <c r="AF133"/>
      <c r="AG133"/>
      <c r="AH133"/>
      <c r="AI133"/>
    </row>
    <row r="134" spans="1:35" s="48" customFormat="1" x14ac:dyDescent="0.45">
      <c r="A134" s="3"/>
      <c r="H134"/>
      <c r="J134" s="49"/>
      <c r="K134" s="49"/>
      <c r="L134" s="50"/>
      <c r="M134" s="50"/>
      <c r="N134" s="50"/>
      <c r="O134" s="50"/>
      <c r="P134" s="50"/>
      <c r="Q134" s="50"/>
      <c r="R134" s="47"/>
      <c r="S134" s="50"/>
      <c r="T134" s="50"/>
      <c r="U134" s="50"/>
      <c r="V134" s="50"/>
      <c r="W134" s="50"/>
      <c r="X134"/>
      <c r="Y134"/>
      <c r="Z134"/>
      <c r="AA134"/>
      <c r="AB134"/>
      <c r="AC134"/>
      <c r="AD134"/>
      <c r="AE134"/>
      <c r="AF134"/>
      <c r="AG134"/>
      <c r="AH134"/>
      <c r="AI134"/>
    </row>
    <row r="135" spans="1:35" s="48" customFormat="1" x14ac:dyDescent="0.45">
      <c r="A135" s="3"/>
      <c r="H135"/>
      <c r="J135" s="49"/>
      <c r="K135" s="49"/>
      <c r="L135" s="50"/>
      <c r="M135" s="50"/>
      <c r="N135" s="50"/>
      <c r="O135" s="50"/>
      <c r="P135" s="50"/>
      <c r="Q135" s="50"/>
      <c r="R135" s="47"/>
      <c r="S135" s="50"/>
      <c r="T135" s="50"/>
      <c r="U135" s="50"/>
      <c r="V135" s="50"/>
      <c r="W135" s="50"/>
      <c r="X135"/>
      <c r="Y135"/>
      <c r="Z135"/>
      <c r="AA135"/>
      <c r="AB135"/>
      <c r="AC135"/>
      <c r="AD135"/>
      <c r="AE135"/>
      <c r="AF135"/>
      <c r="AG135"/>
      <c r="AH135"/>
      <c r="AI135"/>
    </row>
    <row r="136" spans="1:35" s="48" customFormat="1" x14ac:dyDescent="0.45">
      <c r="A136" s="3"/>
      <c r="H136"/>
      <c r="J136" s="49"/>
      <c r="K136" s="49"/>
      <c r="L136" s="50"/>
      <c r="M136" s="50"/>
      <c r="N136" s="50"/>
      <c r="O136" s="50"/>
      <c r="P136" s="50"/>
      <c r="Q136" s="50"/>
      <c r="R136" s="47"/>
      <c r="S136" s="50"/>
      <c r="T136" s="50"/>
      <c r="U136" s="50"/>
      <c r="V136" s="50"/>
      <c r="W136" s="50"/>
      <c r="X136"/>
      <c r="Y136"/>
      <c r="Z136"/>
      <c r="AA136"/>
      <c r="AB136"/>
      <c r="AC136"/>
      <c r="AD136"/>
      <c r="AE136"/>
      <c r="AF136"/>
      <c r="AG136"/>
      <c r="AH136"/>
      <c r="AI136"/>
    </row>
    <row r="137" spans="1:35" s="48" customFormat="1" x14ac:dyDescent="0.45">
      <c r="A137" s="3"/>
      <c r="H137"/>
      <c r="J137" s="49"/>
      <c r="K137" s="49"/>
      <c r="L137" s="50"/>
      <c r="M137" s="50"/>
      <c r="N137" s="50"/>
      <c r="O137" s="50"/>
      <c r="P137" s="50"/>
      <c r="Q137" s="50"/>
      <c r="R137" s="47"/>
      <c r="S137" s="50"/>
      <c r="T137" s="50"/>
      <c r="U137" s="50"/>
      <c r="V137" s="50"/>
      <c r="W137" s="50"/>
      <c r="X137"/>
      <c r="Y137"/>
      <c r="Z137"/>
      <c r="AA137"/>
      <c r="AB137"/>
      <c r="AC137"/>
      <c r="AD137"/>
      <c r="AE137"/>
      <c r="AF137"/>
      <c r="AG137"/>
      <c r="AH137"/>
      <c r="AI137"/>
    </row>
    <row r="138" spans="1:35" s="48" customFormat="1" x14ac:dyDescent="0.45">
      <c r="A138" s="3"/>
      <c r="H138"/>
      <c r="J138" s="49"/>
      <c r="K138" s="49"/>
      <c r="L138" s="50"/>
      <c r="M138" s="50"/>
      <c r="N138" s="50"/>
      <c r="O138" s="50"/>
      <c r="P138" s="50"/>
      <c r="Q138" s="50"/>
      <c r="R138" s="47"/>
      <c r="S138" s="50"/>
      <c r="T138" s="50"/>
      <c r="U138" s="50"/>
      <c r="V138" s="50"/>
      <c r="W138" s="50"/>
      <c r="X138"/>
      <c r="Y138"/>
      <c r="Z138"/>
      <c r="AA138"/>
      <c r="AB138"/>
      <c r="AC138"/>
      <c r="AD138"/>
      <c r="AE138"/>
      <c r="AF138"/>
      <c r="AG138"/>
      <c r="AH138"/>
      <c r="AI138"/>
    </row>
    <row r="139" spans="1:35" s="48" customFormat="1" x14ac:dyDescent="0.45">
      <c r="A139" s="3"/>
      <c r="H139"/>
      <c r="J139" s="49"/>
      <c r="K139" s="49"/>
      <c r="L139" s="50"/>
      <c r="M139" s="50"/>
      <c r="N139" s="50"/>
      <c r="O139" s="50"/>
      <c r="P139" s="50"/>
      <c r="Q139" s="50"/>
      <c r="R139" s="47"/>
      <c r="S139" s="50"/>
      <c r="T139" s="50"/>
      <c r="U139" s="50"/>
      <c r="V139" s="50"/>
      <c r="W139" s="50"/>
      <c r="X139"/>
      <c r="Y139"/>
      <c r="Z139"/>
      <c r="AA139"/>
      <c r="AB139"/>
      <c r="AC139"/>
      <c r="AD139"/>
      <c r="AE139"/>
      <c r="AF139"/>
      <c r="AG139"/>
      <c r="AH139"/>
      <c r="AI139"/>
    </row>
    <row r="140" spans="1:35" s="48" customFormat="1" x14ac:dyDescent="0.45">
      <c r="A140" s="3"/>
      <c r="H140"/>
      <c r="J140" s="49"/>
      <c r="K140" s="49"/>
      <c r="L140" s="50"/>
      <c r="M140" s="50"/>
      <c r="N140" s="50"/>
      <c r="O140" s="50"/>
      <c r="P140" s="50"/>
      <c r="Q140" s="50"/>
      <c r="R140" s="47"/>
      <c r="S140" s="50"/>
      <c r="T140" s="50"/>
      <c r="U140" s="50"/>
      <c r="V140" s="50"/>
      <c r="W140" s="50"/>
      <c r="X140"/>
      <c r="Y140"/>
      <c r="Z140"/>
      <c r="AA140"/>
      <c r="AB140"/>
      <c r="AC140"/>
      <c r="AD140"/>
      <c r="AE140"/>
      <c r="AF140"/>
      <c r="AG140"/>
      <c r="AH140"/>
      <c r="AI140"/>
    </row>
    <row r="141" spans="1:35" s="48" customFormat="1" x14ac:dyDescent="0.45">
      <c r="A141" s="3"/>
      <c r="H141"/>
      <c r="J141" s="49"/>
      <c r="K141" s="49"/>
      <c r="L141" s="50"/>
      <c r="M141" s="50"/>
      <c r="N141" s="50"/>
      <c r="O141" s="50"/>
      <c r="P141" s="50"/>
      <c r="Q141" s="50"/>
      <c r="R141" s="47"/>
      <c r="S141" s="50"/>
      <c r="T141" s="50"/>
      <c r="U141" s="50"/>
      <c r="V141" s="50"/>
      <c r="W141" s="50"/>
      <c r="X141"/>
      <c r="Y141"/>
      <c r="Z141"/>
      <c r="AA141"/>
      <c r="AB141"/>
      <c r="AC141"/>
      <c r="AD141"/>
      <c r="AE141"/>
      <c r="AF141"/>
      <c r="AG141"/>
      <c r="AH141"/>
      <c r="AI141"/>
    </row>
    <row r="142" spans="1:35" s="48" customFormat="1" x14ac:dyDescent="0.45">
      <c r="A142" s="3"/>
      <c r="H142"/>
      <c r="J142" s="49"/>
      <c r="K142" s="49"/>
      <c r="L142" s="50"/>
      <c r="M142" s="50"/>
      <c r="N142" s="50"/>
      <c r="O142" s="50"/>
      <c r="P142" s="50"/>
      <c r="Q142" s="50"/>
      <c r="R142" s="47"/>
      <c r="S142" s="50"/>
      <c r="T142" s="50"/>
      <c r="U142" s="50"/>
      <c r="V142" s="50"/>
      <c r="W142" s="50"/>
      <c r="X142"/>
      <c r="Y142"/>
      <c r="Z142"/>
      <c r="AA142"/>
      <c r="AB142"/>
      <c r="AC142"/>
      <c r="AD142"/>
      <c r="AE142"/>
      <c r="AF142"/>
      <c r="AG142"/>
      <c r="AH142"/>
      <c r="AI142"/>
    </row>
    <row r="143" spans="1:35" s="48" customFormat="1" x14ac:dyDescent="0.45">
      <c r="A143" s="3"/>
      <c r="H143"/>
      <c r="J143" s="49"/>
      <c r="K143" s="49"/>
      <c r="L143" s="50"/>
      <c r="M143" s="50"/>
      <c r="N143" s="50"/>
      <c r="O143" s="50"/>
      <c r="P143" s="50"/>
      <c r="Q143" s="50"/>
      <c r="R143" s="47"/>
      <c r="S143" s="50"/>
      <c r="T143" s="50"/>
      <c r="U143" s="50"/>
      <c r="V143" s="50"/>
      <c r="W143" s="50"/>
      <c r="X143"/>
      <c r="Y143"/>
      <c r="Z143"/>
      <c r="AA143"/>
      <c r="AB143"/>
      <c r="AC143"/>
      <c r="AD143"/>
      <c r="AE143"/>
      <c r="AF143"/>
      <c r="AG143"/>
      <c r="AH143"/>
      <c r="AI143"/>
    </row>
    <row r="144" spans="1:35" s="48" customFormat="1" x14ac:dyDescent="0.45">
      <c r="A144" s="3"/>
      <c r="H144"/>
      <c r="J144" s="49"/>
      <c r="K144" s="49"/>
      <c r="L144" s="50"/>
      <c r="M144" s="50"/>
      <c r="N144" s="50"/>
      <c r="O144" s="50"/>
      <c r="P144" s="50"/>
      <c r="Q144" s="50"/>
      <c r="R144" s="47"/>
      <c r="S144" s="50"/>
      <c r="T144" s="50"/>
      <c r="U144" s="50"/>
      <c r="V144" s="50"/>
      <c r="W144" s="50"/>
      <c r="X144"/>
      <c r="Y144"/>
      <c r="Z144"/>
      <c r="AA144"/>
      <c r="AB144"/>
      <c r="AC144"/>
      <c r="AD144"/>
      <c r="AE144"/>
      <c r="AF144"/>
      <c r="AG144"/>
      <c r="AH144"/>
      <c r="AI144"/>
    </row>
    <row r="145" spans="1:35" s="48" customFormat="1" x14ac:dyDescent="0.45">
      <c r="A145" s="3"/>
      <c r="H145"/>
      <c r="J145" s="49"/>
      <c r="K145" s="49"/>
      <c r="L145" s="50"/>
      <c r="M145" s="50"/>
      <c r="N145" s="50"/>
      <c r="O145" s="50"/>
      <c r="P145" s="50"/>
      <c r="Q145" s="50"/>
      <c r="R145" s="47"/>
      <c r="S145" s="50"/>
      <c r="T145" s="50"/>
      <c r="U145" s="50"/>
      <c r="V145" s="50"/>
      <c r="W145" s="50"/>
      <c r="X145"/>
      <c r="Y145"/>
      <c r="Z145"/>
      <c r="AA145"/>
      <c r="AB145"/>
      <c r="AC145"/>
      <c r="AD145"/>
      <c r="AE145"/>
      <c r="AF145"/>
      <c r="AG145"/>
      <c r="AH145"/>
      <c r="AI145"/>
    </row>
    <row r="146" spans="1:35" s="48" customFormat="1" x14ac:dyDescent="0.45">
      <c r="A146" s="3"/>
      <c r="H146"/>
      <c r="J146" s="49"/>
      <c r="K146" s="49"/>
      <c r="L146" s="50"/>
      <c r="M146" s="50"/>
      <c r="N146" s="50"/>
      <c r="O146" s="50"/>
      <c r="P146" s="50"/>
      <c r="Q146" s="50"/>
      <c r="R146" s="47"/>
      <c r="S146" s="50"/>
      <c r="T146" s="50"/>
      <c r="U146" s="50"/>
      <c r="V146" s="50"/>
      <c r="W146" s="50"/>
      <c r="X146"/>
      <c r="Y146"/>
      <c r="Z146"/>
      <c r="AA146"/>
      <c r="AB146"/>
      <c r="AC146"/>
      <c r="AD146"/>
      <c r="AE146"/>
      <c r="AF146"/>
      <c r="AG146"/>
      <c r="AH146"/>
      <c r="AI146"/>
    </row>
    <row r="147" spans="1:35" s="48" customFormat="1" x14ac:dyDescent="0.45">
      <c r="A147" s="3"/>
      <c r="H147"/>
      <c r="J147" s="49"/>
      <c r="K147" s="49"/>
      <c r="L147" s="50"/>
      <c r="M147" s="50"/>
      <c r="N147" s="50"/>
      <c r="O147" s="50"/>
      <c r="P147" s="50"/>
      <c r="Q147" s="50"/>
      <c r="R147" s="47"/>
      <c r="S147" s="50"/>
      <c r="T147" s="50"/>
      <c r="U147" s="50"/>
      <c r="V147" s="50"/>
      <c r="W147" s="50"/>
      <c r="X147"/>
      <c r="Y147"/>
      <c r="Z147"/>
      <c r="AA147"/>
      <c r="AB147"/>
      <c r="AC147"/>
      <c r="AD147"/>
      <c r="AE147"/>
      <c r="AF147"/>
      <c r="AG147"/>
      <c r="AH147"/>
      <c r="AI147"/>
    </row>
    <row r="148" spans="1:35" s="48" customFormat="1" x14ac:dyDescent="0.45">
      <c r="A148" s="3"/>
      <c r="H148"/>
      <c r="J148" s="49"/>
      <c r="K148" s="49"/>
      <c r="L148" s="50"/>
      <c r="M148" s="50"/>
      <c r="N148" s="50"/>
      <c r="O148" s="50"/>
      <c r="P148" s="50"/>
      <c r="Q148" s="50"/>
      <c r="R148" s="47"/>
      <c r="S148" s="50"/>
      <c r="T148" s="50"/>
      <c r="U148" s="50"/>
      <c r="V148" s="50"/>
      <c r="W148" s="50"/>
      <c r="X148"/>
      <c r="Y148"/>
      <c r="Z148"/>
      <c r="AA148"/>
      <c r="AB148"/>
      <c r="AC148"/>
      <c r="AD148"/>
      <c r="AE148"/>
      <c r="AF148"/>
      <c r="AG148"/>
      <c r="AH148"/>
      <c r="AI148"/>
    </row>
    <row r="149" spans="1:35" s="48" customFormat="1" x14ac:dyDescent="0.45">
      <c r="A149" s="3"/>
      <c r="H149"/>
      <c r="J149" s="49"/>
      <c r="K149" s="49"/>
      <c r="L149" s="50"/>
      <c r="M149" s="50"/>
      <c r="N149" s="50"/>
      <c r="O149" s="50"/>
      <c r="P149" s="50"/>
      <c r="Q149" s="50"/>
      <c r="R149" s="47"/>
      <c r="S149" s="50"/>
      <c r="T149" s="50"/>
      <c r="U149" s="50"/>
      <c r="V149" s="50"/>
      <c r="W149" s="50"/>
      <c r="X149"/>
      <c r="Y149"/>
      <c r="Z149"/>
      <c r="AA149"/>
      <c r="AB149"/>
      <c r="AC149"/>
      <c r="AD149"/>
      <c r="AE149"/>
      <c r="AF149"/>
      <c r="AG149"/>
      <c r="AH149"/>
      <c r="AI149"/>
    </row>
    <row r="150" spans="1:35" s="48" customFormat="1" x14ac:dyDescent="0.45">
      <c r="A150" s="3"/>
      <c r="H150"/>
      <c r="J150" s="49"/>
      <c r="K150" s="49"/>
      <c r="L150" s="50"/>
      <c r="M150" s="50"/>
      <c r="N150" s="50"/>
      <c r="O150" s="50"/>
      <c r="P150" s="50"/>
      <c r="Q150" s="50"/>
      <c r="R150" s="47"/>
      <c r="S150" s="50"/>
      <c r="T150" s="50"/>
      <c r="U150" s="50"/>
      <c r="V150" s="50"/>
      <c r="W150" s="50"/>
      <c r="X150"/>
      <c r="Y150"/>
      <c r="Z150"/>
      <c r="AA150"/>
      <c r="AB150"/>
      <c r="AC150"/>
      <c r="AD150"/>
      <c r="AE150"/>
      <c r="AF150"/>
      <c r="AG150"/>
      <c r="AH150"/>
      <c r="AI150"/>
    </row>
    <row r="151" spans="1:35" s="48" customFormat="1" x14ac:dyDescent="0.45">
      <c r="A151" s="3"/>
      <c r="H151"/>
      <c r="J151" s="49"/>
      <c r="K151" s="49"/>
      <c r="L151" s="50"/>
      <c r="M151" s="50"/>
      <c r="N151" s="50"/>
      <c r="O151" s="50"/>
      <c r="P151" s="50"/>
      <c r="Q151" s="50"/>
      <c r="R151" s="47"/>
      <c r="S151" s="50"/>
      <c r="T151" s="50"/>
      <c r="U151" s="50"/>
      <c r="V151" s="50"/>
      <c r="W151" s="50"/>
      <c r="X151"/>
      <c r="Y151"/>
      <c r="Z151"/>
      <c r="AA151"/>
      <c r="AB151"/>
      <c r="AC151"/>
      <c r="AD151"/>
      <c r="AE151"/>
      <c r="AF151"/>
      <c r="AG151"/>
      <c r="AH151"/>
      <c r="AI151"/>
    </row>
    <row r="152" spans="1:35" s="48" customFormat="1" x14ac:dyDescent="0.45">
      <c r="A152" s="3"/>
      <c r="H152"/>
      <c r="J152" s="49"/>
      <c r="K152" s="49"/>
      <c r="L152" s="50"/>
      <c r="M152" s="50"/>
      <c r="N152" s="50"/>
      <c r="O152" s="50"/>
      <c r="P152" s="50"/>
      <c r="Q152" s="50"/>
      <c r="R152" s="47"/>
      <c r="S152" s="50"/>
      <c r="T152" s="50"/>
      <c r="U152" s="50"/>
      <c r="V152" s="50"/>
      <c r="W152" s="50"/>
      <c r="X152"/>
      <c r="Y152"/>
      <c r="Z152"/>
      <c r="AA152"/>
      <c r="AB152"/>
      <c r="AC152"/>
      <c r="AD152"/>
      <c r="AE152"/>
      <c r="AF152"/>
      <c r="AG152"/>
      <c r="AH152"/>
      <c r="AI152"/>
    </row>
    <row r="153" spans="1:35" s="48" customFormat="1" x14ac:dyDescent="0.45">
      <c r="A153" s="3"/>
      <c r="H153"/>
      <c r="J153" s="49"/>
      <c r="K153" s="49"/>
      <c r="L153" s="50"/>
      <c r="M153" s="50"/>
      <c r="N153" s="50"/>
      <c r="O153" s="50"/>
      <c r="P153" s="50"/>
      <c r="Q153" s="50"/>
      <c r="R153" s="47"/>
      <c r="S153" s="50"/>
      <c r="T153" s="50"/>
      <c r="U153" s="50"/>
      <c r="V153" s="50"/>
      <c r="W153" s="50"/>
      <c r="X153"/>
      <c r="Y153"/>
      <c r="Z153"/>
      <c r="AA153"/>
      <c r="AB153"/>
      <c r="AC153"/>
      <c r="AD153"/>
      <c r="AE153"/>
      <c r="AF153"/>
      <c r="AG153"/>
      <c r="AH153"/>
      <c r="AI153"/>
    </row>
    <row r="154" spans="1:35" s="48" customFormat="1" x14ac:dyDescent="0.45">
      <c r="A154" s="3"/>
      <c r="H154"/>
      <c r="J154" s="49"/>
      <c r="K154" s="49"/>
      <c r="L154" s="50"/>
      <c r="M154" s="50"/>
      <c r="N154" s="50"/>
      <c r="O154" s="50"/>
      <c r="P154" s="50"/>
      <c r="Q154" s="50"/>
      <c r="R154" s="47"/>
      <c r="S154" s="50"/>
      <c r="T154" s="50"/>
      <c r="U154" s="50"/>
      <c r="V154" s="50"/>
      <c r="W154" s="50"/>
      <c r="X154"/>
      <c r="Y154"/>
      <c r="Z154"/>
      <c r="AA154"/>
      <c r="AB154"/>
      <c r="AC154"/>
      <c r="AD154"/>
      <c r="AE154"/>
      <c r="AF154"/>
      <c r="AG154"/>
      <c r="AH154"/>
      <c r="AI154"/>
    </row>
    <row r="155" spans="1:35" s="48" customFormat="1" x14ac:dyDescent="0.45">
      <c r="A155" s="3"/>
      <c r="H155"/>
      <c r="J155" s="49"/>
      <c r="K155" s="49"/>
      <c r="L155" s="50"/>
      <c r="M155" s="50"/>
      <c r="N155" s="50"/>
      <c r="O155" s="50"/>
      <c r="P155" s="50"/>
      <c r="Q155" s="50"/>
      <c r="R155" s="47"/>
      <c r="S155" s="50"/>
      <c r="T155" s="50"/>
      <c r="U155" s="50"/>
      <c r="V155" s="50"/>
      <c r="W155" s="50"/>
      <c r="X155"/>
      <c r="Y155"/>
      <c r="Z155"/>
      <c r="AA155"/>
      <c r="AB155"/>
      <c r="AC155"/>
      <c r="AD155"/>
      <c r="AE155"/>
      <c r="AF155"/>
      <c r="AG155"/>
      <c r="AH155"/>
      <c r="AI155"/>
    </row>
    <row r="156" spans="1:35" s="48" customFormat="1" x14ac:dyDescent="0.45">
      <c r="A156" s="3"/>
      <c r="H156"/>
      <c r="J156" s="49"/>
      <c r="K156" s="49"/>
      <c r="L156" s="50"/>
      <c r="M156" s="50"/>
      <c r="N156" s="50"/>
      <c r="O156" s="50"/>
      <c r="P156" s="50"/>
      <c r="Q156" s="50"/>
      <c r="R156" s="47"/>
      <c r="S156" s="50"/>
      <c r="T156" s="50"/>
      <c r="U156" s="50"/>
      <c r="V156" s="50"/>
      <c r="W156" s="50"/>
      <c r="X156"/>
      <c r="Y156"/>
      <c r="Z156"/>
      <c r="AA156"/>
      <c r="AB156"/>
      <c r="AC156"/>
      <c r="AD156"/>
      <c r="AE156"/>
      <c r="AF156"/>
      <c r="AG156"/>
      <c r="AH156"/>
      <c r="AI156"/>
    </row>
    <row r="157" spans="1:35" s="48" customFormat="1" x14ac:dyDescent="0.45">
      <c r="A157" s="3"/>
      <c r="H157"/>
      <c r="J157" s="49"/>
      <c r="K157" s="49"/>
      <c r="L157" s="50"/>
      <c r="M157" s="50"/>
      <c r="N157" s="50"/>
      <c r="O157" s="50"/>
      <c r="P157" s="50"/>
      <c r="Q157" s="50"/>
      <c r="R157" s="47"/>
      <c r="S157" s="50"/>
      <c r="T157" s="50"/>
      <c r="U157" s="50"/>
      <c r="V157" s="50"/>
      <c r="W157" s="50"/>
      <c r="X157"/>
      <c r="Y157"/>
      <c r="Z157"/>
      <c r="AA157"/>
      <c r="AB157"/>
      <c r="AC157"/>
      <c r="AD157"/>
      <c r="AE157"/>
      <c r="AF157"/>
      <c r="AG157"/>
      <c r="AH157"/>
      <c r="AI157"/>
    </row>
    <row r="158" spans="1:35" s="48" customFormat="1" x14ac:dyDescent="0.45">
      <c r="A158" s="3"/>
      <c r="H158"/>
      <c r="J158" s="49"/>
      <c r="K158" s="49"/>
      <c r="L158" s="50"/>
      <c r="M158" s="50"/>
      <c r="N158" s="50"/>
      <c r="O158" s="50"/>
      <c r="P158" s="50"/>
      <c r="Q158" s="50"/>
      <c r="R158" s="47"/>
      <c r="S158" s="50"/>
      <c r="T158" s="50"/>
      <c r="U158" s="50"/>
      <c r="V158" s="50"/>
      <c r="W158" s="50"/>
      <c r="X158"/>
      <c r="Y158"/>
      <c r="Z158"/>
      <c r="AA158"/>
      <c r="AB158"/>
      <c r="AC158"/>
      <c r="AD158"/>
      <c r="AE158"/>
      <c r="AF158"/>
      <c r="AG158"/>
      <c r="AH158"/>
      <c r="AI158"/>
    </row>
    <row r="159" spans="1:35" s="48" customFormat="1" x14ac:dyDescent="0.45">
      <c r="A159" s="3"/>
      <c r="H159"/>
      <c r="J159" s="49"/>
      <c r="K159" s="49"/>
      <c r="L159" s="50"/>
      <c r="M159" s="50"/>
      <c r="N159" s="50"/>
      <c r="O159" s="50"/>
      <c r="P159" s="50"/>
      <c r="Q159" s="50"/>
      <c r="R159" s="47"/>
      <c r="S159" s="50"/>
      <c r="T159" s="50"/>
      <c r="U159" s="50"/>
      <c r="V159" s="50"/>
      <c r="W159" s="50"/>
      <c r="X159"/>
      <c r="Y159"/>
      <c r="Z159"/>
      <c r="AA159"/>
      <c r="AB159"/>
      <c r="AC159"/>
      <c r="AD159"/>
      <c r="AE159"/>
      <c r="AF159"/>
      <c r="AG159"/>
      <c r="AH159"/>
      <c r="AI159"/>
    </row>
    <row r="160" spans="1:35" s="48" customFormat="1" x14ac:dyDescent="0.45">
      <c r="A160" s="3"/>
      <c r="H160"/>
      <c r="J160" s="49"/>
      <c r="K160" s="49"/>
      <c r="L160" s="50"/>
      <c r="M160" s="50"/>
      <c r="N160" s="50"/>
      <c r="O160" s="50"/>
      <c r="P160" s="50"/>
      <c r="Q160" s="50"/>
      <c r="R160" s="47"/>
      <c r="S160" s="50"/>
      <c r="T160" s="50"/>
      <c r="U160" s="50"/>
      <c r="V160" s="50"/>
      <c r="W160" s="50"/>
      <c r="X160"/>
      <c r="Y160"/>
      <c r="Z160"/>
      <c r="AA160"/>
      <c r="AB160"/>
      <c r="AC160"/>
      <c r="AD160"/>
      <c r="AE160"/>
      <c r="AF160"/>
      <c r="AG160"/>
      <c r="AH160"/>
      <c r="AI160"/>
    </row>
    <row r="161" spans="1:35" s="48" customFormat="1" x14ac:dyDescent="0.45">
      <c r="A161" s="3"/>
      <c r="H161"/>
      <c r="J161" s="49"/>
      <c r="K161" s="49"/>
      <c r="L161" s="50"/>
      <c r="M161" s="50"/>
      <c r="N161" s="50"/>
      <c r="O161" s="50"/>
      <c r="P161" s="50"/>
      <c r="Q161" s="50"/>
      <c r="R161" s="47"/>
      <c r="S161" s="50"/>
      <c r="T161" s="50"/>
      <c r="U161" s="50"/>
      <c r="V161" s="50"/>
      <c r="W161" s="50"/>
      <c r="X161"/>
      <c r="Y161"/>
      <c r="Z161"/>
      <c r="AA161"/>
      <c r="AB161"/>
      <c r="AC161"/>
      <c r="AD161"/>
      <c r="AE161"/>
      <c r="AF161"/>
      <c r="AG161"/>
      <c r="AH161"/>
      <c r="AI161"/>
    </row>
    <row r="162" spans="1:35" s="48" customFormat="1" x14ac:dyDescent="0.45">
      <c r="A162" s="3"/>
      <c r="H162"/>
      <c r="J162" s="49"/>
      <c r="K162" s="49"/>
      <c r="L162" s="50"/>
      <c r="M162" s="50"/>
      <c r="N162" s="50"/>
      <c r="O162" s="50"/>
      <c r="P162" s="50"/>
      <c r="Q162" s="50"/>
      <c r="R162" s="47"/>
      <c r="S162" s="50"/>
      <c r="T162" s="50"/>
      <c r="U162" s="50"/>
      <c r="V162" s="50"/>
      <c r="W162" s="50"/>
      <c r="X162"/>
      <c r="Y162"/>
      <c r="Z162"/>
      <c r="AA162"/>
      <c r="AB162"/>
      <c r="AC162"/>
      <c r="AD162"/>
      <c r="AE162"/>
      <c r="AF162"/>
      <c r="AG162"/>
      <c r="AH162"/>
      <c r="AI162"/>
    </row>
    <row r="163" spans="1:35" s="48" customFormat="1" x14ac:dyDescent="0.45">
      <c r="A163" s="3"/>
      <c r="H163"/>
      <c r="J163" s="49"/>
      <c r="K163" s="49"/>
      <c r="L163" s="50"/>
      <c r="M163" s="50"/>
      <c r="N163" s="50"/>
      <c r="O163" s="50"/>
      <c r="P163" s="50"/>
      <c r="Q163" s="50"/>
      <c r="R163" s="47"/>
      <c r="S163" s="50"/>
      <c r="T163" s="50"/>
      <c r="U163" s="50"/>
      <c r="V163" s="50"/>
      <c r="W163" s="50"/>
      <c r="X163"/>
      <c r="Y163"/>
      <c r="Z163"/>
      <c r="AA163"/>
      <c r="AB163"/>
      <c r="AC163"/>
      <c r="AD163"/>
      <c r="AE163"/>
      <c r="AF163"/>
      <c r="AG163"/>
      <c r="AH163"/>
      <c r="AI163"/>
    </row>
    <row r="164" spans="1:35" s="48" customFormat="1" x14ac:dyDescent="0.45">
      <c r="A164" s="3"/>
      <c r="H164"/>
      <c r="J164" s="49"/>
      <c r="K164" s="49"/>
      <c r="L164" s="50"/>
      <c r="M164" s="50"/>
      <c r="N164" s="50"/>
      <c r="O164" s="50"/>
      <c r="P164" s="50"/>
      <c r="Q164" s="50"/>
      <c r="R164" s="47"/>
      <c r="S164" s="50"/>
      <c r="T164" s="50"/>
      <c r="U164" s="50"/>
      <c r="V164" s="50"/>
      <c r="W164" s="50"/>
      <c r="X164"/>
      <c r="Y164"/>
      <c r="Z164"/>
      <c r="AA164"/>
      <c r="AB164"/>
      <c r="AC164"/>
      <c r="AD164"/>
      <c r="AE164"/>
      <c r="AF164"/>
      <c r="AG164"/>
      <c r="AH164"/>
      <c r="AI164"/>
    </row>
    <row r="165" spans="1:35" s="48" customFormat="1" x14ac:dyDescent="0.45">
      <c r="A165" s="3"/>
      <c r="H165"/>
      <c r="J165" s="49"/>
      <c r="K165" s="49"/>
      <c r="L165" s="50"/>
      <c r="M165" s="50"/>
      <c r="N165" s="50"/>
      <c r="O165" s="50"/>
      <c r="P165" s="50"/>
      <c r="Q165" s="50"/>
      <c r="R165" s="47"/>
      <c r="S165" s="50"/>
      <c r="T165" s="50"/>
      <c r="U165" s="50"/>
      <c r="V165" s="50"/>
      <c r="W165" s="50"/>
      <c r="X165"/>
      <c r="Y165"/>
      <c r="Z165"/>
      <c r="AA165"/>
      <c r="AB165"/>
      <c r="AC165"/>
      <c r="AD165"/>
      <c r="AE165"/>
      <c r="AF165"/>
      <c r="AG165"/>
      <c r="AH165"/>
      <c r="AI165"/>
    </row>
    <row r="166" spans="1:35" s="48" customFormat="1" x14ac:dyDescent="0.45">
      <c r="A166" s="3"/>
      <c r="H166"/>
      <c r="J166" s="49"/>
      <c r="K166" s="49"/>
      <c r="L166" s="50"/>
      <c r="M166" s="50"/>
      <c r="N166" s="50"/>
      <c r="O166" s="50"/>
      <c r="P166" s="50"/>
      <c r="Q166" s="50"/>
      <c r="R166" s="47"/>
      <c r="S166" s="50"/>
      <c r="T166" s="50"/>
      <c r="U166" s="50"/>
      <c r="V166" s="50"/>
      <c r="W166" s="50"/>
      <c r="X166"/>
      <c r="Y166"/>
      <c r="Z166"/>
      <c r="AA166"/>
      <c r="AB166"/>
      <c r="AC166"/>
      <c r="AD166"/>
      <c r="AE166"/>
      <c r="AF166"/>
      <c r="AG166"/>
      <c r="AH166"/>
      <c r="AI166"/>
    </row>
    <row r="167" spans="1:35" s="48" customFormat="1" x14ac:dyDescent="0.45">
      <c r="A167" s="3"/>
      <c r="H167"/>
      <c r="J167" s="49"/>
      <c r="K167" s="49"/>
      <c r="L167" s="50"/>
      <c r="M167" s="50"/>
      <c r="N167" s="50"/>
      <c r="O167" s="50"/>
      <c r="P167" s="50"/>
      <c r="Q167" s="50"/>
      <c r="R167" s="47"/>
      <c r="S167" s="50"/>
      <c r="T167" s="50"/>
      <c r="U167" s="50"/>
      <c r="V167" s="50"/>
      <c r="W167" s="50"/>
      <c r="X167"/>
      <c r="Y167"/>
      <c r="Z167"/>
      <c r="AA167"/>
      <c r="AB167"/>
      <c r="AC167"/>
      <c r="AD167"/>
      <c r="AE167"/>
      <c r="AF167"/>
      <c r="AG167"/>
      <c r="AH167"/>
      <c r="AI167"/>
    </row>
    <row r="168" spans="1:35" s="48" customFormat="1" x14ac:dyDescent="0.45">
      <c r="A168" s="3"/>
      <c r="H168"/>
      <c r="J168" s="49"/>
      <c r="K168" s="49"/>
      <c r="L168" s="50"/>
      <c r="M168" s="50"/>
      <c r="N168" s="50"/>
      <c r="O168" s="50"/>
      <c r="P168" s="50"/>
      <c r="Q168" s="50"/>
      <c r="R168" s="47"/>
      <c r="S168" s="50"/>
      <c r="T168" s="50"/>
      <c r="U168" s="50"/>
      <c r="V168" s="50"/>
      <c r="W168" s="50"/>
      <c r="X168"/>
      <c r="Y168"/>
      <c r="Z168"/>
      <c r="AA168"/>
      <c r="AB168"/>
      <c r="AC168"/>
      <c r="AD168"/>
      <c r="AE168"/>
      <c r="AF168"/>
      <c r="AG168"/>
      <c r="AH168"/>
      <c r="AI168"/>
    </row>
    <row r="169" spans="1:35" s="48" customFormat="1" x14ac:dyDescent="0.45">
      <c r="A169" s="3"/>
      <c r="H169"/>
      <c r="J169" s="49"/>
      <c r="K169" s="49"/>
      <c r="L169" s="50"/>
      <c r="M169" s="50"/>
      <c r="N169" s="50"/>
      <c r="O169" s="50"/>
      <c r="P169" s="50"/>
      <c r="Q169" s="50"/>
      <c r="R169" s="47"/>
      <c r="S169" s="50"/>
      <c r="T169" s="50"/>
      <c r="U169" s="50"/>
      <c r="V169" s="50"/>
      <c r="W169" s="50"/>
      <c r="X169"/>
      <c r="Y169"/>
      <c r="Z169"/>
      <c r="AA169"/>
      <c r="AB169"/>
      <c r="AC169"/>
      <c r="AD169"/>
      <c r="AE169"/>
      <c r="AF169"/>
      <c r="AG169"/>
      <c r="AH169"/>
      <c r="AI169"/>
    </row>
    <row r="170" spans="1:35" s="48" customFormat="1" x14ac:dyDescent="0.45">
      <c r="A170" s="3"/>
      <c r="H170"/>
      <c r="J170" s="49"/>
      <c r="K170" s="49"/>
      <c r="L170" s="50"/>
      <c r="M170" s="50"/>
      <c r="N170" s="50"/>
      <c r="O170" s="50"/>
      <c r="P170" s="50"/>
      <c r="Q170" s="50"/>
      <c r="R170" s="47"/>
      <c r="S170" s="50"/>
      <c r="T170" s="50"/>
      <c r="U170" s="50"/>
      <c r="V170" s="50"/>
      <c r="W170" s="50"/>
      <c r="X170"/>
      <c r="Y170"/>
      <c r="Z170"/>
      <c r="AA170"/>
      <c r="AB170"/>
      <c r="AC170"/>
      <c r="AD170"/>
      <c r="AE170"/>
      <c r="AF170"/>
      <c r="AG170"/>
      <c r="AH170"/>
      <c r="AI170"/>
    </row>
    <row r="171" spans="1:35" s="48" customFormat="1" x14ac:dyDescent="0.45">
      <c r="A171" s="3"/>
      <c r="H171"/>
      <c r="J171" s="49"/>
      <c r="K171" s="49"/>
      <c r="L171" s="50"/>
      <c r="M171" s="50"/>
      <c r="N171" s="50"/>
      <c r="O171" s="50"/>
      <c r="P171" s="50"/>
      <c r="Q171" s="50"/>
      <c r="R171" s="47"/>
      <c r="S171" s="50"/>
      <c r="T171" s="50"/>
      <c r="U171" s="50"/>
      <c r="V171" s="50"/>
      <c r="W171" s="50"/>
      <c r="X171"/>
      <c r="Y171"/>
      <c r="Z171"/>
      <c r="AA171"/>
      <c r="AB171"/>
      <c r="AC171"/>
      <c r="AD171"/>
      <c r="AE171"/>
      <c r="AF171"/>
      <c r="AG171"/>
      <c r="AH171"/>
      <c r="AI171"/>
    </row>
    <row r="172" spans="1:35" s="48" customFormat="1" x14ac:dyDescent="0.45">
      <c r="A172" s="3"/>
      <c r="H172"/>
      <c r="J172" s="49"/>
      <c r="K172" s="49"/>
      <c r="L172" s="50"/>
      <c r="M172" s="50"/>
      <c r="N172" s="50"/>
      <c r="O172" s="50"/>
      <c r="P172" s="50"/>
      <c r="Q172" s="50"/>
      <c r="R172" s="47"/>
      <c r="S172" s="50"/>
      <c r="T172" s="50"/>
      <c r="U172" s="50"/>
      <c r="V172" s="50"/>
      <c r="W172" s="50"/>
      <c r="X172"/>
      <c r="Y172"/>
      <c r="Z172"/>
      <c r="AA172"/>
      <c r="AB172"/>
      <c r="AC172"/>
      <c r="AD172"/>
      <c r="AE172"/>
      <c r="AF172"/>
      <c r="AG172"/>
      <c r="AH172"/>
      <c r="AI172"/>
    </row>
    <row r="173" spans="1:35" s="48" customFormat="1" x14ac:dyDescent="0.45">
      <c r="A173" s="3"/>
      <c r="H173"/>
      <c r="J173" s="49"/>
      <c r="K173" s="49"/>
      <c r="L173" s="50"/>
      <c r="M173" s="50"/>
      <c r="N173" s="50"/>
      <c r="O173" s="50"/>
      <c r="P173" s="50"/>
      <c r="Q173" s="50"/>
      <c r="R173" s="47"/>
      <c r="S173" s="50"/>
      <c r="T173" s="50"/>
      <c r="U173" s="50"/>
      <c r="V173" s="50"/>
      <c r="W173" s="50"/>
      <c r="X173"/>
      <c r="Y173"/>
      <c r="Z173"/>
      <c r="AA173"/>
      <c r="AB173"/>
      <c r="AC173"/>
      <c r="AD173"/>
      <c r="AE173"/>
      <c r="AF173"/>
      <c r="AG173"/>
      <c r="AH173"/>
      <c r="AI173"/>
    </row>
    <row r="174" spans="1:35" s="48" customFormat="1" x14ac:dyDescent="0.45">
      <c r="A174" s="3"/>
      <c r="H174"/>
      <c r="J174" s="49"/>
      <c r="K174" s="49"/>
      <c r="L174" s="50"/>
      <c r="M174" s="50"/>
      <c r="N174" s="50"/>
      <c r="O174" s="50"/>
      <c r="P174" s="50"/>
      <c r="Q174" s="50"/>
      <c r="R174" s="47"/>
      <c r="S174" s="50"/>
      <c r="T174" s="50"/>
      <c r="U174" s="50"/>
      <c r="V174" s="50"/>
      <c r="W174" s="50"/>
      <c r="X174"/>
      <c r="Y174"/>
      <c r="Z174"/>
      <c r="AA174"/>
      <c r="AB174"/>
      <c r="AC174"/>
      <c r="AD174"/>
      <c r="AE174"/>
      <c r="AF174"/>
      <c r="AG174"/>
      <c r="AH174"/>
      <c r="AI174"/>
    </row>
    <row r="175" spans="1:35" s="48" customFormat="1" x14ac:dyDescent="0.45">
      <c r="A175" s="3"/>
      <c r="H175"/>
      <c r="J175" s="49"/>
      <c r="K175" s="49"/>
      <c r="L175" s="50"/>
      <c r="M175" s="50"/>
      <c r="N175" s="50"/>
      <c r="O175" s="50"/>
      <c r="P175" s="50"/>
      <c r="Q175" s="50"/>
      <c r="R175" s="47"/>
      <c r="S175" s="50"/>
      <c r="T175" s="50"/>
      <c r="U175" s="50"/>
      <c r="V175" s="50"/>
      <c r="W175" s="50"/>
      <c r="X175"/>
      <c r="Y175"/>
      <c r="Z175"/>
      <c r="AA175"/>
      <c r="AB175"/>
      <c r="AC175"/>
      <c r="AD175"/>
      <c r="AE175"/>
      <c r="AF175"/>
      <c r="AG175"/>
      <c r="AH175"/>
      <c r="AI175"/>
    </row>
    <row r="176" spans="1:35" s="48" customFormat="1" x14ac:dyDescent="0.45">
      <c r="A176" s="3"/>
      <c r="H176"/>
      <c r="J176" s="49"/>
      <c r="K176" s="49"/>
      <c r="L176" s="50"/>
      <c r="M176" s="50"/>
      <c r="N176" s="50"/>
      <c r="O176" s="50"/>
      <c r="P176" s="50"/>
      <c r="Q176" s="50"/>
      <c r="R176" s="47"/>
      <c r="S176" s="50"/>
      <c r="T176" s="50"/>
      <c r="U176" s="50"/>
      <c r="V176" s="50"/>
      <c r="W176" s="50"/>
      <c r="X176"/>
      <c r="Y176"/>
      <c r="Z176"/>
      <c r="AA176"/>
      <c r="AB176"/>
      <c r="AC176"/>
      <c r="AD176"/>
      <c r="AE176"/>
      <c r="AF176"/>
      <c r="AG176"/>
      <c r="AH176"/>
      <c r="AI176"/>
    </row>
    <row r="177" spans="1:35" s="48" customFormat="1" x14ac:dyDescent="0.45">
      <c r="A177" s="3"/>
      <c r="H177"/>
      <c r="J177" s="49"/>
      <c r="K177" s="49"/>
      <c r="L177" s="50"/>
      <c r="M177" s="50"/>
      <c r="N177" s="50"/>
      <c r="O177" s="50"/>
      <c r="P177" s="50"/>
      <c r="Q177" s="50"/>
      <c r="R177" s="47"/>
      <c r="S177" s="50"/>
      <c r="T177" s="50"/>
      <c r="U177" s="50"/>
      <c r="V177" s="50"/>
      <c r="W177" s="50"/>
      <c r="X177"/>
      <c r="Y177"/>
      <c r="Z177"/>
      <c r="AA177"/>
      <c r="AB177"/>
      <c r="AC177"/>
      <c r="AD177"/>
      <c r="AE177"/>
      <c r="AF177"/>
      <c r="AG177"/>
      <c r="AH177"/>
      <c r="AI177"/>
    </row>
    <row r="178" spans="1:35" s="48" customFormat="1" x14ac:dyDescent="0.45">
      <c r="A178" s="3"/>
      <c r="H178"/>
      <c r="J178" s="49"/>
      <c r="K178" s="49"/>
      <c r="L178" s="50"/>
      <c r="M178" s="50"/>
      <c r="N178" s="50"/>
      <c r="O178" s="50"/>
      <c r="P178" s="50"/>
      <c r="Q178" s="50"/>
      <c r="R178" s="47"/>
      <c r="S178" s="50"/>
      <c r="T178" s="50"/>
      <c r="U178" s="50"/>
      <c r="V178" s="50"/>
      <c r="W178" s="50"/>
      <c r="X178"/>
      <c r="Y178"/>
      <c r="Z178"/>
      <c r="AA178"/>
      <c r="AB178"/>
      <c r="AC178"/>
      <c r="AD178"/>
      <c r="AE178"/>
      <c r="AF178"/>
      <c r="AG178"/>
      <c r="AH178"/>
      <c r="AI178"/>
    </row>
    <row r="179" spans="1:35" s="48" customFormat="1" x14ac:dyDescent="0.45">
      <c r="A179" s="3"/>
      <c r="H179"/>
      <c r="J179" s="49"/>
      <c r="K179" s="49"/>
      <c r="L179" s="50"/>
      <c r="M179" s="50"/>
      <c r="N179" s="50"/>
      <c r="O179" s="50"/>
      <c r="P179" s="50"/>
      <c r="Q179" s="50"/>
      <c r="R179" s="47"/>
      <c r="S179" s="50"/>
      <c r="T179" s="50"/>
      <c r="U179" s="50"/>
      <c r="V179" s="50"/>
      <c r="W179" s="50"/>
      <c r="X179"/>
      <c r="Y179"/>
      <c r="Z179"/>
      <c r="AA179"/>
      <c r="AB179"/>
      <c r="AC179"/>
      <c r="AD179"/>
      <c r="AE179"/>
      <c r="AF179"/>
      <c r="AG179"/>
      <c r="AH179"/>
      <c r="AI179"/>
    </row>
    <row r="180" spans="1:35" s="48" customFormat="1" x14ac:dyDescent="0.45">
      <c r="A180" s="3"/>
      <c r="H180"/>
      <c r="J180" s="49"/>
      <c r="K180" s="49"/>
      <c r="L180" s="50"/>
      <c r="M180" s="50"/>
      <c r="N180" s="50"/>
      <c r="O180" s="50"/>
      <c r="P180" s="50"/>
      <c r="Q180" s="50"/>
      <c r="R180" s="47"/>
      <c r="S180" s="50"/>
      <c r="T180" s="50"/>
      <c r="U180" s="50"/>
      <c r="V180" s="50"/>
      <c r="W180" s="50"/>
      <c r="X180"/>
      <c r="Y180"/>
      <c r="Z180"/>
      <c r="AA180"/>
      <c r="AB180"/>
      <c r="AC180"/>
      <c r="AD180"/>
      <c r="AE180"/>
      <c r="AF180"/>
      <c r="AG180"/>
      <c r="AH180"/>
      <c r="AI180"/>
    </row>
    <row r="181" spans="1:35" s="48" customFormat="1" x14ac:dyDescent="0.45">
      <c r="A181" s="3"/>
      <c r="H181"/>
      <c r="J181" s="49"/>
      <c r="K181" s="49"/>
      <c r="L181" s="50"/>
      <c r="M181" s="50"/>
      <c r="N181" s="50"/>
      <c r="O181" s="50"/>
      <c r="P181" s="50"/>
      <c r="Q181" s="50"/>
      <c r="R181" s="47"/>
      <c r="S181" s="50"/>
      <c r="T181" s="50"/>
      <c r="U181" s="50"/>
      <c r="V181" s="50"/>
      <c r="W181" s="50"/>
      <c r="X181"/>
      <c r="Y181"/>
      <c r="Z181"/>
      <c r="AA181"/>
      <c r="AB181"/>
      <c r="AC181"/>
      <c r="AD181"/>
      <c r="AE181"/>
      <c r="AF181"/>
      <c r="AG181"/>
      <c r="AH181"/>
      <c r="AI181"/>
    </row>
    <row r="182" spans="1:35" s="48" customFormat="1" x14ac:dyDescent="0.45">
      <c r="A182" s="3"/>
      <c r="H182"/>
      <c r="J182" s="49"/>
      <c r="K182" s="49"/>
      <c r="L182" s="50"/>
      <c r="M182" s="50"/>
      <c r="N182" s="50"/>
      <c r="O182" s="50"/>
      <c r="P182" s="50"/>
      <c r="Q182" s="50"/>
      <c r="R182" s="47"/>
      <c r="S182" s="50"/>
      <c r="T182" s="50"/>
      <c r="U182" s="50"/>
      <c r="V182" s="50"/>
      <c r="W182" s="50"/>
      <c r="X182"/>
      <c r="Y182"/>
      <c r="Z182"/>
      <c r="AA182"/>
      <c r="AB182"/>
      <c r="AC182"/>
      <c r="AD182"/>
      <c r="AE182"/>
      <c r="AF182"/>
      <c r="AG182"/>
      <c r="AH182"/>
      <c r="AI182"/>
    </row>
    <row r="183" spans="1:35" s="48" customFormat="1" x14ac:dyDescent="0.45">
      <c r="A183" s="3"/>
      <c r="H183"/>
      <c r="J183" s="49"/>
      <c r="K183" s="49"/>
      <c r="L183" s="50"/>
      <c r="M183" s="50"/>
      <c r="N183" s="50"/>
      <c r="O183" s="50"/>
      <c r="P183" s="50"/>
      <c r="Q183" s="50"/>
      <c r="R183" s="47"/>
      <c r="S183" s="50"/>
      <c r="T183" s="50"/>
      <c r="U183" s="50"/>
      <c r="V183" s="50"/>
      <c r="W183" s="50"/>
      <c r="X183"/>
      <c r="Y183"/>
      <c r="Z183"/>
      <c r="AA183"/>
      <c r="AB183"/>
      <c r="AC183"/>
      <c r="AD183"/>
      <c r="AE183"/>
      <c r="AF183"/>
      <c r="AG183"/>
      <c r="AH183"/>
      <c r="AI183"/>
    </row>
    <row r="184" spans="1:35" s="48" customFormat="1" x14ac:dyDescent="0.45">
      <c r="A184" s="3"/>
      <c r="H184"/>
      <c r="J184" s="49"/>
      <c r="K184" s="49"/>
      <c r="L184" s="50"/>
      <c r="M184" s="50"/>
      <c r="N184" s="50"/>
      <c r="O184" s="50"/>
      <c r="P184" s="50"/>
      <c r="Q184" s="50"/>
      <c r="R184" s="47"/>
      <c r="S184" s="50"/>
      <c r="T184" s="50"/>
      <c r="U184" s="50"/>
      <c r="V184" s="50"/>
      <c r="W184" s="50"/>
      <c r="X184"/>
      <c r="Y184"/>
      <c r="Z184"/>
      <c r="AA184"/>
      <c r="AB184"/>
      <c r="AC184"/>
      <c r="AD184"/>
      <c r="AE184"/>
      <c r="AF184"/>
      <c r="AG184"/>
      <c r="AH184"/>
      <c r="AI184"/>
    </row>
    <row r="185" spans="1:35" s="48" customFormat="1" x14ac:dyDescent="0.45">
      <c r="A185" s="3"/>
      <c r="H185"/>
      <c r="J185" s="49"/>
      <c r="K185" s="49"/>
      <c r="L185" s="50"/>
      <c r="M185" s="50"/>
      <c r="N185" s="50"/>
      <c r="O185" s="50"/>
      <c r="P185" s="50"/>
      <c r="Q185" s="50"/>
      <c r="R185" s="47"/>
      <c r="S185" s="50"/>
      <c r="T185" s="50"/>
      <c r="U185" s="50"/>
      <c r="V185" s="50"/>
      <c r="W185" s="50"/>
      <c r="X185"/>
      <c r="Y185"/>
      <c r="Z185"/>
      <c r="AA185"/>
      <c r="AB185"/>
      <c r="AC185"/>
      <c r="AD185"/>
      <c r="AE185"/>
      <c r="AF185"/>
      <c r="AG185"/>
      <c r="AH185"/>
      <c r="AI185"/>
    </row>
    <row r="186" spans="1:35" s="48" customFormat="1" x14ac:dyDescent="0.45">
      <c r="A186" s="3"/>
      <c r="H186"/>
      <c r="J186" s="49"/>
      <c r="K186" s="49"/>
      <c r="L186" s="50"/>
      <c r="M186" s="50"/>
      <c r="N186" s="50"/>
      <c r="O186" s="50"/>
      <c r="P186" s="50"/>
      <c r="Q186" s="50"/>
      <c r="R186" s="47"/>
      <c r="S186" s="50"/>
      <c r="T186" s="50"/>
      <c r="U186" s="50"/>
      <c r="V186" s="50"/>
      <c r="W186" s="50"/>
      <c r="X186"/>
      <c r="Y186"/>
      <c r="Z186"/>
      <c r="AA186"/>
      <c r="AB186"/>
      <c r="AC186"/>
      <c r="AD186"/>
      <c r="AE186"/>
      <c r="AF186"/>
      <c r="AG186"/>
      <c r="AH186"/>
      <c r="AI186"/>
    </row>
    <row r="187" spans="1:35" s="48" customFormat="1" x14ac:dyDescent="0.45">
      <c r="A187" s="3"/>
      <c r="H187"/>
      <c r="J187" s="49"/>
      <c r="K187" s="49"/>
      <c r="L187" s="50"/>
      <c r="M187" s="50"/>
      <c r="N187" s="50"/>
      <c r="O187" s="50"/>
      <c r="P187" s="50"/>
      <c r="Q187" s="50"/>
      <c r="R187" s="47"/>
      <c r="S187" s="50"/>
      <c r="T187" s="50"/>
      <c r="U187" s="50"/>
      <c r="V187" s="50"/>
      <c r="W187" s="50"/>
      <c r="X187"/>
      <c r="Y187"/>
      <c r="Z187"/>
      <c r="AA187"/>
      <c r="AB187"/>
      <c r="AC187"/>
      <c r="AD187"/>
      <c r="AE187"/>
      <c r="AF187"/>
      <c r="AG187"/>
      <c r="AH187"/>
      <c r="AI187"/>
    </row>
    <row r="188" spans="1:35" s="48" customFormat="1" x14ac:dyDescent="0.45">
      <c r="A188" s="3"/>
      <c r="H188"/>
      <c r="J188" s="49"/>
      <c r="K188" s="49"/>
      <c r="L188" s="50"/>
      <c r="M188" s="50"/>
      <c r="N188" s="50"/>
      <c r="O188" s="50"/>
      <c r="P188" s="50"/>
      <c r="Q188" s="50"/>
      <c r="R188" s="47"/>
      <c r="S188" s="50"/>
      <c r="T188" s="50"/>
      <c r="U188" s="50"/>
      <c r="V188" s="50"/>
      <c r="W188" s="50"/>
      <c r="X188"/>
      <c r="Y188"/>
      <c r="Z188"/>
      <c r="AA188"/>
      <c r="AB188"/>
      <c r="AC188"/>
      <c r="AD188"/>
      <c r="AE188"/>
      <c r="AF188"/>
      <c r="AG188"/>
      <c r="AH188"/>
      <c r="AI188"/>
    </row>
    <row r="189" spans="1:35" s="48" customFormat="1" x14ac:dyDescent="0.45">
      <c r="A189" s="3"/>
      <c r="H189"/>
      <c r="J189" s="49"/>
      <c r="K189" s="49"/>
      <c r="L189" s="50"/>
      <c r="M189" s="50"/>
      <c r="N189" s="50"/>
      <c r="O189" s="50"/>
      <c r="P189" s="50"/>
      <c r="Q189" s="50"/>
      <c r="R189" s="47"/>
      <c r="S189" s="50"/>
      <c r="T189" s="50"/>
      <c r="U189" s="50"/>
      <c r="V189" s="50"/>
      <c r="W189" s="50"/>
      <c r="X189"/>
      <c r="Y189"/>
      <c r="Z189"/>
      <c r="AA189"/>
      <c r="AB189"/>
      <c r="AC189"/>
      <c r="AD189"/>
      <c r="AE189"/>
      <c r="AF189"/>
      <c r="AG189"/>
      <c r="AH189"/>
      <c r="AI189"/>
    </row>
    <row r="190" spans="1:35" s="48" customFormat="1" x14ac:dyDescent="0.45">
      <c r="A190" s="3"/>
      <c r="H190"/>
      <c r="J190" s="49"/>
      <c r="K190" s="49"/>
      <c r="L190" s="50"/>
      <c r="M190" s="50"/>
      <c r="N190" s="50"/>
      <c r="O190" s="50"/>
      <c r="P190" s="50"/>
      <c r="Q190" s="50"/>
      <c r="R190" s="47"/>
      <c r="S190" s="50"/>
      <c r="T190" s="50"/>
      <c r="U190" s="50"/>
      <c r="V190" s="50"/>
      <c r="W190" s="50"/>
      <c r="X190"/>
      <c r="Y190"/>
      <c r="Z190"/>
      <c r="AA190"/>
      <c r="AB190"/>
      <c r="AC190"/>
      <c r="AD190"/>
      <c r="AE190"/>
      <c r="AF190"/>
      <c r="AG190"/>
      <c r="AH190"/>
      <c r="AI190"/>
    </row>
    <row r="191" spans="1:35" s="48" customFormat="1" x14ac:dyDescent="0.45">
      <c r="A191" s="3"/>
      <c r="H191"/>
      <c r="J191" s="49"/>
      <c r="K191" s="49"/>
      <c r="L191" s="50"/>
      <c r="M191" s="50"/>
      <c r="N191" s="50"/>
      <c r="O191" s="50"/>
      <c r="P191" s="50"/>
      <c r="Q191" s="50"/>
      <c r="R191" s="47"/>
      <c r="S191" s="50"/>
      <c r="T191" s="50"/>
      <c r="U191" s="50"/>
      <c r="V191" s="50"/>
      <c r="W191" s="50"/>
      <c r="X191"/>
      <c r="Y191"/>
      <c r="Z191"/>
      <c r="AA191"/>
      <c r="AB191"/>
      <c r="AC191"/>
      <c r="AD191"/>
      <c r="AE191"/>
      <c r="AF191"/>
      <c r="AG191"/>
      <c r="AH191"/>
      <c r="AI191"/>
    </row>
    <row r="192" spans="1:35" s="48" customFormat="1" x14ac:dyDescent="0.45">
      <c r="A192" s="3"/>
      <c r="H192"/>
      <c r="J192" s="49"/>
      <c r="K192" s="49"/>
      <c r="L192" s="50"/>
      <c r="M192" s="50"/>
      <c r="N192" s="50"/>
      <c r="O192" s="50"/>
      <c r="P192" s="50"/>
      <c r="Q192" s="50"/>
      <c r="R192" s="47"/>
      <c r="S192" s="50"/>
      <c r="T192" s="50"/>
      <c r="U192" s="50"/>
      <c r="V192" s="50"/>
      <c r="W192" s="50"/>
      <c r="X192"/>
      <c r="Y192"/>
      <c r="Z192"/>
      <c r="AA192"/>
      <c r="AB192"/>
      <c r="AC192"/>
      <c r="AD192"/>
      <c r="AE192"/>
      <c r="AF192"/>
      <c r="AG192"/>
      <c r="AH192"/>
      <c r="AI192"/>
    </row>
    <row r="193" spans="1:35" s="48" customFormat="1" x14ac:dyDescent="0.45">
      <c r="A193" s="3"/>
      <c r="H193"/>
      <c r="J193" s="49"/>
      <c r="K193" s="49"/>
      <c r="L193" s="50"/>
      <c r="M193" s="50"/>
      <c r="N193" s="50"/>
      <c r="O193" s="50"/>
      <c r="P193" s="50"/>
      <c r="Q193" s="50"/>
      <c r="R193" s="47"/>
      <c r="S193" s="50"/>
      <c r="T193" s="50"/>
      <c r="U193" s="50"/>
      <c r="V193" s="50"/>
      <c r="W193" s="50"/>
      <c r="X193"/>
      <c r="Y193"/>
      <c r="Z193"/>
      <c r="AA193"/>
      <c r="AB193"/>
      <c r="AC193"/>
      <c r="AD193"/>
      <c r="AE193"/>
      <c r="AF193"/>
      <c r="AG193"/>
      <c r="AH193"/>
      <c r="AI193"/>
    </row>
    <row r="194" spans="1:35" s="48" customFormat="1" x14ac:dyDescent="0.45">
      <c r="A194" s="3"/>
      <c r="H194"/>
      <c r="J194" s="49"/>
      <c r="K194" s="49"/>
      <c r="L194" s="50"/>
      <c r="M194" s="50"/>
      <c r="N194" s="50"/>
      <c r="O194" s="50"/>
      <c r="P194" s="50"/>
      <c r="Q194" s="50"/>
      <c r="R194" s="47"/>
      <c r="S194" s="50"/>
      <c r="T194" s="50"/>
      <c r="U194" s="50"/>
      <c r="V194" s="50"/>
      <c r="W194" s="50"/>
      <c r="X194"/>
      <c r="Y194"/>
      <c r="Z194"/>
      <c r="AA194"/>
      <c r="AB194"/>
      <c r="AC194"/>
      <c r="AD194"/>
      <c r="AE194"/>
      <c r="AF194"/>
      <c r="AG194"/>
      <c r="AH194"/>
      <c r="AI194"/>
    </row>
    <row r="195" spans="1:35" s="48" customFormat="1" x14ac:dyDescent="0.45">
      <c r="A195" s="3"/>
      <c r="H195"/>
      <c r="J195" s="49"/>
      <c r="K195" s="49"/>
      <c r="L195" s="50"/>
      <c r="M195" s="50"/>
      <c r="N195" s="50"/>
      <c r="O195" s="50"/>
      <c r="P195" s="50"/>
      <c r="Q195" s="50"/>
      <c r="R195" s="47"/>
      <c r="S195" s="50"/>
      <c r="T195" s="50"/>
      <c r="U195" s="50"/>
      <c r="V195" s="50"/>
      <c r="W195" s="50"/>
      <c r="X195"/>
      <c r="Y195"/>
      <c r="Z195"/>
      <c r="AA195"/>
      <c r="AB195"/>
      <c r="AC195"/>
      <c r="AD195"/>
      <c r="AE195"/>
      <c r="AF195"/>
      <c r="AG195"/>
      <c r="AH195"/>
      <c r="AI195"/>
    </row>
    <row r="196" spans="1:35" s="48" customFormat="1" x14ac:dyDescent="0.45">
      <c r="A196" s="3"/>
      <c r="H196"/>
      <c r="J196" s="49"/>
      <c r="K196" s="49"/>
      <c r="L196" s="50"/>
      <c r="M196" s="50"/>
      <c r="N196" s="50"/>
      <c r="O196" s="50"/>
      <c r="P196" s="50"/>
      <c r="Q196" s="50"/>
      <c r="R196" s="47"/>
      <c r="S196" s="50"/>
      <c r="T196" s="50"/>
      <c r="U196" s="50"/>
      <c r="V196" s="50"/>
      <c r="W196" s="50"/>
      <c r="X196"/>
      <c r="Y196"/>
      <c r="Z196"/>
      <c r="AA196"/>
      <c r="AB196"/>
      <c r="AC196"/>
      <c r="AD196"/>
      <c r="AE196"/>
      <c r="AF196"/>
      <c r="AG196"/>
      <c r="AH196"/>
      <c r="AI196"/>
    </row>
    <row r="197" spans="1:35" s="48" customFormat="1" x14ac:dyDescent="0.45">
      <c r="A197" s="3"/>
      <c r="H197"/>
      <c r="J197" s="49"/>
      <c r="K197" s="49"/>
      <c r="L197" s="50"/>
      <c r="M197" s="50"/>
      <c r="N197" s="50"/>
      <c r="O197" s="50"/>
      <c r="P197" s="50"/>
      <c r="Q197" s="50"/>
      <c r="R197" s="47"/>
      <c r="S197" s="50"/>
      <c r="T197" s="50"/>
      <c r="U197" s="50"/>
      <c r="V197" s="50"/>
      <c r="W197" s="50"/>
      <c r="X197"/>
      <c r="Y197"/>
      <c r="Z197"/>
      <c r="AA197"/>
      <c r="AB197"/>
      <c r="AC197"/>
      <c r="AD197"/>
      <c r="AE197"/>
      <c r="AF197"/>
      <c r="AG197"/>
      <c r="AH197"/>
      <c r="AI197"/>
    </row>
    <row r="198" spans="1:35" s="48" customFormat="1" x14ac:dyDescent="0.45">
      <c r="A198" s="3"/>
      <c r="H198"/>
      <c r="J198" s="49"/>
      <c r="K198" s="49"/>
      <c r="L198" s="50"/>
      <c r="M198" s="50"/>
      <c r="N198" s="50"/>
      <c r="O198" s="50"/>
      <c r="P198" s="50"/>
      <c r="Q198" s="50"/>
      <c r="R198" s="47"/>
      <c r="S198" s="50"/>
      <c r="T198" s="50"/>
      <c r="U198" s="50"/>
      <c r="V198" s="50"/>
      <c r="W198" s="50"/>
      <c r="X198"/>
      <c r="Y198"/>
      <c r="Z198"/>
      <c r="AA198"/>
      <c r="AB198"/>
      <c r="AC198"/>
      <c r="AD198"/>
      <c r="AE198"/>
      <c r="AF198"/>
      <c r="AG198"/>
      <c r="AH198"/>
      <c r="AI198"/>
    </row>
    <row r="199" spans="1:35" s="48" customFormat="1" x14ac:dyDescent="0.45">
      <c r="A199" s="3"/>
      <c r="H199"/>
      <c r="J199" s="49"/>
      <c r="K199" s="49"/>
      <c r="L199" s="50"/>
      <c r="M199" s="50"/>
      <c r="N199" s="50"/>
      <c r="O199" s="50"/>
      <c r="P199" s="50"/>
      <c r="Q199" s="50"/>
      <c r="R199" s="47"/>
      <c r="S199" s="50"/>
      <c r="T199" s="50"/>
      <c r="U199" s="50"/>
      <c r="V199" s="50"/>
      <c r="W199" s="50"/>
      <c r="X199"/>
      <c r="Y199"/>
      <c r="Z199"/>
      <c r="AA199"/>
      <c r="AB199"/>
      <c r="AC199"/>
      <c r="AD199"/>
      <c r="AE199"/>
      <c r="AF199"/>
      <c r="AG199"/>
      <c r="AH199"/>
      <c r="AI199"/>
    </row>
    <row r="200" spans="1:35" s="48" customFormat="1" x14ac:dyDescent="0.45">
      <c r="A200" s="3"/>
      <c r="H200"/>
      <c r="J200" s="49"/>
      <c r="K200" s="49"/>
      <c r="L200" s="50"/>
      <c r="M200" s="50"/>
      <c r="N200" s="50"/>
      <c r="O200" s="50"/>
      <c r="P200" s="50"/>
      <c r="Q200" s="50"/>
      <c r="R200" s="47"/>
      <c r="S200" s="50"/>
      <c r="T200" s="50"/>
      <c r="U200" s="50"/>
      <c r="V200" s="50"/>
      <c r="W200" s="50"/>
      <c r="X200"/>
      <c r="Y200"/>
      <c r="Z200"/>
      <c r="AA200"/>
      <c r="AB200"/>
      <c r="AC200"/>
      <c r="AD200"/>
      <c r="AE200"/>
      <c r="AF200"/>
      <c r="AG200"/>
      <c r="AH200"/>
      <c r="AI200"/>
    </row>
    <row r="201" spans="1:35" s="48" customFormat="1" x14ac:dyDescent="0.45">
      <c r="A201" s="3"/>
      <c r="H201"/>
      <c r="J201" s="49"/>
      <c r="K201" s="49"/>
      <c r="L201" s="50"/>
      <c r="M201" s="50"/>
      <c r="N201" s="50"/>
      <c r="O201" s="50"/>
      <c r="P201" s="50"/>
      <c r="Q201" s="50"/>
      <c r="R201" s="47"/>
      <c r="S201" s="50"/>
      <c r="T201" s="50"/>
      <c r="U201" s="50"/>
      <c r="V201" s="50"/>
      <c r="W201" s="50"/>
      <c r="X201"/>
      <c r="Y201"/>
      <c r="Z201"/>
      <c r="AA201"/>
      <c r="AB201"/>
      <c r="AC201"/>
      <c r="AD201"/>
      <c r="AE201"/>
      <c r="AF201"/>
      <c r="AG201"/>
      <c r="AH201"/>
      <c r="AI201"/>
    </row>
    <row r="202" spans="1:35" s="48" customFormat="1" x14ac:dyDescent="0.45">
      <c r="A202" s="3"/>
      <c r="H202"/>
      <c r="J202" s="49"/>
      <c r="K202" s="49"/>
      <c r="L202" s="50"/>
      <c r="M202" s="50"/>
      <c r="N202" s="50"/>
      <c r="O202" s="50"/>
      <c r="P202" s="50"/>
      <c r="Q202" s="50"/>
      <c r="R202" s="47"/>
      <c r="S202" s="50"/>
      <c r="T202" s="50"/>
      <c r="U202" s="50"/>
      <c r="V202" s="50"/>
      <c r="W202" s="50"/>
      <c r="X202"/>
      <c r="Y202"/>
      <c r="Z202"/>
      <c r="AA202"/>
      <c r="AB202"/>
      <c r="AC202"/>
      <c r="AD202"/>
      <c r="AE202"/>
      <c r="AF202"/>
      <c r="AG202"/>
      <c r="AH202"/>
      <c r="AI202"/>
    </row>
    <row r="203" spans="1:35" s="48" customFormat="1" x14ac:dyDescent="0.45">
      <c r="A203" s="3"/>
      <c r="H203"/>
      <c r="J203" s="49"/>
      <c r="K203" s="49"/>
      <c r="L203" s="50"/>
      <c r="M203" s="50"/>
      <c r="N203" s="50"/>
      <c r="O203" s="50"/>
      <c r="P203" s="50"/>
      <c r="Q203" s="50"/>
      <c r="R203" s="47"/>
      <c r="S203" s="50"/>
      <c r="T203" s="50"/>
      <c r="U203" s="50"/>
      <c r="V203" s="50"/>
      <c r="W203" s="50"/>
      <c r="X203"/>
      <c r="Y203"/>
      <c r="Z203"/>
      <c r="AA203"/>
      <c r="AB203"/>
      <c r="AC203"/>
      <c r="AD203"/>
      <c r="AE203"/>
      <c r="AF203"/>
      <c r="AG203"/>
      <c r="AH203"/>
      <c r="AI203"/>
    </row>
    <row r="204" spans="1:35" s="48" customFormat="1" x14ac:dyDescent="0.45">
      <c r="A204" s="3"/>
      <c r="H204"/>
      <c r="J204" s="49"/>
      <c r="K204" s="49"/>
      <c r="L204" s="50"/>
      <c r="M204" s="50"/>
      <c r="N204" s="50"/>
      <c r="O204" s="50"/>
      <c r="P204" s="50"/>
      <c r="Q204" s="50"/>
      <c r="R204" s="47"/>
      <c r="S204" s="50"/>
      <c r="T204" s="50"/>
      <c r="U204" s="50"/>
      <c r="V204" s="50"/>
      <c r="W204" s="50"/>
      <c r="X204"/>
      <c r="Y204"/>
      <c r="Z204"/>
      <c r="AA204"/>
      <c r="AB204"/>
      <c r="AC204"/>
      <c r="AD204"/>
      <c r="AE204"/>
      <c r="AF204"/>
      <c r="AG204"/>
      <c r="AH204"/>
      <c r="AI204"/>
    </row>
    <row r="205" spans="1:35" s="48" customFormat="1" x14ac:dyDescent="0.45">
      <c r="A205" s="3"/>
      <c r="H205"/>
      <c r="J205" s="49"/>
      <c r="K205" s="49"/>
      <c r="L205" s="50"/>
      <c r="M205" s="50"/>
      <c r="N205" s="50"/>
      <c r="O205" s="50"/>
      <c r="P205" s="50"/>
      <c r="Q205" s="50"/>
      <c r="R205" s="47"/>
      <c r="S205" s="50"/>
      <c r="T205" s="50"/>
      <c r="U205" s="50"/>
      <c r="V205" s="50"/>
      <c r="W205" s="50"/>
      <c r="X205"/>
      <c r="Y205"/>
      <c r="Z205"/>
      <c r="AA205"/>
      <c r="AB205"/>
      <c r="AC205"/>
      <c r="AD205"/>
      <c r="AE205"/>
      <c r="AF205"/>
      <c r="AG205"/>
      <c r="AH205"/>
      <c r="AI205"/>
    </row>
    <row r="206" spans="1:35" s="48" customFormat="1" x14ac:dyDescent="0.45">
      <c r="A206" s="3"/>
      <c r="H206"/>
      <c r="J206" s="49"/>
      <c r="K206" s="49"/>
      <c r="L206" s="50"/>
      <c r="M206" s="50"/>
      <c r="N206" s="50"/>
      <c r="O206" s="50"/>
      <c r="P206" s="50"/>
      <c r="Q206" s="50"/>
      <c r="R206" s="47"/>
      <c r="S206" s="50"/>
      <c r="T206" s="50"/>
      <c r="U206" s="50"/>
      <c r="V206" s="50"/>
      <c r="W206" s="50"/>
      <c r="X206"/>
      <c r="Y206"/>
      <c r="Z206"/>
      <c r="AA206"/>
      <c r="AB206"/>
      <c r="AC206"/>
      <c r="AD206"/>
      <c r="AE206"/>
      <c r="AF206"/>
      <c r="AG206"/>
      <c r="AH206"/>
      <c r="AI206"/>
    </row>
    <row r="207" spans="1:35" s="48" customFormat="1" x14ac:dyDescent="0.45">
      <c r="A207" s="3"/>
      <c r="H207"/>
      <c r="J207" s="49"/>
      <c r="K207" s="49"/>
      <c r="L207" s="50"/>
      <c r="M207" s="50"/>
      <c r="N207" s="50"/>
      <c r="O207" s="50"/>
      <c r="P207" s="50"/>
      <c r="Q207" s="50"/>
      <c r="R207" s="47"/>
      <c r="S207" s="50"/>
      <c r="T207" s="50"/>
      <c r="U207" s="50"/>
      <c r="V207" s="50"/>
      <c r="W207" s="50"/>
      <c r="X207"/>
      <c r="Y207"/>
      <c r="Z207"/>
      <c r="AA207"/>
      <c r="AB207"/>
      <c r="AC207"/>
      <c r="AD207"/>
      <c r="AE207"/>
      <c r="AF207"/>
      <c r="AG207"/>
      <c r="AH207"/>
      <c r="AI207"/>
    </row>
    <row r="208" spans="1:35" s="48" customFormat="1" x14ac:dyDescent="0.45">
      <c r="A208" s="3"/>
      <c r="H208"/>
      <c r="J208" s="49"/>
      <c r="K208" s="49"/>
      <c r="L208" s="50"/>
      <c r="M208" s="50"/>
      <c r="N208" s="50"/>
      <c r="O208" s="50"/>
      <c r="P208" s="50"/>
      <c r="Q208" s="50"/>
      <c r="R208" s="47"/>
      <c r="S208" s="50"/>
      <c r="T208" s="50"/>
      <c r="U208" s="50"/>
      <c r="V208" s="50"/>
      <c r="W208" s="50"/>
      <c r="X208"/>
      <c r="Y208"/>
      <c r="Z208"/>
      <c r="AA208"/>
      <c r="AB208"/>
      <c r="AC208"/>
      <c r="AD208"/>
      <c r="AE208"/>
      <c r="AF208"/>
      <c r="AG208"/>
      <c r="AH208"/>
      <c r="AI208"/>
    </row>
    <row r="209" spans="1:35" s="48" customFormat="1" x14ac:dyDescent="0.45">
      <c r="A209" s="3"/>
      <c r="H209"/>
      <c r="J209" s="49"/>
      <c r="K209" s="49"/>
      <c r="L209" s="50"/>
      <c r="M209" s="50"/>
      <c r="N209" s="50"/>
      <c r="O209" s="50"/>
      <c r="P209" s="50"/>
      <c r="Q209" s="50"/>
      <c r="R209" s="47"/>
      <c r="S209" s="50"/>
      <c r="T209" s="50"/>
      <c r="U209" s="50"/>
      <c r="V209" s="50"/>
      <c r="W209" s="50"/>
      <c r="X209"/>
      <c r="Y209"/>
      <c r="Z209"/>
      <c r="AA209"/>
      <c r="AB209"/>
      <c r="AC209"/>
      <c r="AD209"/>
      <c r="AE209"/>
      <c r="AF209"/>
      <c r="AG209"/>
      <c r="AH209"/>
      <c r="AI209"/>
    </row>
    <row r="210" spans="1:35" s="48" customFormat="1" x14ac:dyDescent="0.45">
      <c r="A210" s="3"/>
      <c r="H210"/>
      <c r="J210" s="49"/>
      <c r="K210" s="49"/>
      <c r="L210" s="50"/>
      <c r="M210" s="50"/>
      <c r="N210" s="50"/>
      <c r="O210" s="50"/>
      <c r="P210" s="50"/>
      <c r="Q210" s="50"/>
      <c r="R210" s="47"/>
      <c r="S210" s="50"/>
      <c r="T210" s="50"/>
      <c r="U210" s="50"/>
      <c r="V210" s="50"/>
      <c r="W210" s="50"/>
      <c r="X210"/>
      <c r="Y210"/>
      <c r="Z210"/>
      <c r="AA210"/>
      <c r="AB210"/>
      <c r="AC210"/>
      <c r="AD210"/>
      <c r="AE210"/>
      <c r="AF210"/>
      <c r="AG210"/>
      <c r="AH210"/>
      <c r="AI210"/>
    </row>
    <row r="211" spans="1:35" s="48" customFormat="1" x14ac:dyDescent="0.45">
      <c r="A211" s="3"/>
      <c r="H211"/>
      <c r="J211" s="49"/>
      <c r="K211" s="49"/>
      <c r="L211" s="50"/>
      <c r="M211" s="50"/>
      <c r="N211" s="50"/>
      <c r="O211" s="50"/>
      <c r="P211" s="50"/>
      <c r="Q211" s="50"/>
      <c r="R211" s="47"/>
      <c r="S211" s="50"/>
      <c r="T211" s="50"/>
      <c r="U211" s="50"/>
      <c r="V211" s="50"/>
      <c r="W211" s="50"/>
      <c r="X211"/>
      <c r="Y211"/>
      <c r="Z211"/>
      <c r="AA211"/>
      <c r="AB211"/>
      <c r="AC211"/>
      <c r="AD211"/>
      <c r="AE211"/>
      <c r="AF211"/>
      <c r="AG211"/>
      <c r="AH211"/>
      <c r="AI211"/>
    </row>
    <row r="212" spans="1:35" s="48" customFormat="1" x14ac:dyDescent="0.45">
      <c r="A212" s="3"/>
      <c r="H212"/>
      <c r="J212" s="49"/>
      <c r="K212" s="49"/>
      <c r="L212" s="50"/>
      <c r="M212" s="50"/>
      <c r="N212" s="50"/>
      <c r="O212" s="50"/>
      <c r="P212" s="50"/>
      <c r="Q212" s="50"/>
      <c r="R212" s="47"/>
      <c r="S212" s="50"/>
      <c r="T212" s="50"/>
      <c r="U212" s="50"/>
      <c r="V212" s="50"/>
      <c r="W212" s="50"/>
      <c r="X212"/>
      <c r="Y212"/>
      <c r="Z212"/>
      <c r="AA212"/>
      <c r="AB212"/>
      <c r="AC212"/>
      <c r="AD212"/>
      <c r="AE212"/>
      <c r="AF212"/>
      <c r="AG212"/>
      <c r="AH212"/>
      <c r="AI212"/>
    </row>
    <row r="213" spans="1:35" s="48" customFormat="1" x14ac:dyDescent="0.45">
      <c r="A213" s="3"/>
      <c r="H213"/>
      <c r="J213" s="49"/>
      <c r="K213" s="49"/>
      <c r="L213" s="50"/>
      <c r="M213" s="50"/>
      <c r="N213" s="50"/>
      <c r="O213" s="50"/>
      <c r="P213" s="50"/>
      <c r="Q213" s="50"/>
      <c r="R213" s="47"/>
      <c r="S213" s="50"/>
      <c r="T213" s="50"/>
      <c r="U213" s="50"/>
      <c r="V213" s="50"/>
      <c r="W213" s="50"/>
      <c r="X213"/>
      <c r="Y213"/>
      <c r="Z213"/>
      <c r="AA213"/>
      <c r="AB213"/>
      <c r="AC213"/>
      <c r="AD213"/>
      <c r="AE213"/>
      <c r="AF213"/>
      <c r="AG213"/>
      <c r="AH213"/>
      <c r="AI213"/>
    </row>
    <row r="214" spans="1:35" s="48" customFormat="1" x14ac:dyDescent="0.45">
      <c r="A214" s="3"/>
      <c r="H214"/>
      <c r="J214" s="49"/>
      <c r="K214" s="49"/>
      <c r="L214" s="50"/>
      <c r="M214" s="50"/>
      <c r="N214" s="50"/>
      <c r="O214" s="50"/>
      <c r="P214" s="50"/>
      <c r="Q214" s="50"/>
      <c r="R214" s="47"/>
      <c r="S214" s="50"/>
      <c r="T214" s="50"/>
      <c r="U214" s="50"/>
      <c r="V214" s="50"/>
      <c r="W214" s="50"/>
      <c r="X214"/>
      <c r="Y214"/>
      <c r="Z214"/>
      <c r="AA214"/>
      <c r="AB214"/>
      <c r="AC214"/>
      <c r="AD214"/>
      <c r="AE214"/>
      <c r="AF214"/>
      <c r="AG214"/>
      <c r="AH214"/>
      <c r="AI214"/>
    </row>
    <row r="215" spans="1:35" s="48" customFormat="1" x14ac:dyDescent="0.45">
      <c r="A215" s="3"/>
      <c r="H215"/>
      <c r="J215" s="49"/>
      <c r="K215" s="49"/>
      <c r="L215" s="50"/>
      <c r="M215" s="50"/>
      <c r="N215" s="50"/>
      <c r="O215" s="50"/>
      <c r="P215" s="50"/>
      <c r="Q215" s="50"/>
      <c r="R215" s="47"/>
      <c r="S215" s="50"/>
      <c r="T215" s="50"/>
      <c r="U215" s="50"/>
      <c r="V215" s="50"/>
      <c r="W215" s="50"/>
      <c r="X215"/>
      <c r="Y215"/>
      <c r="Z215"/>
      <c r="AA215"/>
      <c r="AB215"/>
      <c r="AC215"/>
      <c r="AD215"/>
      <c r="AE215"/>
      <c r="AF215"/>
      <c r="AG215"/>
      <c r="AH215"/>
      <c r="AI215"/>
    </row>
    <row r="216" spans="1:35" s="48" customFormat="1" x14ac:dyDescent="0.45">
      <c r="A216" s="3"/>
      <c r="H216"/>
      <c r="J216" s="49"/>
      <c r="K216" s="49"/>
      <c r="L216" s="50"/>
      <c r="M216" s="50"/>
      <c r="N216" s="50"/>
      <c r="O216" s="50"/>
      <c r="P216" s="50"/>
      <c r="Q216" s="50"/>
      <c r="R216" s="47"/>
      <c r="S216" s="50"/>
      <c r="T216" s="50"/>
      <c r="U216" s="50"/>
      <c r="V216" s="50"/>
      <c r="W216" s="50"/>
      <c r="X216"/>
      <c r="Y216"/>
      <c r="Z216"/>
      <c r="AA216"/>
      <c r="AB216"/>
      <c r="AC216"/>
      <c r="AD216"/>
      <c r="AE216"/>
      <c r="AF216"/>
      <c r="AG216"/>
      <c r="AH216"/>
      <c r="AI216"/>
    </row>
    <row r="217" spans="1:35" s="48" customFormat="1" x14ac:dyDescent="0.45">
      <c r="A217" s="3"/>
      <c r="H217"/>
      <c r="J217" s="49"/>
      <c r="K217" s="49"/>
      <c r="L217" s="50"/>
      <c r="M217" s="50"/>
      <c r="N217" s="50"/>
      <c r="O217" s="50"/>
      <c r="P217" s="50"/>
      <c r="Q217" s="50"/>
      <c r="R217" s="47"/>
      <c r="S217" s="50"/>
      <c r="T217" s="50"/>
      <c r="U217" s="50"/>
      <c r="V217" s="50"/>
      <c r="W217" s="50"/>
      <c r="X217"/>
      <c r="Y217"/>
      <c r="Z217"/>
      <c r="AA217"/>
      <c r="AB217"/>
      <c r="AC217"/>
      <c r="AD217"/>
      <c r="AE217"/>
      <c r="AF217"/>
      <c r="AG217"/>
      <c r="AH217"/>
      <c r="AI217"/>
    </row>
    <row r="218" spans="1:35" s="48" customFormat="1" x14ac:dyDescent="0.45">
      <c r="A218" s="3"/>
      <c r="H218"/>
      <c r="J218" s="49"/>
      <c r="K218" s="49"/>
      <c r="L218" s="50"/>
      <c r="M218" s="50"/>
      <c r="N218" s="50"/>
      <c r="O218" s="50"/>
      <c r="P218" s="50"/>
      <c r="Q218" s="50"/>
      <c r="R218" s="47"/>
      <c r="S218" s="50"/>
      <c r="T218" s="50"/>
      <c r="U218" s="50"/>
      <c r="V218" s="50"/>
      <c r="W218" s="50"/>
      <c r="X218"/>
      <c r="Y218"/>
      <c r="Z218"/>
      <c r="AA218"/>
      <c r="AB218"/>
      <c r="AC218"/>
      <c r="AD218"/>
      <c r="AE218"/>
      <c r="AF218"/>
      <c r="AG218"/>
      <c r="AH218"/>
      <c r="AI218"/>
    </row>
    <row r="219" spans="1:35" s="48" customFormat="1" x14ac:dyDescent="0.45">
      <c r="A219" s="3"/>
      <c r="H219"/>
      <c r="J219" s="49"/>
      <c r="K219" s="49"/>
      <c r="L219" s="50"/>
      <c r="M219" s="50"/>
      <c r="N219" s="50"/>
      <c r="O219" s="50"/>
      <c r="P219" s="50"/>
      <c r="Q219" s="50"/>
      <c r="R219" s="47"/>
      <c r="S219" s="50"/>
      <c r="T219" s="50"/>
      <c r="U219" s="50"/>
      <c r="V219" s="50"/>
      <c r="W219" s="50"/>
      <c r="X219"/>
      <c r="Y219"/>
      <c r="Z219"/>
      <c r="AA219"/>
      <c r="AB219"/>
      <c r="AC219"/>
      <c r="AD219"/>
      <c r="AE219"/>
      <c r="AF219"/>
      <c r="AG219"/>
      <c r="AH219"/>
      <c r="AI219"/>
    </row>
    <row r="220" spans="1:35" s="48" customFormat="1" x14ac:dyDescent="0.45">
      <c r="A220" s="3"/>
      <c r="H220"/>
      <c r="J220" s="49"/>
      <c r="K220" s="49"/>
      <c r="L220" s="50"/>
      <c r="M220" s="50"/>
      <c r="N220" s="50"/>
      <c r="O220" s="50"/>
      <c r="P220" s="50"/>
      <c r="Q220" s="50"/>
      <c r="R220" s="47"/>
      <c r="S220" s="50"/>
      <c r="T220" s="50"/>
      <c r="U220" s="50"/>
      <c r="V220" s="50"/>
      <c r="W220" s="50"/>
      <c r="X220"/>
      <c r="Y220"/>
      <c r="Z220"/>
      <c r="AA220"/>
      <c r="AB220"/>
      <c r="AC220"/>
      <c r="AD220"/>
      <c r="AE220"/>
      <c r="AF220"/>
      <c r="AG220"/>
      <c r="AH220"/>
      <c r="AI220"/>
    </row>
    <row r="221" spans="1:35" s="48" customFormat="1" x14ac:dyDescent="0.45">
      <c r="A221" s="3"/>
      <c r="H221"/>
      <c r="J221" s="49"/>
      <c r="K221" s="49"/>
      <c r="L221" s="50"/>
      <c r="M221" s="50"/>
      <c r="N221" s="50"/>
      <c r="O221" s="50"/>
      <c r="P221" s="50"/>
      <c r="Q221" s="50"/>
      <c r="R221" s="47"/>
      <c r="S221" s="50"/>
      <c r="T221" s="50"/>
      <c r="U221" s="50"/>
      <c r="V221" s="50"/>
      <c r="W221" s="50"/>
      <c r="X221"/>
      <c r="Y221"/>
      <c r="Z221"/>
      <c r="AA221"/>
      <c r="AB221"/>
      <c r="AC221"/>
      <c r="AD221"/>
      <c r="AE221"/>
      <c r="AF221"/>
      <c r="AG221"/>
      <c r="AH221"/>
      <c r="AI221"/>
    </row>
    <row r="222" spans="1:35" s="48" customFormat="1" x14ac:dyDescent="0.45">
      <c r="A222" s="3"/>
      <c r="H222"/>
      <c r="J222" s="49"/>
      <c r="K222" s="49"/>
      <c r="L222" s="50"/>
      <c r="M222" s="50"/>
      <c r="N222" s="50"/>
      <c r="O222" s="50"/>
      <c r="P222" s="50"/>
      <c r="Q222" s="50"/>
      <c r="R222" s="47"/>
      <c r="S222" s="50"/>
      <c r="T222" s="50"/>
      <c r="U222" s="50"/>
      <c r="V222" s="50"/>
      <c r="W222" s="50"/>
      <c r="X222"/>
      <c r="Y222"/>
      <c r="Z222"/>
      <c r="AA222"/>
      <c r="AB222"/>
      <c r="AC222"/>
      <c r="AD222"/>
      <c r="AE222"/>
      <c r="AF222"/>
      <c r="AG222"/>
      <c r="AH222"/>
      <c r="AI222"/>
    </row>
    <row r="223" spans="1:35" s="48" customFormat="1" x14ac:dyDescent="0.45">
      <c r="A223" s="3"/>
      <c r="H223"/>
      <c r="J223" s="49"/>
      <c r="K223" s="49"/>
      <c r="L223" s="50"/>
      <c r="M223" s="50"/>
      <c r="N223" s="50"/>
      <c r="O223" s="50"/>
      <c r="P223" s="50"/>
      <c r="Q223" s="50"/>
      <c r="R223" s="47"/>
      <c r="S223" s="50"/>
      <c r="T223" s="50"/>
      <c r="U223" s="50"/>
      <c r="V223" s="50"/>
      <c r="W223" s="50"/>
      <c r="X223"/>
      <c r="Y223"/>
      <c r="Z223"/>
      <c r="AA223"/>
      <c r="AB223"/>
      <c r="AC223"/>
      <c r="AD223"/>
      <c r="AE223"/>
      <c r="AF223"/>
      <c r="AG223"/>
      <c r="AH223"/>
      <c r="AI223"/>
    </row>
    <row r="224" spans="1:35" s="48" customFormat="1" x14ac:dyDescent="0.45">
      <c r="A224" s="3"/>
      <c r="H224"/>
      <c r="J224" s="49"/>
      <c r="K224" s="49"/>
      <c r="L224" s="50"/>
      <c r="M224" s="50"/>
      <c r="N224" s="50"/>
      <c r="O224" s="50"/>
      <c r="P224" s="50"/>
      <c r="Q224" s="50"/>
      <c r="R224" s="47"/>
      <c r="S224" s="50"/>
      <c r="T224" s="50"/>
      <c r="U224" s="50"/>
      <c r="V224" s="50"/>
      <c r="W224" s="50"/>
      <c r="X224"/>
      <c r="Y224"/>
      <c r="Z224"/>
      <c r="AA224"/>
      <c r="AB224"/>
      <c r="AC224"/>
      <c r="AD224"/>
      <c r="AE224"/>
      <c r="AF224"/>
      <c r="AG224"/>
      <c r="AH224"/>
      <c r="AI224"/>
    </row>
    <row r="225" spans="1:35" s="48" customFormat="1" x14ac:dyDescent="0.45">
      <c r="A225" s="3"/>
      <c r="H225"/>
      <c r="J225" s="49"/>
      <c r="K225" s="49"/>
      <c r="L225" s="50"/>
      <c r="M225" s="50"/>
      <c r="N225" s="50"/>
      <c r="O225" s="50"/>
      <c r="P225" s="50"/>
      <c r="Q225" s="50"/>
      <c r="R225" s="47"/>
      <c r="S225" s="50"/>
      <c r="T225" s="50"/>
      <c r="U225" s="50"/>
      <c r="V225" s="50"/>
      <c r="W225" s="50"/>
      <c r="X225"/>
      <c r="Y225"/>
      <c r="Z225"/>
      <c r="AA225"/>
      <c r="AB225"/>
      <c r="AC225"/>
      <c r="AD225"/>
      <c r="AE225"/>
      <c r="AF225"/>
      <c r="AG225"/>
      <c r="AH225"/>
      <c r="AI225"/>
    </row>
    <row r="226" spans="1:35" s="48" customFormat="1" x14ac:dyDescent="0.45">
      <c r="A226" s="3"/>
      <c r="H226"/>
      <c r="J226" s="49"/>
      <c r="K226" s="49"/>
      <c r="L226" s="50"/>
      <c r="M226" s="50"/>
      <c r="N226" s="50"/>
      <c r="O226" s="50"/>
      <c r="P226" s="50"/>
      <c r="Q226" s="50"/>
      <c r="R226" s="47"/>
      <c r="S226" s="50"/>
      <c r="T226" s="50"/>
      <c r="U226" s="50"/>
      <c r="V226" s="50"/>
      <c r="W226" s="50"/>
      <c r="X226"/>
      <c r="Y226"/>
      <c r="Z226"/>
      <c r="AA226"/>
      <c r="AB226"/>
      <c r="AC226"/>
      <c r="AD226"/>
      <c r="AE226"/>
      <c r="AF226"/>
      <c r="AG226"/>
      <c r="AH226"/>
      <c r="AI226"/>
    </row>
    <row r="227" spans="1:35" s="48" customFormat="1" x14ac:dyDescent="0.45">
      <c r="A227" s="3"/>
      <c r="H227"/>
      <c r="J227" s="49"/>
      <c r="K227" s="49"/>
      <c r="L227" s="50"/>
      <c r="M227" s="50"/>
      <c r="N227" s="50"/>
      <c r="O227" s="50"/>
      <c r="P227" s="50"/>
      <c r="Q227" s="50"/>
      <c r="R227" s="47"/>
      <c r="S227" s="50"/>
      <c r="T227" s="50"/>
      <c r="U227" s="50"/>
      <c r="V227" s="50"/>
      <c r="W227" s="50"/>
      <c r="X227"/>
      <c r="Y227"/>
      <c r="Z227"/>
      <c r="AA227"/>
      <c r="AB227"/>
      <c r="AC227"/>
      <c r="AD227"/>
      <c r="AE227"/>
      <c r="AF227"/>
      <c r="AG227"/>
      <c r="AH227"/>
      <c r="AI227"/>
    </row>
    <row r="228" spans="1:35" s="48" customFormat="1" x14ac:dyDescent="0.45">
      <c r="A228" s="3"/>
      <c r="H228"/>
      <c r="J228" s="49"/>
      <c r="K228" s="49"/>
      <c r="L228" s="50"/>
      <c r="M228" s="50"/>
      <c r="N228" s="50"/>
      <c r="O228" s="50"/>
      <c r="P228" s="50"/>
      <c r="Q228" s="50"/>
      <c r="R228" s="47"/>
      <c r="S228" s="50"/>
      <c r="T228" s="50"/>
      <c r="U228" s="50"/>
      <c r="V228" s="50"/>
      <c r="W228" s="50"/>
      <c r="X228"/>
      <c r="Y228"/>
      <c r="Z228"/>
      <c r="AA228"/>
      <c r="AB228"/>
      <c r="AC228"/>
      <c r="AD228"/>
      <c r="AE228"/>
      <c r="AF228"/>
      <c r="AG228"/>
      <c r="AH228"/>
      <c r="AI228"/>
    </row>
    <row r="229" spans="1:35" s="48" customFormat="1" x14ac:dyDescent="0.45">
      <c r="A229" s="3"/>
      <c r="H229"/>
      <c r="J229" s="49"/>
      <c r="K229" s="49"/>
      <c r="L229" s="50"/>
      <c r="M229" s="50"/>
      <c r="N229" s="50"/>
      <c r="O229" s="50"/>
      <c r="P229" s="50"/>
      <c r="Q229" s="50"/>
      <c r="R229" s="47"/>
      <c r="S229" s="50"/>
      <c r="T229" s="50"/>
      <c r="U229" s="50"/>
      <c r="V229" s="50"/>
      <c r="W229" s="50"/>
      <c r="X229"/>
      <c r="Y229"/>
      <c r="Z229"/>
      <c r="AA229"/>
      <c r="AB229"/>
      <c r="AC229"/>
      <c r="AD229"/>
      <c r="AE229"/>
      <c r="AF229"/>
      <c r="AG229"/>
      <c r="AH229"/>
      <c r="AI229"/>
    </row>
    <row r="230" spans="1:35" s="48" customFormat="1" x14ac:dyDescent="0.45">
      <c r="A230" s="3"/>
      <c r="H230"/>
      <c r="J230" s="49"/>
      <c r="K230" s="49"/>
      <c r="L230" s="50"/>
      <c r="M230" s="50"/>
      <c r="N230" s="50"/>
      <c r="O230" s="50"/>
      <c r="P230" s="50"/>
      <c r="Q230" s="50"/>
      <c r="R230" s="47"/>
      <c r="S230" s="50"/>
      <c r="T230" s="50"/>
      <c r="U230" s="50"/>
      <c r="V230" s="50"/>
      <c r="W230" s="50"/>
      <c r="X230"/>
      <c r="Y230"/>
      <c r="Z230"/>
      <c r="AA230"/>
      <c r="AB230"/>
      <c r="AC230"/>
      <c r="AD230"/>
      <c r="AE230"/>
      <c r="AF230"/>
      <c r="AG230"/>
      <c r="AH230"/>
      <c r="AI230"/>
    </row>
    <row r="231" spans="1:35" s="48" customFormat="1" x14ac:dyDescent="0.45">
      <c r="A231" s="3"/>
      <c r="H231"/>
      <c r="J231" s="49"/>
      <c r="K231" s="49"/>
      <c r="L231" s="50"/>
      <c r="M231" s="50"/>
      <c r="N231" s="50"/>
      <c r="O231" s="50"/>
      <c r="P231" s="50"/>
      <c r="Q231" s="50"/>
      <c r="R231" s="47"/>
      <c r="S231" s="50"/>
      <c r="T231" s="50"/>
      <c r="U231" s="50"/>
      <c r="V231" s="50"/>
      <c r="W231" s="50"/>
      <c r="X231"/>
      <c r="Y231"/>
      <c r="Z231"/>
      <c r="AA231"/>
      <c r="AB231"/>
      <c r="AC231"/>
      <c r="AD231"/>
      <c r="AE231"/>
      <c r="AF231"/>
      <c r="AG231"/>
      <c r="AH231"/>
      <c r="AI231"/>
    </row>
    <row r="232" spans="1:35" s="48" customFormat="1" x14ac:dyDescent="0.45">
      <c r="A232" s="3"/>
      <c r="H232"/>
      <c r="J232" s="49"/>
      <c r="K232" s="49"/>
      <c r="L232" s="50"/>
      <c r="M232" s="50"/>
      <c r="N232" s="50"/>
      <c r="O232" s="50"/>
      <c r="P232" s="50"/>
      <c r="Q232" s="50"/>
      <c r="R232" s="47"/>
      <c r="S232" s="50"/>
      <c r="T232" s="50"/>
      <c r="U232" s="50"/>
      <c r="V232" s="50"/>
      <c r="W232" s="50"/>
      <c r="X232"/>
      <c r="Y232"/>
      <c r="Z232"/>
      <c r="AA232"/>
      <c r="AB232"/>
      <c r="AC232"/>
      <c r="AD232"/>
      <c r="AE232"/>
      <c r="AF232"/>
      <c r="AG232"/>
      <c r="AH232"/>
      <c r="AI232"/>
    </row>
    <row r="233" spans="1:35" s="48" customFormat="1" x14ac:dyDescent="0.45">
      <c r="A233" s="3"/>
      <c r="H233"/>
      <c r="J233" s="49"/>
      <c r="K233" s="49"/>
      <c r="L233" s="50"/>
      <c r="M233" s="50"/>
      <c r="N233" s="50"/>
      <c r="O233" s="50"/>
      <c r="P233" s="50"/>
      <c r="Q233" s="50"/>
      <c r="R233" s="47"/>
      <c r="S233" s="50"/>
      <c r="T233" s="50"/>
      <c r="U233" s="50"/>
      <c r="V233" s="50"/>
      <c r="W233" s="50"/>
      <c r="X233"/>
      <c r="Y233"/>
      <c r="Z233"/>
      <c r="AA233"/>
      <c r="AB233"/>
      <c r="AC233"/>
      <c r="AD233"/>
      <c r="AE233"/>
      <c r="AF233"/>
      <c r="AG233"/>
      <c r="AH233"/>
      <c r="AI233"/>
    </row>
    <row r="234" spans="1:35" s="48" customFormat="1" x14ac:dyDescent="0.45">
      <c r="A234" s="3"/>
      <c r="H234"/>
      <c r="J234" s="49"/>
      <c r="K234" s="49"/>
      <c r="L234" s="50"/>
      <c r="M234" s="50"/>
      <c r="N234" s="50"/>
      <c r="O234" s="50"/>
      <c r="P234" s="50"/>
      <c r="Q234" s="50"/>
      <c r="R234" s="47"/>
      <c r="S234" s="50"/>
      <c r="T234" s="50"/>
      <c r="U234" s="50"/>
      <c r="V234" s="50"/>
      <c r="W234" s="50"/>
      <c r="X234"/>
      <c r="Y234"/>
      <c r="Z234"/>
      <c r="AA234"/>
      <c r="AB234"/>
      <c r="AC234"/>
      <c r="AD234"/>
      <c r="AE234"/>
      <c r="AF234"/>
      <c r="AG234"/>
      <c r="AH234"/>
      <c r="AI234"/>
    </row>
    <row r="235" spans="1:35" s="48" customFormat="1" x14ac:dyDescent="0.45">
      <c r="A235" s="3"/>
      <c r="H235"/>
      <c r="J235" s="49"/>
      <c r="K235" s="49"/>
      <c r="L235" s="50"/>
      <c r="M235" s="50"/>
      <c r="N235" s="50"/>
      <c r="O235" s="50"/>
      <c r="P235" s="50"/>
      <c r="Q235" s="50"/>
      <c r="R235" s="47"/>
      <c r="S235" s="50"/>
      <c r="T235" s="50"/>
      <c r="U235" s="50"/>
      <c r="V235" s="50"/>
      <c r="W235" s="50"/>
      <c r="X235"/>
      <c r="Y235"/>
      <c r="Z235"/>
      <c r="AA235"/>
      <c r="AB235"/>
      <c r="AC235"/>
      <c r="AD235"/>
      <c r="AE235"/>
      <c r="AF235"/>
      <c r="AG235"/>
      <c r="AH235"/>
      <c r="AI235"/>
    </row>
    <row r="236" spans="1:35" s="48" customFormat="1" x14ac:dyDescent="0.45">
      <c r="A236" s="3"/>
      <c r="H236"/>
      <c r="J236" s="49"/>
      <c r="K236" s="49"/>
      <c r="L236" s="50"/>
      <c r="M236" s="50"/>
      <c r="N236" s="50"/>
      <c r="O236" s="50"/>
      <c r="P236" s="50"/>
      <c r="Q236" s="50"/>
      <c r="R236" s="47"/>
      <c r="S236" s="50"/>
      <c r="T236" s="50"/>
      <c r="U236" s="50"/>
      <c r="V236" s="50"/>
      <c r="W236" s="50"/>
      <c r="X236"/>
      <c r="Y236"/>
      <c r="Z236"/>
      <c r="AA236"/>
      <c r="AB236"/>
      <c r="AC236"/>
      <c r="AD236"/>
      <c r="AE236"/>
      <c r="AF236"/>
      <c r="AG236"/>
      <c r="AH236"/>
      <c r="AI236"/>
    </row>
    <row r="237" spans="1:35" s="48" customFormat="1" x14ac:dyDescent="0.45">
      <c r="A237" s="3"/>
      <c r="H237"/>
      <c r="J237" s="49"/>
      <c r="K237" s="49"/>
      <c r="L237" s="50"/>
      <c r="M237" s="50"/>
      <c r="N237" s="50"/>
      <c r="O237" s="50"/>
      <c r="P237" s="50"/>
      <c r="Q237" s="50"/>
      <c r="R237" s="47"/>
      <c r="S237" s="50"/>
      <c r="T237" s="50"/>
      <c r="U237" s="50"/>
      <c r="V237" s="50"/>
      <c r="W237" s="50"/>
      <c r="X237"/>
      <c r="Y237"/>
      <c r="Z237"/>
      <c r="AA237"/>
      <c r="AB237"/>
      <c r="AC237"/>
      <c r="AD237"/>
      <c r="AE237"/>
      <c r="AF237"/>
      <c r="AG237"/>
      <c r="AH237"/>
      <c r="AI237"/>
    </row>
    <row r="238" spans="1:35" s="48" customFormat="1" x14ac:dyDescent="0.45">
      <c r="A238" s="3"/>
      <c r="H238"/>
      <c r="J238" s="49"/>
      <c r="K238" s="49"/>
      <c r="L238" s="50"/>
      <c r="M238" s="50"/>
      <c r="N238" s="50"/>
      <c r="O238" s="50"/>
      <c r="P238" s="50"/>
      <c r="Q238" s="50"/>
      <c r="R238" s="47"/>
      <c r="S238" s="50"/>
      <c r="T238" s="50"/>
      <c r="U238" s="50"/>
      <c r="V238" s="50"/>
      <c r="W238" s="50"/>
      <c r="X238"/>
      <c r="Y238"/>
      <c r="Z238"/>
      <c r="AA238"/>
      <c r="AB238"/>
      <c r="AC238"/>
      <c r="AD238"/>
      <c r="AE238"/>
      <c r="AF238"/>
      <c r="AG238"/>
      <c r="AH238"/>
      <c r="AI238"/>
    </row>
    <row r="239" spans="1:35" s="48" customFormat="1" x14ac:dyDescent="0.45">
      <c r="A239" s="3"/>
      <c r="H239"/>
      <c r="J239" s="49"/>
      <c r="K239" s="49"/>
      <c r="L239" s="50"/>
      <c r="M239" s="50"/>
      <c r="N239" s="50"/>
      <c r="O239" s="50"/>
      <c r="P239" s="50"/>
      <c r="Q239" s="50"/>
      <c r="R239" s="47"/>
      <c r="S239" s="50"/>
      <c r="T239" s="50"/>
      <c r="U239" s="50"/>
      <c r="V239" s="50"/>
      <c r="W239" s="50"/>
      <c r="X239"/>
      <c r="Y239"/>
      <c r="Z239"/>
      <c r="AA239"/>
      <c r="AB239"/>
      <c r="AC239"/>
      <c r="AD239"/>
      <c r="AE239"/>
      <c r="AF239"/>
      <c r="AG239"/>
      <c r="AH239"/>
      <c r="AI239"/>
    </row>
    <row r="240" spans="1:35" s="48" customFormat="1" x14ac:dyDescent="0.45">
      <c r="A240" s="3"/>
      <c r="H240"/>
      <c r="J240" s="49"/>
      <c r="K240" s="49"/>
      <c r="L240" s="50"/>
      <c r="M240" s="50"/>
      <c r="N240" s="50"/>
      <c r="O240" s="50"/>
      <c r="P240" s="50"/>
      <c r="Q240" s="50"/>
      <c r="R240" s="47"/>
      <c r="S240" s="50"/>
      <c r="T240" s="50"/>
      <c r="U240" s="50"/>
      <c r="V240" s="50"/>
      <c r="W240" s="50"/>
      <c r="X240"/>
      <c r="Y240"/>
      <c r="Z240"/>
      <c r="AA240"/>
      <c r="AB240"/>
      <c r="AC240"/>
      <c r="AD240"/>
      <c r="AE240"/>
      <c r="AF240"/>
      <c r="AG240"/>
      <c r="AH240"/>
      <c r="AI240"/>
    </row>
    <row r="241" spans="1:35" s="48" customFormat="1" x14ac:dyDescent="0.45">
      <c r="A241" s="3"/>
      <c r="H241"/>
      <c r="J241" s="49"/>
      <c r="K241" s="49"/>
      <c r="L241" s="50"/>
      <c r="M241" s="50"/>
      <c r="N241" s="50"/>
      <c r="O241" s="50"/>
      <c r="P241" s="50"/>
      <c r="Q241" s="50"/>
      <c r="R241" s="47"/>
      <c r="S241" s="50"/>
      <c r="T241" s="50"/>
      <c r="U241" s="50"/>
      <c r="V241" s="50"/>
      <c r="W241" s="50"/>
      <c r="X241"/>
      <c r="Y241"/>
      <c r="Z241"/>
      <c r="AA241"/>
      <c r="AB241"/>
      <c r="AC241"/>
      <c r="AD241"/>
      <c r="AE241"/>
      <c r="AF241"/>
      <c r="AG241"/>
      <c r="AH241"/>
      <c r="AI241"/>
    </row>
    <row r="242" spans="1:35" s="48" customFormat="1" x14ac:dyDescent="0.45">
      <c r="A242" s="3"/>
      <c r="H242"/>
      <c r="J242" s="49"/>
      <c r="K242" s="49"/>
      <c r="L242" s="50"/>
      <c r="M242" s="50"/>
      <c r="N242" s="50"/>
      <c r="O242" s="50"/>
      <c r="P242" s="50"/>
      <c r="Q242" s="50"/>
      <c r="R242" s="47"/>
      <c r="S242" s="50"/>
      <c r="T242" s="50"/>
      <c r="U242" s="50"/>
      <c r="V242" s="50"/>
      <c r="W242" s="50"/>
      <c r="X242"/>
      <c r="Y242"/>
      <c r="Z242"/>
      <c r="AA242"/>
      <c r="AB242"/>
      <c r="AC242"/>
      <c r="AD242"/>
      <c r="AE242"/>
      <c r="AF242"/>
      <c r="AG242"/>
      <c r="AH242"/>
      <c r="AI242"/>
    </row>
    <row r="243" spans="1:35" s="48" customFormat="1" x14ac:dyDescent="0.45">
      <c r="A243" s="3"/>
      <c r="H243"/>
      <c r="J243" s="49"/>
      <c r="K243" s="49"/>
      <c r="L243" s="50"/>
      <c r="M243" s="50"/>
      <c r="N243" s="50"/>
      <c r="O243" s="50"/>
      <c r="P243" s="50"/>
      <c r="Q243" s="50"/>
      <c r="R243" s="47"/>
      <c r="S243" s="50"/>
      <c r="T243" s="50"/>
      <c r="U243" s="50"/>
      <c r="V243" s="50"/>
      <c r="W243" s="50"/>
      <c r="X243"/>
      <c r="Y243"/>
      <c r="Z243"/>
      <c r="AA243"/>
      <c r="AB243"/>
      <c r="AC243"/>
      <c r="AD243"/>
      <c r="AE243"/>
      <c r="AF243"/>
      <c r="AG243"/>
      <c r="AH243"/>
      <c r="AI243"/>
    </row>
    <row r="244" spans="1:35" s="48" customFormat="1" x14ac:dyDescent="0.45">
      <c r="A244" s="3"/>
      <c r="H244"/>
      <c r="J244" s="49"/>
      <c r="K244" s="49"/>
      <c r="L244" s="50"/>
      <c r="M244" s="50"/>
      <c r="N244" s="50"/>
      <c r="O244" s="50"/>
      <c r="P244" s="50"/>
      <c r="Q244" s="50"/>
      <c r="R244" s="47"/>
      <c r="S244" s="50"/>
      <c r="T244" s="50"/>
      <c r="U244" s="50"/>
      <c r="V244" s="50"/>
      <c r="W244" s="50"/>
      <c r="X244"/>
      <c r="Y244"/>
      <c r="Z244"/>
      <c r="AA244"/>
      <c r="AB244"/>
      <c r="AC244"/>
      <c r="AD244"/>
      <c r="AE244"/>
      <c r="AF244"/>
      <c r="AG244"/>
      <c r="AH244"/>
      <c r="AI244"/>
    </row>
    <row r="245" spans="1:35" s="48" customFormat="1" x14ac:dyDescent="0.45">
      <c r="A245" s="3"/>
      <c r="H245"/>
      <c r="J245" s="49"/>
      <c r="K245" s="49"/>
      <c r="L245" s="50"/>
      <c r="M245" s="50"/>
      <c r="N245" s="50"/>
      <c r="O245" s="50"/>
      <c r="P245" s="50"/>
      <c r="Q245" s="50"/>
      <c r="R245" s="47"/>
      <c r="S245" s="50"/>
      <c r="T245" s="50"/>
      <c r="U245" s="50"/>
      <c r="V245" s="50"/>
      <c r="W245" s="50"/>
      <c r="X245"/>
      <c r="Y245"/>
      <c r="Z245"/>
      <c r="AA245"/>
      <c r="AB245"/>
      <c r="AC245"/>
      <c r="AD245"/>
      <c r="AE245"/>
      <c r="AF245"/>
      <c r="AG245"/>
      <c r="AH245"/>
      <c r="AI245"/>
    </row>
    <row r="246" spans="1:35" s="48" customFormat="1" x14ac:dyDescent="0.45">
      <c r="A246" s="3"/>
      <c r="H246"/>
      <c r="J246" s="49"/>
      <c r="K246" s="49"/>
      <c r="L246" s="50"/>
      <c r="M246" s="50"/>
      <c r="N246" s="50"/>
      <c r="O246" s="50"/>
      <c r="P246" s="50"/>
      <c r="Q246" s="50"/>
      <c r="R246" s="47"/>
      <c r="S246" s="50"/>
      <c r="T246" s="50"/>
      <c r="U246" s="50"/>
      <c r="V246" s="50"/>
      <c r="W246" s="50"/>
      <c r="X246"/>
      <c r="Y246"/>
      <c r="Z246"/>
      <c r="AA246"/>
      <c r="AB246"/>
      <c r="AC246"/>
      <c r="AD246"/>
      <c r="AE246"/>
      <c r="AF246"/>
      <c r="AG246"/>
      <c r="AH246"/>
      <c r="AI246"/>
    </row>
    <row r="247" spans="1:35" s="48" customFormat="1" x14ac:dyDescent="0.45">
      <c r="A247" s="3"/>
      <c r="H247"/>
      <c r="J247" s="49"/>
      <c r="K247" s="49"/>
      <c r="L247" s="50"/>
      <c r="M247" s="50"/>
      <c r="N247" s="50"/>
      <c r="O247" s="50"/>
      <c r="P247" s="50"/>
      <c r="Q247" s="50"/>
      <c r="R247" s="47"/>
      <c r="S247" s="50"/>
      <c r="T247" s="50"/>
      <c r="U247" s="50"/>
      <c r="V247" s="50"/>
      <c r="W247" s="50"/>
      <c r="X247"/>
      <c r="Y247"/>
      <c r="Z247"/>
      <c r="AA247"/>
      <c r="AB247"/>
      <c r="AC247"/>
      <c r="AD247"/>
      <c r="AE247"/>
      <c r="AF247"/>
      <c r="AG247"/>
      <c r="AH247"/>
      <c r="AI247"/>
    </row>
    <row r="248" spans="1:35" s="48" customFormat="1" x14ac:dyDescent="0.45">
      <c r="A248" s="3"/>
      <c r="H248"/>
      <c r="J248" s="49"/>
      <c r="K248" s="49"/>
      <c r="L248" s="50"/>
      <c r="M248" s="50"/>
      <c r="N248" s="50"/>
      <c r="O248" s="50"/>
      <c r="P248" s="50"/>
      <c r="Q248" s="50"/>
      <c r="R248" s="47"/>
      <c r="S248" s="50"/>
      <c r="T248" s="50"/>
      <c r="U248" s="50"/>
      <c r="V248" s="50"/>
      <c r="W248" s="50"/>
      <c r="X248"/>
      <c r="Y248"/>
      <c r="Z248"/>
      <c r="AA248"/>
      <c r="AB248"/>
      <c r="AC248"/>
      <c r="AD248"/>
      <c r="AE248"/>
      <c r="AF248"/>
      <c r="AG248"/>
      <c r="AH248"/>
      <c r="AI248"/>
    </row>
    <row r="249" spans="1:35" s="48" customFormat="1" x14ac:dyDescent="0.45">
      <c r="A249" s="3"/>
      <c r="H249"/>
      <c r="J249" s="49"/>
      <c r="K249" s="49"/>
      <c r="L249" s="50"/>
      <c r="M249" s="50"/>
      <c r="N249" s="50"/>
      <c r="O249" s="50"/>
      <c r="P249" s="50"/>
      <c r="Q249" s="50"/>
      <c r="R249" s="47"/>
      <c r="S249" s="50"/>
      <c r="T249" s="50"/>
      <c r="U249" s="50"/>
      <c r="V249" s="50"/>
      <c r="W249" s="50"/>
      <c r="X249"/>
      <c r="Y249"/>
      <c r="Z249"/>
      <c r="AA249"/>
      <c r="AB249"/>
      <c r="AC249"/>
      <c r="AD249"/>
      <c r="AE249"/>
      <c r="AF249"/>
      <c r="AG249"/>
      <c r="AH249"/>
      <c r="AI249"/>
    </row>
    <row r="250" spans="1:35" s="48" customFormat="1" x14ac:dyDescent="0.45">
      <c r="A250" s="3"/>
      <c r="H250"/>
      <c r="J250" s="49"/>
      <c r="K250" s="49"/>
      <c r="L250" s="50"/>
      <c r="M250" s="50"/>
      <c r="N250" s="50"/>
      <c r="O250" s="50"/>
      <c r="P250" s="50"/>
      <c r="Q250" s="50"/>
      <c r="R250" s="47"/>
      <c r="S250" s="50"/>
      <c r="T250" s="50"/>
      <c r="U250" s="50"/>
      <c r="V250" s="50"/>
      <c r="W250" s="50"/>
      <c r="X250"/>
      <c r="Y250"/>
      <c r="Z250"/>
      <c r="AA250"/>
      <c r="AB250"/>
      <c r="AC250"/>
      <c r="AD250"/>
      <c r="AE250"/>
      <c r="AF250"/>
      <c r="AG250"/>
      <c r="AH250"/>
      <c r="AI250"/>
    </row>
    <row r="251" spans="1:35" s="48" customFormat="1" x14ac:dyDescent="0.45">
      <c r="A251" s="3"/>
      <c r="H251"/>
      <c r="J251" s="49"/>
      <c r="K251" s="49"/>
      <c r="L251" s="50"/>
      <c r="M251" s="50"/>
      <c r="N251" s="50"/>
      <c r="O251" s="50"/>
      <c r="P251" s="50"/>
      <c r="Q251" s="50"/>
      <c r="R251" s="47"/>
      <c r="S251" s="50"/>
      <c r="T251" s="50"/>
      <c r="U251" s="50"/>
      <c r="V251" s="50"/>
      <c r="W251" s="50"/>
      <c r="X251"/>
      <c r="Y251"/>
      <c r="Z251"/>
      <c r="AA251"/>
      <c r="AB251"/>
      <c r="AC251"/>
      <c r="AD251"/>
      <c r="AE251"/>
      <c r="AF251"/>
      <c r="AG251"/>
      <c r="AH251"/>
      <c r="AI251"/>
    </row>
    <row r="252" spans="1:35" s="48" customFormat="1" x14ac:dyDescent="0.45">
      <c r="A252" s="3"/>
      <c r="H252"/>
      <c r="J252" s="49"/>
      <c r="K252" s="49"/>
      <c r="L252" s="50"/>
      <c r="M252" s="50"/>
      <c r="N252" s="50"/>
      <c r="O252" s="50"/>
      <c r="P252" s="50"/>
      <c r="Q252" s="50"/>
      <c r="R252" s="47"/>
      <c r="S252" s="50"/>
      <c r="T252" s="50"/>
      <c r="U252" s="50"/>
      <c r="V252" s="50"/>
      <c r="W252" s="50"/>
      <c r="X252"/>
      <c r="Y252"/>
      <c r="Z252"/>
      <c r="AA252"/>
      <c r="AB252"/>
      <c r="AC252"/>
      <c r="AD252"/>
      <c r="AE252"/>
      <c r="AF252"/>
      <c r="AG252"/>
      <c r="AH252"/>
      <c r="AI252"/>
    </row>
    <row r="253" spans="1:35" s="48" customFormat="1" x14ac:dyDescent="0.45">
      <c r="A253" s="3"/>
      <c r="H253"/>
      <c r="J253" s="49"/>
      <c r="K253" s="49"/>
      <c r="L253" s="50"/>
      <c r="M253" s="50"/>
      <c r="N253" s="50"/>
      <c r="O253" s="50"/>
      <c r="P253" s="50"/>
      <c r="Q253" s="50"/>
      <c r="R253" s="47"/>
      <c r="S253" s="50"/>
      <c r="T253" s="50"/>
      <c r="U253" s="50"/>
      <c r="V253" s="50"/>
      <c r="W253" s="50"/>
      <c r="X253"/>
      <c r="Y253"/>
      <c r="Z253"/>
      <c r="AA253"/>
      <c r="AB253"/>
      <c r="AC253"/>
      <c r="AD253"/>
      <c r="AE253"/>
      <c r="AF253"/>
      <c r="AG253"/>
      <c r="AH253"/>
      <c r="AI253"/>
    </row>
    <row r="254" spans="1:35" s="48" customFormat="1" x14ac:dyDescent="0.45">
      <c r="A254" s="3"/>
      <c r="H254"/>
      <c r="J254" s="49"/>
      <c r="K254" s="49"/>
      <c r="L254" s="50"/>
      <c r="M254" s="50"/>
      <c r="N254" s="50"/>
      <c r="O254" s="50"/>
      <c r="P254" s="50"/>
      <c r="Q254" s="50"/>
      <c r="R254" s="47"/>
      <c r="S254" s="50"/>
      <c r="T254" s="50"/>
      <c r="U254" s="50"/>
      <c r="V254" s="50"/>
      <c r="W254" s="50"/>
      <c r="X254"/>
      <c r="Y254"/>
      <c r="Z254"/>
      <c r="AA254"/>
      <c r="AB254"/>
      <c r="AC254"/>
      <c r="AD254"/>
      <c r="AE254"/>
      <c r="AF254"/>
      <c r="AG254"/>
      <c r="AH254"/>
      <c r="AI254"/>
    </row>
    <row r="255" spans="1:35" s="48" customFormat="1" x14ac:dyDescent="0.45">
      <c r="A255" s="3"/>
      <c r="H255"/>
      <c r="J255" s="49"/>
      <c r="K255" s="49"/>
      <c r="L255" s="50"/>
      <c r="M255" s="50"/>
      <c r="N255" s="50"/>
      <c r="O255" s="50"/>
      <c r="P255" s="50"/>
      <c r="Q255" s="50"/>
      <c r="R255" s="47"/>
      <c r="S255" s="50"/>
      <c r="T255" s="50"/>
      <c r="U255" s="50"/>
      <c r="V255" s="50"/>
      <c r="W255" s="50"/>
      <c r="X255"/>
      <c r="Y255"/>
      <c r="Z255"/>
      <c r="AA255"/>
      <c r="AB255"/>
      <c r="AC255"/>
      <c r="AD255"/>
      <c r="AE255"/>
      <c r="AF255"/>
      <c r="AG255"/>
      <c r="AH255"/>
      <c r="AI255"/>
    </row>
    <row r="256" spans="1:35" s="48" customFormat="1" x14ac:dyDescent="0.45">
      <c r="A256" s="3"/>
      <c r="H256"/>
      <c r="J256" s="49"/>
      <c r="K256" s="49"/>
      <c r="L256" s="50"/>
      <c r="M256" s="50"/>
      <c r="N256" s="50"/>
      <c r="O256" s="50"/>
      <c r="P256" s="50"/>
      <c r="Q256" s="50"/>
      <c r="R256" s="47"/>
      <c r="S256" s="50"/>
      <c r="T256" s="50"/>
      <c r="U256" s="50"/>
      <c r="V256" s="50"/>
      <c r="W256" s="50"/>
      <c r="X256"/>
      <c r="Y256"/>
      <c r="Z256"/>
      <c r="AA256"/>
      <c r="AB256"/>
      <c r="AC256"/>
      <c r="AD256"/>
      <c r="AE256"/>
      <c r="AF256"/>
      <c r="AG256"/>
      <c r="AH256"/>
      <c r="AI256"/>
    </row>
    <row r="257" spans="1:35" s="48" customFormat="1" x14ac:dyDescent="0.45">
      <c r="A257" s="3"/>
      <c r="H257"/>
      <c r="J257" s="49"/>
      <c r="K257" s="49"/>
      <c r="L257" s="50"/>
      <c r="M257" s="50"/>
      <c r="N257" s="50"/>
      <c r="O257" s="50"/>
      <c r="P257" s="50"/>
      <c r="Q257" s="50"/>
      <c r="R257" s="47"/>
      <c r="S257" s="50"/>
      <c r="T257" s="50"/>
      <c r="U257" s="50"/>
      <c r="V257" s="50"/>
      <c r="W257" s="50"/>
      <c r="X257"/>
      <c r="Y257"/>
      <c r="Z257"/>
      <c r="AA257"/>
      <c r="AB257"/>
      <c r="AC257"/>
      <c r="AD257"/>
      <c r="AE257"/>
      <c r="AF257"/>
      <c r="AG257"/>
      <c r="AH257"/>
      <c r="AI257"/>
    </row>
    <row r="258" spans="1:35" s="48" customFormat="1" x14ac:dyDescent="0.45">
      <c r="A258" s="3"/>
      <c r="H258"/>
      <c r="J258" s="49"/>
      <c r="K258" s="49"/>
      <c r="L258" s="50"/>
      <c r="M258" s="50"/>
      <c r="N258" s="50"/>
      <c r="O258" s="50"/>
      <c r="P258" s="50"/>
      <c r="Q258" s="50"/>
      <c r="R258" s="47"/>
      <c r="S258" s="50"/>
      <c r="T258" s="50"/>
      <c r="U258" s="50"/>
      <c r="V258" s="50"/>
      <c r="W258" s="50"/>
      <c r="X258"/>
      <c r="Y258"/>
      <c r="Z258"/>
      <c r="AA258"/>
      <c r="AB258"/>
      <c r="AC258"/>
      <c r="AD258"/>
      <c r="AE258"/>
      <c r="AF258"/>
      <c r="AG258"/>
      <c r="AH258"/>
      <c r="AI258"/>
    </row>
    <row r="259" spans="1:35" s="48" customFormat="1" x14ac:dyDescent="0.45">
      <c r="A259" s="3"/>
      <c r="H259"/>
      <c r="J259" s="49"/>
      <c r="K259" s="49"/>
      <c r="L259" s="50"/>
      <c r="M259" s="50"/>
      <c r="N259" s="50"/>
      <c r="O259" s="50"/>
      <c r="P259" s="50"/>
      <c r="Q259" s="50"/>
      <c r="R259" s="47"/>
      <c r="S259" s="50"/>
      <c r="T259" s="50"/>
      <c r="U259" s="50"/>
      <c r="V259" s="50"/>
      <c r="W259" s="50"/>
      <c r="X259"/>
      <c r="Y259"/>
      <c r="Z259"/>
      <c r="AA259"/>
      <c r="AB259"/>
      <c r="AC259"/>
      <c r="AD259"/>
      <c r="AE259"/>
      <c r="AF259"/>
      <c r="AG259"/>
      <c r="AH259"/>
      <c r="AI259"/>
    </row>
    <row r="260" spans="1:35" s="48" customFormat="1" x14ac:dyDescent="0.45">
      <c r="A260" s="3"/>
      <c r="H260"/>
      <c r="J260" s="49"/>
      <c r="K260" s="49"/>
      <c r="L260" s="50"/>
      <c r="M260" s="50"/>
      <c r="N260" s="50"/>
      <c r="O260" s="50"/>
      <c r="P260" s="50"/>
      <c r="Q260" s="50"/>
      <c r="R260" s="47"/>
      <c r="S260" s="50"/>
      <c r="T260" s="50"/>
      <c r="U260" s="50"/>
      <c r="V260" s="50"/>
      <c r="W260" s="50"/>
      <c r="X260"/>
      <c r="Y260"/>
      <c r="Z260"/>
      <c r="AA260"/>
      <c r="AB260"/>
      <c r="AC260"/>
      <c r="AD260"/>
      <c r="AE260"/>
      <c r="AF260"/>
      <c r="AG260"/>
      <c r="AH260"/>
      <c r="AI260"/>
    </row>
    <row r="261" spans="1:35" s="48" customFormat="1" x14ac:dyDescent="0.45">
      <c r="A261" s="3"/>
      <c r="H261"/>
      <c r="J261" s="49"/>
      <c r="K261" s="49"/>
      <c r="L261" s="50"/>
      <c r="M261" s="50"/>
      <c r="N261" s="50"/>
      <c r="O261" s="50"/>
      <c r="P261" s="50"/>
      <c r="Q261" s="50"/>
      <c r="R261" s="47"/>
      <c r="S261" s="50"/>
      <c r="T261" s="50"/>
      <c r="U261" s="50"/>
      <c r="V261" s="50"/>
      <c r="W261" s="50"/>
      <c r="X261"/>
      <c r="Y261"/>
      <c r="Z261"/>
      <c r="AA261"/>
      <c r="AB261"/>
      <c r="AC261"/>
      <c r="AD261"/>
      <c r="AE261"/>
      <c r="AF261"/>
      <c r="AG261"/>
      <c r="AH261"/>
      <c r="AI261"/>
    </row>
    <row r="262" spans="1:35" s="48" customFormat="1" x14ac:dyDescent="0.45">
      <c r="A262" s="3"/>
      <c r="H262"/>
      <c r="J262" s="49"/>
      <c r="K262" s="49"/>
      <c r="L262" s="50"/>
      <c r="M262" s="50"/>
      <c r="N262" s="50"/>
      <c r="O262" s="50"/>
      <c r="P262" s="50"/>
      <c r="Q262" s="50"/>
      <c r="R262" s="47"/>
      <c r="S262" s="50"/>
      <c r="T262" s="50"/>
      <c r="U262" s="50"/>
      <c r="V262" s="50"/>
      <c r="W262" s="50"/>
      <c r="X262"/>
      <c r="Y262"/>
      <c r="Z262"/>
      <c r="AA262"/>
      <c r="AB262"/>
      <c r="AC262"/>
      <c r="AD262"/>
      <c r="AE262"/>
      <c r="AF262"/>
      <c r="AG262"/>
      <c r="AH262"/>
      <c r="AI262"/>
    </row>
    <row r="263" spans="1:35" s="48" customFormat="1" x14ac:dyDescent="0.45">
      <c r="A263" s="3"/>
      <c r="H263"/>
      <c r="J263" s="49"/>
      <c r="K263" s="49"/>
      <c r="L263" s="50"/>
      <c r="M263" s="50"/>
      <c r="N263" s="50"/>
      <c r="O263" s="50"/>
      <c r="P263" s="50"/>
      <c r="Q263" s="50"/>
      <c r="R263" s="47"/>
      <c r="S263" s="50"/>
      <c r="T263" s="50"/>
      <c r="U263" s="50"/>
      <c r="V263" s="50"/>
      <c r="W263" s="50"/>
      <c r="X263"/>
      <c r="Y263"/>
      <c r="Z263"/>
      <c r="AA263"/>
      <c r="AB263"/>
      <c r="AC263"/>
      <c r="AD263"/>
      <c r="AE263"/>
      <c r="AF263"/>
      <c r="AG263"/>
      <c r="AH263"/>
      <c r="AI263"/>
    </row>
    <row r="264" spans="1:35" s="48" customFormat="1" x14ac:dyDescent="0.45">
      <c r="A264" s="3"/>
      <c r="H264"/>
      <c r="J264" s="49"/>
      <c r="K264" s="49"/>
      <c r="L264" s="50"/>
      <c r="M264" s="50"/>
      <c r="N264" s="50"/>
      <c r="O264" s="50"/>
      <c r="P264" s="50"/>
      <c r="Q264" s="50"/>
      <c r="R264" s="47"/>
      <c r="S264" s="50"/>
      <c r="T264" s="50"/>
      <c r="U264" s="50"/>
      <c r="V264" s="50"/>
      <c r="W264" s="50"/>
      <c r="X264"/>
      <c r="Y264"/>
      <c r="Z264"/>
      <c r="AA264"/>
      <c r="AB264"/>
      <c r="AC264"/>
      <c r="AD264"/>
      <c r="AE264"/>
      <c r="AF264"/>
      <c r="AG264"/>
      <c r="AH264"/>
      <c r="AI264"/>
    </row>
    <row r="265" spans="1:35" s="48" customFormat="1" x14ac:dyDescent="0.45">
      <c r="A265" s="3"/>
      <c r="H265"/>
      <c r="J265" s="49"/>
      <c r="K265" s="49"/>
      <c r="L265" s="50"/>
      <c r="M265" s="50"/>
      <c r="N265" s="50"/>
      <c r="O265" s="50"/>
      <c r="P265" s="50"/>
      <c r="Q265" s="50"/>
      <c r="R265" s="47"/>
      <c r="S265" s="50"/>
      <c r="T265" s="50"/>
      <c r="U265" s="50"/>
      <c r="V265" s="50"/>
      <c r="W265" s="50"/>
      <c r="X265"/>
      <c r="Y265"/>
      <c r="Z265"/>
      <c r="AA265"/>
      <c r="AB265"/>
      <c r="AC265"/>
      <c r="AD265"/>
      <c r="AE265"/>
      <c r="AF265"/>
      <c r="AG265"/>
      <c r="AH265"/>
      <c r="AI265"/>
    </row>
    <row r="266" spans="1:35" s="48" customFormat="1" x14ac:dyDescent="0.45">
      <c r="A266" s="3"/>
      <c r="H266"/>
      <c r="J266" s="49"/>
      <c r="K266" s="49"/>
      <c r="L266" s="50"/>
      <c r="M266" s="50"/>
      <c r="N266" s="50"/>
      <c r="O266" s="50"/>
      <c r="P266" s="50"/>
      <c r="Q266" s="50"/>
      <c r="R266" s="47"/>
      <c r="S266" s="50"/>
      <c r="T266" s="50"/>
      <c r="U266" s="50"/>
      <c r="V266" s="50"/>
      <c r="W266" s="50"/>
      <c r="X266"/>
      <c r="Y266"/>
      <c r="Z266"/>
      <c r="AA266"/>
      <c r="AB266"/>
      <c r="AC266"/>
      <c r="AD266"/>
      <c r="AE266"/>
      <c r="AF266"/>
      <c r="AG266"/>
      <c r="AH266"/>
      <c r="AI266"/>
    </row>
    <row r="267" spans="1:35" s="48" customFormat="1" x14ac:dyDescent="0.45">
      <c r="A267" s="3"/>
      <c r="H267"/>
      <c r="J267" s="49"/>
      <c r="K267" s="49"/>
      <c r="L267" s="50"/>
      <c r="M267" s="50"/>
      <c r="N267" s="50"/>
      <c r="O267" s="50"/>
      <c r="P267" s="50"/>
      <c r="Q267" s="50"/>
      <c r="R267" s="47"/>
      <c r="S267" s="50"/>
      <c r="T267" s="50"/>
      <c r="U267" s="50"/>
      <c r="V267" s="50"/>
      <c r="W267" s="50"/>
      <c r="X267"/>
      <c r="Y267"/>
      <c r="Z267"/>
      <c r="AA267"/>
      <c r="AB267"/>
      <c r="AC267"/>
      <c r="AD267"/>
      <c r="AE267"/>
      <c r="AF267"/>
      <c r="AG267"/>
      <c r="AH267"/>
      <c r="AI267"/>
    </row>
    <row r="268" spans="1:35" s="48" customFormat="1" x14ac:dyDescent="0.45">
      <c r="A268" s="3"/>
      <c r="H268"/>
      <c r="J268" s="49"/>
      <c r="K268" s="49"/>
      <c r="L268" s="50"/>
      <c r="M268" s="50"/>
      <c r="N268" s="50"/>
      <c r="O268" s="50"/>
      <c r="P268" s="50"/>
      <c r="Q268" s="50"/>
      <c r="R268" s="47"/>
      <c r="S268" s="50"/>
      <c r="T268" s="50"/>
      <c r="U268" s="50"/>
      <c r="V268" s="50"/>
      <c r="W268" s="50"/>
      <c r="X268"/>
      <c r="Y268"/>
      <c r="Z268"/>
      <c r="AA268"/>
      <c r="AB268"/>
      <c r="AC268"/>
      <c r="AD268"/>
      <c r="AE268"/>
      <c r="AF268"/>
      <c r="AG268"/>
      <c r="AH268"/>
      <c r="AI268"/>
    </row>
    <row r="269" spans="1:35" s="48" customFormat="1" x14ac:dyDescent="0.45">
      <c r="A269" s="3"/>
      <c r="H269"/>
      <c r="J269" s="49"/>
      <c r="K269" s="49"/>
      <c r="L269" s="50"/>
      <c r="M269" s="50"/>
      <c r="N269" s="50"/>
      <c r="O269" s="50"/>
      <c r="P269" s="50"/>
      <c r="Q269" s="50"/>
      <c r="R269" s="47"/>
      <c r="S269" s="50"/>
      <c r="T269" s="50"/>
      <c r="U269" s="50"/>
      <c r="V269" s="50"/>
      <c r="W269" s="50"/>
      <c r="X269"/>
      <c r="Y269"/>
      <c r="Z269"/>
      <c r="AA269"/>
      <c r="AB269"/>
      <c r="AC269"/>
      <c r="AD269"/>
      <c r="AE269"/>
      <c r="AF269"/>
      <c r="AG269"/>
      <c r="AH269"/>
      <c r="AI269"/>
    </row>
    <row r="270" spans="1:35" s="48" customFormat="1" x14ac:dyDescent="0.45">
      <c r="A270" s="3"/>
      <c r="H270"/>
      <c r="J270" s="49"/>
      <c r="K270" s="49"/>
      <c r="L270" s="50"/>
      <c r="M270" s="50"/>
      <c r="N270" s="50"/>
      <c r="O270" s="50"/>
      <c r="P270" s="50"/>
      <c r="Q270" s="50"/>
      <c r="R270" s="47"/>
      <c r="S270" s="50"/>
      <c r="T270" s="50"/>
      <c r="U270" s="50"/>
      <c r="V270" s="50"/>
      <c r="W270" s="50"/>
      <c r="X270"/>
      <c r="Y270"/>
      <c r="Z270"/>
      <c r="AA270"/>
      <c r="AB270"/>
      <c r="AC270"/>
      <c r="AD270"/>
      <c r="AE270"/>
      <c r="AF270"/>
      <c r="AG270"/>
      <c r="AH270"/>
      <c r="AI270"/>
    </row>
    <row r="271" spans="1:35" s="48" customFormat="1" x14ac:dyDescent="0.45">
      <c r="A271" s="3"/>
      <c r="H271"/>
      <c r="J271" s="49"/>
      <c r="K271" s="49"/>
      <c r="L271" s="50"/>
      <c r="M271" s="50"/>
      <c r="N271" s="50"/>
      <c r="O271" s="50"/>
      <c r="P271" s="50"/>
      <c r="Q271" s="50"/>
      <c r="R271" s="47"/>
      <c r="S271" s="50"/>
      <c r="T271" s="50"/>
      <c r="U271" s="50"/>
      <c r="V271" s="50"/>
      <c r="W271" s="50"/>
      <c r="X271"/>
      <c r="Y271"/>
      <c r="Z271"/>
      <c r="AA271"/>
      <c r="AB271"/>
      <c r="AC271"/>
      <c r="AD271"/>
      <c r="AE271"/>
      <c r="AF271"/>
      <c r="AG271"/>
      <c r="AH271"/>
      <c r="AI271"/>
    </row>
    <row r="272" spans="1:35" s="48" customFormat="1" x14ac:dyDescent="0.45">
      <c r="A272" s="3"/>
      <c r="H272"/>
      <c r="J272" s="49"/>
      <c r="K272" s="49"/>
      <c r="L272" s="50"/>
      <c r="M272" s="50"/>
      <c r="N272" s="50"/>
      <c r="O272" s="50"/>
      <c r="P272" s="50"/>
      <c r="Q272" s="50"/>
      <c r="R272" s="47"/>
      <c r="S272" s="50"/>
      <c r="T272" s="50"/>
      <c r="U272" s="50"/>
      <c r="V272" s="50"/>
      <c r="W272" s="50"/>
      <c r="X272"/>
      <c r="Y272"/>
      <c r="Z272"/>
      <c r="AA272"/>
      <c r="AB272"/>
      <c r="AC272"/>
      <c r="AD272"/>
      <c r="AE272"/>
      <c r="AF272"/>
      <c r="AG272"/>
      <c r="AH272"/>
      <c r="AI272"/>
    </row>
    <row r="273" spans="1:35" s="48" customFormat="1" x14ac:dyDescent="0.45">
      <c r="A273" s="3"/>
      <c r="H273"/>
      <c r="J273" s="49"/>
      <c r="K273" s="49"/>
      <c r="L273" s="50"/>
      <c r="M273" s="50"/>
      <c r="N273" s="50"/>
      <c r="O273" s="50"/>
      <c r="P273" s="50"/>
      <c r="Q273" s="50"/>
      <c r="R273" s="47"/>
      <c r="S273" s="50"/>
      <c r="T273" s="50"/>
      <c r="U273" s="50"/>
      <c r="V273" s="50"/>
      <c r="W273" s="50"/>
      <c r="X273"/>
      <c r="Y273"/>
      <c r="Z273"/>
      <c r="AA273"/>
      <c r="AB273"/>
      <c r="AC273"/>
      <c r="AD273"/>
      <c r="AE273"/>
      <c r="AF273"/>
      <c r="AG273"/>
      <c r="AH273"/>
      <c r="AI273"/>
    </row>
    <row r="274" spans="1:35" s="48" customFormat="1" x14ac:dyDescent="0.45">
      <c r="A274" s="3"/>
      <c r="H274"/>
      <c r="J274" s="49"/>
      <c r="K274" s="49"/>
      <c r="L274" s="50"/>
      <c r="M274" s="50"/>
      <c r="N274" s="50"/>
      <c r="O274" s="50"/>
      <c r="P274" s="50"/>
      <c r="Q274" s="50"/>
      <c r="R274" s="47"/>
      <c r="S274" s="50"/>
      <c r="T274" s="50"/>
      <c r="U274" s="50"/>
      <c r="V274" s="50"/>
      <c r="W274" s="50"/>
      <c r="X274"/>
      <c r="Y274"/>
      <c r="Z274"/>
      <c r="AA274"/>
      <c r="AB274"/>
      <c r="AC274"/>
      <c r="AD274"/>
      <c r="AE274"/>
      <c r="AF274"/>
      <c r="AG274"/>
      <c r="AH274"/>
      <c r="AI274"/>
    </row>
    <row r="275" spans="1:35" s="48" customFormat="1" x14ac:dyDescent="0.45">
      <c r="A275" s="3"/>
      <c r="H275"/>
      <c r="J275" s="49"/>
      <c r="K275" s="49"/>
      <c r="L275" s="50"/>
      <c r="M275" s="50"/>
      <c r="N275" s="50"/>
      <c r="O275" s="50"/>
      <c r="P275" s="50"/>
      <c r="Q275" s="50"/>
      <c r="R275" s="47"/>
      <c r="S275" s="50"/>
      <c r="T275" s="50"/>
      <c r="U275" s="50"/>
      <c r="V275" s="50"/>
      <c r="W275" s="50"/>
      <c r="X275"/>
      <c r="Y275"/>
      <c r="Z275"/>
      <c r="AA275"/>
      <c r="AB275"/>
      <c r="AC275"/>
      <c r="AD275"/>
      <c r="AE275"/>
      <c r="AF275"/>
      <c r="AG275"/>
      <c r="AH275"/>
      <c r="AI275"/>
    </row>
    <row r="276" spans="1:35" s="48" customFormat="1" x14ac:dyDescent="0.45">
      <c r="A276" s="3"/>
      <c r="H276"/>
      <c r="J276" s="49"/>
      <c r="K276" s="49"/>
      <c r="L276" s="50"/>
      <c r="M276" s="50"/>
      <c r="N276" s="50"/>
      <c r="O276" s="50"/>
      <c r="P276" s="50"/>
      <c r="Q276" s="50"/>
      <c r="R276" s="47"/>
      <c r="S276" s="50"/>
      <c r="T276" s="50"/>
      <c r="U276" s="50"/>
      <c r="V276" s="50"/>
      <c r="W276" s="50"/>
      <c r="X276"/>
      <c r="Y276"/>
      <c r="Z276"/>
      <c r="AA276"/>
      <c r="AB276"/>
      <c r="AC276"/>
      <c r="AD276"/>
      <c r="AE276"/>
      <c r="AF276"/>
      <c r="AG276"/>
      <c r="AH276"/>
      <c r="AI276"/>
    </row>
    <row r="277" spans="1:35" s="48" customFormat="1" x14ac:dyDescent="0.45">
      <c r="A277" s="3"/>
      <c r="H277"/>
      <c r="J277" s="49"/>
      <c r="K277" s="49"/>
      <c r="L277" s="50"/>
      <c r="M277" s="50"/>
      <c r="N277" s="50"/>
      <c r="O277" s="50"/>
      <c r="P277" s="50"/>
      <c r="Q277" s="50"/>
      <c r="R277" s="47"/>
      <c r="S277" s="50"/>
      <c r="T277" s="50"/>
      <c r="U277" s="50"/>
      <c r="V277" s="50"/>
      <c r="W277" s="50"/>
      <c r="X277"/>
      <c r="Y277"/>
      <c r="Z277"/>
      <c r="AA277"/>
      <c r="AB277"/>
      <c r="AC277"/>
      <c r="AD277"/>
      <c r="AE277"/>
      <c r="AF277"/>
      <c r="AG277"/>
      <c r="AH277"/>
      <c r="AI277"/>
    </row>
    <row r="278" spans="1:35" s="48" customFormat="1" x14ac:dyDescent="0.45">
      <c r="A278" s="3"/>
      <c r="H278"/>
      <c r="J278" s="49"/>
      <c r="K278" s="49"/>
      <c r="L278" s="50"/>
      <c r="M278" s="50"/>
      <c r="N278" s="50"/>
      <c r="O278" s="50"/>
      <c r="P278" s="50"/>
      <c r="Q278" s="50"/>
      <c r="R278" s="47"/>
      <c r="S278" s="50"/>
      <c r="T278" s="50"/>
      <c r="U278" s="50"/>
      <c r="V278" s="50"/>
      <c r="W278" s="50"/>
      <c r="X278"/>
      <c r="Y278"/>
      <c r="Z278"/>
      <c r="AA278"/>
      <c r="AB278"/>
      <c r="AC278"/>
      <c r="AD278"/>
      <c r="AE278"/>
      <c r="AF278"/>
      <c r="AG278"/>
      <c r="AH278"/>
      <c r="AI278"/>
    </row>
    <row r="279" spans="1:35" s="48" customFormat="1" x14ac:dyDescent="0.45">
      <c r="A279" s="3"/>
      <c r="H279"/>
      <c r="J279" s="49"/>
      <c r="K279" s="49"/>
      <c r="L279" s="50"/>
      <c r="M279" s="50"/>
      <c r="N279" s="50"/>
      <c r="O279" s="50"/>
      <c r="P279" s="50"/>
      <c r="Q279" s="50"/>
      <c r="R279" s="47"/>
      <c r="S279" s="50"/>
      <c r="T279" s="50"/>
      <c r="U279" s="50"/>
      <c r="V279" s="50"/>
      <c r="W279" s="50"/>
      <c r="X279"/>
      <c r="Y279"/>
      <c r="Z279"/>
      <c r="AA279"/>
      <c r="AB279"/>
      <c r="AC279"/>
      <c r="AD279"/>
      <c r="AE279"/>
      <c r="AF279"/>
      <c r="AG279"/>
      <c r="AH279"/>
      <c r="AI279"/>
    </row>
    <row r="280" spans="1:35" s="48" customFormat="1" x14ac:dyDescent="0.45">
      <c r="A280" s="3"/>
      <c r="H280"/>
      <c r="J280" s="49"/>
      <c r="K280" s="49"/>
      <c r="L280" s="50"/>
      <c r="M280" s="50"/>
      <c r="N280" s="50"/>
      <c r="O280" s="50"/>
      <c r="P280" s="50"/>
      <c r="Q280" s="50"/>
      <c r="R280" s="47"/>
      <c r="S280" s="50"/>
      <c r="T280" s="50"/>
      <c r="U280" s="50"/>
      <c r="V280" s="50"/>
      <c r="W280" s="50"/>
      <c r="X280"/>
      <c r="Y280"/>
      <c r="Z280"/>
      <c r="AA280"/>
      <c r="AB280"/>
      <c r="AC280"/>
      <c r="AD280"/>
      <c r="AE280"/>
      <c r="AF280"/>
      <c r="AG280"/>
      <c r="AH280"/>
      <c r="AI280"/>
    </row>
    <row r="281" spans="1:35" s="48" customFormat="1" x14ac:dyDescent="0.45">
      <c r="A281" s="3"/>
      <c r="H281"/>
      <c r="J281" s="49"/>
      <c r="K281" s="49"/>
      <c r="L281" s="50"/>
      <c r="M281" s="50"/>
      <c r="N281" s="50"/>
      <c r="O281" s="50"/>
      <c r="P281" s="50"/>
      <c r="Q281" s="50"/>
      <c r="R281" s="47"/>
      <c r="S281" s="50"/>
      <c r="T281" s="50"/>
      <c r="U281" s="50"/>
      <c r="V281" s="50"/>
      <c r="W281" s="50"/>
      <c r="X281"/>
      <c r="Y281"/>
      <c r="Z281"/>
      <c r="AA281"/>
      <c r="AB281"/>
      <c r="AC281"/>
      <c r="AD281"/>
      <c r="AE281"/>
      <c r="AF281"/>
      <c r="AG281"/>
      <c r="AH281"/>
      <c r="AI281"/>
    </row>
    <row r="282" spans="1:35" s="48" customFormat="1" x14ac:dyDescent="0.45">
      <c r="A282" s="3"/>
      <c r="H282"/>
      <c r="J282" s="49"/>
      <c r="K282" s="49"/>
      <c r="L282" s="50"/>
      <c r="M282" s="50"/>
      <c r="N282" s="50"/>
      <c r="O282" s="50"/>
      <c r="P282" s="50"/>
      <c r="Q282" s="50"/>
      <c r="R282" s="47"/>
      <c r="S282" s="50"/>
      <c r="T282" s="50"/>
      <c r="U282" s="50"/>
      <c r="V282" s="50"/>
      <c r="W282" s="50"/>
      <c r="X282"/>
      <c r="Y282"/>
      <c r="Z282"/>
      <c r="AA282"/>
      <c r="AB282"/>
      <c r="AC282"/>
      <c r="AD282"/>
      <c r="AE282"/>
      <c r="AF282"/>
      <c r="AG282"/>
      <c r="AH282"/>
      <c r="AI282"/>
    </row>
    <row r="283" spans="1:35" s="48" customFormat="1" x14ac:dyDescent="0.45">
      <c r="A283" s="3"/>
      <c r="H283"/>
      <c r="J283" s="49"/>
      <c r="K283" s="49"/>
      <c r="L283" s="50"/>
      <c r="M283" s="50"/>
      <c r="N283" s="50"/>
      <c r="O283" s="50"/>
      <c r="P283" s="50"/>
      <c r="Q283" s="50"/>
      <c r="R283" s="47"/>
      <c r="S283" s="50"/>
      <c r="T283" s="50"/>
      <c r="U283" s="50"/>
      <c r="V283" s="50"/>
      <c r="W283" s="50"/>
      <c r="X283"/>
      <c r="Y283"/>
      <c r="Z283"/>
      <c r="AA283"/>
      <c r="AB283"/>
      <c r="AC283"/>
      <c r="AD283"/>
      <c r="AE283"/>
      <c r="AF283"/>
      <c r="AG283"/>
      <c r="AH283"/>
      <c r="AI283"/>
    </row>
    <row r="284" spans="1:35" s="48" customFormat="1" x14ac:dyDescent="0.45">
      <c r="A284" s="3"/>
      <c r="H284"/>
      <c r="J284" s="49"/>
      <c r="K284" s="49"/>
      <c r="L284" s="50"/>
      <c r="M284" s="50"/>
      <c r="N284" s="50"/>
      <c r="O284" s="50"/>
      <c r="P284" s="50"/>
      <c r="Q284" s="50"/>
      <c r="R284" s="47"/>
      <c r="S284" s="50"/>
      <c r="T284" s="50"/>
      <c r="U284" s="50"/>
      <c r="V284" s="50"/>
      <c r="W284" s="50"/>
      <c r="X284"/>
      <c r="Y284"/>
      <c r="Z284"/>
      <c r="AA284"/>
      <c r="AB284"/>
      <c r="AC284"/>
      <c r="AD284"/>
      <c r="AE284"/>
      <c r="AF284"/>
      <c r="AG284"/>
      <c r="AH284"/>
      <c r="AI284"/>
    </row>
    <row r="285" spans="1:35" s="48" customFormat="1" x14ac:dyDescent="0.45">
      <c r="A285" s="3"/>
      <c r="H285"/>
      <c r="J285" s="49"/>
      <c r="K285" s="49"/>
      <c r="L285" s="50"/>
      <c r="M285" s="50"/>
      <c r="N285" s="50"/>
      <c r="O285" s="50"/>
      <c r="P285" s="50"/>
      <c r="Q285" s="50"/>
      <c r="R285" s="47"/>
      <c r="S285" s="50"/>
      <c r="T285" s="50"/>
      <c r="U285" s="50"/>
      <c r="V285" s="50"/>
      <c r="W285" s="50"/>
      <c r="X285"/>
      <c r="Y285"/>
      <c r="Z285"/>
      <c r="AA285"/>
      <c r="AB285"/>
      <c r="AC285"/>
      <c r="AD285"/>
      <c r="AE285"/>
      <c r="AF285"/>
      <c r="AG285"/>
      <c r="AH285"/>
      <c r="AI285"/>
    </row>
    <row r="286" spans="1:35" s="48" customFormat="1" x14ac:dyDescent="0.45">
      <c r="A286" s="3"/>
      <c r="H286"/>
      <c r="J286" s="49"/>
      <c r="K286" s="49"/>
      <c r="L286" s="50"/>
      <c r="M286" s="50"/>
      <c r="N286" s="50"/>
      <c r="O286" s="50"/>
      <c r="P286" s="50"/>
      <c r="Q286" s="50"/>
      <c r="R286" s="47"/>
      <c r="S286" s="50"/>
      <c r="T286" s="50"/>
      <c r="U286" s="50"/>
      <c r="V286" s="50"/>
      <c r="W286" s="50"/>
      <c r="X286"/>
      <c r="Y286"/>
      <c r="Z286"/>
      <c r="AA286"/>
      <c r="AB286"/>
      <c r="AC286"/>
      <c r="AD286"/>
      <c r="AE286"/>
      <c r="AF286"/>
      <c r="AG286"/>
      <c r="AH286"/>
      <c r="AI286"/>
    </row>
    <row r="287" spans="1:35" s="48" customFormat="1" x14ac:dyDescent="0.45">
      <c r="A287" s="3"/>
      <c r="H287"/>
      <c r="J287" s="49"/>
      <c r="K287" s="49"/>
      <c r="L287" s="50"/>
      <c r="M287" s="50"/>
      <c r="N287" s="50"/>
      <c r="O287" s="50"/>
      <c r="P287" s="50"/>
      <c r="Q287" s="50"/>
      <c r="R287" s="47"/>
      <c r="S287" s="50"/>
      <c r="T287" s="50"/>
      <c r="U287" s="50"/>
      <c r="V287" s="50"/>
      <c r="W287" s="50"/>
      <c r="X287"/>
      <c r="Y287"/>
      <c r="Z287"/>
      <c r="AA287"/>
      <c r="AB287"/>
      <c r="AC287"/>
      <c r="AD287"/>
      <c r="AE287"/>
      <c r="AF287"/>
      <c r="AG287"/>
      <c r="AH287"/>
      <c r="AI287"/>
    </row>
    <row r="288" spans="1:35" s="48" customFormat="1" x14ac:dyDescent="0.45">
      <c r="A288" s="3"/>
      <c r="H288"/>
      <c r="J288" s="49"/>
      <c r="K288" s="49"/>
      <c r="L288" s="50"/>
      <c r="M288" s="50"/>
      <c r="N288" s="50"/>
      <c r="O288" s="50"/>
      <c r="P288" s="50"/>
      <c r="Q288" s="50"/>
      <c r="R288" s="47"/>
      <c r="S288" s="50"/>
      <c r="T288" s="50"/>
      <c r="U288" s="50"/>
      <c r="V288" s="50"/>
      <c r="W288" s="50"/>
      <c r="X288"/>
      <c r="Y288"/>
      <c r="Z288"/>
      <c r="AA288"/>
      <c r="AB288"/>
      <c r="AC288"/>
      <c r="AD288"/>
      <c r="AE288"/>
      <c r="AF288"/>
      <c r="AG288"/>
      <c r="AH288"/>
      <c r="AI288"/>
    </row>
    <row r="289" spans="1:35" s="48" customFormat="1" x14ac:dyDescent="0.45">
      <c r="A289" s="3"/>
      <c r="H289"/>
      <c r="J289" s="49"/>
      <c r="K289" s="49"/>
      <c r="L289" s="50"/>
      <c r="M289" s="50"/>
      <c r="N289" s="50"/>
      <c r="O289" s="50"/>
      <c r="P289" s="50"/>
      <c r="Q289" s="50"/>
      <c r="R289" s="47"/>
      <c r="S289" s="50"/>
      <c r="T289" s="50"/>
      <c r="U289" s="50"/>
      <c r="V289" s="50"/>
      <c r="W289" s="50"/>
      <c r="X289"/>
      <c r="Y289"/>
      <c r="Z289"/>
      <c r="AA289"/>
      <c r="AB289"/>
      <c r="AC289"/>
      <c r="AD289"/>
      <c r="AE289"/>
      <c r="AF289"/>
      <c r="AG289"/>
      <c r="AH289"/>
      <c r="AI289"/>
    </row>
    <row r="290" spans="1:35" s="48" customFormat="1" x14ac:dyDescent="0.45">
      <c r="A290" s="3"/>
      <c r="H290"/>
      <c r="J290" s="49"/>
      <c r="K290" s="49"/>
      <c r="L290" s="50"/>
      <c r="M290" s="50"/>
      <c r="N290" s="50"/>
      <c r="O290" s="50"/>
      <c r="P290" s="50"/>
      <c r="Q290" s="50"/>
      <c r="R290" s="47"/>
      <c r="S290" s="50"/>
      <c r="T290" s="50"/>
      <c r="U290" s="50"/>
      <c r="V290" s="50"/>
      <c r="W290" s="50"/>
      <c r="X290"/>
      <c r="Y290"/>
      <c r="Z290"/>
      <c r="AA290"/>
      <c r="AB290"/>
      <c r="AC290"/>
      <c r="AD290"/>
      <c r="AE290"/>
      <c r="AF290"/>
      <c r="AG290"/>
      <c r="AH290"/>
      <c r="AI290"/>
    </row>
    <row r="291" spans="1:35" s="48" customFormat="1" x14ac:dyDescent="0.45">
      <c r="A291" s="3"/>
      <c r="H291"/>
      <c r="J291" s="49"/>
      <c r="K291" s="49"/>
      <c r="L291" s="50"/>
      <c r="M291" s="50"/>
      <c r="N291" s="50"/>
      <c r="O291" s="50"/>
      <c r="P291" s="50"/>
      <c r="Q291" s="50"/>
      <c r="R291" s="47"/>
      <c r="S291" s="50"/>
      <c r="T291" s="50"/>
      <c r="U291" s="50"/>
      <c r="V291" s="50"/>
      <c r="W291" s="50"/>
      <c r="X291"/>
      <c r="Y291"/>
      <c r="Z291"/>
      <c r="AA291"/>
      <c r="AB291"/>
      <c r="AC291"/>
      <c r="AD291"/>
      <c r="AE291"/>
      <c r="AF291"/>
      <c r="AG291"/>
      <c r="AH291"/>
      <c r="AI291"/>
    </row>
    <row r="292" spans="1:35" s="48" customFormat="1" x14ac:dyDescent="0.45">
      <c r="A292" s="3"/>
      <c r="H292"/>
      <c r="J292" s="49"/>
      <c r="K292" s="49"/>
      <c r="L292" s="50"/>
      <c r="M292" s="50"/>
      <c r="N292" s="50"/>
      <c r="O292" s="50"/>
      <c r="P292" s="50"/>
      <c r="Q292" s="50"/>
      <c r="R292" s="47"/>
      <c r="S292" s="50"/>
      <c r="T292" s="50"/>
      <c r="U292" s="50"/>
      <c r="V292" s="50"/>
      <c r="W292" s="50"/>
      <c r="X292"/>
      <c r="Y292"/>
      <c r="Z292"/>
      <c r="AA292"/>
      <c r="AB292"/>
      <c r="AC292"/>
      <c r="AD292"/>
      <c r="AE292"/>
      <c r="AF292"/>
      <c r="AG292"/>
      <c r="AH292"/>
      <c r="AI292"/>
    </row>
    <row r="293" spans="1:35" s="48" customFormat="1" x14ac:dyDescent="0.45">
      <c r="A293" s="3"/>
      <c r="H293"/>
      <c r="J293" s="49"/>
      <c r="K293" s="49"/>
      <c r="L293" s="50"/>
      <c r="M293" s="50"/>
      <c r="N293" s="50"/>
      <c r="O293" s="50"/>
      <c r="P293" s="50"/>
      <c r="Q293" s="50"/>
      <c r="R293" s="47"/>
      <c r="S293" s="50"/>
      <c r="T293" s="50"/>
      <c r="U293" s="50"/>
      <c r="V293" s="50"/>
      <c r="W293" s="50"/>
      <c r="X293"/>
      <c r="Y293"/>
      <c r="Z293"/>
      <c r="AA293"/>
      <c r="AB293"/>
      <c r="AC293"/>
      <c r="AD293"/>
      <c r="AE293"/>
      <c r="AF293"/>
      <c r="AG293"/>
      <c r="AH293"/>
      <c r="AI293"/>
    </row>
    <row r="294" spans="1:35" s="48" customFormat="1" x14ac:dyDescent="0.45">
      <c r="A294" s="3"/>
      <c r="H294"/>
      <c r="J294" s="49"/>
      <c r="K294" s="49"/>
      <c r="L294" s="50"/>
      <c r="M294" s="50"/>
      <c r="N294" s="50"/>
      <c r="O294" s="50"/>
      <c r="P294" s="50"/>
      <c r="Q294" s="50"/>
      <c r="R294" s="47"/>
      <c r="S294" s="50"/>
      <c r="T294" s="50"/>
      <c r="U294" s="50"/>
      <c r="V294" s="50"/>
      <c r="W294" s="50"/>
      <c r="X294"/>
      <c r="Y294"/>
      <c r="Z294"/>
      <c r="AA294"/>
      <c r="AB294"/>
      <c r="AC294"/>
      <c r="AD294"/>
      <c r="AE294"/>
      <c r="AF294"/>
      <c r="AG294"/>
      <c r="AH294"/>
      <c r="AI294"/>
    </row>
    <row r="295" spans="1:35" s="48" customFormat="1" x14ac:dyDescent="0.45">
      <c r="A295" s="3"/>
      <c r="H295"/>
      <c r="J295" s="49"/>
      <c r="K295" s="49"/>
      <c r="L295" s="50"/>
      <c r="M295" s="50"/>
      <c r="N295" s="50"/>
      <c r="O295" s="50"/>
      <c r="P295" s="50"/>
      <c r="Q295" s="50"/>
      <c r="R295" s="47"/>
      <c r="S295" s="50"/>
      <c r="T295" s="50"/>
      <c r="U295" s="50"/>
      <c r="V295" s="50"/>
      <c r="W295" s="50"/>
      <c r="X295"/>
      <c r="Y295"/>
      <c r="Z295"/>
      <c r="AA295"/>
      <c r="AB295"/>
      <c r="AC295"/>
      <c r="AD295"/>
      <c r="AE295"/>
      <c r="AF295"/>
      <c r="AG295"/>
      <c r="AH295"/>
      <c r="AI295"/>
    </row>
    <row r="296" spans="1:35" s="48" customFormat="1" x14ac:dyDescent="0.45">
      <c r="A296" s="3"/>
      <c r="H296"/>
      <c r="J296" s="49"/>
      <c r="K296" s="49"/>
      <c r="L296" s="50"/>
      <c r="M296" s="50"/>
      <c r="N296" s="50"/>
      <c r="O296" s="50"/>
      <c r="P296" s="50"/>
      <c r="Q296" s="50"/>
      <c r="R296" s="47"/>
      <c r="S296" s="50"/>
      <c r="T296" s="50"/>
      <c r="U296" s="50"/>
      <c r="V296" s="50"/>
      <c r="W296" s="50"/>
      <c r="X296"/>
      <c r="Y296"/>
      <c r="Z296"/>
      <c r="AA296"/>
      <c r="AB296"/>
      <c r="AC296"/>
      <c r="AD296"/>
      <c r="AE296"/>
      <c r="AF296"/>
      <c r="AG296"/>
      <c r="AH296"/>
      <c r="AI296"/>
    </row>
    <row r="297" spans="1:35" s="48" customFormat="1" x14ac:dyDescent="0.45">
      <c r="A297" s="3"/>
      <c r="H297"/>
      <c r="J297" s="49"/>
      <c r="K297" s="49"/>
      <c r="L297" s="50"/>
      <c r="M297" s="50"/>
      <c r="N297" s="50"/>
      <c r="O297" s="50"/>
      <c r="P297" s="50"/>
      <c r="Q297" s="50"/>
      <c r="R297" s="47"/>
      <c r="S297" s="50"/>
      <c r="T297" s="50"/>
      <c r="U297" s="50"/>
      <c r="V297" s="50"/>
      <c r="W297" s="50"/>
      <c r="X297"/>
      <c r="Y297"/>
      <c r="Z297"/>
      <c r="AA297"/>
      <c r="AB297"/>
      <c r="AC297"/>
      <c r="AD297"/>
      <c r="AE297"/>
      <c r="AF297"/>
      <c r="AG297"/>
      <c r="AH297"/>
      <c r="AI297"/>
    </row>
    <row r="298" spans="1:35" s="48" customFormat="1" x14ac:dyDescent="0.45">
      <c r="A298" s="3"/>
      <c r="H298"/>
      <c r="J298" s="49"/>
      <c r="K298" s="49"/>
      <c r="L298" s="50"/>
      <c r="M298" s="50"/>
      <c r="N298" s="50"/>
      <c r="O298" s="50"/>
      <c r="P298" s="50"/>
      <c r="Q298" s="50"/>
      <c r="R298" s="47"/>
      <c r="S298" s="50"/>
      <c r="T298" s="50"/>
      <c r="U298" s="50"/>
      <c r="V298" s="50"/>
      <c r="W298" s="50"/>
      <c r="X298"/>
      <c r="Y298"/>
      <c r="Z298"/>
      <c r="AA298"/>
      <c r="AB298"/>
      <c r="AC298"/>
      <c r="AD298"/>
      <c r="AE298"/>
      <c r="AF298"/>
      <c r="AG298"/>
      <c r="AH298"/>
      <c r="AI298"/>
    </row>
    <row r="299" spans="1:35" s="48" customFormat="1" x14ac:dyDescent="0.45">
      <c r="A299" s="3"/>
      <c r="H299"/>
      <c r="J299" s="49"/>
      <c r="K299" s="49"/>
      <c r="L299" s="50"/>
      <c r="M299" s="50"/>
      <c r="N299" s="50"/>
      <c r="O299" s="50"/>
      <c r="P299" s="50"/>
      <c r="Q299" s="50"/>
      <c r="R299" s="47"/>
      <c r="S299" s="50"/>
      <c r="T299" s="50"/>
      <c r="U299" s="50"/>
      <c r="V299" s="50"/>
      <c r="W299" s="50"/>
      <c r="X299"/>
      <c r="Y299"/>
      <c r="Z299"/>
      <c r="AA299"/>
      <c r="AB299"/>
      <c r="AC299"/>
      <c r="AD299"/>
      <c r="AE299"/>
      <c r="AF299"/>
      <c r="AG299"/>
      <c r="AH299"/>
      <c r="AI299"/>
    </row>
    <row r="300" spans="1:35" s="48" customFormat="1" x14ac:dyDescent="0.45">
      <c r="A300" s="3"/>
      <c r="H300"/>
      <c r="J300" s="49"/>
      <c r="K300" s="49"/>
      <c r="L300" s="50"/>
      <c r="M300" s="50"/>
      <c r="N300" s="50"/>
      <c r="O300" s="50"/>
      <c r="P300" s="50"/>
      <c r="Q300" s="50"/>
      <c r="R300" s="47"/>
      <c r="S300" s="50"/>
      <c r="T300" s="50"/>
      <c r="U300" s="50"/>
      <c r="V300" s="50"/>
      <c r="W300" s="50"/>
      <c r="X300"/>
      <c r="Y300"/>
      <c r="Z300"/>
      <c r="AA300"/>
      <c r="AB300"/>
      <c r="AC300"/>
      <c r="AD300"/>
      <c r="AE300"/>
      <c r="AF300"/>
      <c r="AG300"/>
      <c r="AH300"/>
      <c r="AI300"/>
    </row>
    <row r="301" spans="1:35" s="48" customFormat="1" x14ac:dyDescent="0.45">
      <c r="A301" s="3"/>
      <c r="H301"/>
      <c r="J301" s="49"/>
      <c r="K301" s="49"/>
      <c r="L301" s="50"/>
      <c r="M301" s="50"/>
      <c r="N301" s="50"/>
      <c r="O301" s="50"/>
      <c r="P301" s="50"/>
      <c r="Q301" s="50"/>
      <c r="R301" s="47"/>
      <c r="S301" s="50"/>
      <c r="T301" s="50"/>
      <c r="U301" s="50"/>
      <c r="V301" s="50"/>
      <c r="W301" s="50"/>
      <c r="X301"/>
      <c r="Y301"/>
      <c r="Z301"/>
      <c r="AA301"/>
      <c r="AB301"/>
      <c r="AC301"/>
      <c r="AD301"/>
      <c r="AE301"/>
      <c r="AF301"/>
      <c r="AG301"/>
      <c r="AH301"/>
      <c r="AI301"/>
    </row>
    <row r="302" spans="1:35" s="48" customFormat="1" x14ac:dyDescent="0.45">
      <c r="A302" s="3"/>
      <c r="H302"/>
      <c r="J302" s="49"/>
      <c r="K302" s="49"/>
      <c r="L302" s="50"/>
      <c r="M302" s="50"/>
      <c r="N302" s="50"/>
      <c r="O302" s="50"/>
      <c r="P302" s="50"/>
      <c r="Q302" s="50"/>
      <c r="R302" s="47"/>
      <c r="S302" s="50"/>
      <c r="T302" s="50"/>
      <c r="U302" s="50"/>
      <c r="V302" s="50"/>
      <c r="W302" s="50"/>
      <c r="X302"/>
      <c r="Y302"/>
      <c r="Z302"/>
      <c r="AA302"/>
      <c r="AB302"/>
      <c r="AC302"/>
      <c r="AD302"/>
      <c r="AE302"/>
      <c r="AF302"/>
      <c r="AG302"/>
      <c r="AH302"/>
      <c r="AI302"/>
    </row>
    <row r="303" spans="1:35" s="48" customFormat="1" x14ac:dyDescent="0.45">
      <c r="A303" s="3"/>
      <c r="H303"/>
      <c r="J303" s="49"/>
      <c r="K303" s="49"/>
      <c r="L303" s="50"/>
      <c r="M303" s="50"/>
      <c r="N303" s="50"/>
      <c r="O303" s="50"/>
      <c r="P303" s="50"/>
      <c r="Q303" s="50"/>
      <c r="R303" s="47"/>
      <c r="S303" s="50"/>
      <c r="T303" s="50"/>
      <c r="U303" s="50"/>
      <c r="V303" s="50"/>
      <c r="W303" s="50"/>
      <c r="X303"/>
      <c r="Y303"/>
      <c r="Z303"/>
      <c r="AA303"/>
      <c r="AB303"/>
      <c r="AC303"/>
      <c r="AD303"/>
      <c r="AE303"/>
      <c r="AF303"/>
      <c r="AG303"/>
      <c r="AH303"/>
      <c r="AI303"/>
    </row>
    <row r="304" spans="1:35" s="48" customFormat="1" x14ac:dyDescent="0.45">
      <c r="A304" s="3"/>
      <c r="H304"/>
      <c r="J304" s="49"/>
      <c r="K304" s="49"/>
      <c r="L304" s="50"/>
      <c r="M304" s="50"/>
      <c r="N304" s="50"/>
      <c r="O304" s="50"/>
      <c r="P304" s="50"/>
      <c r="Q304" s="50"/>
      <c r="R304" s="47"/>
      <c r="S304" s="50"/>
      <c r="T304" s="50"/>
      <c r="U304" s="50"/>
      <c r="V304" s="50"/>
      <c r="W304" s="50"/>
      <c r="X304"/>
      <c r="Y304"/>
      <c r="Z304"/>
      <c r="AA304"/>
      <c r="AB304"/>
      <c r="AC304"/>
      <c r="AD304"/>
      <c r="AE304"/>
      <c r="AF304"/>
      <c r="AG304"/>
      <c r="AH304"/>
      <c r="AI304"/>
    </row>
    <row r="305" spans="1:35" s="48" customFormat="1" x14ac:dyDescent="0.45">
      <c r="A305" s="3"/>
      <c r="H305"/>
      <c r="J305" s="49"/>
      <c r="K305" s="49"/>
      <c r="L305" s="50"/>
      <c r="M305" s="50"/>
      <c r="N305" s="50"/>
      <c r="O305" s="50"/>
      <c r="P305" s="50"/>
      <c r="Q305" s="50"/>
      <c r="R305" s="47"/>
      <c r="S305" s="50"/>
      <c r="T305" s="50"/>
      <c r="U305" s="50"/>
      <c r="V305" s="50"/>
      <c r="W305" s="50"/>
      <c r="X305"/>
      <c r="Y305"/>
      <c r="Z305"/>
      <c r="AA305"/>
      <c r="AB305"/>
      <c r="AC305"/>
      <c r="AD305"/>
      <c r="AE305"/>
      <c r="AF305"/>
      <c r="AG305"/>
      <c r="AH305"/>
      <c r="AI305"/>
    </row>
    <row r="306" spans="1:35" s="48" customFormat="1" x14ac:dyDescent="0.45">
      <c r="A306" s="3"/>
      <c r="H306"/>
      <c r="J306" s="49"/>
      <c r="K306" s="49"/>
      <c r="L306" s="50"/>
      <c r="M306" s="50"/>
      <c r="N306" s="50"/>
      <c r="O306" s="50"/>
      <c r="P306" s="50"/>
      <c r="Q306" s="50"/>
      <c r="R306" s="47"/>
      <c r="S306" s="50"/>
      <c r="T306" s="50"/>
      <c r="U306" s="50"/>
      <c r="V306" s="50"/>
      <c r="W306" s="50"/>
      <c r="X306"/>
      <c r="Y306"/>
      <c r="Z306"/>
      <c r="AA306"/>
      <c r="AB306"/>
      <c r="AC306"/>
      <c r="AD306"/>
      <c r="AE306"/>
      <c r="AF306"/>
      <c r="AG306"/>
      <c r="AH306"/>
      <c r="AI306"/>
    </row>
    <row r="307" spans="1:35" s="48" customFormat="1" x14ac:dyDescent="0.45">
      <c r="A307" s="3"/>
      <c r="H307"/>
      <c r="J307" s="49"/>
      <c r="K307" s="49"/>
      <c r="L307" s="50"/>
      <c r="M307" s="50"/>
      <c r="N307" s="50"/>
      <c r="O307" s="50"/>
      <c r="P307" s="50"/>
      <c r="Q307" s="50"/>
      <c r="R307" s="47"/>
      <c r="S307" s="50"/>
      <c r="T307" s="50"/>
      <c r="U307" s="50"/>
      <c r="V307" s="50"/>
      <c r="W307" s="50"/>
      <c r="X307"/>
      <c r="Y307"/>
      <c r="Z307"/>
      <c r="AA307"/>
      <c r="AB307"/>
      <c r="AC307"/>
      <c r="AD307"/>
      <c r="AE307"/>
      <c r="AF307"/>
      <c r="AG307"/>
      <c r="AH307"/>
      <c r="AI307"/>
    </row>
    <row r="308" spans="1:35" s="48" customFormat="1" x14ac:dyDescent="0.45">
      <c r="A308" s="3"/>
      <c r="H308"/>
      <c r="J308" s="49"/>
      <c r="K308" s="49"/>
      <c r="L308" s="50"/>
      <c r="M308" s="50"/>
      <c r="N308" s="50"/>
      <c r="O308" s="50"/>
      <c r="P308" s="50"/>
      <c r="Q308" s="50"/>
      <c r="R308" s="47"/>
      <c r="S308" s="50"/>
      <c r="T308" s="50"/>
      <c r="U308" s="50"/>
      <c r="V308" s="50"/>
      <c r="W308" s="50"/>
      <c r="X308"/>
      <c r="Y308"/>
      <c r="Z308"/>
      <c r="AA308"/>
      <c r="AB308"/>
      <c r="AC308"/>
      <c r="AD308"/>
      <c r="AE308"/>
      <c r="AF308"/>
      <c r="AG308"/>
      <c r="AH308"/>
      <c r="AI308"/>
    </row>
    <row r="309" spans="1:35" s="48" customFormat="1" x14ac:dyDescent="0.45">
      <c r="A309" s="3"/>
      <c r="H309"/>
      <c r="J309" s="49"/>
      <c r="K309" s="49"/>
      <c r="L309" s="50"/>
      <c r="M309" s="50"/>
      <c r="N309" s="50"/>
      <c r="O309" s="50"/>
      <c r="P309" s="50"/>
      <c r="Q309" s="50"/>
      <c r="R309" s="47"/>
      <c r="S309" s="50"/>
      <c r="T309" s="50"/>
      <c r="U309" s="50"/>
      <c r="V309" s="50"/>
      <c r="W309" s="50"/>
      <c r="X309"/>
      <c r="Y309"/>
      <c r="Z309"/>
      <c r="AA309"/>
      <c r="AB309"/>
      <c r="AC309"/>
      <c r="AD309"/>
      <c r="AE309"/>
      <c r="AF309"/>
      <c r="AG309"/>
      <c r="AH309"/>
      <c r="AI309"/>
    </row>
    <row r="310" spans="1:35" s="48" customFormat="1" x14ac:dyDescent="0.45">
      <c r="A310" s="3"/>
      <c r="H310"/>
      <c r="J310" s="49"/>
      <c r="K310" s="49"/>
      <c r="L310" s="50"/>
      <c r="M310" s="50"/>
      <c r="N310" s="50"/>
      <c r="O310" s="50"/>
      <c r="P310" s="50"/>
      <c r="Q310" s="50"/>
      <c r="R310" s="47"/>
      <c r="S310" s="50"/>
      <c r="T310" s="50"/>
      <c r="U310" s="50"/>
      <c r="V310" s="50"/>
      <c r="W310" s="50"/>
      <c r="X310"/>
      <c r="Y310"/>
      <c r="Z310"/>
      <c r="AA310"/>
      <c r="AB310"/>
      <c r="AC310"/>
      <c r="AD310"/>
      <c r="AE310"/>
      <c r="AF310"/>
      <c r="AG310"/>
      <c r="AH310"/>
      <c r="AI310"/>
    </row>
    <row r="311" spans="1:35" s="48" customFormat="1" x14ac:dyDescent="0.45">
      <c r="A311" s="3"/>
      <c r="H311"/>
      <c r="J311" s="49"/>
      <c r="K311" s="49"/>
      <c r="L311" s="50"/>
      <c r="M311" s="50"/>
      <c r="N311" s="50"/>
      <c r="O311" s="50"/>
      <c r="P311" s="50"/>
      <c r="Q311" s="50"/>
      <c r="R311" s="47"/>
      <c r="S311" s="50"/>
      <c r="T311" s="50"/>
      <c r="U311" s="50"/>
      <c r="V311" s="50"/>
      <c r="W311" s="50"/>
      <c r="X311"/>
      <c r="Y311"/>
      <c r="Z311"/>
      <c r="AA311"/>
      <c r="AB311"/>
      <c r="AC311"/>
      <c r="AD311"/>
      <c r="AE311"/>
      <c r="AF311"/>
      <c r="AG311"/>
      <c r="AH311"/>
      <c r="AI311"/>
    </row>
    <row r="312" spans="1:35" s="48" customFormat="1" x14ac:dyDescent="0.45">
      <c r="A312" s="3"/>
      <c r="H312"/>
      <c r="J312" s="49"/>
      <c r="K312" s="49"/>
      <c r="L312" s="50"/>
      <c r="M312" s="50"/>
      <c r="N312" s="50"/>
      <c r="O312" s="50"/>
      <c r="P312" s="50"/>
      <c r="Q312" s="50"/>
      <c r="R312" s="47"/>
      <c r="S312" s="50"/>
      <c r="T312" s="50"/>
      <c r="U312" s="50"/>
      <c r="V312" s="50"/>
      <c r="W312" s="50"/>
      <c r="X312"/>
      <c r="Y312"/>
      <c r="Z312"/>
      <c r="AA312"/>
      <c r="AB312"/>
      <c r="AC312"/>
      <c r="AD312"/>
      <c r="AE312"/>
      <c r="AF312"/>
      <c r="AG312"/>
      <c r="AH312"/>
      <c r="AI312"/>
    </row>
    <row r="313" spans="1:35" s="48" customFormat="1" x14ac:dyDescent="0.45">
      <c r="A313" s="3"/>
      <c r="H313"/>
      <c r="J313" s="49"/>
      <c r="K313" s="49"/>
      <c r="L313" s="50"/>
      <c r="M313" s="50"/>
      <c r="N313" s="50"/>
      <c r="O313" s="50"/>
      <c r="P313" s="50"/>
      <c r="Q313" s="50"/>
      <c r="R313" s="47"/>
      <c r="S313" s="50"/>
      <c r="T313" s="50"/>
      <c r="U313" s="50"/>
      <c r="V313" s="50"/>
      <c r="W313" s="50"/>
      <c r="X313"/>
      <c r="Y313"/>
      <c r="Z313"/>
      <c r="AA313"/>
      <c r="AB313"/>
      <c r="AC313"/>
      <c r="AD313"/>
      <c r="AE313"/>
      <c r="AF313"/>
      <c r="AG313"/>
      <c r="AH313"/>
      <c r="AI313"/>
    </row>
    <row r="314" spans="1:35" s="48" customFormat="1" x14ac:dyDescent="0.45">
      <c r="A314" s="3"/>
      <c r="H314"/>
      <c r="J314" s="49"/>
      <c r="K314" s="49"/>
      <c r="L314" s="50"/>
      <c r="M314" s="50"/>
      <c r="N314" s="50"/>
      <c r="O314" s="50"/>
      <c r="P314" s="50"/>
      <c r="Q314" s="50"/>
      <c r="R314" s="47"/>
      <c r="S314" s="50"/>
      <c r="T314" s="50"/>
      <c r="U314" s="50"/>
      <c r="V314" s="50"/>
      <c r="W314" s="50"/>
      <c r="X314"/>
      <c r="Y314"/>
      <c r="Z314"/>
      <c r="AA314"/>
      <c r="AB314"/>
      <c r="AC314"/>
      <c r="AD314"/>
      <c r="AE314"/>
      <c r="AF314"/>
      <c r="AG314"/>
      <c r="AH314"/>
      <c r="AI314"/>
    </row>
    <row r="315" spans="1:35" s="48" customFormat="1" x14ac:dyDescent="0.45">
      <c r="A315" s="3"/>
      <c r="H315"/>
      <c r="J315" s="49"/>
      <c r="K315" s="49"/>
      <c r="L315" s="50"/>
      <c r="M315" s="50"/>
      <c r="N315" s="50"/>
      <c r="O315" s="50"/>
      <c r="P315" s="50"/>
      <c r="Q315" s="50"/>
      <c r="R315" s="47"/>
      <c r="S315" s="50"/>
      <c r="T315" s="50"/>
      <c r="U315" s="50"/>
      <c r="V315" s="50"/>
      <c r="W315" s="50"/>
      <c r="X315"/>
      <c r="Y315"/>
      <c r="Z315"/>
      <c r="AA315"/>
      <c r="AB315"/>
      <c r="AC315"/>
      <c r="AD315"/>
      <c r="AE315"/>
      <c r="AF315"/>
      <c r="AG315"/>
      <c r="AH315"/>
      <c r="AI315"/>
    </row>
    <row r="316" spans="1:35" s="48" customFormat="1" x14ac:dyDescent="0.45">
      <c r="A316" s="3"/>
      <c r="H316"/>
      <c r="J316" s="49"/>
      <c r="K316" s="49"/>
      <c r="L316" s="50"/>
      <c r="M316" s="50"/>
      <c r="N316" s="50"/>
      <c r="O316" s="50"/>
      <c r="P316" s="50"/>
      <c r="Q316" s="50"/>
      <c r="R316" s="47"/>
      <c r="S316" s="50"/>
      <c r="T316" s="50"/>
      <c r="U316" s="50"/>
      <c r="V316" s="50"/>
      <c r="W316" s="50"/>
      <c r="X316"/>
      <c r="Y316"/>
      <c r="Z316"/>
      <c r="AA316"/>
      <c r="AB316"/>
      <c r="AC316"/>
      <c r="AD316"/>
      <c r="AE316"/>
      <c r="AF316"/>
      <c r="AG316"/>
      <c r="AH316"/>
      <c r="AI316"/>
    </row>
    <row r="317" spans="1:35" s="48" customFormat="1" x14ac:dyDescent="0.45">
      <c r="A317" s="3"/>
      <c r="H317"/>
      <c r="J317" s="49"/>
      <c r="K317" s="49"/>
      <c r="L317" s="50"/>
      <c r="M317" s="50"/>
      <c r="N317" s="50"/>
      <c r="O317" s="50"/>
      <c r="P317" s="50"/>
      <c r="Q317" s="50"/>
      <c r="R317" s="47"/>
      <c r="S317" s="50"/>
      <c r="T317" s="50"/>
      <c r="U317" s="50"/>
      <c r="V317" s="50"/>
      <c r="W317" s="50"/>
      <c r="X317"/>
      <c r="Y317"/>
      <c r="Z317"/>
      <c r="AA317"/>
      <c r="AB317"/>
      <c r="AC317"/>
      <c r="AD317"/>
      <c r="AE317"/>
      <c r="AF317"/>
      <c r="AG317"/>
      <c r="AH317"/>
      <c r="AI317"/>
    </row>
    <row r="318" spans="1:35" s="48" customFormat="1" x14ac:dyDescent="0.45">
      <c r="A318" s="3"/>
      <c r="H318"/>
      <c r="J318" s="49"/>
      <c r="K318" s="49"/>
      <c r="L318" s="50"/>
      <c r="M318" s="50"/>
      <c r="N318" s="50"/>
      <c r="O318" s="50"/>
      <c r="P318" s="50"/>
      <c r="Q318" s="50"/>
      <c r="R318" s="47"/>
      <c r="S318" s="50"/>
      <c r="T318" s="50"/>
      <c r="U318" s="50"/>
      <c r="V318" s="50"/>
      <c r="W318" s="50"/>
      <c r="X318"/>
      <c r="Y318"/>
      <c r="Z318"/>
      <c r="AA318"/>
      <c r="AB318"/>
      <c r="AC318"/>
      <c r="AD318"/>
      <c r="AE318"/>
      <c r="AF318"/>
      <c r="AG318"/>
      <c r="AH318"/>
      <c r="AI318"/>
    </row>
    <row r="319" spans="1:35" s="48" customFormat="1" x14ac:dyDescent="0.45">
      <c r="A319" s="3"/>
      <c r="H319"/>
      <c r="J319" s="49"/>
      <c r="K319" s="49"/>
      <c r="L319" s="50"/>
      <c r="M319" s="50"/>
      <c r="N319" s="50"/>
      <c r="O319" s="50"/>
      <c r="P319" s="50"/>
      <c r="Q319" s="50"/>
      <c r="R319" s="47"/>
      <c r="S319" s="50"/>
      <c r="T319" s="50"/>
      <c r="U319" s="50"/>
      <c r="V319" s="50"/>
      <c r="W319" s="50"/>
      <c r="X319"/>
      <c r="Y319"/>
      <c r="Z319"/>
      <c r="AA319"/>
      <c r="AB319"/>
      <c r="AC319"/>
      <c r="AD319"/>
      <c r="AE319"/>
      <c r="AF319"/>
      <c r="AG319"/>
      <c r="AH319"/>
      <c r="AI319"/>
    </row>
    <row r="320" spans="1:35" s="48" customFormat="1" x14ac:dyDescent="0.45">
      <c r="A320" s="3"/>
      <c r="H320"/>
      <c r="J320" s="49"/>
      <c r="K320" s="49"/>
      <c r="L320" s="50"/>
      <c r="M320" s="50"/>
      <c r="N320" s="50"/>
      <c r="O320" s="50"/>
      <c r="P320" s="50"/>
      <c r="Q320" s="50"/>
      <c r="R320" s="47"/>
      <c r="S320" s="50"/>
      <c r="T320" s="50"/>
      <c r="U320" s="50"/>
      <c r="V320" s="50"/>
      <c r="W320" s="50"/>
      <c r="X320"/>
      <c r="Y320"/>
      <c r="Z320"/>
      <c r="AA320"/>
      <c r="AB320"/>
      <c r="AC320"/>
      <c r="AD320"/>
      <c r="AE320"/>
      <c r="AF320"/>
      <c r="AG320"/>
      <c r="AH320"/>
      <c r="AI320"/>
    </row>
    <row r="321" spans="1:35" s="48" customFormat="1" x14ac:dyDescent="0.45">
      <c r="A321" s="3"/>
      <c r="H321"/>
      <c r="J321" s="49"/>
      <c r="K321" s="49"/>
      <c r="L321" s="50"/>
      <c r="M321" s="50"/>
      <c r="N321" s="50"/>
      <c r="O321" s="50"/>
      <c r="P321" s="50"/>
      <c r="Q321" s="50"/>
      <c r="R321" s="47"/>
      <c r="S321" s="50"/>
      <c r="T321" s="50"/>
      <c r="U321" s="50"/>
      <c r="V321" s="50"/>
      <c r="W321" s="50"/>
      <c r="X321"/>
      <c r="Y321"/>
      <c r="Z321"/>
      <c r="AA321"/>
      <c r="AB321"/>
      <c r="AC321"/>
      <c r="AD321"/>
      <c r="AE321"/>
      <c r="AF321"/>
      <c r="AG321"/>
      <c r="AH321"/>
      <c r="AI321"/>
    </row>
    <row r="322" spans="1:35" s="48" customFormat="1" x14ac:dyDescent="0.45">
      <c r="A322" s="3"/>
      <c r="H322"/>
      <c r="J322" s="49"/>
      <c r="K322" s="49"/>
      <c r="L322" s="50"/>
      <c r="M322" s="50"/>
      <c r="N322" s="50"/>
      <c r="O322" s="50"/>
      <c r="P322" s="50"/>
      <c r="Q322" s="50"/>
      <c r="R322" s="47"/>
      <c r="S322" s="50"/>
      <c r="T322" s="50"/>
      <c r="U322" s="50"/>
      <c r="V322" s="50"/>
      <c r="W322" s="50"/>
      <c r="X322"/>
      <c r="Y322"/>
      <c r="Z322"/>
      <c r="AA322"/>
      <c r="AB322"/>
      <c r="AC322"/>
      <c r="AD322"/>
      <c r="AE322"/>
      <c r="AF322"/>
      <c r="AG322"/>
      <c r="AH322"/>
      <c r="AI322"/>
    </row>
    <row r="323" spans="1:35" s="48" customFormat="1" x14ac:dyDescent="0.45">
      <c r="A323" s="3"/>
      <c r="H323"/>
      <c r="J323" s="49"/>
      <c r="K323" s="49"/>
      <c r="L323" s="50"/>
      <c r="M323" s="50"/>
      <c r="N323" s="50"/>
      <c r="O323" s="50"/>
      <c r="P323" s="50"/>
      <c r="Q323" s="50"/>
      <c r="R323" s="47"/>
      <c r="S323" s="50"/>
      <c r="T323" s="50"/>
      <c r="U323" s="50"/>
      <c r="V323" s="50"/>
      <c r="W323" s="50"/>
      <c r="X323"/>
      <c r="Y323"/>
      <c r="Z323"/>
      <c r="AA323"/>
      <c r="AB323"/>
      <c r="AC323"/>
      <c r="AD323"/>
      <c r="AE323"/>
      <c r="AF323"/>
      <c r="AG323"/>
      <c r="AH323"/>
      <c r="AI323"/>
    </row>
    <row r="324" spans="1:35" s="48" customFormat="1" x14ac:dyDescent="0.45">
      <c r="A324" s="3"/>
      <c r="H324"/>
      <c r="J324" s="49"/>
      <c r="K324" s="49"/>
      <c r="L324" s="50"/>
      <c r="M324" s="50"/>
      <c r="N324" s="50"/>
      <c r="O324" s="50"/>
      <c r="P324" s="50"/>
      <c r="Q324" s="50"/>
      <c r="R324" s="47"/>
      <c r="S324" s="50"/>
      <c r="T324" s="50"/>
      <c r="U324" s="50"/>
      <c r="V324" s="50"/>
      <c r="W324" s="50"/>
      <c r="X324"/>
      <c r="Y324"/>
      <c r="Z324"/>
      <c r="AA324"/>
      <c r="AB324"/>
      <c r="AC324"/>
      <c r="AD324"/>
      <c r="AE324"/>
      <c r="AF324"/>
      <c r="AG324"/>
      <c r="AH324"/>
      <c r="AI324"/>
    </row>
    <row r="325" spans="1:35" s="48" customFormat="1" x14ac:dyDescent="0.45">
      <c r="A325" s="3"/>
      <c r="H325"/>
      <c r="J325" s="49"/>
      <c r="K325" s="49"/>
      <c r="L325" s="50"/>
      <c r="M325" s="50"/>
      <c r="N325" s="50"/>
      <c r="O325" s="50"/>
      <c r="P325" s="50"/>
      <c r="Q325" s="50"/>
      <c r="R325" s="47"/>
      <c r="S325" s="50"/>
      <c r="T325" s="50"/>
      <c r="U325" s="50"/>
      <c r="V325" s="50"/>
      <c r="W325" s="50"/>
      <c r="X325"/>
      <c r="Y325"/>
      <c r="Z325"/>
      <c r="AA325"/>
      <c r="AB325"/>
      <c r="AC325"/>
      <c r="AD325"/>
      <c r="AE325"/>
      <c r="AF325"/>
      <c r="AG325"/>
      <c r="AH325"/>
      <c r="AI325"/>
    </row>
    <row r="326" spans="1:35" s="48" customFormat="1" x14ac:dyDescent="0.45">
      <c r="A326" s="3"/>
      <c r="H326"/>
      <c r="J326" s="49"/>
      <c r="K326" s="49"/>
      <c r="L326" s="50"/>
      <c r="M326" s="50"/>
      <c r="N326" s="50"/>
      <c r="O326" s="50"/>
      <c r="P326" s="50"/>
      <c r="Q326" s="50"/>
      <c r="R326" s="47"/>
      <c r="S326" s="50"/>
      <c r="T326" s="50"/>
      <c r="U326" s="50"/>
      <c r="V326" s="50"/>
      <c r="W326" s="50"/>
      <c r="X326"/>
      <c r="Y326"/>
      <c r="Z326"/>
      <c r="AA326"/>
      <c r="AB326"/>
      <c r="AC326"/>
      <c r="AD326"/>
      <c r="AE326"/>
      <c r="AF326"/>
      <c r="AG326"/>
      <c r="AH326"/>
      <c r="AI326"/>
    </row>
    <row r="327" spans="1:35" s="48" customFormat="1" x14ac:dyDescent="0.45">
      <c r="A327" s="3"/>
      <c r="H327"/>
      <c r="J327" s="49"/>
      <c r="K327" s="49"/>
      <c r="L327" s="50"/>
      <c r="M327" s="50"/>
      <c r="N327" s="50"/>
      <c r="O327" s="50"/>
      <c r="P327" s="50"/>
      <c r="Q327" s="50"/>
      <c r="R327" s="47"/>
      <c r="S327" s="50"/>
      <c r="T327" s="50"/>
      <c r="U327" s="50"/>
      <c r="V327" s="50"/>
      <c r="W327" s="50"/>
      <c r="X327"/>
      <c r="Y327"/>
      <c r="Z327"/>
      <c r="AA327"/>
      <c r="AB327"/>
      <c r="AC327"/>
      <c r="AD327"/>
      <c r="AE327"/>
      <c r="AF327"/>
      <c r="AG327"/>
      <c r="AH327"/>
      <c r="AI327"/>
    </row>
    <row r="328" spans="1:35" s="48" customFormat="1" x14ac:dyDescent="0.45">
      <c r="A328" s="3"/>
      <c r="H328"/>
      <c r="J328" s="49"/>
      <c r="K328" s="49"/>
      <c r="L328" s="50"/>
      <c r="M328" s="50"/>
      <c r="N328" s="50"/>
      <c r="O328" s="50"/>
      <c r="P328" s="50"/>
      <c r="Q328" s="50"/>
      <c r="R328" s="47"/>
      <c r="S328" s="50"/>
      <c r="T328" s="50"/>
      <c r="U328" s="50"/>
      <c r="V328" s="50"/>
      <c r="W328" s="50"/>
      <c r="X328"/>
      <c r="Y328"/>
      <c r="Z328"/>
      <c r="AA328"/>
      <c r="AB328"/>
      <c r="AC328"/>
      <c r="AD328"/>
      <c r="AE328"/>
      <c r="AF328"/>
      <c r="AG328"/>
      <c r="AH328"/>
      <c r="AI328"/>
    </row>
    <row r="329" spans="1:35" s="48" customFormat="1" x14ac:dyDescent="0.45">
      <c r="A329" s="3"/>
      <c r="H329"/>
      <c r="J329" s="49"/>
      <c r="K329" s="49"/>
      <c r="L329" s="50"/>
      <c r="M329" s="50"/>
      <c r="N329" s="50"/>
      <c r="O329" s="50"/>
      <c r="P329" s="50"/>
      <c r="Q329" s="50"/>
      <c r="R329" s="47"/>
      <c r="S329" s="50"/>
      <c r="T329" s="50"/>
      <c r="U329" s="50"/>
      <c r="V329" s="50"/>
      <c r="W329" s="50"/>
      <c r="X329"/>
      <c r="Y329"/>
      <c r="Z329"/>
      <c r="AA329"/>
      <c r="AB329"/>
      <c r="AC329"/>
      <c r="AD329"/>
      <c r="AE329"/>
      <c r="AF329"/>
      <c r="AG329"/>
      <c r="AH329"/>
      <c r="AI329"/>
    </row>
    <row r="330" spans="1:35" s="48" customFormat="1" x14ac:dyDescent="0.45">
      <c r="A330" s="3"/>
      <c r="H330"/>
      <c r="J330" s="49"/>
      <c r="K330" s="49"/>
      <c r="L330" s="50"/>
      <c r="M330" s="50"/>
      <c r="N330" s="50"/>
      <c r="O330" s="50"/>
      <c r="P330" s="50"/>
      <c r="Q330" s="50"/>
      <c r="R330" s="47"/>
      <c r="S330" s="50"/>
      <c r="T330" s="50"/>
      <c r="U330" s="50"/>
      <c r="V330" s="50"/>
      <c r="W330" s="50"/>
      <c r="X330"/>
      <c r="Y330"/>
      <c r="Z330"/>
      <c r="AA330"/>
      <c r="AB330"/>
      <c r="AC330"/>
      <c r="AD330"/>
      <c r="AE330"/>
      <c r="AF330"/>
      <c r="AG330"/>
      <c r="AH330"/>
      <c r="AI330"/>
    </row>
    <row r="331" spans="1:35" s="48" customFormat="1" x14ac:dyDescent="0.45">
      <c r="A331" s="3"/>
      <c r="H331"/>
      <c r="J331" s="49"/>
      <c r="K331" s="49"/>
      <c r="L331" s="50"/>
      <c r="M331" s="50"/>
      <c r="N331" s="50"/>
      <c r="O331" s="50"/>
      <c r="P331" s="50"/>
      <c r="Q331" s="50"/>
      <c r="R331" s="47"/>
      <c r="S331" s="50"/>
      <c r="T331" s="50"/>
      <c r="U331" s="50"/>
      <c r="V331" s="50"/>
      <c r="W331" s="50"/>
      <c r="X331"/>
      <c r="Y331"/>
      <c r="Z331"/>
      <c r="AA331"/>
      <c r="AB331"/>
      <c r="AC331"/>
      <c r="AD331"/>
      <c r="AE331"/>
      <c r="AF331"/>
      <c r="AG331"/>
      <c r="AH331"/>
      <c r="AI331"/>
    </row>
    <row r="332" spans="1:35" s="48" customFormat="1" x14ac:dyDescent="0.45">
      <c r="A332" s="3"/>
      <c r="H332"/>
      <c r="J332" s="49"/>
      <c r="K332" s="49"/>
      <c r="L332" s="50"/>
      <c r="M332" s="50"/>
      <c r="N332" s="50"/>
      <c r="O332" s="50"/>
      <c r="P332" s="50"/>
      <c r="Q332" s="50"/>
      <c r="R332" s="47"/>
      <c r="S332" s="50"/>
      <c r="T332" s="50"/>
      <c r="U332" s="50"/>
      <c r="V332" s="50"/>
      <c r="W332" s="50"/>
      <c r="X332"/>
      <c r="Y332"/>
      <c r="Z332"/>
      <c r="AA332"/>
      <c r="AB332"/>
      <c r="AC332"/>
      <c r="AD332"/>
      <c r="AE332"/>
      <c r="AF332"/>
      <c r="AG332"/>
      <c r="AH332"/>
      <c r="AI332"/>
    </row>
    <row r="333" spans="1:35" s="48" customFormat="1" x14ac:dyDescent="0.45">
      <c r="A333" s="3"/>
      <c r="H333"/>
      <c r="J333" s="49"/>
      <c r="K333" s="49"/>
      <c r="L333" s="50"/>
      <c r="M333" s="50"/>
      <c r="N333" s="50"/>
      <c r="O333" s="50"/>
      <c r="P333" s="50"/>
      <c r="Q333" s="50"/>
      <c r="R333" s="47"/>
      <c r="S333" s="50"/>
      <c r="T333" s="50"/>
      <c r="U333" s="50"/>
      <c r="V333" s="50"/>
      <c r="W333" s="50"/>
      <c r="X333"/>
      <c r="Y333"/>
      <c r="Z333"/>
      <c r="AA333"/>
      <c r="AB333"/>
      <c r="AC333"/>
      <c r="AD333"/>
      <c r="AE333"/>
      <c r="AF333"/>
      <c r="AG333"/>
      <c r="AH333"/>
      <c r="AI333"/>
    </row>
    <row r="334" spans="1:35" s="48" customFormat="1" x14ac:dyDescent="0.45">
      <c r="A334" s="3"/>
      <c r="H334"/>
      <c r="J334" s="49"/>
      <c r="K334" s="49"/>
      <c r="L334" s="50"/>
      <c r="M334" s="50"/>
      <c r="N334" s="50"/>
      <c r="O334" s="50"/>
      <c r="P334" s="50"/>
      <c r="Q334" s="50"/>
      <c r="R334" s="47"/>
      <c r="S334" s="50"/>
      <c r="T334" s="50"/>
      <c r="U334" s="50"/>
      <c r="V334" s="50"/>
      <c r="W334" s="50"/>
      <c r="X334"/>
      <c r="Y334"/>
      <c r="Z334"/>
      <c r="AA334"/>
      <c r="AB334"/>
      <c r="AC334"/>
      <c r="AD334"/>
      <c r="AE334"/>
      <c r="AF334"/>
      <c r="AG334"/>
      <c r="AH334"/>
      <c r="AI334"/>
    </row>
    <row r="335" spans="1:35" s="48" customFormat="1" x14ac:dyDescent="0.45">
      <c r="A335" s="3"/>
      <c r="H335"/>
      <c r="J335" s="49"/>
      <c r="K335" s="49"/>
      <c r="L335" s="50"/>
      <c r="M335" s="50"/>
      <c r="N335" s="50"/>
      <c r="O335" s="50"/>
      <c r="P335" s="50"/>
      <c r="Q335" s="50"/>
      <c r="R335" s="47"/>
      <c r="S335" s="50"/>
      <c r="T335" s="50"/>
      <c r="U335" s="50"/>
      <c r="V335" s="50"/>
      <c r="W335" s="50"/>
      <c r="X335"/>
      <c r="Y335"/>
      <c r="Z335"/>
      <c r="AA335"/>
      <c r="AB335"/>
      <c r="AC335"/>
      <c r="AD335"/>
      <c r="AE335"/>
      <c r="AF335"/>
      <c r="AG335"/>
      <c r="AH335"/>
      <c r="AI335"/>
    </row>
    <row r="336" spans="1:35" s="48" customFormat="1" x14ac:dyDescent="0.45">
      <c r="A336" s="3"/>
      <c r="H336"/>
      <c r="J336" s="49"/>
      <c r="K336" s="49"/>
      <c r="L336" s="50"/>
      <c r="M336" s="50"/>
      <c r="N336" s="50"/>
      <c r="O336" s="50"/>
      <c r="P336" s="50"/>
      <c r="Q336" s="50"/>
      <c r="R336" s="47"/>
      <c r="S336" s="50"/>
      <c r="T336" s="50"/>
      <c r="U336" s="50"/>
      <c r="V336" s="50"/>
      <c r="W336" s="50"/>
      <c r="X336"/>
      <c r="Y336"/>
      <c r="Z336"/>
      <c r="AA336"/>
      <c r="AB336"/>
      <c r="AC336"/>
      <c r="AD336"/>
      <c r="AE336"/>
      <c r="AF336"/>
      <c r="AG336"/>
      <c r="AH336"/>
      <c r="AI336"/>
    </row>
    <row r="337" spans="1:35" s="48" customFormat="1" x14ac:dyDescent="0.45">
      <c r="A337" s="3"/>
      <c r="H337"/>
      <c r="J337" s="49"/>
      <c r="K337" s="49"/>
      <c r="L337" s="50"/>
      <c r="M337" s="50"/>
      <c r="N337" s="50"/>
      <c r="O337" s="50"/>
      <c r="P337" s="50"/>
      <c r="Q337" s="50"/>
      <c r="R337" s="47"/>
      <c r="S337" s="50"/>
      <c r="T337" s="50"/>
      <c r="U337" s="50"/>
      <c r="V337" s="50"/>
      <c r="W337" s="50"/>
      <c r="X337"/>
      <c r="Y337"/>
      <c r="Z337"/>
      <c r="AA337"/>
      <c r="AB337"/>
      <c r="AC337"/>
      <c r="AD337"/>
      <c r="AE337"/>
      <c r="AF337"/>
      <c r="AG337"/>
      <c r="AH337"/>
      <c r="AI337"/>
    </row>
    <row r="338" spans="1:35" s="48" customFormat="1" x14ac:dyDescent="0.45">
      <c r="A338" s="3"/>
      <c r="H338"/>
      <c r="J338" s="49"/>
      <c r="K338" s="49"/>
      <c r="L338" s="50"/>
      <c r="M338" s="50"/>
      <c r="N338" s="50"/>
      <c r="O338" s="50"/>
      <c r="P338" s="50"/>
      <c r="Q338" s="50"/>
      <c r="R338" s="47"/>
      <c r="S338" s="50"/>
      <c r="T338" s="50"/>
      <c r="U338" s="50"/>
      <c r="V338" s="50"/>
      <c r="W338" s="50"/>
      <c r="X338"/>
      <c r="Y338"/>
      <c r="Z338"/>
      <c r="AA338"/>
      <c r="AB338"/>
      <c r="AC338"/>
      <c r="AD338"/>
      <c r="AE338"/>
      <c r="AF338"/>
      <c r="AG338"/>
      <c r="AH338"/>
      <c r="AI338"/>
    </row>
    <row r="339" spans="1:35" s="48" customFormat="1" x14ac:dyDescent="0.45">
      <c r="A339" s="3"/>
      <c r="H339"/>
      <c r="J339" s="49"/>
      <c r="K339" s="49"/>
      <c r="L339" s="50"/>
      <c r="M339" s="50"/>
      <c r="N339" s="50"/>
      <c r="O339" s="50"/>
      <c r="P339" s="50"/>
      <c r="Q339" s="50"/>
      <c r="R339" s="47"/>
      <c r="S339" s="50"/>
      <c r="T339" s="50"/>
      <c r="U339" s="50"/>
      <c r="V339" s="50"/>
      <c r="W339" s="50"/>
      <c r="X339"/>
      <c r="Y339"/>
      <c r="Z339"/>
      <c r="AA339"/>
      <c r="AB339"/>
      <c r="AC339"/>
      <c r="AD339"/>
      <c r="AE339"/>
      <c r="AF339"/>
      <c r="AG339"/>
      <c r="AH339"/>
      <c r="AI339"/>
    </row>
    <row r="340" spans="1:35" s="48" customFormat="1" x14ac:dyDescent="0.45">
      <c r="A340" s="3"/>
      <c r="H340"/>
      <c r="J340" s="49"/>
      <c r="K340" s="49"/>
      <c r="L340" s="50"/>
      <c r="M340" s="50"/>
      <c r="N340" s="50"/>
      <c r="O340" s="50"/>
      <c r="P340" s="50"/>
      <c r="Q340" s="50"/>
      <c r="R340" s="47"/>
      <c r="S340" s="50"/>
      <c r="T340" s="50"/>
      <c r="U340" s="50"/>
      <c r="V340" s="50"/>
      <c r="W340" s="50"/>
      <c r="X340"/>
      <c r="Y340"/>
      <c r="Z340"/>
      <c r="AA340"/>
      <c r="AB340"/>
      <c r="AC340"/>
      <c r="AD340"/>
      <c r="AE340"/>
      <c r="AF340"/>
      <c r="AG340"/>
      <c r="AH340"/>
      <c r="AI340"/>
    </row>
    <row r="341" spans="1:35" s="48" customFormat="1" x14ac:dyDescent="0.45">
      <c r="A341" s="3"/>
      <c r="H341"/>
      <c r="J341" s="49"/>
      <c r="K341" s="49"/>
      <c r="L341" s="50"/>
      <c r="M341" s="50"/>
      <c r="N341" s="50"/>
      <c r="O341" s="50"/>
      <c r="P341" s="50"/>
      <c r="Q341" s="50"/>
      <c r="R341" s="47"/>
      <c r="S341" s="50"/>
      <c r="T341" s="50"/>
      <c r="U341" s="50"/>
      <c r="V341" s="50"/>
      <c r="W341" s="50"/>
      <c r="X341"/>
      <c r="Y341"/>
      <c r="Z341"/>
      <c r="AA341"/>
      <c r="AB341"/>
      <c r="AC341"/>
      <c r="AD341"/>
      <c r="AE341"/>
      <c r="AF341"/>
      <c r="AG341"/>
      <c r="AH341"/>
      <c r="AI341"/>
    </row>
    <row r="342" spans="1:35" s="48" customFormat="1" x14ac:dyDescent="0.45">
      <c r="A342" s="3"/>
      <c r="H342"/>
      <c r="J342" s="49"/>
      <c r="K342" s="49"/>
      <c r="L342" s="50"/>
      <c r="M342" s="50"/>
      <c r="N342" s="50"/>
      <c r="O342" s="50"/>
      <c r="P342" s="50"/>
      <c r="Q342" s="50"/>
      <c r="R342" s="47"/>
      <c r="S342" s="50"/>
      <c r="T342" s="50"/>
      <c r="U342" s="50"/>
      <c r="V342" s="50"/>
      <c r="W342" s="50"/>
      <c r="X342"/>
      <c r="Y342"/>
      <c r="Z342"/>
      <c r="AA342"/>
      <c r="AB342"/>
      <c r="AC342"/>
      <c r="AD342"/>
      <c r="AE342"/>
      <c r="AF342"/>
      <c r="AG342"/>
      <c r="AH342"/>
      <c r="AI342"/>
    </row>
    <row r="343" spans="1:35" s="48" customFormat="1" x14ac:dyDescent="0.45">
      <c r="A343" s="3"/>
      <c r="H343"/>
      <c r="J343" s="49"/>
      <c r="K343" s="49"/>
      <c r="L343" s="50"/>
      <c r="M343" s="50"/>
      <c r="N343" s="50"/>
      <c r="O343" s="50"/>
      <c r="P343" s="50"/>
      <c r="Q343" s="50"/>
      <c r="R343" s="47"/>
      <c r="S343" s="50"/>
      <c r="T343" s="50"/>
      <c r="U343" s="50"/>
      <c r="V343" s="50"/>
      <c r="W343" s="50"/>
      <c r="X343"/>
      <c r="Y343"/>
      <c r="Z343"/>
      <c r="AA343"/>
      <c r="AB343"/>
      <c r="AC343"/>
      <c r="AD343"/>
      <c r="AE343"/>
      <c r="AF343"/>
      <c r="AG343"/>
      <c r="AH343"/>
      <c r="AI343"/>
    </row>
    <row r="344" spans="1:35" s="48" customFormat="1" x14ac:dyDescent="0.45">
      <c r="A344" s="3"/>
      <c r="H344"/>
      <c r="J344" s="49"/>
      <c r="K344" s="49"/>
      <c r="L344" s="50"/>
      <c r="M344" s="50"/>
      <c r="N344" s="50"/>
      <c r="O344" s="50"/>
      <c r="P344" s="50"/>
      <c r="Q344" s="50"/>
      <c r="R344" s="47"/>
      <c r="S344" s="50"/>
      <c r="T344" s="50"/>
      <c r="U344" s="50"/>
      <c r="V344" s="50"/>
      <c r="W344" s="50"/>
      <c r="X344"/>
      <c r="Y344"/>
      <c r="Z344"/>
      <c r="AA344"/>
      <c r="AB344"/>
      <c r="AC344"/>
      <c r="AD344"/>
      <c r="AE344"/>
      <c r="AF344"/>
      <c r="AG344"/>
      <c r="AH344"/>
      <c r="AI344"/>
    </row>
    <row r="345" spans="1:35" s="48" customFormat="1" x14ac:dyDescent="0.45">
      <c r="A345" s="3"/>
      <c r="H345"/>
      <c r="J345" s="49"/>
      <c r="K345" s="49"/>
      <c r="L345" s="50"/>
      <c r="M345" s="50"/>
      <c r="N345" s="50"/>
      <c r="O345" s="50"/>
      <c r="P345" s="50"/>
      <c r="Q345" s="50"/>
      <c r="R345" s="47"/>
      <c r="S345" s="50"/>
      <c r="T345" s="50"/>
      <c r="U345" s="50"/>
      <c r="V345" s="50"/>
      <c r="W345" s="50"/>
      <c r="X345"/>
      <c r="Y345"/>
      <c r="Z345"/>
      <c r="AA345"/>
      <c r="AB345"/>
      <c r="AC345"/>
      <c r="AD345"/>
      <c r="AE345"/>
      <c r="AF345"/>
      <c r="AG345"/>
      <c r="AH345"/>
      <c r="AI345"/>
    </row>
    <row r="346" spans="1:35" s="48" customFormat="1" x14ac:dyDescent="0.45">
      <c r="A346" s="3"/>
      <c r="H346"/>
      <c r="J346" s="49"/>
      <c r="K346" s="49"/>
      <c r="L346" s="50"/>
      <c r="M346" s="50"/>
      <c r="N346" s="50"/>
      <c r="O346" s="50"/>
      <c r="P346" s="50"/>
      <c r="Q346" s="50"/>
      <c r="R346" s="47"/>
      <c r="S346" s="50"/>
      <c r="T346" s="50"/>
      <c r="U346" s="50"/>
      <c r="V346" s="50"/>
      <c r="W346" s="50"/>
      <c r="X346"/>
      <c r="Y346"/>
      <c r="Z346"/>
      <c r="AA346"/>
      <c r="AB346"/>
      <c r="AC346"/>
      <c r="AD346"/>
      <c r="AE346"/>
      <c r="AF346"/>
      <c r="AG346"/>
      <c r="AH346"/>
      <c r="AI346"/>
    </row>
    <row r="347" spans="1:35" s="48" customFormat="1" x14ac:dyDescent="0.45">
      <c r="A347" s="3"/>
      <c r="H347"/>
      <c r="J347" s="49"/>
      <c r="K347" s="49"/>
      <c r="L347" s="50"/>
      <c r="M347" s="50"/>
      <c r="N347" s="50"/>
      <c r="O347" s="50"/>
      <c r="P347" s="50"/>
      <c r="Q347" s="50"/>
      <c r="R347" s="47"/>
      <c r="S347" s="50"/>
      <c r="T347" s="50"/>
      <c r="U347" s="50"/>
      <c r="V347" s="50"/>
      <c r="W347" s="50"/>
      <c r="X347"/>
      <c r="Y347"/>
      <c r="Z347"/>
      <c r="AA347"/>
      <c r="AB347"/>
      <c r="AC347"/>
      <c r="AD347"/>
      <c r="AE347"/>
      <c r="AF347"/>
      <c r="AG347"/>
      <c r="AH347"/>
      <c r="AI347"/>
    </row>
    <row r="348" spans="1:35" s="48" customFormat="1" x14ac:dyDescent="0.45">
      <c r="A348" s="3"/>
      <c r="H348"/>
      <c r="J348" s="49"/>
      <c r="K348" s="49"/>
      <c r="L348" s="50"/>
      <c r="M348" s="50"/>
      <c r="N348" s="50"/>
      <c r="O348" s="50"/>
      <c r="P348" s="50"/>
      <c r="Q348" s="50"/>
      <c r="R348" s="47"/>
      <c r="S348" s="50"/>
      <c r="T348" s="50"/>
      <c r="U348" s="50"/>
      <c r="V348" s="50"/>
      <c r="W348" s="50"/>
      <c r="X348"/>
      <c r="Y348"/>
      <c r="Z348"/>
      <c r="AA348"/>
      <c r="AB348"/>
      <c r="AC348"/>
      <c r="AD348"/>
      <c r="AE348"/>
      <c r="AF348"/>
      <c r="AG348"/>
      <c r="AH348"/>
      <c r="AI348"/>
    </row>
    <row r="349" spans="1:35" s="48" customFormat="1" x14ac:dyDescent="0.45">
      <c r="A349" s="3"/>
      <c r="H349"/>
      <c r="J349" s="49"/>
      <c r="K349" s="49"/>
      <c r="L349" s="50"/>
      <c r="M349" s="50"/>
      <c r="N349" s="50"/>
      <c r="O349" s="50"/>
      <c r="P349" s="50"/>
      <c r="Q349" s="50"/>
      <c r="R349" s="47"/>
      <c r="S349" s="50"/>
      <c r="T349" s="50"/>
      <c r="U349" s="50"/>
      <c r="V349" s="50"/>
      <c r="W349" s="50"/>
      <c r="X349"/>
      <c r="Y349"/>
      <c r="Z349"/>
      <c r="AA349"/>
      <c r="AB349"/>
      <c r="AC349"/>
      <c r="AD349"/>
      <c r="AE349"/>
      <c r="AF349"/>
      <c r="AG349"/>
      <c r="AH349"/>
      <c r="AI349"/>
    </row>
    <row r="350" spans="1:35" s="48" customFormat="1" x14ac:dyDescent="0.45">
      <c r="A350" s="3"/>
      <c r="H350"/>
      <c r="J350" s="49"/>
      <c r="K350" s="49"/>
      <c r="L350" s="50"/>
      <c r="M350" s="50"/>
      <c r="N350" s="50"/>
      <c r="O350" s="50"/>
      <c r="P350" s="50"/>
      <c r="Q350" s="50"/>
      <c r="R350" s="47"/>
      <c r="S350" s="50"/>
      <c r="T350" s="50"/>
      <c r="U350" s="50"/>
      <c r="V350" s="50"/>
      <c r="W350" s="50"/>
      <c r="X350"/>
      <c r="Y350"/>
      <c r="Z350"/>
      <c r="AA350"/>
      <c r="AB350"/>
      <c r="AC350"/>
      <c r="AD350"/>
      <c r="AE350"/>
      <c r="AF350"/>
      <c r="AG350"/>
      <c r="AH350"/>
      <c r="AI350"/>
    </row>
    <row r="351" spans="1:35" s="48" customFormat="1" x14ac:dyDescent="0.45">
      <c r="A351" s="3"/>
      <c r="H351"/>
      <c r="J351" s="49"/>
      <c r="K351" s="49"/>
      <c r="L351" s="50"/>
      <c r="M351" s="50"/>
      <c r="N351" s="50"/>
      <c r="O351" s="50"/>
      <c r="P351" s="50"/>
      <c r="Q351" s="50"/>
      <c r="R351" s="47"/>
      <c r="S351" s="50"/>
      <c r="T351" s="50"/>
      <c r="U351" s="50"/>
      <c r="V351" s="50"/>
      <c r="W351" s="50"/>
      <c r="X351"/>
      <c r="Y351"/>
      <c r="Z351"/>
      <c r="AA351"/>
      <c r="AB351"/>
      <c r="AC351"/>
      <c r="AD351"/>
      <c r="AE351"/>
      <c r="AF351"/>
      <c r="AG351"/>
      <c r="AH351"/>
      <c r="AI351"/>
    </row>
    <row r="352" spans="1:35" s="48" customFormat="1" x14ac:dyDescent="0.45">
      <c r="A352" s="3"/>
      <c r="H352"/>
      <c r="J352" s="49"/>
      <c r="K352" s="49"/>
      <c r="L352" s="50"/>
      <c r="M352" s="50"/>
      <c r="N352" s="50"/>
      <c r="O352" s="50"/>
      <c r="P352" s="50"/>
      <c r="Q352" s="50"/>
      <c r="R352" s="47"/>
      <c r="S352" s="50"/>
      <c r="T352" s="50"/>
      <c r="U352" s="50"/>
      <c r="V352" s="50"/>
      <c r="W352" s="50"/>
      <c r="X352"/>
      <c r="Y352"/>
      <c r="Z352"/>
      <c r="AA352"/>
      <c r="AB352"/>
      <c r="AC352"/>
      <c r="AD352"/>
      <c r="AE352"/>
      <c r="AF352"/>
      <c r="AG352"/>
      <c r="AH352"/>
      <c r="AI352"/>
    </row>
    <row r="353" spans="1:35" s="48" customFormat="1" x14ac:dyDescent="0.45">
      <c r="A353" s="3"/>
      <c r="H353"/>
      <c r="J353" s="49"/>
      <c r="K353" s="49"/>
      <c r="L353" s="50"/>
      <c r="M353" s="50"/>
      <c r="N353" s="50"/>
      <c r="O353" s="50"/>
      <c r="P353" s="50"/>
      <c r="Q353" s="50"/>
      <c r="R353" s="47"/>
      <c r="S353" s="50"/>
      <c r="T353" s="50"/>
      <c r="U353" s="50"/>
      <c r="V353" s="50"/>
      <c r="W353" s="50"/>
      <c r="X353"/>
      <c r="Y353"/>
      <c r="Z353"/>
      <c r="AA353"/>
      <c r="AB353"/>
      <c r="AC353"/>
      <c r="AD353"/>
      <c r="AE353"/>
      <c r="AF353"/>
      <c r="AG353"/>
      <c r="AH353"/>
      <c r="AI353"/>
    </row>
    <row r="354" spans="1:35" s="48" customFormat="1" x14ac:dyDescent="0.45">
      <c r="A354" s="3"/>
      <c r="H354"/>
      <c r="J354" s="49"/>
      <c r="K354" s="49"/>
      <c r="L354" s="50"/>
      <c r="M354" s="50"/>
      <c r="N354" s="50"/>
      <c r="O354" s="50"/>
      <c r="P354" s="50"/>
      <c r="Q354" s="50"/>
      <c r="R354" s="47"/>
      <c r="S354" s="50"/>
      <c r="T354" s="50"/>
      <c r="U354" s="50"/>
      <c r="V354" s="50"/>
      <c r="W354" s="50"/>
      <c r="X354"/>
      <c r="Y354"/>
      <c r="Z354"/>
      <c r="AA354"/>
      <c r="AB354"/>
      <c r="AC354"/>
      <c r="AD354"/>
      <c r="AE354"/>
      <c r="AF354"/>
      <c r="AG354"/>
      <c r="AH354"/>
      <c r="AI354"/>
    </row>
    <row r="355" spans="1:35" s="48" customFormat="1" x14ac:dyDescent="0.45">
      <c r="A355" s="3"/>
      <c r="H355"/>
      <c r="J355" s="49"/>
      <c r="K355" s="49"/>
      <c r="L355" s="50"/>
      <c r="M355" s="50"/>
      <c r="N355" s="50"/>
      <c r="O355" s="50"/>
      <c r="P355" s="50"/>
      <c r="Q355" s="50"/>
      <c r="R355" s="47"/>
      <c r="S355" s="50"/>
      <c r="T355" s="50"/>
      <c r="U355" s="50"/>
      <c r="V355" s="50"/>
      <c r="W355" s="50"/>
      <c r="X355"/>
      <c r="Y355"/>
      <c r="Z355"/>
      <c r="AA355"/>
      <c r="AB355"/>
      <c r="AC355"/>
      <c r="AD355"/>
      <c r="AE355"/>
      <c r="AF355"/>
      <c r="AG355"/>
      <c r="AH355"/>
      <c r="AI355"/>
    </row>
    <row r="356" spans="1:35" s="48" customFormat="1" x14ac:dyDescent="0.45">
      <c r="A356" s="3"/>
      <c r="H356"/>
      <c r="J356" s="49"/>
      <c r="K356" s="49"/>
      <c r="L356" s="50"/>
      <c r="M356" s="50"/>
      <c r="N356" s="50"/>
      <c r="O356" s="50"/>
      <c r="P356" s="50"/>
      <c r="Q356" s="50"/>
      <c r="R356" s="47"/>
      <c r="S356" s="50"/>
      <c r="T356" s="50"/>
      <c r="U356" s="50"/>
      <c r="V356" s="50"/>
      <c r="W356" s="50"/>
      <c r="X356"/>
      <c r="Y356"/>
      <c r="Z356"/>
      <c r="AA356"/>
      <c r="AB356"/>
      <c r="AC356"/>
      <c r="AD356"/>
      <c r="AE356"/>
      <c r="AF356"/>
      <c r="AG356"/>
      <c r="AH356"/>
      <c r="AI356"/>
    </row>
    <row r="357" spans="1:35" s="48" customFormat="1" x14ac:dyDescent="0.45">
      <c r="A357" s="3"/>
      <c r="H357"/>
      <c r="J357" s="49"/>
      <c r="K357" s="49"/>
      <c r="L357" s="50"/>
      <c r="M357" s="50"/>
      <c r="N357" s="50"/>
      <c r="O357" s="50"/>
      <c r="P357" s="50"/>
      <c r="Q357" s="50"/>
      <c r="R357" s="47"/>
      <c r="S357" s="50"/>
      <c r="T357" s="50"/>
      <c r="U357" s="50"/>
      <c r="V357" s="50"/>
      <c r="W357" s="50"/>
      <c r="X357"/>
      <c r="Y357"/>
      <c r="Z357"/>
      <c r="AA357"/>
      <c r="AB357"/>
      <c r="AC357"/>
      <c r="AD357"/>
      <c r="AE357"/>
      <c r="AF357"/>
      <c r="AG357"/>
      <c r="AH357"/>
      <c r="AI357"/>
    </row>
    <row r="358" spans="1:35" s="48" customFormat="1" x14ac:dyDescent="0.45">
      <c r="A358" s="3"/>
      <c r="H358"/>
      <c r="J358" s="49"/>
      <c r="K358" s="49"/>
      <c r="L358" s="50"/>
      <c r="M358" s="50"/>
      <c r="N358" s="50"/>
      <c r="O358" s="50"/>
      <c r="P358" s="50"/>
      <c r="Q358" s="50"/>
      <c r="R358" s="47"/>
      <c r="S358" s="50"/>
      <c r="T358" s="50"/>
      <c r="U358" s="50"/>
      <c r="V358" s="50"/>
      <c r="W358" s="50"/>
      <c r="X358"/>
      <c r="Y358"/>
      <c r="Z358"/>
      <c r="AA358"/>
      <c r="AB358"/>
      <c r="AC358"/>
      <c r="AD358"/>
      <c r="AE358"/>
      <c r="AF358"/>
      <c r="AG358"/>
      <c r="AH358"/>
      <c r="AI358"/>
    </row>
    <row r="359" spans="1:35" s="48" customFormat="1" x14ac:dyDescent="0.45">
      <c r="A359" s="3"/>
      <c r="H359"/>
      <c r="J359" s="49"/>
      <c r="K359" s="49"/>
      <c r="L359" s="50"/>
      <c r="M359" s="50"/>
      <c r="N359" s="50"/>
      <c r="O359" s="50"/>
      <c r="P359" s="50"/>
      <c r="Q359" s="50"/>
      <c r="R359" s="47"/>
      <c r="S359" s="50"/>
      <c r="T359" s="50"/>
      <c r="U359" s="50"/>
      <c r="V359" s="50"/>
      <c r="W359" s="50"/>
      <c r="X359"/>
      <c r="Y359"/>
      <c r="Z359"/>
      <c r="AA359"/>
      <c r="AB359"/>
      <c r="AC359"/>
      <c r="AD359"/>
      <c r="AE359"/>
      <c r="AF359"/>
      <c r="AG359"/>
      <c r="AH359"/>
      <c r="AI359"/>
    </row>
    <row r="360" spans="1:35" s="48" customFormat="1" x14ac:dyDescent="0.45">
      <c r="A360" s="3"/>
      <c r="H360"/>
      <c r="J360" s="49"/>
      <c r="K360" s="49"/>
      <c r="L360" s="50"/>
      <c r="M360" s="50"/>
      <c r="N360" s="50"/>
      <c r="O360" s="50"/>
      <c r="P360" s="50"/>
      <c r="Q360" s="50"/>
      <c r="R360" s="47"/>
      <c r="S360" s="50"/>
      <c r="T360" s="50"/>
      <c r="U360" s="50"/>
      <c r="V360" s="50"/>
      <c r="W360" s="50"/>
      <c r="X360"/>
      <c r="Y360"/>
      <c r="Z360"/>
      <c r="AA360"/>
      <c r="AB360"/>
      <c r="AC360"/>
      <c r="AD360"/>
      <c r="AE360"/>
      <c r="AF360"/>
      <c r="AG360"/>
      <c r="AH360"/>
      <c r="AI360"/>
    </row>
    <row r="361" spans="1:35" s="48" customFormat="1" x14ac:dyDescent="0.45">
      <c r="A361" s="3"/>
      <c r="H361"/>
      <c r="J361" s="49"/>
      <c r="K361" s="49"/>
      <c r="L361" s="50"/>
      <c r="M361" s="50"/>
      <c r="N361" s="50"/>
      <c r="O361" s="50"/>
      <c r="P361" s="50"/>
      <c r="Q361" s="50"/>
      <c r="R361" s="47"/>
      <c r="S361" s="50"/>
      <c r="T361" s="50"/>
      <c r="U361" s="50"/>
      <c r="V361" s="50"/>
      <c r="W361" s="50"/>
      <c r="X361"/>
      <c r="Y361"/>
      <c r="Z361"/>
      <c r="AA361"/>
      <c r="AB361"/>
      <c r="AC361"/>
      <c r="AD361"/>
      <c r="AE361"/>
      <c r="AF361"/>
      <c r="AG361"/>
      <c r="AH361"/>
      <c r="AI361"/>
    </row>
    <row r="362" spans="1:35" s="48" customFormat="1" x14ac:dyDescent="0.45">
      <c r="A362" s="3"/>
      <c r="H362"/>
      <c r="J362" s="49"/>
      <c r="K362" s="49"/>
      <c r="L362" s="50"/>
      <c r="M362" s="50"/>
      <c r="N362" s="50"/>
      <c r="O362" s="50"/>
      <c r="P362" s="50"/>
      <c r="Q362" s="50"/>
      <c r="R362" s="47"/>
      <c r="S362" s="50"/>
      <c r="T362" s="50"/>
      <c r="U362" s="50"/>
      <c r="V362" s="50"/>
      <c r="W362" s="50"/>
      <c r="X362"/>
      <c r="Y362"/>
      <c r="Z362"/>
      <c r="AA362"/>
      <c r="AB362"/>
      <c r="AC362"/>
      <c r="AD362"/>
      <c r="AE362"/>
      <c r="AF362"/>
      <c r="AG362"/>
      <c r="AH362"/>
      <c r="AI362"/>
    </row>
    <row r="363" spans="1:35" s="48" customFormat="1" x14ac:dyDescent="0.45">
      <c r="A363" s="3"/>
      <c r="H363"/>
      <c r="J363" s="49"/>
      <c r="K363" s="49"/>
      <c r="L363" s="50"/>
      <c r="M363" s="50"/>
      <c r="N363" s="50"/>
      <c r="O363" s="50"/>
      <c r="P363" s="50"/>
      <c r="Q363" s="50"/>
      <c r="R363" s="47"/>
      <c r="S363" s="50"/>
      <c r="T363" s="50"/>
      <c r="U363" s="50"/>
      <c r="V363" s="50"/>
      <c r="W363" s="50"/>
      <c r="X363"/>
      <c r="Y363"/>
      <c r="Z363"/>
      <c r="AA363"/>
      <c r="AB363"/>
      <c r="AC363"/>
      <c r="AD363"/>
      <c r="AE363"/>
      <c r="AF363"/>
      <c r="AG363"/>
      <c r="AH363"/>
      <c r="AI363"/>
    </row>
    <row r="364" spans="1:35" s="48" customFormat="1" x14ac:dyDescent="0.45">
      <c r="A364" s="3"/>
      <c r="H364"/>
      <c r="J364" s="49"/>
      <c r="K364" s="49"/>
      <c r="L364" s="50"/>
      <c r="M364" s="50"/>
      <c r="N364" s="50"/>
      <c r="O364" s="50"/>
      <c r="P364" s="50"/>
      <c r="Q364" s="50"/>
      <c r="R364" s="47"/>
      <c r="S364" s="50"/>
      <c r="T364" s="50"/>
      <c r="U364" s="50"/>
      <c r="V364" s="50"/>
      <c r="W364" s="50"/>
      <c r="X364"/>
      <c r="Y364"/>
      <c r="Z364"/>
      <c r="AA364"/>
      <c r="AB364"/>
      <c r="AC364"/>
      <c r="AD364"/>
      <c r="AE364"/>
      <c r="AF364"/>
      <c r="AG364"/>
      <c r="AH364"/>
      <c r="AI364"/>
    </row>
    <row r="365" spans="1:35" s="48" customFormat="1" x14ac:dyDescent="0.45">
      <c r="A365" s="3"/>
      <c r="H365"/>
      <c r="J365" s="49"/>
      <c r="K365" s="49"/>
      <c r="L365" s="50"/>
      <c r="M365" s="50"/>
      <c r="N365" s="50"/>
      <c r="O365" s="50"/>
      <c r="P365" s="50"/>
      <c r="Q365" s="50"/>
      <c r="R365" s="47"/>
      <c r="S365" s="50"/>
      <c r="T365" s="50"/>
      <c r="U365" s="50"/>
      <c r="V365" s="50"/>
      <c r="W365" s="50"/>
      <c r="X365"/>
      <c r="Y365"/>
      <c r="Z365"/>
      <c r="AA365"/>
      <c r="AB365"/>
      <c r="AC365"/>
      <c r="AD365"/>
      <c r="AE365"/>
      <c r="AF365"/>
      <c r="AG365"/>
      <c r="AH365"/>
      <c r="AI365"/>
    </row>
    <row r="366" spans="1:35" s="48" customFormat="1" x14ac:dyDescent="0.45">
      <c r="A366" s="3"/>
      <c r="H366"/>
      <c r="J366" s="49"/>
      <c r="K366" s="49"/>
      <c r="L366" s="50"/>
      <c r="M366" s="50"/>
      <c r="N366" s="50"/>
      <c r="O366" s="50"/>
      <c r="P366" s="50"/>
      <c r="Q366" s="50"/>
      <c r="R366" s="47"/>
      <c r="S366" s="50"/>
      <c r="T366" s="50"/>
      <c r="U366" s="50"/>
      <c r="V366" s="50"/>
      <c r="W366" s="50"/>
      <c r="X366"/>
      <c r="Y366"/>
      <c r="Z366"/>
      <c r="AA366"/>
      <c r="AB366"/>
      <c r="AC366"/>
      <c r="AD366"/>
      <c r="AE366"/>
      <c r="AF366"/>
      <c r="AG366"/>
      <c r="AH366"/>
      <c r="AI366"/>
    </row>
    <row r="367" spans="1:35" s="48" customFormat="1" x14ac:dyDescent="0.45">
      <c r="A367" s="3"/>
      <c r="H367"/>
      <c r="J367" s="49"/>
      <c r="K367" s="49"/>
      <c r="L367" s="50"/>
      <c r="M367" s="50"/>
      <c r="N367" s="50"/>
      <c r="O367" s="50"/>
      <c r="P367" s="50"/>
      <c r="Q367" s="50"/>
      <c r="R367" s="47"/>
      <c r="S367" s="50"/>
      <c r="T367" s="50"/>
      <c r="U367" s="50"/>
      <c r="V367" s="50"/>
      <c r="W367" s="50"/>
      <c r="X367"/>
      <c r="Y367"/>
      <c r="Z367"/>
      <c r="AA367"/>
      <c r="AB367"/>
      <c r="AC367"/>
      <c r="AD367"/>
      <c r="AE367"/>
      <c r="AF367"/>
      <c r="AG367"/>
      <c r="AH367"/>
      <c r="AI367"/>
    </row>
    <row r="368" spans="1:35" s="48" customFormat="1" x14ac:dyDescent="0.45">
      <c r="A368" s="3"/>
      <c r="H368"/>
      <c r="J368" s="49"/>
      <c r="K368" s="49"/>
      <c r="L368" s="50"/>
      <c r="M368" s="50"/>
      <c r="N368" s="50"/>
      <c r="O368" s="50"/>
      <c r="P368" s="50"/>
      <c r="Q368" s="50"/>
      <c r="R368" s="47"/>
      <c r="S368" s="50"/>
      <c r="T368" s="50"/>
      <c r="U368" s="50"/>
      <c r="V368" s="50"/>
      <c r="W368" s="50"/>
      <c r="X368"/>
      <c r="Y368"/>
      <c r="Z368"/>
      <c r="AA368"/>
      <c r="AB368"/>
      <c r="AC368"/>
      <c r="AD368"/>
      <c r="AE368"/>
      <c r="AF368"/>
      <c r="AG368"/>
      <c r="AH368"/>
      <c r="AI368"/>
    </row>
    <row r="369" spans="1:35" s="48" customFormat="1" x14ac:dyDescent="0.45">
      <c r="A369" s="3"/>
      <c r="H369"/>
      <c r="J369" s="49"/>
      <c r="K369" s="49"/>
      <c r="L369" s="50"/>
      <c r="M369" s="50"/>
      <c r="N369" s="50"/>
      <c r="O369" s="50"/>
      <c r="P369" s="50"/>
      <c r="Q369" s="50"/>
      <c r="R369" s="47"/>
      <c r="S369" s="50"/>
      <c r="T369" s="50"/>
      <c r="U369" s="50"/>
      <c r="V369" s="50"/>
      <c r="W369" s="50"/>
      <c r="X369"/>
      <c r="Y369"/>
      <c r="Z369"/>
      <c r="AA369"/>
      <c r="AB369"/>
      <c r="AC369"/>
      <c r="AD369"/>
      <c r="AE369"/>
      <c r="AF369"/>
      <c r="AG369"/>
      <c r="AH369"/>
      <c r="AI369"/>
    </row>
    <row r="370" spans="1:35" s="48" customFormat="1" x14ac:dyDescent="0.45">
      <c r="A370" s="3"/>
      <c r="H370"/>
      <c r="J370" s="49"/>
      <c r="K370" s="49"/>
      <c r="L370" s="50"/>
      <c r="M370" s="50"/>
      <c r="N370" s="50"/>
      <c r="O370" s="50"/>
      <c r="P370" s="50"/>
      <c r="Q370" s="50"/>
      <c r="R370" s="47"/>
      <c r="S370" s="50"/>
      <c r="T370" s="50"/>
      <c r="U370" s="50"/>
      <c r="V370" s="50"/>
      <c r="W370" s="50"/>
      <c r="X370"/>
      <c r="Y370"/>
      <c r="Z370"/>
      <c r="AA370"/>
      <c r="AB370"/>
      <c r="AC370"/>
      <c r="AD370"/>
      <c r="AE370"/>
      <c r="AF370"/>
      <c r="AG370"/>
      <c r="AH370"/>
      <c r="AI370"/>
    </row>
    <row r="371" spans="1:35" s="48" customFormat="1" x14ac:dyDescent="0.45">
      <c r="A371" s="3"/>
      <c r="H371"/>
      <c r="J371" s="49"/>
      <c r="K371" s="49"/>
      <c r="L371" s="50"/>
      <c r="M371" s="50"/>
      <c r="N371" s="50"/>
      <c r="O371" s="50"/>
      <c r="P371" s="50"/>
      <c r="Q371" s="50"/>
      <c r="R371" s="47"/>
      <c r="S371" s="50"/>
      <c r="T371" s="50"/>
      <c r="U371" s="50"/>
      <c r="V371" s="50"/>
      <c r="W371" s="50"/>
      <c r="X371"/>
      <c r="Y371"/>
      <c r="Z371"/>
      <c r="AA371"/>
      <c r="AB371"/>
      <c r="AC371"/>
      <c r="AD371"/>
      <c r="AE371"/>
      <c r="AF371"/>
      <c r="AG371"/>
      <c r="AH371"/>
      <c r="AI371"/>
    </row>
    <row r="372" spans="1:35" s="48" customFormat="1" x14ac:dyDescent="0.45">
      <c r="A372" s="3"/>
      <c r="H372"/>
      <c r="J372" s="49"/>
      <c r="K372" s="49"/>
      <c r="L372" s="50"/>
      <c r="M372" s="50"/>
      <c r="N372" s="50"/>
      <c r="O372" s="50"/>
      <c r="P372" s="50"/>
      <c r="Q372" s="50"/>
      <c r="R372" s="47"/>
      <c r="S372" s="50"/>
      <c r="T372" s="50"/>
      <c r="U372" s="50"/>
      <c r="V372" s="50"/>
      <c r="W372" s="50"/>
      <c r="X372"/>
      <c r="Y372"/>
      <c r="Z372"/>
      <c r="AA372"/>
      <c r="AB372"/>
      <c r="AC372"/>
      <c r="AD372"/>
      <c r="AE372"/>
      <c r="AF372"/>
      <c r="AG372"/>
      <c r="AH372"/>
      <c r="AI372"/>
    </row>
    <row r="373" spans="1:35" s="48" customFormat="1" x14ac:dyDescent="0.45">
      <c r="A373" s="3"/>
      <c r="H373"/>
      <c r="J373" s="49"/>
      <c r="K373" s="49"/>
      <c r="L373" s="50"/>
      <c r="M373" s="50"/>
      <c r="N373" s="50"/>
      <c r="O373" s="50"/>
      <c r="P373" s="50"/>
      <c r="Q373" s="50"/>
      <c r="R373" s="47"/>
      <c r="S373" s="50"/>
      <c r="T373" s="50"/>
      <c r="U373" s="50"/>
      <c r="V373" s="50"/>
      <c r="W373" s="50"/>
      <c r="X373"/>
      <c r="Y373"/>
      <c r="Z373"/>
      <c r="AA373"/>
      <c r="AB373"/>
      <c r="AC373"/>
      <c r="AD373"/>
      <c r="AE373"/>
      <c r="AF373"/>
      <c r="AG373"/>
      <c r="AH373"/>
      <c r="AI373"/>
    </row>
    <row r="374" spans="1:35" s="48" customFormat="1" x14ac:dyDescent="0.45">
      <c r="A374" s="3"/>
      <c r="H374"/>
      <c r="J374" s="49"/>
      <c r="K374" s="49"/>
      <c r="L374" s="50"/>
      <c r="M374" s="50"/>
      <c r="N374" s="50"/>
      <c r="O374" s="50"/>
      <c r="P374" s="50"/>
      <c r="Q374" s="50"/>
      <c r="R374" s="47"/>
      <c r="S374" s="50"/>
      <c r="T374" s="50"/>
      <c r="U374" s="50"/>
      <c r="V374" s="50"/>
      <c r="W374" s="50"/>
      <c r="X374"/>
      <c r="Y374"/>
      <c r="Z374"/>
      <c r="AA374"/>
      <c r="AB374"/>
      <c r="AC374"/>
      <c r="AD374"/>
      <c r="AE374"/>
      <c r="AF374"/>
      <c r="AG374"/>
      <c r="AH374"/>
      <c r="AI374"/>
    </row>
    <row r="375" spans="1:35" s="48" customFormat="1" x14ac:dyDescent="0.45">
      <c r="A375" s="3"/>
      <c r="H375"/>
      <c r="J375" s="49"/>
      <c r="K375" s="49"/>
      <c r="L375" s="50"/>
      <c r="M375" s="50"/>
      <c r="N375" s="50"/>
      <c r="O375" s="50"/>
      <c r="P375" s="50"/>
      <c r="Q375" s="50"/>
      <c r="R375" s="47"/>
      <c r="S375" s="50"/>
      <c r="T375" s="50"/>
      <c r="U375" s="50"/>
      <c r="V375" s="50"/>
      <c r="W375" s="50"/>
      <c r="X375"/>
      <c r="Y375"/>
      <c r="Z375"/>
      <c r="AA375"/>
      <c r="AB375"/>
      <c r="AC375"/>
      <c r="AD375"/>
      <c r="AE375"/>
      <c r="AF375"/>
      <c r="AG375"/>
      <c r="AH375"/>
      <c r="AI375"/>
    </row>
    <row r="376" spans="1:35" s="48" customFormat="1" x14ac:dyDescent="0.45">
      <c r="A376" s="3"/>
      <c r="H376"/>
      <c r="J376" s="49"/>
      <c r="K376" s="49"/>
      <c r="L376" s="50"/>
      <c r="M376" s="50"/>
      <c r="N376" s="50"/>
      <c r="O376" s="50"/>
      <c r="P376" s="50"/>
      <c r="Q376" s="50"/>
      <c r="R376" s="47"/>
      <c r="S376" s="50"/>
      <c r="T376" s="50"/>
      <c r="U376" s="50"/>
      <c r="V376" s="50"/>
      <c r="W376" s="50"/>
      <c r="X376"/>
      <c r="Y376"/>
      <c r="Z376"/>
      <c r="AA376"/>
      <c r="AB376"/>
      <c r="AC376"/>
      <c r="AD376"/>
      <c r="AE376"/>
      <c r="AF376"/>
      <c r="AG376"/>
      <c r="AH376"/>
      <c r="AI376"/>
    </row>
    <row r="377" spans="1:35" s="48" customFormat="1" x14ac:dyDescent="0.45">
      <c r="A377" s="3"/>
      <c r="H377"/>
      <c r="J377" s="49"/>
      <c r="K377" s="49"/>
      <c r="L377" s="50"/>
      <c r="M377" s="50"/>
      <c r="N377" s="50"/>
      <c r="O377" s="50"/>
      <c r="P377" s="50"/>
      <c r="Q377" s="50"/>
      <c r="R377" s="47"/>
      <c r="S377" s="50"/>
      <c r="T377" s="50"/>
      <c r="U377" s="50"/>
      <c r="V377" s="50"/>
      <c r="W377" s="50"/>
      <c r="X377"/>
      <c r="Y377"/>
      <c r="Z377"/>
      <c r="AA377"/>
      <c r="AB377"/>
      <c r="AC377"/>
      <c r="AD377"/>
      <c r="AE377"/>
      <c r="AF377"/>
      <c r="AG377"/>
      <c r="AH377"/>
      <c r="AI377"/>
    </row>
    <row r="378" spans="1:35" s="48" customFormat="1" x14ac:dyDescent="0.45">
      <c r="A378" s="3"/>
      <c r="H378"/>
      <c r="J378" s="49"/>
      <c r="K378" s="49"/>
      <c r="L378" s="50"/>
      <c r="M378" s="50"/>
      <c r="N378" s="50"/>
      <c r="O378" s="50"/>
      <c r="P378" s="50"/>
      <c r="Q378" s="50"/>
      <c r="R378" s="47"/>
      <c r="S378" s="50"/>
      <c r="T378" s="50"/>
      <c r="U378" s="50"/>
      <c r="V378" s="50"/>
      <c r="W378" s="50"/>
      <c r="X378"/>
      <c r="Y378"/>
      <c r="Z378"/>
      <c r="AA378"/>
      <c r="AB378"/>
      <c r="AC378"/>
      <c r="AD378"/>
      <c r="AE378"/>
      <c r="AF378"/>
      <c r="AG378"/>
      <c r="AH378"/>
      <c r="AI378"/>
    </row>
    <row r="379" spans="1:35" s="48" customFormat="1" x14ac:dyDescent="0.45">
      <c r="A379" s="3"/>
      <c r="H379"/>
      <c r="J379" s="49"/>
      <c r="K379" s="49"/>
      <c r="L379" s="50"/>
      <c r="M379" s="50"/>
      <c r="N379" s="50"/>
      <c r="O379" s="50"/>
      <c r="P379" s="50"/>
      <c r="Q379" s="50"/>
      <c r="R379" s="47"/>
      <c r="S379" s="50"/>
      <c r="T379" s="50"/>
      <c r="U379" s="50"/>
      <c r="V379" s="50"/>
      <c r="W379" s="50"/>
      <c r="X379"/>
      <c r="Y379"/>
      <c r="Z379"/>
      <c r="AA379"/>
      <c r="AB379"/>
      <c r="AC379"/>
      <c r="AD379"/>
      <c r="AE379"/>
      <c r="AF379"/>
      <c r="AG379"/>
      <c r="AH379"/>
      <c r="AI379"/>
    </row>
    <row r="380" spans="1:35" s="48" customFormat="1" x14ac:dyDescent="0.45">
      <c r="A380" s="3"/>
      <c r="H380"/>
      <c r="J380" s="49"/>
      <c r="K380" s="49"/>
      <c r="L380" s="50"/>
      <c r="M380" s="50"/>
      <c r="N380" s="50"/>
      <c r="O380" s="50"/>
      <c r="P380" s="50"/>
      <c r="Q380" s="50"/>
      <c r="R380" s="47"/>
      <c r="S380" s="50"/>
      <c r="T380" s="50"/>
      <c r="U380" s="50"/>
      <c r="V380" s="50"/>
      <c r="W380" s="50"/>
      <c r="X380"/>
      <c r="Y380"/>
      <c r="Z380"/>
      <c r="AA380"/>
      <c r="AB380"/>
      <c r="AC380"/>
      <c r="AD380"/>
      <c r="AE380"/>
      <c r="AF380"/>
      <c r="AG380"/>
      <c r="AH380"/>
      <c r="AI380"/>
    </row>
    <row r="381" spans="1:35" s="48" customFormat="1" x14ac:dyDescent="0.45">
      <c r="A381" s="3"/>
      <c r="H381"/>
      <c r="J381" s="49"/>
      <c r="K381" s="49"/>
      <c r="L381" s="50"/>
      <c r="M381" s="50"/>
      <c r="N381" s="50"/>
      <c r="O381" s="50"/>
      <c r="P381" s="50"/>
      <c r="Q381" s="50"/>
      <c r="R381" s="47"/>
      <c r="S381" s="50"/>
      <c r="T381" s="50"/>
      <c r="U381" s="50"/>
      <c r="V381" s="50"/>
      <c r="W381" s="50"/>
      <c r="X381"/>
      <c r="Y381"/>
      <c r="Z381"/>
      <c r="AA381"/>
      <c r="AB381"/>
      <c r="AC381"/>
      <c r="AD381"/>
      <c r="AE381"/>
      <c r="AF381"/>
      <c r="AG381"/>
      <c r="AH381"/>
      <c r="AI381"/>
    </row>
    <row r="382" spans="1:35" s="48" customFormat="1" x14ac:dyDescent="0.45">
      <c r="A382" s="3"/>
      <c r="H382"/>
      <c r="J382" s="49"/>
      <c r="K382" s="49"/>
      <c r="L382" s="50"/>
      <c r="M382" s="50"/>
      <c r="N382" s="50"/>
      <c r="O382" s="50"/>
      <c r="P382" s="50"/>
      <c r="Q382" s="50"/>
      <c r="R382" s="47"/>
      <c r="S382" s="50"/>
      <c r="T382" s="50"/>
      <c r="U382" s="50"/>
      <c r="V382" s="50"/>
      <c r="W382" s="50"/>
      <c r="X382"/>
      <c r="Y382"/>
      <c r="Z382"/>
      <c r="AA382"/>
      <c r="AB382"/>
      <c r="AC382"/>
      <c r="AD382"/>
      <c r="AE382"/>
      <c r="AF382"/>
      <c r="AG382"/>
      <c r="AH382"/>
      <c r="AI382"/>
    </row>
    <row r="383" spans="1:35" s="48" customFormat="1" x14ac:dyDescent="0.45">
      <c r="A383" s="3"/>
      <c r="H383"/>
      <c r="J383" s="49"/>
      <c r="K383" s="49"/>
      <c r="L383" s="50"/>
      <c r="M383" s="50"/>
      <c r="N383" s="50"/>
      <c r="O383" s="50"/>
      <c r="P383" s="50"/>
      <c r="Q383" s="50"/>
      <c r="R383" s="47"/>
      <c r="S383" s="50"/>
      <c r="T383" s="50"/>
      <c r="U383" s="50"/>
      <c r="V383" s="50"/>
      <c r="W383" s="50"/>
      <c r="X383"/>
      <c r="Y383"/>
      <c r="Z383"/>
      <c r="AA383"/>
      <c r="AB383"/>
      <c r="AC383"/>
      <c r="AD383"/>
      <c r="AE383"/>
      <c r="AF383"/>
      <c r="AG383"/>
      <c r="AH383"/>
      <c r="AI383"/>
    </row>
    <row r="384" spans="1:35" s="48" customFormat="1" x14ac:dyDescent="0.45">
      <c r="A384" s="3"/>
      <c r="H384"/>
      <c r="J384" s="49"/>
      <c r="K384" s="49"/>
      <c r="L384" s="50"/>
      <c r="M384" s="50"/>
      <c r="N384" s="50"/>
      <c r="O384" s="50"/>
      <c r="P384" s="50"/>
      <c r="Q384" s="50"/>
      <c r="R384" s="47"/>
      <c r="S384" s="50"/>
      <c r="T384" s="50"/>
      <c r="U384" s="50"/>
      <c r="V384" s="50"/>
      <c r="W384" s="50"/>
      <c r="X384"/>
      <c r="Y384"/>
      <c r="Z384"/>
      <c r="AA384"/>
      <c r="AB384"/>
      <c r="AC384"/>
      <c r="AD384"/>
      <c r="AE384"/>
      <c r="AF384"/>
      <c r="AG384"/>
      <c r="AH384"/>
      <c r="AI384"/>
    </row>
    <row r="385" spans="1:35" s="48" customFormat="1" x14ac:dyDescent="0.45">
      <c r="A385" s="3"/>
      <c r="H385"/>
      <c r="J385" s="49"/>
      <c r="K385" s="49"/>
      <c r="L385" s="50"/>
      <c r="M385" s="50"/>
      <c r="N385" s="50"/>
      <c r="O385" s="50"/>
      <c r="P385" s="50"/>
      <c r="Q385" s="50"/>
      <c r="R385" s="47"/>
      <c r="S385" s="50"/>
      <c r="T385" s="50"/>
      <c r="U385" s="50"/>
      <c r="V385" s="50"/>
      <c r="W385" s="50"/>
      <c r="X385"/>
      <c r="Y385"/>
      <c r="Z385"/>
      <c r="AA385"/>
      <c r="AB385"/>
      <c r="AC385"/>
      <c r="AD385"/>
      <c r="AE385"/>
      <c r="AF385"/>
      <c r="AG385"/>
      <c r="AH385"/>
      <c r="AI385"/>
    </row>
    <row r="386" spans="1:35" s="48" customFormat="1" x14ac:dyDescent="0.45">
      <c r="A386" s="3"/>
      <c r="H386"/>
      <c r="J386" s="49"/>
      <c r="K386" s="49"/>
      <c r="L386" s="50"/>
      <c r="M386" s="50"/>
      <c r="N386" s="50"/>
      <c r="O386" s="50"/>
      <c r="P386" s="50"/>
      <c r="Q386" s="50"/>
      <c r="R386" s="47"/>
      <c r="S386" s="50"/>
      <c r="T386" s="50"/>
      <c r="U386" s="50"/>
      <c r="V386" s="50"/>
      <c r="W386" s="50"/>
      <c r="X386"/>
      <c r="Y386"/>
      <c r="Z386"/>
      <c r="AA386"/>
      <c r="AB386"/>
      <c r="AC386"/>
      <c r="AD386"/>
      <c r="AE386"/>
      <c r="AF386"/>
      <c r="AG386"/>
      <c r="AH386"/>
      <c r="AI386"/>
    </row>
    <row r="387" spans="1:35" s="48" customFormat="1" x14ac:dyDescent="0.45">
      <c r="A387" s="3"/>
      <c r="H387"/>
      <c r="J387" s="49"/>
      <c r="K387" s="49"/>
      <c r="L387" s="50"/>
      <c r="M387" s="50"/>
      <c r="N387" s="50"/>
      <c r="O387" s="50"/>
      <c r="P387" s="50"/>
      <c r="Q387" s="50"/>
      <c r="R387" s="47"/>
      <c r="S387" s="50"/>
      <c r="T387" s="50"/>
      <c r="U387" s="50"/>
      <c r="V387" s="50"/>
      <c r="W387" s="50"/>
      <c r="X387"/>
      <c r="Y387"/>
      <c r="Z387"/>
      <c r="AA387"/>
      <c r="AB387"/>
      <c r="AC387"/>
      <c r="AD387"/>
      <c r="AE387"/>
      <c r="AF387"/>
      <c r="AG387"/>
      <c r="AH387"/>
      <c r="AI387"/>
    </row>
    <row r="388" spans="1:35" s="48" customFormat="1" x14ac:dyDescent="0.45">
      <c r="A388" s="3"/>
      <c r="H388"/>
      <c r="J388" s="49"/>
      <c r="K388" s="49"/>
      <c r="L388" s="50"/>
      <c r="M388" s="50"/>
      <c r="N388" s="50"/>
      <c r="O388" s="50"/>
      <c r="P388" s="50"/>
      <c r="Q388" s="50"/>
      <c r="R388" s="47"/>
      <c r="S388" s="50"/>
      <c r="T388" s="50"/>
      <c r="U388" s="50"/>
      <c r="V388" s="50"/>
      <c r="W388" s="50"/>
      <c r="X388"/>
      <c r="Y388"/>
      <c r="Z388"/>
      <c r="AA388"/>
      <c r="AB388"/>
      <c r="AC388"/>
      <c r="AD388"/>
      <c r="AE388"/>
      <c r="AF388"/>
      <c r="AG388"/>
      <c r="AH388"/>
      <c r="AI388"/>
    </row>
    <row r="389" spans="1:35" s="48" customFormat="1" x14ac:dyDescent="0.45">
      <c r="A389" s="3"/>
      <c r="H389"/>
      <c r="J389" s="49"/>
      <c r="K389" s="49"/>
      <c r="L389" s="50"/>
      <c r="M389" s="50"/>
      <c r="N389" s="50"/>
      <c r="O389" s="50"/>
      <c r="P389" s="50"/>
      <c r="Q389" s="50"/>
      <c r="R389" s="47"/>
      <c r="S389" s="50"/>
      <c r="T389" s="50"/>
      <c r="U389" s="50"/>
      <c r="V389" s="50"/>
      <c r="W389" s="50"/>
      <c r="X389"/>
      <c r="Y389"/>
      <c r="Z389"/>
      <c r="AA389"/>
      <c r="AB389"/>
      <c r="AC389"/>
      <c r="AD389"/>
      <c r="AE389"/>
      <c r="AF389"/>
      <c r="AG389"/>
      <c r="AH389"/>
      <c r="AI389"/>
    </row>
    <row r="390" spans="1:35" s="48" customFormat="1" x14ac:dyDescent="0.45">
      <c r="A390" s="3"/>
      <c r="H390"/>
      <c r="J390" s="49"/>
      <c r="K390" s="49"/>
      <c r="L390" s="50"/>
      <c r="M390" s="50"/>
      <c r="N390" s="50"/>
      <c r="O390" s="50"/>
      <c r="P390" s="50"/>
      <c r="Q390" s="50"/>
      <c r="R390" s="47"/>
      <c r="S390" s="50"/>
      <c r="T390" s="50"/>
      <c r="U390" s="50"/>
      <c r="V390" s="50"/>
      <c r="W390" s="50"/>
      <c r="X390"/>
      <c r="Y390"/>
      <c r="Z390"/>
      <c r="AA390"/>
      <c r="AB390"/>
      <c r="AC390"/>
      <c r="AD390"/>
      <c r="AE390"/>
      <c r="AF390"/>
      <c r="AG390"/>
      <c r="AH390"/>
      <c r="AI390"/>
    </row>
    <row r="391" spans="1:35" s="48" customFormat="1" x14ac:dyDescent="0.45">
      <c r="A391" s="3"/>
      <c r="H391"/>
      <c r="J391" s="49"/>
      <c r="K391" s="49"/>
      <c r="L391" s="50"/>
      <c r="M391" s="50"/>
      <c r="N391" s="50"/>
      <c r="O391" s="50"/>
      <c r="P391" s="50"/>
      <c r="Q391" s="50"/>
      <c r="R391" s="47"/>
      <c r="S391" s="50"/>
      <c r="T391" s="50"/>
      <c r="U391" s="50"/>
      <c r="V391" s="50"/>
      <c r="W391" s="50"/>
      <c r="X391"/>
      <c r="Y391"/>
      <c r="Z391"/>
      <c r="AA391"/>
      <c r="AB391"/>
      <c r="AC391"/>
      <c r="AD391"/>
      <c r="AE391"/>
      <c r="AF391"/>
      <c r="AG391"/>
      <c r="AH391"/>
      <c r="AI391"/>
    </row>
    <row r="392" spans="1:35" s="48" customFormat="1" x14ac:dyDescent="0.45">
      <c r="A392" s="3"/>
      <c r="H392"/>
      <c r="J392" s="49"/>
      <c r="K392" s="49"/>
      <c r="L392" s="50"/>
      <c r="M392" s="50"/>
      <c r="N392" s="50"/>
      <c r="O392" s="50"/>
      <c r="P392" s="50"/>
      <c r="Q392" s="50"/>
      <c r="R392" s="47"/>
      <c r="S392" s="50"/>
      <c r="T392" s="50"/>
      <c r="U392" s="50"/>
      <c r="V392" s="50"/>
      <c r="W392" s="50"/>
      <c r="X392"/>
      <c r="Y392"/>
      <c r="Z392"/>
      <c r="AA392"/>
      <c r="AB392"/>
      <c r="AC392"/>
      <c r="AD392"/>
      <c r="AE392"/>
      <c r="AF392"/>
      <c r="AG392"/>
      <c r="AH392"/>
      <c r="AI392"/>
    </row>
    <row r="393" spans="1:35" s="48" customFormat="1" x14ac:dyDescent="0.45">
      <c r="A393" s="3"/>
      <c r="H393"/>
      <c r="J393" s="49"/>
      <c r="K393" s="49"/>
      <c r="L393" s="50"/>
      <c r="M393" s="50"/>
      <c r="N393" s="50"/>
      <c r="O393" s="50"/>
      <c r="P393" s="50"/>
      <c r="Q393" s="50"/>
      <c r="R393" s="47"/>
      <c r="S393" s="50"/>
      <c r="T393" s="50"/>
      <c r="U393" s="50"/>
      <c r="V393" s="50"/>
      <c r="W393" s="50"/>
      <c r="X393"/>
      <c r="Y393"/>
      <c r="Z393"/>
      <c r="AA393"/>
      <c r="AB393"/>
      <c r="AC393"/>
      <c r="AD393"/>
      <c r="AE393"/>
      <c r="AF393"/>
      <c r="AG393"/>
      <c r="AH393"/>
      <c r="AI393"/>
    </row>
    <row r="394" spans="1:35" s="48" customFormat="1" x14ac:dyDescent="0.45">
      <c r="A394" s="3"/>
      <c r="H394"/>
      <c r="J394" s="49"/>
      <c r="K394" s="49"/>
      <c r="L394" s="50"/>
      <c r="M394" s="50"/>
      <c r="N394" s="50"/>
      <c r="O394" s="50"/>
      <c r="P394" s="50"/>
      <c r="Q394" s="50"/>
      <c r="R394" s="47"/>
      <c r="S394" s="50"/>
      <c r="T394" s="50"/>
      <c r="U394" s="50"/>
      <c r="V394" s="50"/>
      <c r="W394" s="50"/>
      <c r="X394"/>
      <c r="Y394"/>
      <c r="Z394"/>
      <c r="AA394"/>
      <c r="AB394"/>
      <c r="AC394"/>
      <c r="AD394"/>
      <c r="AE394"/>
      <c r="AF394"/>
      <c r="AG394"/>
      <c r="AH394"/>
      <c r="AI394"/>
    </row>
    <row r="395" spans="1:35" s="48" customFormat="1" x14ac:dyDescent="0.45">
      <c r="A395" s="3"/>
      <c r="H395"/>
      <c r="J395" s="49"/>
      <c r="K395" s="49"/>
      <c r="L395" s="50"/>
      <c r="M395" s="50"/>
      <c r="N395" s="50"/>
      <c r="O395" s="50"/>
      <c r="P395" s="50"/>
      <c r="Q395" s="50"/>
      <c r="R395" s="47"/>
      <c r="S395" s="50"/>
      <c r="T395" s="50"/>
      <c r="U395" s="50"/>
      <c r="V395" s="50"/>
      <c r="W395" s="50"/>
      <c r="X395"/>
      <c r="Y395"/>
      <c r="Z395"/>
      <c r="AA395"/>
      <c r="AB395"/>
      <c r="AC395"/>
      <c r="AD395"/>
      <c r="AE395"/>
      <c r="AF395"/>
      <c r="AG395"/>
      <c r="AH395"/>
      <c r="AI395"/>
    </row>
    <row r="396" spans="1:35" s="48" customFormat="1" x14ac:dyDescent="0.45">
      <c r="A396" s="3"/>
      <c r="H396"/>
      <c r="J396" s="49"/>
      <c r="K396" s="49"/>
      <c r="L396" s="50"/>
      <c r="M396" s="50"/>
      <c r="N396" s="50"/>
      <c r="O396" s="50"/>
      <c r="P396" s="50"/>
      <c r="Q396" s="50"/>
      <c r="R396" s="47"/>
      <c r="S396" s="50"/>
      <c r="T396" s="50"/>
      <c r="U396" s="50"/>
      <c r="V396" s="50"/>
      <c r="W396" s="50"/>
      <c r="X396"/>
      <c r="Y396"/>
      <c r="Z396"/>
      <c r="AA396"/>
      <c r="AB396"/>
      <c r="AC396"/>
      <c r="AD396"/>
      <c r="AE396"/>
      <c r="AF396"/>
      <c r="AG396"/>
      <c r="AH396"/>
      <c r="AI396"/>
    </row>
    <row r="397" spans="1:35" s="48" customFormat="1" x14ac:dyDescent="0.45">
      <c r="A397" s="3"/>
      <c r="H397"/>
      <c r="J397" s="49"/>
      <c r="K397" s="49"/>
      <c r="L397" s="50"/>
      <c r="M397" s="50"/>
      <c r="N397" s="50"/>
      <c r="O397" s="50"/>
      <c r="P397" s="50"/>
      <c r="Q397" s="50"/>
      <c r="R397" s="47"/>
      <c r="S397" s="50"/>
      <c r="T397" s="50"/>
      <c r="U397" s="50"/>
      <c r="V397" s="50"/>
      <c r="W397" s="50"/>
      <c r="X397"/>
      <c r="Y397"/>
      <c r="Z397"/>
      <c r="AA397"/>
      <c r="AB397"/>
      <c r="AC397"/>
      <c r="AD397"/>
      <c r="AE397"/>
      <c r="AF397"/>
      <c r="AG397"/>
      <c r="AH397"/>
      <c r="AI397"/>
    </row>
    <row r="398" spans="1:35" s="48" customFormat="1" x14ac:dyDescent="0.45">
      <c r="A398" s="3"/>
      <c r="H398"/>
      <c r="J398" s="49"/>
      <c r="K398" s="49"/>
      <c r="L398" s="50"/>
      <c r="M398" s="50"/>
      <c r="N398" s="50"/>
      <c r="O398" s="50"/>
      <c r="P398" s="50"/>
      <c r="Q398" s="50"/>
      <c r="R398" s="47"/>
      <c r="S398" s="50"/>
      <c r="T398" s="50"/>
      <c r="U398" s="50"/>
      <c r="V398" s="50"/>
      <c r="W398" s="50"/>
      <c r="X398"/>
      <c r="Y398"/>
      <c r="Z398"/>
      <c r="AA398"/>
      <c r="AB398"/>
      <c r="AC398"/>
      <c r="AD398"/>
      <c r="AE398"/>
      <c r="AF398"/>
      <c r="AG398"/>
      <c r="AH398"/>
      <c r="AI398"/>
    </row>
    <row r="399" spans="1:35" s="48" customFormat="1" x14ac:dyDescent="0.45">
      <c r="A399" s="3"/>
      <c r="H399"/>
      <c r="J399" s="49"/>
      <c r="K399" s="49"/>
      <c r="L399" s="50"/>
      <c r="M399" s="50"/>
      <c r="N399" s="50"/>
      <c r="O399" s="50"/>
      <c r="P399" s="50"/>
      <c r="Q399" s="50"/>
      <c r="R399" s="47"/>
      <c r="S399" s="50"/>
      <c r="T399" s="50"/>
      <c r="U399" s="50"/>
      <c r="V399" s="50"/>
      <c r="W399" s="50"/>
      <c r="X399"/>
      <c r="Y399"/>
      <c r="Z399"/>
      <c r="AA399"/>
      <c r="AB399"/>
      <c r="AC399"/>
      <c r="AD399"/>
      <c r="AE399"/>
      <c r="AF399"/>
      <c r="AG399"/>
      <c r="AH399"/>
      <c r="AI399"/>
    </row>
    <row r="400" spans="1:35" s="48" customFormat="1" x14ac:dyDescent="0.45">
      <c r="A400" s="3"/>
      <c r="H400"/>
      <c r="J400" s="49"/>
      <c r="K400" s="49"/>
      <c r="L400" s="50"/>
      <c r="M400" s="50"/>
      <c r="N400" s="50"/>
      <c r="O400" s="50"/>
      <c r="P400" s="50"/>
      <c r="Q400" s="50"/>
      <c r="R400" s="47"/>
      <c r="S400" s="50"/>
      <c r="T400" s="50"/>
      <c r="U400" s="50"/>
      <c r="V400" s="50"/>
      <c r="W400" s="50"/>
      <c r="X400"/>
      <c r="Y400"/>
      <c r="Z400"/>
      <c r="AA400"/>
      <c r="AB400"/>
      <c r="AC400"/>
      <c r="AD400"/>
      <c r="AE400"/>
      <c r="AF400"/>
      <c r="AG400"/>
      <c r="AH400"/>
      <c r="AI400"/>
    </row>
    <row r="401" spans="1:35" s="48" customFormat="1" x14ac:dyDescent="0.45">
      <c r="A401" s="3"/>
      <c r="H401"/>
      <c r="J401" s="49"/>
      <c r="K401" s="49"/>
      <c r="L401" s="50"/>
      <c r="M401" s="50"/>
      <c r="N401" s="50"/>
      <c r="O401" s="50"/>
      <c r="P401" s="50"/>
      <c r="Q401" s="50"/>
      <c r="R401" s="47"/>
      <c r="S401" s="50"/>
      <c r="T401" s="50"/>
      <c r="U401" s="50"/>
      <c r="V401" s="50"/>
      <c r="W401" s="50"/>
      <c r="X401"/>
      <c r="Y401"/>
      <c r="Z401"/>
      <c r="AA401"/>
      <c r="AB401"/>
      <c r="AC401"/>
      <c r="AD401"/>
      <c r="AE401"/>
      <c r="AF401"/>
      <c r="AG401"/>
      <c r="AH401"/>
      <c r="AI401"/>
    </row>
    <row r="402" spans="1:35" s="48" customFormat="1" x14ac:dyDescent="0.45">
      <c r="A402" s="3"/>
      <c r="H402"/>
      <c r="J402" s="49"/>
      <c r="K402" s="49"/>
      <c r="L402" s="50"/>
      <c r="M402" s="50"/>
      <c r="N402" s="50"/>
      <c r="O402" s="50"/>
      <c r="P402" s="50"/>
      <c r="Q402" s="50"/>
      <c r="R402" s="47"/>
      <c r="S402" s="50"/>
      <c r="T402" s="50"/>
      <c r="U402" s="50"/>
      <c r="V402" s="50"/>
      <c r="W402" s="50"/>
      <c r="X402"/>
      <c r="Y402"/>
      <c r="Z402"/>
      <c r="AA402"/>
      <c r="AB402"/>
      <c r="AC402"/>
      <c r="AD402"/>
      <c r="AE402"/>
      <c r="AF402"/>
      <c r="AG402"/>
      <c r="AH402"/>
      <c r="AI402"/>
    </row>
    <row r="403" spans="1:35" s="48" customFormat="1" x14ac:dyDescent="0.45">
      <c r="A403" s="3"/>
      <c r="H403"/>
      <c r="J403" s="49"/>
      <c r="K403" s="49"/>
      <c r="L403" s="50"/>
      <c r="M403" s="50"/>
      <c r="N403" s="50"/>
      <c r="O403" s="50"/>
      <c r="P403" s="50"/>
      <c r="Q403" s="50"/>
      <c r="R403" s="47"/>
      <c r="S403" s="50"/>
      <c r="T403" s="50"/>
      <c r="U403" s="50"/>
      <c r="V403" s="50"/>
      <c r="W403" s="50"/>
      <c r="X403"/>
      <c r="Y403"/>
      <c r="Z403"/>
      <c r="AA403"/>
      <c r="AB403"/>
      <c r="AC403"/>
      <c r="AD403"/>
      <c r="AE403"/>
      <c r="AF403"/>
      <c r="AG403"/>
      <c r="AH403"/>
      <c r="AI403"/>
    </row>
    <row r="404" spans="1:35" s="48" customFormat="1" x14ac:dyDescent="0.45">
      <c r="A404" s="3"/>
      <c r="H404"/>
      <c r="J404" s="49"/>
      <c r="K404" s="49"/>
      <c r="L404" s="50"/>
      <c r="M404" s="50"/>
      <c r="N404" s="50"/>
      <c r="O404" s="50"/>
      <c r="P404" s="50"/>
      <c r="Q404" s="50"/>
      <c r="R404" s="47"/>
      <c r="S404" s="50"/>
      <c r="T404" s="50"/>
      <c r="U404" s="50"/>
      <c r="V404" s="50"/>
      <c r="W404" s="50"/>
      <c r="X404"/>
      <c r="Y404"/>
      <c r="Z404"/>
      <c r="AA404"/>
      <c r="AB404"/>
      <c r="AC404"/>
      <c r="AD404"/>
      <c r="AE404"/>
      <c r="AF404"/>
      <c r="AG404"/>
      <c r="AH404"/>
      <c r="AI404"/>
    </row>
    <row r="405" spans="1:35" s="48" customFormat="1" x14ac:dyDescent="0.45">
      <c r="A405" s="3"/>
      <c r="H405"/>
      <c r="J405" s="49"/>
      <c r="K405" s="49"/>
      <c r="L405" s="50"/>
      <c r="M405" s="50"/>
      <c r="N405" s="50"/>
      <c r="O405" s="50"/>
      <c r="P405" s="50"/>
      <c r="Q405" s="50"/>
      <c r="R405" s="47"/>
      <c r="S405" s="50"/>
      <c r="T405" s="50"/>
      <c r="U405" s="50"/>
      <c r="V405" s="50"/>
      <c r="W405" s="50"/>
      <c r="X405"/>
      <c r="Y405"/>
      <c r="Z405"/>
      <c r="AA405"/>
      <c r="AB405"/>
      <c r="AC405"/>
      <c r="AD405"/>
      <c r="AE405"/>
      <c r="AF405"/>
      <c r="AG405"/>
      <c r="AH405"/>
      <c r="AI405"/>
    </row>
    <row r="406" spans="1:35" s="48" customFormat="1" x14ac:dyDescent="0.45">
      <c r="A406" s="3"/>
      <c r="H406"/>
      <c r="J406" s="49"/>
      <c r="K406" s="49"/>
      <c r="L406" s="50"/>
      <c r="M406" s="50"/>
      <c r="N406" s="50"/>
      <c r="O406" s="50"/>
      <c r="P406" s="50"/>
      <c r="Q406" s="50"/>
      <c r="R406" s="47"/>
      <c r="S406" s="50"/>
      <c r="T406" s="50"/>
      <c r="U406" s="50"/>
      <c r="V406" s="50"/>
      <c r="W406" s="50"/>
      <c r="X406"/>
      <c r="Y406"/>
      <c r="Z406"/>
      <c r="AA406"/>
      <c r="AB406"/>
      <c r="AC406"/>
      <c r="AD406"/>
      <c r="AE406"/>
      <c r="AF406"/>
      <c r="AG406"/>
      <c r="AH406"/>
      <c r="AI406"/>
    </row>
    <row r="407" spans="1:35" s="48" customFormat="1" x14ac:dyDescent="0.45">
      <c r="A407" s="3"/>
      <c r="H407"/>
      <c r="J407" s="49"/>
      <c r="K407" s="49"/>
      <c r="L407" s="50"/>
      <c r="M407" s="50"/>
      <c r="N407" s="50"/>
      <c r="O407" s="50"/>
      <c r="P407" s="50"/>
      <c r="Q407" s="50"/>
      <c r="R407" s="47"/>
      <c r="S407" s="50"/>
      <c r="T407" s="50"/>
      <c r="U407" s="50"/>
      <c r="V407" s="50"/>
      <c r="W407" s="50"/>
      <c r="X407"/>
      <c r="Y407"/>
      <c r="Z407"/>
      <c r="AA407"/>
      <c r="AB407"/>
      <c r="AC407"/>
      <c r="AD407"/>
      <c r="AE407"/>
      <c r="AF407"/>
      <c r="AG407"/>
      <c r="AH407"/>
      <c r="AI407"/>
    </row>
    <row r="408" spans="1:35" s="48" customFormat="1" x14ac:dyDescent="0.45">
      <c r="A408" s="3"/>
      <c r="H408"/>
      <c r="J408" s="49"/>
      <c r="K408" s="49"/>
      <c r="L408" s="50"/>
      <c r="M408" s="50"/>
      <c r="N408" s="50"/>
      <c r="O408" s="50"/>
      <c r="P408" s="50"/>
      <c r="Q408" s="50"/>
      <c r="R408" s="47"/>
      <c r="S408" s="50"/>
      <c r="T408" s="50"/>
      <c r="U408" s="50"/>
      <c r="V408" s="50"/>
      <c r="W408" s="50"/>
      <c r="X408"/>
      <c r="Y408"/>
      <c r="Z408"/>
      <c r="AA408"/>
      <c r="AB408"/>
      <c r="AC408"/>
      <c r="AD408"/>
      <c r="AE408"/>
      <c r="AF408"/>
      <c r="AG408"/>
      <c r="AH408"/>
      <c r="AI408"/>
    </row>
    <row r="409" spans="1:35" s="48" customFormat="1" x14ac:dyDescent="0.45">
      <c r="A409" s="3"/>
      <c r="H409"/>
      <c r="J409" s="49"/>
      <c r="K409" s="49"/>
      <c r="L409" s="50"/>
      <c r="M409" s="50"/>
      <c r="N409" s="50"/>
      <c r="O409" s="50"/>
      <c r="P409" s="50"/>
      <c r="Q409" s="50"/>
      <c r="R409" s="47"/>
      <c r="S409" s="50"/>
      <c r="T409" s="50"/>
      <c r="U409" s="50"/>
      <c r="V409" s="50"/>
      <c r="W409" s="50"/>
      <c r="X409"/>
      <c r="Y409"/>
      <c r="Z409"/>
      <c r="AA409"/>
      <c r="AB409"/>
      <c r="AC409"/>
      <c r="AD409"/>
      <c r="AE409"/>
      <c r="AF409"/>
      <c r="AG409"/>
      <c r="AH409"/>
      <c r="AI409"/>
    </row>
    <row r="410" spans="1:35" s="48" customFormat="1" x14ac:dyDescent="0.45">
      <c r="A410" s="3"/>
      <c r="H410"/>
      <c r="J410" s="49"/>
      <c r="K410" s="49"/>
      <c r="L410" s="50"/>
      <c r="M410" s="50"/>
      <c r="N410" s="50"/>
      <c r="O410" s="50"/>
      <c r="P410" s="50"/>
      <c r="Q410" s="50"/>
      <c r="R410" s="47"/>
      <c r="S410" s="50"/>
      <c r="T410" s="50"/>
      <c r="U410" s="50"/>
      <c r="V410" s="50"/>
      <c r="W410" s="50"/>
      <c r="X410"/>
      <c r="Y410"/>
      <c r="Z410"/>
      <c r="AA410"/>
      <c r="AB410"/>
      <c r="AC410"/>
      <c r="AD410"/>
      <c r="AE410"/>
      <c r="AF410"/>
      <c r="AG410"/>
      <c r="AH410"/>
      <c r="AI410"/>
    </row>
    <row r="411" spans="1:35" s="48" customFormat="1" x14ac:dyDescent="0.45">
      <c r="A411" s="3"/>
      <c r="H411"/>
      <c r="J411" s="49"/>
      <c r="K411" s="49"/>
      <c r="L411" s="50"/>
      <c r="M411" s="50"/>
      <c r="N411" s="50"/>
      <c r="O411" s="50"/>
      <c r="P411" s="50"/>
      <c r="Q411" s="50"/>
      <c r="R411" s="47"/>
      <c r="S411" s="50"/>
      <c r="T411" s="50"/>
      <c r="U411" s="50"/>
      <c r="V411" s="50"/>
      <c r="W411" s="50"/>
      <c r="X411"/>
      <c r="Y411"/>
      <c r="Z411"/>
      <c r="AA411"/>
      <c r="AB411"/>
      <c r="AC411"/>
      <c r="AD411"/>
      <c r="AE411"/>
      <c r="AF411"/>
      <c r="AG411"/>
      <c r="AH411"/>
      <c r="AI411"/>
    </row>
    <row r="412" spans="1:35" s="48" customFormat="1" x14ac:dyDescent="0.45">
      <c r="A412" s="3"/>
      <c r="H412"/>
      <c r="J412" s="49"/>
      <c r="K412" s="49"/>
      <c r="L412" s="50"/>
      <c r="M412" s="50"/>
      <c r="N412" s="50"/>
      <c r="O412" s="50"/>
      <c r="P412" s="50"/>
      <c r="Q412" s="50"/>
      <c r="R412" s="47"/>
      <c r="S412" s="50"/>
      <c r="T412" s="50"/>
      <c r="U412" s="50"/>
      <c r="V412" s="50"/>
      <c r="W412" s="50"/>
      <c r="X412"/>
      <c r="Y412"/>
      <c r="Z412"/>
      <c r="AA412"/>
      <c r="AB412"/>
      <c r="AC412"/>
      <c r="AD412"/>
      <c r="AE412"/>
      <c r="AF412"/>
      <c r="AG412"/>
      <c r="AH412"/>
      <c r="AI412"/>
    </row>
    <row r="413" spans="1:35" s="48" customFormat="1" x14ac:dyDescent="0.45">
      <c r="A413" s="3"/>
      <c r="H413"/>
      <c r="J413" s="49"/>
      <c r="K413" s="49"/>
      <c r="L413" s="50"/>
      <c r="M413" s="50"/>
      <c r="N413" s="50"/>
      <c r="O413" s="50"/>
      <c r="P413" s="50"/>
      <c r="Q413" s="50"/>
      <c r="R413" s="47"/>
      <c r="S413" s="50"/>
      <c r="T413" s="50"/>
      <c r="U413" s="50"/>
      <c r="V413" s="50"/>
      <c r="W413" s="50"/>
      <c r="X413"/>
      <c r="Y413"/>
      <c r="Z413"/>
      <c r="AA413"/>
      <c r="AB413"/>
      <c r="AC413"/>
      <c r="AD413"/>
      <c r="AE413"/>
      <c r="AF413"/>
      <c r="AG413"/>
      <c r="AH413"/>
      <c r="AI413"/>
    </row>
    <row r="414" spans="1:35" s="48" customFormat="1" x14ac:dyDescent="0.45">
      <c r="A414" s="3"/>
      <c r="H414"/>
      <c r="J414" s="49"/>
      <c r="K414" s="49"/>
      <c r="L414" s="50"/>
      <c r="M414" s="50"/>
      <c r="N414" s="50"/>
      <c r="O414" s="50"/>
      <c r="P414" s="50"/>
      <c r="Q414" s="50"/>
      <c r="R414" s="47"/>
      <c r="S414" s="50"/>
      <c r="T414" s="50"/>
      <c r="U414" s="50"/>
      <c r="V414" s="50"/>
      <c r="W414" s="50"/>
      <c r="X414"/>
      <c r="Y414"/>
      <c r="Z414"/>
      <c r="AA414"/>
      <c r="AB414"/>
      <c r="AC414"/>
      <c r="AD414"/>
      <c r="AE414"/>
      <c r="AF414"/>
      <c r="AG414"/>
      <c r="AH414"/>
      <c r="AI414"/>
    </row>
    <row r="415" spans="1:35" s="48" customFormat="1" x14ac:dyDescent="0.45">
      <c r="A415" s="3"/>
      <c r="H415"/>
      <c r="J415" s="49"/>
      <c r="K415" s="49"/>
      <c r="L415" s="50"/>
      <c r="M415" s="50"/>
      <c r="N415" s="50"/>
      <c r="O415" s="50"/>
      <c r="P415" s="50"/>
      <c r="Q415" s="50"/>
      <c r="R415" s="47"/>
      <c r="S415" s="50"/>
      <c r="T415" s="50"/>
      <c r="U415" s="50"/>
      <c r="V415" s="50"/>
      <c r="W415" s="50"/>
      <c r="X415"/>
      <c r="Y415"/>
      <c r="Z415"/>
      <c r="AA415"/>
      <c r="AB415"/>
      <c r="AC415"/>
      <c r="AD415"/>
      <c r="AE415"/>
      <c r="AF415"/>
      <c r="AG415"/>
      <c r="AH415"/>
      <c r="AI415"/>
    </row>
    <row r="416" spans="1:35" s="48" customFormat="1" x14ac:dyDescent="0.45">
      <c r="A416" s="3"/>
      <c r="H416"/>
      <c r="J416" s="49"/>
      <c r="K416" s="49"/>
      <c r="L416" s="50"/>
      <c r="M416" s="50"/>
      <c r="N416" s="50"/>
      <c r="O416" s="50"/>
      <c r="P416" s="50"/>
      <c r="Q416" s="50"/>
      <c r="R416" s="47"/>
      <c r="S416" s="50"/>
      <c r="T416" s="50"/>
      <c r="U416" s="50"/>
      <c r="V416" s="50"/>
      <c r="W416" s="50"/>
      <c r="X416"/>
      <c r="Y416"/>
      <c r="Z416"/>
      <c r="AA416"/>
      <c r="AB416"/>
      <c r="AC416"/>
      <c r="AD416"/>
      <c r="AE416"/>
      <c r="AF416"/>
      <c r="AG416"/>
      <c r="AH416"/>
      <c r="AI416"/>
    </row>
    <row r="417" spans="1:35" s="48" customFormat="1" x14ac:dyDescent="0.45">
      <c r="A417" s="3"/>
      <c r="H417"/>
      <c r="J417" s="49"/>
      <c r="K417" s="49"/>
      <c r="L417" s="50"/>
      <c r="M417" s="50"/>
      <c r="N417" s="50"/>
      <c r="O417" s="50"/>
      <c r="P417" s="50"/>
      <c r="Q417" s="50"/>
      <c r="R417" s="47"/>
      <c r="S417" s="50"/>
      <c r="T417" s="50"/>
      <c r="U417" s="50"/>
      <c r="V417" s="50"/>
      <c r="W417" s="50"/>
      <c r="X417"/>
      <c r="Y417"/>
      <c r="Z417"/>
      <c r="AA417"/>
      <c r="AB417"/>
      <c r="AC417"/>
      <c r="AD417"/>
      <c r="AE417"/>
      <c r="AF417"/>
      <c r="AG417"/>
      <c r="AH417"/>
      <c r="AI417"/>
    </row>
    <row r="418" spans="1:35" s="48" customFormat="1" x14ac:dyDescent="0.45">
      <c r="A418" s="3"/>
      <c r="H418"/>
      <c r="J418" s="49"/>
      <c r="K418" s="49"/>
      <c r="L418" s="50"/>
      <c r="M418" s="50"/>
      <c r="N418" s="50"/>
      <c r="O418" s="50"/>
      <c r="P418" s="50"/>
      <c r="Q418" s="50"/>
      <c r="R418" s="47"/>
      <c r="S418" s="50"/>
      <c r="T418" s="50"/>
      <c r="U418" s="50"/>
      <c r="V418" s="50"/>
      <c r="W418" s="50"/>
      <c r="X418"/>
      <c r="Y418"/>
      <c r="Z418"/>
      <c r="AA418"/>
      <c r="AB418"/>
      <c r="AC418"/>
      <c r="AD418"/>
      <c r="AE418"/>
      <c r="AF418"/>
      <c r="AG418"/>
      <c r="AH418"/>
      <c r="AI418"/>
    </row>
    <row r="419" spans="1:35" s="48" customFormat="1" x14ac:dyDescent="0.45">
      <c r="A419" s="3"/>
      <c r="H419"/>
      <c r="J419" s="49"/>
      <c r="K419" s="49"/>
      <c r="L419" s="50"/>
      <c r="M419" s="50"/>
      <c r="N419" s="50"/>
      <c r="O419" s="50"/>
      <c r="P419" s="50"/>
      <c r="Q419" s="50"/>
      <c r="R419" s="47"/>
      <c r="S419" s="50"/>
      <c r="T419" s="50"/>
      <c r="U419" s="50"/>
      <c r="V419" s="50"/>
      <c r="W419" s="50"/>
      <c r="X419"/>
      <c r="Y419"/>
      <c r="Z419"/>
      <c r="AA419"/>
      <c r="AB419"/>
      <c r="AC419"/>
      <c r="AD419"/>
      <c r="AE419"/>
      <c r="AF419"/>
      <c r="AG419"/>
      <c r="AH419"/>
      <c r="AI419"/>
    </row>
    <row r="420" spans="1:35" s="48" customFormat="1" x14ac:dyDescent="0.45">
      <c r="A420" s="3"/>
      <c r="H420"/>
      <c r="J420" s="49"/>
      <c r="K420" s="49"/>
      <c r="L420" s="50"/>
      <c r="M420" s="50"/>
      <c r="N420" s="50"/>
      <c r="O420" s="50"/>
      <c r="P420" s="50"/>
      <c r="Q420" s="50"/>
      <c r="R420" s="47"/>
      <c r="S420" s="50"/>
      <c r="T420" s="50"/>
      <c r="U420" s="50"/>
      <c r="V420" s="50"/>
      <c r="W420" s="50"/>
      <c r="X420"/>
      <c r="Y420"/>
      <c r="Z420"/>
      <c r="AA420"/>
      <c r="AB420"/>
      <c r="AC420"/>
      <c r="AD420"/>
      <c r="AE420"/>
      <c r="AF420"/>
      <c r="AG420"/>
      <c r="AH420"/>
      <c r="AI420"/>
    </row>
    <row r="421" spans="1:35" s="48" customFormat="1" x14ac:dyDescent="0.45">
      <c r="A421" s="3"/>
      <c r="H421"/>
      <c r="J421" s="49"/>
      <c r="K421" s="49"/>
      <c r="L421" s="50"/>
      <c r="M421" s="50"/>
      <c r="N421" s="50"/>
      <c r="O421" s="50"/>
      <c r="P421" s="50"/>
      <c r="Q421" s="50"/>
      <c r="R421" s="47"/>
      <c r="S421" s="50"/>
      <c r="T421" s="50"/>
      <c r="U421" s="50"/>
      <c r="V421" s="50"/>
      <c r="W421" s="50"/>
      <c r="X421"/>
      <c r="Y421"/>
      <c r="Z421"/>
      <c r="AA421"/>
      <c r="AB421"/>
      <c r="AC421"/>
      <c r="AD421"/>
      <c r="AE421"/>
      <c r="AF421"/>
      <c r="AG421"/>
      <c r="AH421"/>
      <c r="AI421"/>
    </row>
    <row r="422" spans="1:35" s="48" customFormat="1" x14ac:dyDescent="0.45">
      <c r="A422" s="3"/>
      <c r="H422"/>
      <c r="J422" s="49"/>
      <c r="K422" s="49"/>
      <c r="L422" s="50"/>
      <c r="M422" s="50"/>
      <c r="N422" s="50"/>
      <c r="O422" s="50"/>
      <c r="P422" s="50"/>
      <c r="Q422" s="50"/>
      <c r="R422" s="47"/>
      <c r="S422" s="50"/>
      <c r="T422" s="50"/>
      <c r="U422" s="50"/>
      <c r="V422" s="50"/>
      <c r="W422" s="50"/>
      <c r="X422"/>
      <c r="Y422"/>
      <c r="Z422"/>
      <c r="AA422"/>
      <c r="AB422"/>
      <c r="AC422"/>
      <c r="AD422"/>
      <c r="AE422"/>
      <c r="AF422"/>
      <c r="AG422"/>
      <c r="AH422"/>
      <c r="AI422"/>
    </row>
    <row r="423" spans="1:35" s="48" customFormat="1" x14ac:dyDescent="0.45">
      <c r="A423" s="3"/>
      <c r="H423"/>
      <c r="J423" s="49"/>
      <c r="K423" s="49"/>
      <c r="L423" s="50"/>
      <c r="M423" s="50"/>
      <c r="N423" s="50"/>
      <c r="O423" s="50"/>
      <c r="P423" s="50"/>
      <c r="Q423" s="50"/>
      <c r="R423" s="47"/>
      <c r="S423" s="50"/>
      <c r="T423" s="50"/>
      <c r="U423" s="50"/>
      <c r="V423" s="50"/>
      <c r="W423" s="50"/>
      <c r="X423"/>
      <c r="Y423"/>
      <c r="Z423"/>
      <c r="AA423"/>
      <c r="AB423"/>
      <c r="AC423"/>
      <c r="AD423"/>
      <c r="AE423"/>
      <c r="AF423"/>
      <c r="AG423"/>
      <c r="AH423"/>
      <c r="AI423"/>
    </row>
    <row r="424" spans="1:35" s="48" customFormat="1" x14ac:dyDescent="0.45">
      <c r="A424" s="3"/>
      <c r="H424"/>
      <c r="J424" s="49"/>
      <c r="K424" s="49"/>
      <c r="L424" s="50"/>
      <c r="M424" s="50"/>
      <c r="N424" s="50"/>
      <c r="O424" s="50"/>
      <c r="P424" s="50"/>
      <c r="Q424" s="50"/>
      <c r="R424" s="47"/>
      <c r="S424" s="50"/>
      <c r="T424" s="50"/>
      <c r="U424" s="50"/>
      <c r="V424" s="50"/>
      <c r="W424" s="50"/>
      <c r="X424"/>
      <c r="Y424"/>
      <c r="Z424"/>
      <c r="AA424"/>
      <c r="AB424"/>
      <c r="AC424"/>
      <c r="AD424"/>
      <c r="AE424"/>
      <c r="AF424"/>
      <c r="AG424"/>
      <c r="AH424"/>
      <c r="AI424"/>
    </row>
    <row r="425" spans="1:35" s="48" customFormat="1" x14ac:dyDescent="0.45">
      <c r="A425" s="3"/>
      <c r="H425"/>
      <c r="J425" s="49"/>
      <c r="K425" s="49"/>
      <c r="L425" s="50"/>
      <c r="M425" s="50"/>
      <c r="N425" s="50"/>
      <c r="O425" s="50"/>
      <c r="P425" s="50"/>
      <c r="Q425" s="50"/>
      <c r="R425" s="47"/>
      <c r="S425" s="50"/>
      <c r="T425" s="50"/>
      <c r="U425" s="50"/>
      <c r="V425" s="50"/>
      <c r="W425" s="50"/>
      <c r="X425"/>
      <c r="Y425"/>
      <c r="Z425"/>
      <c r="AA425"/>
      <c r="AB425"/>
      <c r="AC425"/>
      <c r="AD425"/>
      <c r="AE425"/>
      <c r="AF425"/>
      <c r="AG425"/>
      <c r="AH425"/>
      <c r="AI425"/>
    </row>
    <row r="426" spans="1:35" s="48" customFormat="1" x14ac:dyDescent="0.45">
      <c r="A426" s="3"/>
      <c r="H426"/>
      <c r="J426" s="49"/>
      <c r="K426" s="49"/>
      <c r="L426" s="50"/>
      <c r="M426" s="50"/>
      <c r="N426" s="50"/>
      <c r="O426" s="50"/>
      <c r="P426" s="50"/>
      <c r="Q426" s="50"/>
      <c r="R426" s="47"/>
      <c r="S426" s="50"/>
      <c r="T426" s="50"/>
      <c r="U426" s="50"/>
      <c r="V426" s="50"/>
      <c r="W426" s="50"/>
      <c r="X426"/>
      <c r="Y426"/>
      <c r="Z426"/>
      <c r="AA426"/>
      <c r="AB426"/>
      <c r="AC426"/>
      <c r="AD426"/>
      <c r="AE426"/>
      <c r="AF426"/>
      <c r="AG426"/>
      <c r="AH426"/>
      <c r="AI426"/>
    </row>
    <row r="427" spans="1:35" s="48" customFormat="1" x14ac:dyDescent="0.45">
      <c r="A427" s="3"/>
      <c r="H427"/>
      <c r="J427" s="49"/>
      <c r="K427" s="49"/>
      <c r="L427" s="50"/>
      <c r="M427" s="50"/>
      <c r="N427" s="50"/>
      <c r="O427" s="50"/>
      <c r="P427" s="50"/>
      <c r="Q427" s="50"/>
      <c r="R427" s="47"/>
      <c r="S427" s="50"/>
      <c r="T427" s="50"/>
      <c r="U427" s="50"/>
      <c r="V427" s="50"/>
      <c r="W427" s="50"/>
      <c r="X427"/>
      <c r="Y427"/>
      <c r="Z427"/>
      <c r="AA427"/>
      <c r="AB427"/>
      <c r="AC427"/>
      <c r="AD427"/>
      <c r="AE427"/>
      <c r="AF427"/>
      <c r="AG427"/>
      <c r="AH427"/>
      <c r="AI427"/>
    </row>
    <row r="428" spans="1:35" s="48" customFormat="1" x14ac:dyDescent="0.45">
      <c r="A428" s="3"/>
      <c r="H428"/>
      <c r="J428" s="49"/>
      <c r="K428" s="49"/>
      <c r="L428" s="50"/>
      <c r="M428" s="50"/>
      <c r="N428" s="50"/>
      <c r="O428" s="50"/>
      <c r="P428" s="50"/>
      <c r="Q428" s="50"/>
      <c r="R428" s="47"/>
      <c r="S428" s="50"/>
      <c r="T428" s="50"/>
      <c r="U428" s="50"/>
      <c r="V428" s="50"/>
      <c r="W428" s="50"/>
      <c r="X428"/>
      <c r="Y428"/>
      <c r="Z428"/>
      <c r="AA428"/>
      <c r="AB428"/>
      <c r="AC428"/>
      <c r="AD428"/>
      <c r="AE428"/>
      <c r="AF428"/>
      <c r="AG428"/>
      <c r="AH428"/>
      <c r="AI428"/>
    </row>
    <row r="429" spans="1:35" s="48" customFormat="1" x14ac:dyDescent="0.45">
      <c r="A429" s="3"/>
      <c r="H429"/>
      <c r="J429" s="49"/>
      <c r="K429" s="49"/>
      <c r="L429" s="50"/>
      <c r="M429" s="50"/>
      <c r="N429" s="50"/>
      <c r="O429" s="50"/>
      <c r="P429" s="50"/>
      <c r="Q429" s="50"/>
      <c r="R429" s="47"/>
      <c r="S429" s="50"/>
      <c r="T429" s="50"/>
      <c r="U429" s="50"/>
      <c r="V429" s="50"/>
      <c r="W429" s="50"/>
      <c r="X429"/>
      <c r="Y429"/>
      <c r="Z429"/>
      <c r="AA429"/>
      <c r="AB429"/>
      <c r="AC429"/>
      <c r="AD429"/>
      <c r="AE429"/>
      <c r="AF429"/>
      <c r="AG429"/>
      <c r="AH429"/>
      <c r="AI429"/>
    </row>
    <row r="430" spans="1:35" s="48" customFormat="1" x14ac:dyDescent="0.45">
      <c r="A430" s="3"/>
      <c r="H430"/>
      <c r="J430" s="49"/>
      <c r="K430" s="49"/>
      <c r="L430" s="50"/>
      <c r="M430" s="50"/>
      <c r="N430" s="50"/>
      <c r="O430" s="50"/>
      <c r="P430" s="50"/>
      <c r="Q430" s="50"/>
      <c r="R430" s="47"/>
      <c r="S430" s="50"/>
      <c r="T430" s="50"/>
      <c r="U430" s="50"/>
      <c r="V430" s="50"/>
      <c r="W430" s="50"/>
      <c r="X430"/>
      <c r="Y430"/>
      <c r="Z430"/>
      <c r="AA430"/>
      <c r="AB430"/>
      <c r="AC430"/>
      <c r="AD430"/>
      <c r="AE430"/>
      <c r="AF430"/>
      <c r="AG430"/>
      <c r="AH430"/>
      <c r="AI430"/>
    </row>
    <row r="431" spans="1:35" s="48" customFormat="1" x14ac:dyDescent="0.45">
      <c r="A431" s="3"/>
      <c r="H431"/>
      <c r="J431" s="49"/>
      <c r="K431" s="49"/>
      <c r="L431" s="50"/>
      <c r="M431" s="50"/>
      <c r="N431" s="50"/>
      <c r="O431" s="50"/>
      <c r="P431" s="50"/>
      <c r="Q431" s="50"/>
      <c r="R431" s="47"/>
      <c r="S431" s="50"/>
      <c r="T431" s="50"/>
      <c r="U431" s="50"/>
      <c r="V431" s="50"/>
      <c r="W431" s="50"/>
      <c r="X431"/>
      <c r="Y431"/>
      <c r="Z431"/>
      <c r="AA431"/>
      <c r="AB431"/>
      <c r="AC431"/>
      <c r="AD431"/>
      <c r="AE431"/>
      <c r="AF431"/>
      <c r="AG431"/>
      <c r="AH431"/>
      <c r="AI431"/>
    </row>
    <row r="432" spans="1:35" s="48" customFormat="1" x14ac:dyDescent="0.45">
      <c r="A432" s="3"/>
      <c r="H432"/>
      <c r="J432" s="49"/>
      <c r="K432" s="49"/>
      <c r="L432" s="50"/>
      <c r="M432" s="50"/>
      <c r="N432" s="50"/>
      <c r="O432" s="50"/>
      <c r="P432" s="50"/>
      <c r="Q432" s="50"/>
      <c r="R432" s="47"/>
      <c r="S432" s="50"/>
      <c r="T432" s="50"/>
      <c r="U432" s="50"/>
      <c r="V432" s="50"/>
      <c r="W432" s="50"/>
      <c r="X432"/>
      <c r="Y432"/>
      <c r="Z432"/>
      <c r="AA432"/>
      <c r="AB432"/>
      <c r="AC432"/>
      <c r="AD432"/>
      <c r="AE432"/>
      <c r="AF432"/>
      <c r="AG432"/>
      <c r="AH432"/>
      <c r="AI432"/>
    </row>
    <row r="433" spans="1:35" s="48" customFormat="1" x14ac:dyDescent="0.45">
      <c r="A433" s="3"/>
      <c r="H433"/>
      <c r="J433" s="49"/>
      <c r="K433" s="49"/>
      <c r="L433" s="50"/>
      <c r="M433" s="50"/>
      <c r="N433" s="50"/>
      <c r="O433" s="50"/>
      <c r="P433" s="50"/>
      <c r="Q433" s="50"/>
      <c r="R433" s="47"/>
      <c r="S433" s="50"/>
      <c r="T433" s="50"/>
      <c r="U433" s="50"/>
      <c r="V433" s="50"/>
      <c r="W433" s="50"/>
      <c r="X433"/>
      <c r="Y433"/>
      <c r="Z433"/>
      <c r="AA433"/>
      <c r="AB433"/>
      <c r="AC433"/>
      <c r="AD433"/>
      <c r="AE433"/>
      <c r="AF433"/>
      <c r="AG433"/>
      <c r="AH433"/>
      <c r="AI433"/>
    </row>
    <row r="434" spans="1:35" s="48" customFormat="1" x14ac:dyDescent="0.45">
      <c r="A434" s="3"/>
      <c r="H434"/>
      <c r="J434" s="49"/>
      <c r="K434" s="49"/>
      <c r="L434" s="50"/>
      <c r="M434" s="50"/>
      <c r="N434" s="50"/>
      <c r="O434" s="50"/>
      <c r="P434" s="50"/>
      <c r="Q434" s="50"/>
      <c r="R434" s="47"/>
      <c r="S434" s="50"/>
      <c r="T434" s="50"/>
      <c r="U434" s="50"/>
      <c r="V434" s="50"/>
      <c r="W434" s="50"/>
      <c r="X434"/>
      <c r="Y434"/>
      <c r="Z434"/>
      <c r="AA434"/>
      <c r="AB434"/>
      <c r="AC434"/>
      <c r="AD434"/>
      <c r="AE434"/>
      <c r="AF434"/>
      <c r="AG434"/>
      <c r="AH434"/>
      <c r="AI434"/>
    </row>
    <row r="435" spans="1:35" s="48" customFormat="1" x14ac:dyDescent="0.45">
      <c r="A435" s="3"/>
      <c r="H435"/>
      <c r="J435" s="49"/>
      <c r="K435" s="49"/>
      <c r="L435" s="50"/>
      <c r="M435" s="50"/>
      <c r="N435" s="50"/>
      <c r="O435" s="50"/>
      <c r="P435" s="50"/>
      <c r="Q435" s="50"/>
      <c r="R435" s="47"/>
      <c r="S435" s="50"/>
      <c r="T435" s="50"/>
      <c r="U435" s="50"/>
      <c r="V435" s="50"/>
      <c r="W435" s="50"/>
      <c r="X435"/>
      <c r="Y435"/>
      <c r="Z435"/>
      <c r="AA435"/>
      <c r="AB435"/>
      <c r="AC435"/>
      <c r="AD435"/>
      <c r="AE435"/>
      <c r="AF435"/>
      <c r="AG435"/>
      <c r="AH435"/>
      <c r="AI435"/>
    </row>
    <row r="436" spans="1:35" s="48" customFormat="1" x14ac:dyDescent="0.45">
      <c r="A436" s="3"/>
      <c r="H436"/>
      <c r="J436" s="49"/>
      <c r="K436" s="49"/>
      <c r="L436" s="50"/>
      <c r="M436" s="50"/>
      <c r="N436" s="50"/>
      <c r="O436" s="50"/>
      <c r="P436" s="50"/>
      <c r="Q436" s="50"/>
      <c r="R436" s="47"/>
      <c r="S436" s="50"/>
      <c r="T436" s="50"/>
      <c r="U436" s="50"/>
      <c r="V436" s="50"/>
      <c r="W436" s="50"/>
      <c r="X436"/>
      <c r="Y436"/>
      <c r="Z436"/>
      <c r="AA436"/>
      <c r="AB436"/>
      <c r="AC436"/>
      <c r="AD436"/>
      <c r="AE436"/>
      <c r="AF436"/>
      <c r="AG436"/>
      <c r="AH436"/>
      <c r="AI436"/>
    </row>
    <row r="437" spans="1:35" s="48" customFormat="1" x14ac:dyDescent="0.45">
      <c r="A437" s="3"/>
      <c r="H437"/>
      <c r="J437" s="49"/>
      <c r="K437" s="49"/>
      <c r="L437" s="50"/>
      <c r="M437" s="50"/>
      <c r="N437" s="50"/>
      <c r="O437" s="50"/>
      <c r="P437" s="50"/>
      <c r="Q437" s="50"/>
      <c r="R437" s="47"/>
      <c r="S437" s="50"/>
      <c r="T437" s="50"/>
      <c r="U437" s="50"/>
      <c r="V437" s="50"/>
      <c r="W437" s="50"/>
      <c r="X437"/>
      <c r="Y437"/>
      <c r="Z437"/>
      <c r="AA437"/>
      <c r="AB437"/>
      <c r="AC437"/>
      <c r="AD437"/>
      <c r="AE437"/>
      <c r="AF437"/>
      <c r="AG437"/>
      <c r="AH437"/>
      <c r="AI437"/>
    </row>
    <row r="438" spans="1:35" s="48" customFormat="1" x14ac:dyDescent="0.45">
      <c r="A438" s="3"/>
      <c r="H438"/>
      <c r="J438" s="49"/>
      <c r="K438" s="49"/>
      <c r="L438" s="50"/>
      <c r="M438" s="50"/>
      <c r="N438" s="50"/>
      <c r="O438" s="50"/>
      <c r="P438" s="50"/>
      <c r="Q438" s="50"/>
      <c r="R438" s="47"/>
      <c r="S438" s="50"/>
      <c r="T438" s="50"/>
      <c r="U438" s="50"/>
      <c r="V438" s="50"/>
      <c r="W438" s="50"/>
      <c r="X438"/>
      <c r="Y438"/>
      <c r="Z438"/>
      <c r="AA438"/>
      <c r="AB438"/>
      <c r="AC438"/>
      <c r="AD438"/>
      <c r="AE438"/>
      <c r="AF438"/>
      <c r="AG438"/>
      <c r="AH438"/>
      <c r="AI438"/>
    </row>
    <row r="439" spans="1:35" s="48" customFormat="1" x14ac:dyDescent="0.45">
      <c r="A439" s="3"/>
      <c r="H439"/>
      <c r="J439" s="49"/>
      <c r="K439" s="49"/>
      <c r="L439" s="50"/>
      <c r="M439" s="50"/>
      <c r="N439" s="50"/>
      <c r="O439" s="50"/>
      <c r="P439" s="50"/>
      <c r="Q439" s="50"/>
      <c r="R439" s="47"/>
      <c r="S439" s="50"/>
      <c r="T439" s="50"/>
      <c r="U439" s="50"/>
      <c r="V439" s="50"/>
      <c r="W439" s="50"/>
      <c r="X439"/>
      <c r="Y439"/>
      <c r="Z439"/>
      <c r="AA439"/>
      <c r="AB439"/>
      <c r="AC439"/>
      <c r="AD439"/>
      <c r="AE439"/>
      <c r="AF439"/>
      <c r="AG439"/>
      <c r="AH439"/>
      <c r="AI439"/>
    </row>
    <row r="440" spans="1:35" s="48" customFormat="1" x14ac:dyDescent="0.45">
      <c r="A440" s="3"/>
      <c r="H440"/>
      <c r="J440" s="49"/>
      <c r="K440" s="49"/>
      <c r="L440" s="50"/>
      <c r="M440" s="50"/>
      <c r="N440" s="50"/>
      <c r="O440" s="50"/>
      <c r="P440" s="50"/>
      <c r="Q440" s="50"/>
      <c r="R440" s="47"/>
      <c r="S440" s="50"/>
      <c r="T440" s="50"/>
      <c r="U440" s="50"/>
      <c r="V440" s="50"/>
      <c r="W440" s="50"/>
      <c r="X440"/>
      <c r="Y440"/>
      <c r="Z440"/>
      <c r="AA440"/>
      <c r="AB440"/>
      <c r="AC440"/>
      <c r="AD440"/>
      <c r="AE440"/>
      <c r="AF440"/>
      <c r="AG440"/>
      <c r="AH440"/>
      <c r="AI440"/>
    </row>
    <row r="441" spans="1:35" s="48" customFormat="1" x14ac:dyDescent="0.45">
      <c r="A441" s="3"/>
      <c r="H441"/>
      <c r="J441" s="49"/>
      <c r="K441" s="49"/>
      <c r="L441" s="50"/>
      <c r="M441" s="50"/>
      <c r="N441" s="50"/>
      <c r="O441" s="50"/>
      <c r="P441" s="50"/>
      <c r="Q441" s="50"/>
      <c r="R441" s="47"/>
      <c r="S441" s="50"/>
      <c r="T441" s="50"/>
      <c r="U441" s="50"/>
      <c r="V441" s="50"/>
      <c r="W441" s="50"/>
      <c r="X441"/>
      <c r="Y441"/>
      <c r="Z441"/>
      <c r="AA441"/>
      <c r="AB441"/>
      <c r="AC441"/>
      <c r="AD441"/>
      <c r="AE441"/>
      <c r="AF441"/>
      <c r="AG441"/>
      <c r="AH441"/>
      <c r="AI441"/>
    </row>
    <row r="442" spans="1:35" s="48" customFormat="1" x14ac:dyDescent="0.45">
      <c r="A442" s="3"/>
      <c r="H442"/>
      <c r="J442" s="49"/>
      <c r="K442" s="49"/>
      <c r="L442" s="50"/>
      <c r="M442" s="50"/>
      <c r="N442" s="50"/>
      <c r="O442" s="50"/>
      <c r="P442" s="50"/>
      <c r="Q442" s="50"/>
      <c r="R442" s="47"/>
      <c r="S442" s="50"/>
      <c r="T442" s="50"/>
      <c r="U442" s="50"/>
      <c r="V442" s="50"/>
      <c r="W442" s="50"/>
      <c r="X442"/>
      <c r="Y442"/>
      <c r="Z442"/>
      <c r="AA442"/>
      <c r="AB442"/>
      <c r="AC442"/>
      <c r="AD442"/>
      <c r="AE442"/>
      <c r="AF442"/>
      <c r="AG442"/>
      <c r="AH442"/>
      <c r="AI442"/>
    </row>
    <row r="443" spans="1:35" s="48" customFormat="1" x14ac:dyDescent="0.45">
      <c r="A443" s="3"/>
      <c r="H443"/>
      <c r="J443" s="49"/>
      <c r="K443" s="49"/>
      <c r="L443" s="50"/>
      <c r="M443" s="50"/>
      <c r="N443" s="50"/>
      <c r="O443" s="50"/>
      <c r="P443" s="50"/>
      <c r="Q443" s="50"/>
      <c r="R443" s="47"/>
      <c r="S443" s="50"/>
      <c r="T443" s="50"/>
      <c r="U443" s="50"/>
      <c r="V443" s="50"/>
      <c r="W443" s="50"/>
      <c r="X443"/>
      <c r="Y443"/>
      <c r="Z443"/>
      <c r="AA443"/>
      <c r="AB443"/>
      <c r="AC443"/>
      <c r="AD443"/>
      <c r="AE443"/>
      <c r="AF443"/>
      <c r="AG443"/>
      <c r="AH443"/>
      <c r="AI443"/>
    </row>
    <row r="444" spans="1:35" s="48" customFormat="1" x14ac:dyDescent="0.45">
      <c r="A444" s="3"/>
      <c r="H444"/>
      <c r="J444" s="49"/>
      <c r="K444" s="49"/>
      <c r="L444" s="50"/>
      <c r="M444" s="50"/>
      <c r="N444" s="50"/>
      <c r="O444" s="50"/>
      <c r="P444" s="50"/>
      <c r="Q444" s="50"/>
      <c r="R444" s="47"/>
      <c r="S444" s="50"/>
      <c r="T444" s="50"/>
      <c r="U444" s="50"/>
      <c r="V444" s="50"/>
      <c r="W444" s="50"/>
      <c r="X444"/>
      <c r="Y444"/>
      <c r="Z444"/>
      <c r="AA444"/>
      <c r="AB444"/>
      <c r="AC444"/>
      <c r="AD444"/>
      <c r="AE444"/>
      <c r="AF444"/>
      <c r="AG444"/>
      <c r="AH444"/>
      <c r="AI444"/>
    </row>
    <row r="445" spans="1:35" s="48" customFormat="1" x14ac:dyDescent="0.45">
      <c r="A445" s="3"/>
      <c r="H445"/>
      <c r="J445" s="49"/>
      <c r="K445" s="49"/>
      <c r="L445" s="50"/>
      <c r="M445" s="50"/>
      <c r="N445" s="50"/>
      <c r="O445" s="50"/>
      <c r="P445" s="50"/>
      <c r="Q445" s="50"/>
      <c r="R445" s="47"/>
      <c r="S445" s="50"/>
      <c r="T445" s="50"/>
      <c r="U445" s="50"/>
      <c r="V445" s="50"/>
      <c r="W445" s="50"/>
      <c r="X445"/>
      <c r="Y445"/>
      <c r="Z445"/>
      <c r="AA445"/>
      <c r="AB445"/>
      <c r="AC445"/>
      <c r="AD445"/>
      <c r="AE445"/>
      <c r="AF445"/>
      <c r="AG445"/>
      <c r="AH445"/>
      <c r="AI445"/>
    </row>
    <row r="446" spans="1:35" s="48" customFormat="1" x14ac:dyDescent="0.45">
      <c r="A446" s="3"/>
      <c r="H446"/>
      <c r="J446" s="49"/>
      <c r="K446" s="49"/>
      <c r="L446" s="50"/>
      <c r="M446" s="50"/>
      <c r="N446" s="50"/>
      <c r="O446" s="50"/>
      <c r="P446" s="50"/>
      <c r="Q446" s="50"/>
      <c r="R446" s="47"/>
      <c r="S446" s="50"/>
      <c r="T446" s="50"/>
      <c r="U446" s="50"/>
      <c r="V446" s="50"/>
      <c r="W446" s="50"/>
      <c r="X446"/>
      <c r="Y446"/>
      <c r="Z446"/>
      <c r="AA446"/>
      <c r="AB446"/>
      <c r="AC446"/>
      <c r="AD446"/>
      <c r="AE446"/>
      <c r="AF446"/>
      <c r="AG446"/>
      <c r="AH446"/>
      <c r="AI446"/>
    </row>
    <row r="447" spans="1:35" s="48" customFormat="1" x14ac:dyDescent="0.45">
      <c r="A447" s="3"/>
      <c r="H447"/>
      <c r="J447" s="49"/>
      <c r="K447" s="49"/>
      <c r="L447" s="50"/>
      <c r="M447" s="50"/>
      <c r="N447" s="50"/>
      <c r="O447" s="50"/>
      <c r="P447" s="50"/>
      <c r="Q447" s="50"/>
      <c r="R447" s="47"/>
      <c r="S447" s="50"/>
      <c r="T447" s="50"/>
      <c r="U447" s="50"/>
      <c r="V447" s="50"/>
      <c r="W447" s="50"/>
      <c r="X447"/>
      <c r="Y447"/>
      <c r="Z447"/>
      <c r="AA447"/>
      <c r="AB447"/>
      <c r="AC447"/>
      <c r="AD447"/>
      <c r="AE447"/>
      <c r="AF447"/>
      <c r="AG447"/>
      <c r="AH447"/>
      <c r="AI447"/>
    </row>
    <row r="448" spans="1:35" s="48" customFormat="1" x14ac:dyDescent="0.45">
      <c r="A448" s="3"/>
      <c r="H448"/>
      <c r="J448" s="49"/>
      <c r="K448" s="49"/>
      <c r="L448" s="50"/>
      <c r="M448" s="50"/>
      <c r="N448" s="50"/>
      <c r="O448" s="50"/>
      <c r="P448" s="50"/>
      <c r="Q448" s="50"/>
      <c r="R448" s="47"/>
      <c r="S448" s="50"/>
      <c r="T448" s="50"/>
      <c r="U448" s="50"/>
      <c r="V448" s="50"/>
      <c r="W448" s="50"/>
      <c r="X448"/>
      <c r="Y448"/>
      <c r="Z448"/>
      <c r="AA448"/>
      <c r="AB448"/>
      <c r="AC448"/>
      <c r="AD448"/>
      <c r="AE448"/>
      <c r="AF448"/>
      <c r="AG448"/>
      <c r="AH448"/>
      <c r="AI448"/>
    </row>
    <row r="449" spans="1:35" s="48" customFormat="1" x14ac:dyDescent="0.45">
      <c r="A449" s="3"/>
      <c r="H449"/>
      <c r="J449" s="49"/>
      <c r="K449" s="49"/>
      <c r="L449" s="50"/>
      <c r="M449" s="50"/>
      <c r="N449" s="50"/>
      <c r="O449" s="50"/>
      <c r="P449" s="50"/>
      <c r="Q449" s="50"/>
      <c r="R449" s="47"/>
      <c r="S449" s="50"/>
      <c r="T449" s="50"/>
      <c r="U449" s="50"/>
      <c r="V449" s="50"/>
      <c r="W449" s="50"/>
      <c r="X449"/>
      <c r="Y449"/>
      <c r="Z449"/>
      <c r="AA449"/>
      <c r="AB449"/>
      <c r="AC449"/>
      <c r="AD449"/>
      <c r="AE449"/>
      <c r="AF449"/>
      <c r="AG449"/>
      <c r="AH449"/>
      <c r="AI449"/>
    </row>
    <row r="450" spans="1:35" s="48" customFormat="1" x14ac:dyDescent="0.45">
      <c r="A450" s="3"/>
      <c r="H450"/>
      <c r="J450" s="49"/>
      <c r="K450" s="49"/>
      <c r="L450" s="50"/>
      <c r="M450" s="50"/>
      <c r="N450" s="50"/>
      <c r="O450" s="50"/>
      <c r="P450" s="50"/>
      <c r="Q450" s="50"/>
      <c r="R450" s="47"/>
      <c r="S450" s="50"/>
      <c r="T450" s="50"/>
      <c r="U450" s="50"/>
      <c r="V450" s="50"/>
      <c r="W450" s="50"/>
      <c r="X450"/>
      <c r="Y450"/>
      <c r="Z450"/>
      <c r="AA450"/>
      <c r="AB450"/>
      <c r="AC450"/>
      <c r="AD450"/>
      <c r="AE450"/>
      <c r="AF450"/>
      <c r="AG450"/>
      <c r="AH450"/>
      <c r="AI450"/>
    </row>
    <row r="451" spans="1:35" s="48" customFormat="1" x14ac:dyDescent="0.45">
      <c r="A451" s="3"/>
      <c r="H451"/>
      <c r="J451" s="49"/>
      <c r="K451" s="49"/>
      <c r="L451" s="50"/>
      <c r="M451" s="50"/>
      <c r="N451" s="50"/>
      <c r="O451" s="50"/>
      <c r="P451" s="50"/>
      <c r="Q451" s="50"/>
      <c r="R451" s="47"/>
      <c r="S451" s="50"/>
      <c r="T451" s="50"/>
      <c r="U451" s="50"/>
      <c r="V451" s="50"/>
      <c r="W451" s="50"/>
      <c r="X451"/>
      <c r="Y451"/>
      <c r="Z451"/>
      <c r="AA451"/>
      <c r="AB451"/>
      <c r="AC451"/>
      <c r="AD451"/>
      <c r="AE451"/>
      <c r="AF451"/>
      <c r="AG451"/>
      <c r="AH451"/>
      <c r="AI451"/>
    </row>
    <row r="452" spans="1:35" s="48" customFormat="1" x14ac:dyDescent="0.45">
      <c r="A452" s="3"/>
      <c r="H452"/>
      <c r="J452" s="49"/>
      <c r="K452" s="49"/>
      <c r="L452" s="50"/>
      <c r="M452" s="50"/>
      <c r="N452" s="50"/>
      <c r="O452" s="50"/>
      <c r="P452" s="50"/>
      <c r="Q452" s="50"/>
      <c r="R452" s="47"/>
      <c r="S452" s="50"/>
      <c r="T452" s="50"/>
      <c r="U452" s="50"/>
      <c r="V452" s="50"/>
      <c r="W452" s="50"/>
      <c r="X452"/>
      <c r="Y452"/>
      <c r="Z452"/>
      <c r="AA452"/>
      <c r="AB452"/>
      <c r="AC452"/>
      <c r="AD452"/>
      <c r="AE452"/>
      <c r="AF452"/>
      <c r="AG452"/>
      <c r="AH452"/>
      <c r="AI452"/>
    </row>
    <row r="453" spans="1:35" s="48" customFormat="1" x14ac:dyDescent="0.45">
      <c r="A453" s="3"/>
      <c r="H453"/>
      <c r="J453" s="49"/>
      <c r="K453" s="49"/>
      <c r="L453" s="50"/>
      <c r="M453" s="50"/>
      <c r="N453" s="50"/>
      <c r="O453" s="50"/>
      <c r="P453" s="50"/>
      <c r="Q453" s="50"/>
      <c r="R453" s="47"/>
      <c r="S453" s="50"/>
      <c r="T453" s="50"/>
      <c r="U453" s="50"/>
      <c r="V453" s="50"/>
      <c r="W453" s="50"/>
      <c r="X453"/>
      <c r="Y453"/>
      <c r="Z453"/>
      <c r="AA453"/>
      <c r="AB453"/>
      <c r="AC453"/>
      <c r="AD453"/>
      <c r="AE453"/>
      <c r="AF453"/>
      <c r="AG453"/>
      <c r="AH453"/>
      <c r="AI453"/>
    </row>
    <row r="454" spans="1:35" s="48" customFormat="1" x14ac:dyDescent="0.45">
      <c r="A454" s="3"/>
      <c r="H454"/>
      <c r="J454" s="49"/>
      <c r="K454" s="49"/>
      <c r="L454" s="50"/>
      <c r="M454" s="50"/>
      <c r="N454" s="50"/>
      <c r="O454" s="50"/>
      <c r="P454" s="50"/>
      <c r="Q454" s="50"/>
      <c r="R454" s="47"/>
      <c r="S454" s="50"/>
      <c r="T454" s="50"/>
      <c r="U454" s="50"/>
      <c r="V454" s="50"/>
      <c r="W454" s="50"/>
      <c r="X454"/>
      <c r="Y454"/>
      <c r="Z454"/>
      <c r="AA454"/>
      <c r="AB454"/>
      <c r="AC454"/>
      <c r="AD454"/>
      <c r="AE454"/>
      <c r="AF454"/>
      <c r="AG454"/>
      <c r="AH454"/>
      <c r="AI454"/>
    </row>
    <row r="455" spans="1:35" s="48" customFormat="1" x14ac:dyDescent="0.45">
      <c r="A455" s="3"/>
      <c r="H455"/>
      <c r="J455" s="49"/>
      <c r="K455" s="49"/>
      <c r="L455" s="50"/>
      <c r="M455" s="50"/>
      <c r="N455" s="50"/>
      <c r="O455" s="50"/>
      <c r="P455" s="50"/>
      <c r="Q455" s="50"/>
      <c r="R455" s="47"/>
      <c r="S455" s="50"/>
      <c r="T455" s="50"/>
      <c r="U455" s="50"/>
      <c r="V455" s="50"/>
      <c r="W455" s="50"/>
      <c r="X455"/>
      <c r="Y455"/>
      <c r="Z455"/>
      <c r="AA455"/>
      <c r="AB455"/>
      <c r="AC455"/>
      <c r="AD455"/>
      <c r="AE455"/>
      <c r="AF455"/>
      <c r="AG455"/>
      <c r="AH455"/>
      <c r="AI455"/>
    </row>
    <row r="456" spans="1:35" s="48" customFormat="1" x14ac:dyDescent="0.45">
      <c r="A456" s="3"/>
      <c r="H456"/>
      <c r="J456" s="49"/>
      <c r="K456" s="49"/>
      <c r="L456" s="50"/>
      <c r="M456" s="50"/>
      <c r="N456" s="50"/>
      <c r="O456" s="50"/>
      <c r="P456" s="50"/>
      <c r="Q456" s="50"/>
      <c r="R456" s="47"/>
      <c r="S456" s="50"/>
      <c r="T456" s="50"/>
      <c r="U456" s="50"/>
      <c r="V456" s="50"/>
      <c r="W456" s="50"/>
      <c r="X456"/>
      <c r="Y456"/>
      <c r="Z456"/>
      <c r="AA456"/>
      <c r="AB456"/>
      <c r="AC456"/>
      <c r="AD456"/>
      <c r="AE456"/>
      <c r="AF456"/>
      <c r="AG456"/>
      <c r="AH456"/>
      <c r="AI456"/>
    </row>
    <row r="457" spans="1:35" s="48" customFormat="1" x14ac:dyDescent="0.45">
      <c r="A457" s="3"/>
      <c r="H457"/>
      <c r="J457" s="49"/>
      <c r="K457" s="49"/>
      <c r="L457" s="50"/>
      <c r="M457" s="50"/>
      <c r="N457" s="50"/>
      <c r="O457" s="50"/>
      <c r="P457" s="50"/>
      <c r="Q457" s="50"/>
      <c r="R457" s="47"/>
      <c r="S457" s="50"/>
      <c r="T457" s="50"/>
      <c r="U457" s="50"/>
      <c r="V457" s="50"/>
      <c r="W457" s="50"/>
      <c r="X457"/>
      <c r="Y457"/>
      <c r="Z457"/>
      <c r="AA457"/>
      <c r="AB457"/>
      <c r="AC457"/>
      <c r="AD457"/>
      <c r="AE457"/>
      <c r="AF457"/>
      <c r="AG457"/>
      <c r="AH457"/>
      <c r="AI457"/>
    </row>
    <row r="458" spans="1:35" s="48" customFormat="1" x14ac:dyDescent="0.45">
      <c r="A458" s="3"/>
      <c r="H458"/>
      <c r="J458" s="49"/>
      <c r="K458" s="49"/>
      <c r="L458" s="50"/>
      <c r="M458" s="50"/>
      <c r="N458" s="50"/>
      <c r="O458" s="50"/>
      <c r="P458" s="50"/>
      <c r="Q458" s="50"/>
      <c r="R458" s="47"/>
      <c r="S458" s="50"/>
      <c r="T458" s="50"/>
      <c r="U458" s="50"/>
      <c r="V458" s="50"/>
      <c r="W458" s="50"/>
      <c r="X458"/>
      <c r="Y458"/>
      <c r="Z458"/>
      <c r="AA458"/>
      <c r="AB458"/>
      <c r="AC458"/>
      <c r="AD458"/>
      <c r="AE458"/>
      <c r="AF458"/>
      <c r="AG458"/>
      <c r="AH458"/>
      <c r="AI458"/>
    </row>
    <row r="459" spans="1:35" s="48" customFormat="1" x14ac:dyDescent="0.45">
      <c r="A459" s="3"/>
      <c r="H459"/>
      <c r="J459" s="49"/>
      <c r="K459" s="49"/>
      <c r="L459" s="50"/>
      <c r="M459" s="50"/>
      <c r="N459" s="50"/>
      <c r="O459" s="50"/>
      <c r="P459" s="50"/>
      <c r="Q459" s="50"/>
      <c r="R459" s="47"/>
      <c r="S459" s="50"/>
      <c r="T459" s="50"/>
      <c r="U459" s="50"/>
      <c r="V459" s="50"/>
      <c r="W459" s="50"/>
      <c r="X459"/>
      <c r="Y459"/>
      <c r="Z459"/>
      <c r="AA459"/>
      <c r="AB459"/>
      <c r="AC459"/>
      <c r="AD459"/>
      <c r="AE459"/>
      <c r="AF459"/>
      <c r="AG459"/>
      <c r="AH459"/>
      <c r="AI459"/>
    </row>
    <row r="460" spans="1:35" s="48" customFormat="1" x14ac:dyDescent="0.45">
      <c r="A460" s="3"/>
      <c r="H460"/>
      <c r="J460" s="49"/>
      <c r="K460" s="49"/>
      <c r="L460" s="50"/>
      <c r="M460" s="50"/>
      <c r="N460" s="50"/>
      <c r="O460" s="50"/>
      <c r="P460" s="50"/>
      <c r="Q460" s="50"/>
      <c r="R460" s="47"/>
      <c r="S460" s="50"/>
      <c r="T460" s="50"/>
      <c r="U460" s="50"/>
      <c r="V460" s="50"/>
      <c r="W460" s="50"/>
      <c r="X460"/>
      <c r="Y460"/>
      <c r="Z460"/>
      <c r="AA460"/>
      <c r="AB460"/>
      <c r="AC460"/>
      <c r="AD460"/>
      <c r="AE460"/>
      <c r="AF460"/>
      <c r="AG460"/>
      <c r="AH460"/>
      <c r="AI460"/>
    </row>
    <row r="461" spans="1:35" s="48" customFormat="1" x14ac:dyDescent="0.45">
      <c r="A461" s="3"/>
      <c r="H461"/>
      <c r="J461" s="49"/>
      <c r="K461" s="49"/>
      <c r="L461" s="50"/>
      <c r="M461" s="50"/>
      <c r="N461" s="50"/>
      <c r="O461" s="50"/>
      <c r="P461" s="50"/>
      <c r="Q461" s="50"/>
      <c r="R461" s="47"/>
      <c r="S461" s="50"/>
      <c r="T461" s="50"/>
      <c r="U461" s="50"/>
      <c r="V461" s="50"/>
      <c r="W461" s="50"/>
      <c r="X461"/>
      <c r="Y461"/>
      <c r="Z461"/>
      <c r="AA461"/>
      <c r="AB461"/>
      <c r="AC461"/>
      <c r="AD461"/>
      <c r="AE461"/>
      <c r="AF461"/>
      <c r="AG461"/>
      <c r="AH461"/>
      <c r="AI461"/>
    </row>
    <row r="462" spans="1:35" s="48" customFormat="1" x14ac:dyDescent="0.45">
      <c r="A462" s="3"/>
      <c r="H462"/>
      <c r="J462" s="49"/>
      <c r="K462" s="49"/>
      <c r="L462" s="50"/>
      <c r="M462" s="50"/>
      <c r="N462" s="50"/>
      <c r="O462" s="50"/>
      <c r="P462" s="50"/>
      <c r="Q462" s="50"/>
      <c r="R462" s="47"/>
      <c r="S462" s="50"/>
      <c r="T462" s="50"/>
      <c r="U462" s="50"/>
      <c r="V462" s="50"/>
      <c r="W462" s="50"/>
      <c r="X462"/>
      <c r="Y462"/>
      <c r="Z462"/>
      <c r="AA462"/>
      <c r="AB462"/>
      <c r="AC462"/>
      <c r="AD462"/>
      <c r="AE462"/>
      <c r="AF462"/>
      <c r="AG462"/>
      <c r="AH462"/>
      <c r="AI462"/>
    </row>
    <row r="463" spans="1:35" s="48" customFormat="1" x14ac:dyDescent="0.45">
      <c r="A463" s="3"/>
      <c r="H463"/>
      <c r="J463" s="49"/>
      <c r="K463" s="49"/>
      <c r="L463" s="50"/>
      <c r="M463" s="50"/>
      <c r="N463" s="50"/>
      <c r="O463" s="50"/>
      <c r="P463" s="50"/>
      <c r="Q463" s="50"/>
      <c r="R463" s="47"/>
      <c r="S463" s="50"/>
      <c r="T463" s="50"/>
      <c r="U463" s="50"/>
      <c r="V463" s="50"/>
      <c r="W463" s="50"/>
      <c r="X463"/>
      <c r="Y463"/>
      <c r="Z463"/>
      <c r="AA463"/>
      <c r="AB463"/>
      <c r="AC463"/>
      <c r="AD463"/>
      <c r="AE463"/>
      <c r="AF463"/>
      <c r="AG463"/>
      <c r="AH463"/>
      <c r="AI463"/>
    </row>
    <row r="464" spans="1:35" s="48" customFormat="1" x14ac:dyDescent="0.45">
      <c r="A464" s="3"/>
      <c r="H464"/>
      <c r="J464" s="49"/>
      <c r="K464" s="49"/>
      <c r="L464" s="50"/>
      <c r="M464" s="50"/>
      <c r="N464" s="50"/>
      <c r="O464" s="50"/>
      <c r="P464" s="50"/>
      <c r="Q464" s="50"/>
      <c r="R464" s="47"/>
      <c r="S464" s="50"/>
      <c r="T464" s="50"/>
      <c r="U464" s="50"/>
      <c r="V464" s="50"/>
      <c r="W464" s="50"/>
      <c r="X464"/>
      <c r="Y464"/>
      <c r="Z464"/>
      <c r="AA464"/>
      <c r="AB464"/>
      <c r="AC464"/>
      <c r="AD464"/>
      <c r="AE464"/>
      <c r="AF464"/>
      <c r="AG464"/>
      <c r="AH464"/>
      <c r="AI464"/>
    </row>
    <row r="465" spans="1:35" s="48" customFormat="1" x14ac:dyDescent="0.45">
      <c r="A465" s="3"/>
      <c r="H465"/>
      <c r="J465" s="49"/>
      <c r="K465" s="49"/>
      <c r="L465" s="50"/>
      <c r="M465" s="50"/>
      <c r="N465" s="50"/>
      <c r="O465" s="50"/>
      <c r="P465" s="50"/>
      <c r="Q465" s="50"/>
      <c r="R465" s="47"/>
      <c r="S465" s="50"/>
      <c r="T465" s="50"/>
      <c r="U465" s="50"/>
      <c r="V465" s="50"/>
      <c r="W465" s="50"/>
      <c r="X465"/>
      <c r="Y465"/>
      <c r="Z465"/>
      <c r="AA465"/>
      <c r="AB465"/>
      <c r="AC465"/>
      <c r="AD465"/>
      <c r="AE465"/>
      <c r="AF465"/>
      <c r="AG465"/>
      <c r="AH465"/>
      <c r="AI465"/>
    </row>
    <row r="466" spans="1:35" s="48" customFormat="1" x14ac:dyDescent="0.45">
      <c r="A466" s="3"/>
      <c r="H466"/>
      <c r="J466" s="49"/>
      <c r="K466" s="49"/>
      <c r="L466" s="50"/>
      <c r="M466" s="50"/>
      <c r="N466" s="50"/>
      <c r="O466" s="50"/>
      <c r="P466" s="50"/>
      <c r="Q466" s="50"/>
      <c r="R466" s="47"/>
      <c r="S466" s="50"/>
      <c r="T466" s="50"/>
      <c r="U466" s="50"/>
      <c r="V466" s="50"/>
      <c r="W466" s="50"/>
      <c r="X466"/>
      <c r="Y466"/>
      <c r="Z466"/>
      <c r="AA466"/>
      <c r="AB466"/>
      <c r="AC466"/>
      <c r="AD466"/>
      <c r="AE466"/>
      <c r="AF466"/>
      <c r="AG466"/>
      <c r="AH466"/>
      <c r="AI466"/>
    </row>
    <row r="467" spans="1:35" s="48" customFormat="1" x14ac:dyDescent="0.45">
      <c r="A467" s="3"/>
      <c r="H467"/>
      <c r="J467" s="49"/>
      <c r="K467" s="49"/>
      <c r="L467" s="50"/>
      <c r="M467" s="50"/>
      <c r="N467" s="50"/>
      <c r="O467" s="50"/>
      <c r="P467" s="50"/>
      <c r="Q467" s="50"/>
      <c r="R467" s="47"/>
      <c r="S467" s="50"/>
      <c r="T467" s="50"/>
      <c r="U467" s="50"/>
      <c r="V467" s="50"/>
      <c r="W467" s="50"/>
      <c r="X467"/>
      <c r="Y467"/>
      <c r="Z467"/>
      <c r="AA467"/>
      <c r="AB467"/>
      <c r="AC467"/>
      <c r="AD467"/>
      <c r="AE467"/>
      <c r="AF467"/>
      <c r="AG467"/>
      <c r="AH467"/>
      <c r="AI467"/>
    </row>
    <row r="468" spans="1:35" s="48" customFormat="1" x14ac:dyDescent="0.45">
      <c r="A468" s="3"/>
      <c r="H468"/>
      <c r="J468" s="49"/>
      <c r="K468" s="49"/>
      <c r="L468" s="50"/>
      <c r="M468" s="50"/>
      <c r="N468" s="50"/>
      <c r="O468" s="50"/>
      <c r="P468" s="50"/>
      <c r="Q468" s="50"/>
      <c r="R468" s="47"/>
      <c r="S468" s="50"/>
      <c r="T468" s="50"/>
      <c r="U468" s="50"/>
      <c r="V468" s="50"/>
      <c r="W468" s="50"/>
      <c r="X468"/>
      <c r="Y468"/>
      <c r="Z468"/>
      <c r="AA468"/>
      <c r="AB468"/>
      <c r="AC468"/>
      <c r="AD468"/>
      <c r="AE468"/>
      <c r="AF468"/>
      <c r="AG468"/>
      <c r="AH468"/>
      <c r="AI468"/>
    </row>
    <row r="469" spans="1:35" s="48" customFormat="1" x14ac:dyDescent="0.45">
      <c r="A469" s="3"/>
      <c r="H469"/>
      <c r="J469" s="49"/>
      <c r="K469" s="49"/>
      <c r="L469" s="50"/>
      <c r="M469" s="50"/>
      <c r="N469" s="50"/>
      <c r="O469" s="50"/>
      <c r="P469" s="50"/>
      <c r="Q469" s="50"/>
      <c r="R469" s="47"/>
      <c r="S469" s="50"/>
      <c r="T469" s="50"/>
      <c r="U469" s="50"/>
      <c r="V469" s="50"/>
      <c r="W469" s="50"/>
      <c r="X469"/>
      <c r="Y469"/>
      <c r="Z469"/>
      <c r="AA469"/>
      <c r="AB469"/>
      <c r="AC469"/>
      <c r="AD469"/>
      <c r="AE469"/>
      <c r="AF469"/>
      <c r="AG469"/>
      <c r="AH469"/>
      <c r="AI469"/>
    </row>
    <row r="470" spans="1:35" s="48" customFormat="1" x14ac:dyDescent="0.45">
      <c r="A470" s="3"/>
      <c r="H470"/>
      <c r="J470" s="49"/>
      <c r="K470" s="49"/>
      <c r="L470" s="50"/>
      <c r="M470" s="50"/>
      <c r="N470" s="50"/>
      <c r="O470" s="50"/>
      <c r="P470" s="50"/>
      <c r="Q470" s="50"/>
      <c r="R470" s="47"/>
      <c r="S470" s="50"/>
      <c r="T470" s="50"/>
      <c r="U470" s="50"/>
      <c r="V470" s="50"/>
      <c r="W470" s="50"/>
      <c r="X470"/>
      <c r="Y470"/>
      <c r="Z470"/>
      <c r="AA470"/>
      <c r="AB470"/>
      <c r="AC470"/>
      <c r="AD470"/>
      <c r="AE470"/>
      <c r="AF470"/>
      <c r="AG470"/>
      <c r="AH470"/>
      <c r="AI470"/>
    </row>
    <row r="471" spans="1:35" s="48" customFormat="1" x14ac:dyDescent="0.45">
      <c r="A471" s="3"/>
      <c r="H471"/>
      <c r="J471" s="49"/>
      <c r="K471" s="49"/>
      <c r="L471" s="50"/>
      <c r="M471" s="50"/>
      <c r="N471" s="50"/>
      <c r="O471" s="50"/>
      <c r="P471" s="50"/>
      <c r="Q471" s="50"/>
      <c r="R471" s="47"/>
      <c r="S471" s="50"/>
      <c r="T471" s="50"/>
      <c r="U471" s="50"/>
      <c r="V471" s="50"/>
      <c r="W471" s="50"/>
      <c r="X471"/>
      <c r="Y471"/>
      <c r="Z471"/>
      <c r="AA471"/>
      <c r="AB471"/>
      <c r="AC471"/>
      <c r="AD471"/>
      <c r="AE471"/>
      <c r="AF471"/>
      <c r="AG471"/>
      <c r="AH471"/>
      <c r="AI471"/>
    </row>
    <row r="472" spans="1:35" s="48" customFormat="1" x14ac:dyDescent="0.45">
      <c r="A472" s="3"/>
      <c r="H472"/>
      <c r="J472" s="49"/>
      <c r="K472" s="49"/>
      <c r="L472" s="50"/>
      <c r="M472" s="50"/>
      <c r="N472" s="50"/>
      <c r="O472" s="50"/>
      <c r="P472" s="50"/>
      <c r="Q472" s="50"/>
      <c r="R472" s="47"/>
      <c r="S472" s="50"/>
      <c r="T472" s="50"/>
      <c r="U472" s="50"/>
      <c r="V472" s="50"/>
      <c r="W472" s="50"/>
      <c r="X472"/>
      <c r="Y472"/>
      <c r="Z472"/>
      <c r="AA472"/>
      <c r="AB472"/>
      <c r="AC472"/>
      <c r="AD472"/>
      <c r="AE472"/>
      <c r="AF472"/>
      <c r="AG472"/>
      <c r="AH472"/>
      <c r="AI472"/>
    </row>
    <row r="473" spans="1:35" s="48" customFormat="1" x14ac:dyDescent="0.45">
      <c r="A473" s="3"/>
      <c r="H473"/>
      <c r="J473" s="49"/>
      <c r="K473" s="49"/>
      <c r="L473" s="50"/>
      <c r="M473" s="50"/>
      <c r="N473" s="50"/>
      <c r="O473" s="50"/>
      <c r="P473" s="50"/>
      <c r="Q473" s="50"/>
      <c r="R473" s="47"/>
      <c r="S473" s="50"/>
      <c r="T473" s="50"/>
      <c r="U473" s="50"/>
      <c r="V473" s="50"/>
      <c r="W473" s="50"/>
      <c r="X473"/>
      <c r="Y473"/>
      <c r="Z473"/>
      <c r="AA473"/>
      <c r="AB473"/>
      <c r="AC473"/>
      <c r="AD473"/>
      <c r="AE473"/>
      <c r="AF473"/>
      <c r="AG473"/>
      <c r="AH473"/>
      <c r="AI473"/>
    </row>
    <row r="474" spans="1:35" s="48" customFormat="1" x14ac:dyDescent="0.45">
      <c r="A474" s="3"/>
      <c r="H474"/>
      <c r="J474" s="49"/>
      <c r="K474" s="49"/>
      <c r="L474" s="50"/>
      <c r="M474" s="50"/>
      <c r="N474" s="50"/>
      <c r="O474" s="50"/>
      <c r="P474" s="50"/>
      <c r="Q474" s="50"/>
      <c r="R474" s="47"/>
      <c r="S474" s="50"/>
      <c r="T474" s="50"/>
      <c r="U474" s="50"/>
      <c r="V474" s="50"/>
      <c r="W474" s="50"/>
      <c r="X474"/>
      <c r="Y474"/>
      <c r="Z474"/>
      <c r="AA474"/>
      <c r="AB474"/>
      <c r="AC474"/>
      <c r="AD474"/>
      <c r="AE474"/>
      <c r="AF474"/>
      <c r="AG474"/>
      <c r="AH474"/>
      <c r="AI474"/>
    </row>
    <row r="475" spans="1:35" s="48" customFormat="1" x14ac:dyDescent="0.45">
      <c r="A475" s="3"/>
      <c r="H475"/>
      <c r="J475" s="49"/>
      <c r="K475" s="49"/>
      <c r="L475" s="50"/>
      <c r="M475" s="50"/>
      <c r="N475" s="50"/>
      <c r="O475" s="50"/>
      <c r="P475" s="50"/>
      <c r="Q475" s="50"/>
      <c r="R475" s="47"/>
      <c r="S475" s="50"/>
      <c r="T475" s="50"/>
      <c r="U475" s="50"/>
      <c r="V475" s="50"/>
      <c r="W475" s="50"/>
      <c r="X475"/>
      <c r="Y475"/>
      <c r="Z475"/>
      <c r="AA475"/>
      <c r="AB475"/>
      <c r="AC475"/>
      <c r="AD475"/>
      <c r="AE475"/>
      <c r="AF475"/>
      <c r="AG475"/>
      <c r="AH475"/>
      <c r="AI475"/>
    </row>
    <row r="476" spans="1:35" s="48" customFormat="1" x14ac:dyDescent="0.45">
      <c r="A476" s="3"/>
      <c r="H476"/>
      <c r="J476" s="49"/>
      <c r="K476" s="49"/>
      <c r="L476" s="50"/>
      <c r="M476" s="50"/>
      <c r="N476" s="50"/>
      <c r="O476" s="50"/>
      <c r="P476" s="50"/>
      <c r="Q476" s="50"/>
      <c r="R476" s="47"/>
      <c r="S476" s="50"/>
      <c r="T476" s="50"/>
      <c r="U476" s="50"/>
      <c r="V476" s="50"/>
      <c r="W476" s="50"/>
      <c r="X476"/>
      <c r="Y476"/>
      <c r="Z476"/>
      <c r="AA476"/>
      <c r="AB476"/>
      <c r="AC476"/>
      <c r="AD476"/>
      <c r="AE476"/>
      <c r="AF476"/>
      <c r="AG476"/>
      <c r="AH476"/>
      <c r="AI476"/>
    </row>
    <row r="477" spans="1:35" s="48" customFormat="1" x14ac:dyDescent="0.45">
      <c r="A477" s="3"/>
      <c r="H477"/>
      <c r="J477" s="49"/>
      <c r="K477" s="49"/>
      <c r="L477" s="50"/>
      <c r="M477" s="50"/>
      <c r="N477" s="50"/>
      <c r="O477" s="50"/>
      <c r="P477" s="50"/>
      <c r="Q477" s="50"/>
      <c r="R477" s="47"/>
      <c r="S477" s="50"/>
      <c r="T477" s="50"/>
      <c r="U477" s="50"/>
      <c r="V477" s="50"/>
      <c r="W477" s="50"/>
      <c r="X477"/>
      <c r="Y477"/>
      <c r="Z477"/>
      <c r="AA477"/>
      <c r="AB477"/>
      <c r="AC477"/>
      <c r="AD477"/>
      <c r="AE477"/>
      <c r="AF477"/>
      <c r="AG477"/>
      <c r="AH477"/>
      <c r="AI477"/>
    </row>
    <row r="478" spans="1:35" s="48" customFormat="1" x14ac:dyDescent="0.45">
      <c r="A478" s="3"/>
      <c r="H478"/>
      <c r="J478" s="49"/>
      <c r="K478" s="49"/>
      <c r="L478" s="50"/>
      <c r="M478" s="50"/>
      <c r="N478" s="50"/>
      <c r="O478" s="50"/>
      <c r="P478" s="50"/>
      <c r="Q478" s="50"/>
      <c r="R478" s="47"/>
      <c r="S478" s="50"/>
      <c r="T478" s="50"/>
      <c r="U478" s="50"/>
      <c r="V478" s="50"/>
      <c r="W478" s="50"/>
      <c r="X478"/>
      <c r="Y478"/>
      <c r="Z478"/>
      <c r="AA478"/>
      <c r="AB478"/>
      <c r="AC478"/>
      <c r="AD478"/>
      <c r="AE478"/>
      <c r="AF478"/>
      <c r="AG478"/>
      <c r="AH478"/>
      <c r="AI478"/>
    </row>
    <row r="479" spans="1:35" s="48" customFormat="1" x14ac:dyDescent="0.45">
      <c r="A479" s="3"/>
      <c r="H479"/>
      <c r="J479" s="49"/>
      <c r="K479" s="49"/>
      <c r="L479" s="50"/>
      <c r="M479" s="50"/>
      <c r="N479" s="50"/>
      <c r="O479" s="50"/>
      <c r="P479" s="50"/>
      <c r="Q479" s="50"/>
      <c r="R479" s="47"/>
      <c r="S479" s="50"/>
      <c r="T479" s="50"/>
      <c r="U479" s="50"/>
      <c r="V479" s="50"/>
      <c r="W479" s="50"/>
      <c r="X479"/>
      <c r="Y479"/>
      <c r="Z479"/>
      <c r="AA479"/>
      <c r="AB479"/>
      <c r="AC479"/>
      <c r="AD479"/>
      <c r="AE479"/>
      <c r="AF479"/>
      <c r="AG479"/>
      <c r="AH479"/>
      <c r="AI479"/>
    </row>
    <row r="480" spans="1:35" s="48" customFormat="1" x14ac:dyDescent="0.45">
      <c r="A480" s="3"/>
      <c r="H480"/>
      <c r="J480" s="49"/>
      <c r="K480" s="49"/>
      <c r="L480" s="50"/>
      <c r="M480" s="50"/>
      <c r="N480" s="50"/>
      <c r="O480" s="50"/>
      <c r="P480" s="50"/>
      <c r="Q480" s="50"/>
      <c r="R480" s="47"/>
      <c r="S480" s="50"/>
      <c r="T480" s="50"/>
      <c r="U480" s="50"/>
      <c r="V480" s="50"/>
      <c r="W480" s="50"/>
      <c r="X480"/>
      <c r="Y480"/>
      <c r="Z480"/>
      <c r="AA480"/>
      <c r="AB480"/>
      <c r="AC480"/>
      <c r="AD480"/>
      <c r="AE480"/>
      <c r="AF480"/>
      <c r="AG480"/>
      <c r="AH480"/>
      <c r="AI480"/>
    </row>
    <row r="481" spans="1:35" s="48" customFormat="1" x14ac:dyDescent="0.45">
      <c r="A481" s="3"/>
      <c r="H481"/>
      <c r="J481" s="49"/>
      <c r="K481" s="49"/>
      <c r="L481" s="50"/>
      <c r="M481" s="50"/>
      <c r="N481" s="50"/>
      <c r="O481" s="50"/>
      <c r="P481" s="50"/>
      <c r="Q481" s="50"/>
      <c r="R481" s="47"/>
      <c r="S481" s="50"/>
      <c r="T481" s="50"/>
      <c r="U481" s="50"/>
      <c r="V481" s="50"/>
      <c r="W481" s="50"/>
      <c r="X481"/>
      <c r="Y481"/>
      <c r="Z481"/>
      <c r="AA481"/>
      <c r="AB481"/>
      <c r="AC481"/>
      <c r="AD481"/>
      <c r="AE481"/>
      <c r="AF481"/>
      <c r="AG481"/>
      <c r="AH481"/>
      <c r="AI481"/>
    </row>
    <row r="482" spans="1:35" s="48" customFormat="1" x14ac:dyDescent="0.45">
      <c r="A482" s="3"/>
      <c r="H482"/>
      <c r="J482" s="49"/>
      <c r="K482" s="49"/>
      <c r="L482" s="50"/>
      <c r="M482" s="50"/>
      <c r="N482" s="50"/>
      <c r="O482" s="50"/>
      <c r="P482" s="50"/>
      <c r="Q482" s="50"/>
      <c r="R482" s="47"/>
      <c r="S482" s="50"/>
      <c r="T482" s="50"/>
      <c r="U482" s="50"/>
      <c r="V482" s="50"/>
      <c r="W482" s="50"/>
      <c r="X482"/>
      <c r="Y482"/>
      <c r="Z482"/>
      <c r="AA482"/>
      <c r="AB482"/>
      <c r="AC482"/>
      <c r="AD482"/>
      <c r="AE482"/>
      <c r="AF482"/>
      <c r="AG482"/>
      <c r="AH482"/>
      <c r="AI482"/>
    </row>
    <row r="483" spans="1:35" s="48" customFormat="1" x14ac:dyDescent="0.45">
      <c r="A483" s="3"/>
      <c r="H483"/>
      <c r="J483" s="49"/>
      <c r="K483" s="49"/>
      <c r="L483" s="50"/>
      <c r="M483" s="50"/>
      <c r="N483" s="50"/>
      <c r="O483" s="50"/>
      <c r="P483" s="50"/>
      <c r="Q483" s="50"/>
      <c r="R483" s="47"/>
      <c r="S483" s="50"/>
      <c r="T483" s="50"/>
      <c r="U483" s="50"/>
      <c r="V483" s="50"/>
      <c r="W483" s="50"/>
      <c r="X483"/>
      <c r="Y483"/>
      <c r="Z483"/>
      <c r="AA483"/>
      <c r="AB483"/>
      <c r="AC483"/>
      <c r="AD483"/>
      <c r="AE483"/>
      <c r="AF483"/>
      <c r="AG483"/>
      <c r="AH483"/>
      <c r="AI483"/>
    </row>
    <row r="484" spans="1:35" s="48" customFormat="1" x14ac:dyDescent="0.45">
      <c r="A484" s="3"/>
      <c r="H484"/>
      <c r="J484" s="49"/>
      <c r="K484" s="49"/>
      <c r="L484" s="50"/>
      <c r="M484" s="50"/>
      <c r="N484" s="50"/>
      <c r="O484" s="50"/>
      <c r="P484" s="50"/>
      <c r="Q484" s="50"/>
      <c r="R484" s="47"/>
      <c r="S484" s="50"/>
      <c r="T484" s="50"/>
      <c r="U484" s="50"/>
      <c r="V484" s="50"/>
      <c r="W484" s="50"/>
      <c r="X484"/>
      <c r="Y484"/>
      <c r="Z484"/>
      <c r="AA484"/>
      <c r="AB484"/>
      <c r="AC484"/>
      <c r="AD484"/>
      <c r="AE484"/>
      <c r="AF484"/>
      <c r="AG484"/>
      <c r="AH484"/>
      <c r="AI484"/>
    </row>
    <row r="485" spans="1:35" s="48" customFormat="1" x14ac:dyDescent="0.45">
      <c r="A485" s="3"/>
      <c r="H485"/>
      <c r="J485" s="49"/>
      <c r="K485" s="49"/>
      <c r="L485" s="50"/>
      <c r="M485" s="50"/>
      <c r="N485" s="50"/>
      <c r="O485" s="50"/>
      <c r="P485" s="50"/>
      <c r="Q485" s="50"/>
      <c r="R485" s="47"/>
      <c r="S485" s="50"/>
      <c r="T485" s="50"/>
      <c r="U485" s="50"/>
      <c r="V485" s="50"/>
      <c r="W485" s="50"/>
      <c r="X485"/>
      <c r="Y485"/>
      <c r="Z485"/>
      <c r="AA485"/>
      <c r="AB485"/>
      <c r="AC485"/>
      <c r="AD485"/>
      <c r="AE485"/>
      <c r="AF485"/>
      <c r="AG485"/>
      <c r="AH485"/>
      <c r="AI485"/>
    </row>
    <row r="486" spans="1:35" s="48" customFormat="1" x14ac:dyDescent="0.45">
      <c r="A486" s="3"/>
      <c r="H486"/>
      <c r="J486" s="49"/>
      <c r="K486" s="49"/>
      <c r="L486" s="50"/>
      <c r="M486" s="50"/>
      <c r="N486" s="50"/>
      <c r="O486" s="50"/>
      <c r="P486" s="50"/>
      <c r="Q486" s="50"/>
      <c r="R486" s="47"/>
      <c r="S486" s="50"/>
      <c r="T486" s="50"/>
      <c r="U486" s="50"/>
      <c r="V486" s="50"/>
      <c r="W486" s="50"/>
      <c r="X486"/>
      <c r="Y486"/>
      <c r="Z486"/>
      <c r="AA486"/>
      <c r="AB486"/>
      <c r="AC486"/>
      <c r="AD486"/>
      <c r="AE486"/>
      <c r="AF486"/>
      <c r="AG486"/>
      <c r="AH486"/>
      <c r="AI486"/>
    </row>
    <row r="487" spans="1:35" s="48" customFormat="1" x14ac:dyDescent="0.45">
      <c r="A487" s="3"/>
      <c r="H487"/>
      <c r="J487" s="49"/>
      <c r="K487" s="49"/>
      <c r="L487" s="50"/>
      <c r="M487" s="50"/>
      <c r="N487" s="50"/>
      <c r="O487" s="50"/>
      <c r="P487" s="50"/>
      <c r="Q487" s="50"/>
      <c r="R487" s="47"/>
      <c r="S487" s="50"/>
      <c r="T487" s="50"/>
      <c r="U487" s="50"/>
      <c r="V487" s="50"/>
      <c r="W487" s="50"/>
      <c r="X487"/>
      <c r="Y487"/>
      <c r="Z487"/>
      <c r="AA487"/>
      <c r="AB487"/>
      <c r="AC487"/>
      <c r="AD487"/>
      <c r="AE487"/>
      <c r="AF487"/>
      <c r="AG487"/>
      <c r="AH487"/>
      <c r="AI487"/>
    </row>
    <row r="488" spans="1:35" s="48" customFormat="1" x14ac:dyDescent="0.45">
      <c r="A488" s="3"/>
      <c r="H488"/>
      <c r="J488" s="49"/>
      <c r="K488" s="49"/>
      <c r="L488" s="50"/>
      <c r="M488" s="50"/>
      <c r="N488" s="50"/>
      <c r="O488" s="50"/>
      <c r="P488" s="50"/>
      <c r="Q488" s="50"/>
      <c r="R488" s="47"/>
      <c r="S488" s="50"/>
      <c r="T488" s="50"/>
      <c r="U488" s="50"/>
      <c r="V488" s="50"/>
      <c r="W488" s="50"/>
      <c r="X488"/>
      <c r="Y488"/>
      <c r="Z488"/>
      <c r="AA488"/>
      <c r="AB488"/>
      <c r="AC488"/>
      <c r="AD488"/>
      <c r="AE488"/>
      <c r="AF488"/>
      <c r="AG488"/>
      <c r="AH488"/>
      <c r="AI488"/>
    </row>
    <row r="489" spans="1:35" s="48" customFormat="1" x14ac:dyDescent="0.45">
      <c r="A489" s="3"/>
      <c r="H489"/>
      <c r="J489" s="49"/>
      <c r="K489" s="49"/>
      <c r="L489" s="50"/>
      <c r="M489" s="50"/>
      <c r="N489" s="50"/>
      <c r="O489" s="50"/>
      <c r="P489" s="50"/>
      <c r="Q489" s="50"/>
      <c r="R489" s="47"/>
      <c r="S489" s="50"/>
      <c r="T489" s="50"/>
      <c r="U489" s="50"/>
      <c r="V489" s="50"/>
      <c r="W489" s="50"/>
      <c r="X489"/>
      <c r="Y489"/>
      <c r="Z489"/>
      <c r="AA489"/>
      <c r="AB489"/>
      <c r="AC489"/>
      <c r="AD489"/>
      <c r="AE489"/>
      <c r="AF489"/>
      <c r="AG489"/>
      <c r="AH489"/>
      <c r="AI489"/>
    </row>
    <row r="490" spans="1:35" s="48" customFormat="1" x14ac:dyDescent="0.45">
      <c r="A490" s="3"/>
      <c r="H490"/>
      <c r="J490" s="49"/>
      <c r="K490" s="49"/>
      <c r="L490" s="50"/>
      <c r="M490" s="50"/>
      <c r="N490" s="50"/>
      <c r="O490" s="50"/>
      <c r="P490" s="50"/>
      <c r="Q490" s="50"/>
      <c r="R490" s="47"/>
      <c r="S490" s="50"/>
      <c r="T490" s="50"/>
      <c r="U490" s="50"/>
      <c r="V490" s="50"/>
      <c r="W490" s="50"/>
      <c r="X490"/>
      <c r="Y490"/>
      <c r="Z490"/>
      <c r="AA490"/>
      <c r="AB490"/>
      <c r="AC490"/>
      <c r="AD490"/>
      <c r="AE490"/>
      <c r="AF490"/>
      <c r="AG490"/>
      <c r="AH490"/>
      <c r="AI490"/>
    </row>
    <row r="491" spans="1:35" s="48" customFormat="1" x14ac:dyDescent="0.45">
      <c r="A491" s="3"/>
      <c r="H491"/>
      <c r="J491" s="49"/>
      <c r="K491" s="49"/>
      <c r="L491" s="50"/>
      <c r="M491" s="50"/>
      <c r="N491" s="50"/>
      <c r="O491" s="50"/>
      <c r="P491" s="50"/>
      <c r="Q491" s="50"/>
      <c r="R491" s="47"/>
      <c r="S491" s="50"/>
      <c r="T491" s="50"/>
      <c r="U491" s="50"/>
      <c r="V491" s="50"/>
      <c r="W491" s="50"/>
      <c r="X491"/>
      <c r="Y491"/>
      <c r="Z491"/>
      <c r="AA491"/>
      <c r="AB491"/>
      <c r="AC491"/>
      <c r="AD491"/>
      <c r="AE491"/>
      <c r="AF491"/>
      <c r="AG491"/>
      <c r="AH491"/>
      <c r="AI491"/>
    </row>
    <row r="492" spans="1:35" s="48" customFormat="1" x14ac:dyDescent="0.45">
      <c r="A492" s="3"/>
      <c r="H492"/>
      <c r="J492" s="49"/>
      <c r="K492" s="49"/>
      <c r="L492" s="50"/>
      <c r="M492" s="50"/>
      <c r="N492" s="50"/>
      <c r="O492" s="50"/>
      <c r="P492" s="50"/>
      <c r="Q492" s="50"/>
      <c r="R492" s="47"/>
      <c r="S492" s="50"/>
      <c r="T492" s="50"/>
      <c r="U492" s="50"/>
      <c r="V492" s="50"/>
      <c r="W492" s="50"/>
      <c r="X492"/>
      <c r="Y492"/>
      <c r="Z492"/>
      <c r="AA492"/>
      <c r="AB492"/>
      <c r="AC492"/>
      <c r="AD492"/>
      <c r="AE492"/>
      <c r="AF492"/>
      <c r="AG492"/>
      <c r="AH492"/>
      <c r="AI492"/>
    </row>
    <row r="493" spans="1:35" s="48" customFormat="1" x14ac:dyDescent="0.45">
      <c r="A493" s="3"/>
      <c r="H493"/>
      <c r="J493" s="49"/>
      <c r="K493" s="49"/>
      <c r="L493" s="50"/>
      <c r="M493" s="50"/>
      <c r="N493" s="50"/>
      <c r="O493" s="50"/>
      <c r="P493" s="50"/>
      <c r="Q493" s="50"/>
      <c r="R493" s="47"/>
      <c r="S493" s="50"/>
      <c r="T493" s="50"/>
      <c r="U493" s="50"/>
      <c r="V493" s="50"/>
      <c r="W493" s="50"/>
      <c r="X493"/>
      <c r="Y493"/>
      <c r="Z493"/>
      <c r="AA493"/>
      <c r="AB493"/>
      <c r="AC493"/>
      <c r="AD493"/>
      <c r="AE493"/>
      <c r="AF493"/>
      <c r="AG493"/>
      <c r="AH493"/>
      <c r="AI493"/>
    </row>
    <row r="494" spans="1:35" s="48" customFormat="1" x14ac:dyDescent="0.45">
      <c r="A494" s="3"/>
      <c r="H494"/>
      <c r="J494" s="49"/>
      <c r="K494" s="49"/>
      <c r="L494" s="50"/>
      <c r="M494" s="50"/>
      <c r="N494" s="50"/>
      <c r="O494" s="50"/>
      <c r="P494" s="50"/>
      <c r="Q494" s="50"/>
      <c r="R494" s="47"/>
      <c r="S494" s="50"/>
      <c r="T494" s="50"/>
      <c r="U494" s="50"/>
      <c r="V494" s="50"/>
      <c r="W494" s="50"/>
      <c r="X494"/>
      <c r="Y494"/>
      <c r="Z494"/>
      <c r="AA494"/>
      <c r="AB494"/>
      <c r="AC494"/>
      <c r="AD494"/>
      <c r="AE494"/>
      <c r="AF494"/>
      <c r="AG494"/>
      <c r="AH494"/>
      <c r="AI494"/>
    </row>
    <row r="495" spans="1:35" s="48" customFormat="1" x14ac:dyDescent="0.45">
      <c r="A495" s="3"/>
      <c r="H495"/>
      <c r="J495" s="49"/>
      <c r="K495" s="49"/>
      <c r="L495" s="50"/>
      <c r="M495" s="50"/>
      <c r="N495" s="50"/>
      <c r="O495" s="50"/>
      <c r="P495" s="50"/>
      <c r="Q495" s="50"/>
      <c r="R495" s="47"/>
      <c r="S495" s="50"/>
      <c r="T495" s="50"/>
      <c r="U495" s="50"/>
      <c r="V495" s="50"/>
      <c r="W495" s="50"/>
      <c r="X495"/>
      <c r="Y495"/>
      <c r="Z495"/>
      <c r="AA495"/>
      <c r="AB495"/>
      <c r="AC495"/>
      <c r="AD495"/>
      <c r="AE495"/>
      <c r="AF495"/>
      <c r="AG495"/>
      <c r="AH495"/>
      <c r="AI495"/>
    </row>
    <row r="496" spans="1:35" s="48" customFormat="1" x14ac:dyDescent="0.45">
      <c r="A496" s="3"/>
      <c r="H496"/>
      <c r="J496" s="49"/>
      <c r="K496" s="49"/>
      <c r="L496" s="50"/>
      <c r="M496" s="50"/>
      <c r="N496" s="50"/>
      <c r="O496" s="50"/>
      <c r="P496" s="50"/>
      <c r="Q496" s="50"/>
      <c r="R496" s="47"/>
      <c r="S496" s="50"/>
      <c r="T496" s="50"/>
      <c r="U496" s="50"/>
      <c r="V496" s="50"/>
      <c r="W496" s="50"/>
      <c r="X496"/>
      <c r="Y496"/>
      <c r="Z496"/>
      <c r="AA496"/>
      <c r="AB496"/>
      <c r="AC496"/>
      <c r="AD496"/>
      <c r="AE496"/>
      <c r="AF496"/>
      <c r="AG496"/>
      <c r="AH496"/>
      <c r="AI496"/>
    </row>
    <row r="497" spans="1:35" s="48" customFormat="1" x14ac:dyDescent="0.45">
      <c r="A497" s="3"/>
      <c r="H497"/>
      <c r="J497" s="49"/>
      <c r="K497" s="49"/>
      <c r="L497" s="50"/>
      <c r="M497" s="50"/>
      <c r="N497" s="50"/>
      <c r="O497" s="50"/>
      <c r="P497" s="50"/>
      <c r="Q497" s="50"/>
      <c r="R497" s="47"/>
      <c r="S497" s="50"/>
      <c r="T497" s="50"/>
      <c r="U497" s="50"/>
      <c r="V497" s="50"/>
      <c r="W497" s="50"/>
      <c r="X497"/>
      <c r="Y497"/>
      <c r="Z497"/>
      <c r="AA497"/>
      <c r="AB497"/>
      <c r="AC497"/>
      <c r="AD497"/>
      <c r="AE497"/>
      <c r="AF497"/>
      <c r="AG497"/>
      <c r="AH497"/>
      <c r="AI497"/>
    </row>
    <row r="498" spans="1:35" s="48" customFormat="1" x14ac:dyDescent="0.45">
      <c r="A498" s="3"/>
      <c r="H498"/>
      <c r="J498" s="49"/>
      <c r="K498" s="49"/>
      <c r="L498" s="50"/>
      <c r="M498" s="50"/>
      <c r="N498" s="50"/>
      <c r="O498" s="50"/>
      <c r="P498" s="50"/>
      <c r="Q498" s="50"/>
      <c r="R498" s="47"/>
      <c r="S498" s="50"/>
      <c r="T498" s="50"/>
      <c r="U498" s="50"/>
      <c r="V498" s="50"/>
      <c r="W498" s="50"/>
      <c r="X498"/>
      <c r="Y498"/>
      <c r="Z498"/>
      <c r="AA498"/>
      <c r="AB498"/>
      <c r="AC498"/>
      <c r="AD498"/>
      <c r="AE498"/>
      <c r="AF498"/>
      <c r="AG498"/>
      <c r="AH498"/>
      <c r="AI498"/>
    </row>
    <row r="499" spans="1:35" s="48" customFormat="1" x14ac:dyDescent="0.45">
      <c r="A499" s="3"/>
      <c r="H499"/>
      <c r="J499" s="49"/>
      <c r="K499" s="49"/>
      <c r="L499" s="50"/>
      <c r="M499" s="50"/>
      <c r="N499" s="50"/>
      <c r="O499" s="50"/>
      <c r="P499" s="50"/>
      <c r="Q499" s="50"/>
      <c r="R499" s="47"/>
      <c r="S499" s="50"/>
      <c r="T499" s="50"/>
      <c r="U499" s="50"/>
      <c r="V499" s="50"/>
      <c r="W499" s="50"/>
      <c r="X499"/>
      <c r="Y499"/>
      <c r="Z499"/>
      <c r="AA499"/>
      <c r="AB499"/>
      <c r="AC499"/>
      <c r="AD499"/>
      <c r="AE499"/>
      <c r="AF499"/>
      <c r="AG499"/>
      <c r="AH499"/>
      <c r="AI499"/>
    </row>
    <row r="500" spans="1:35" s="48" customFormat="1" x14ac:dyDescent="0.45">
      <c r="A500" s="3"/>
      <c r="H500"/>
      <c r="J500" s="49"/>
      <c r="K500" s="49"/>
      <c r="L500" s="50"/>
      <c r="M500" s="50"/>
      <c r="N500" s="50"/>
      <c r="O500" s="50"/>
      <c r="P500" s="50"/>
      <c r="Q500" s="50"/>
      <c r="R500" s="47"/>
      <c r="S500" s="50"/>
      <c r="T500" s="50"/>
      <c r="U500" s="50"/>
      <c r="V500" s="50"/>
      <c r="W500" s="50"/>
      <c r="X500"/>
      <c r="Y500"/>
      <c r="Z500"/>
      <c r="AA500"/>
      <c r="AB500"/>
      <c r="AC500"/>
      <c r="AD500"/>
      <c r="AE500"/>
      <c r="AF500"/>
      <c r="AG500"/>
      <c r="AH500"/>
      <c r="AI500"/>
    </row>
    <row r="501" spans="1:35" s="48" customFormat="1" x14ac:dyDescent="0.45">
      <c r="A501" s="3"/>
      <c r="H501"/>
      <c r="J501" s="49"/>
      <c r="K501" s="49"/>
      <c r="L501" s="50"/>
      <c r="M501" s="50"/>
      <c r="N501" s="50"/>
      <c r="O501" s="50"/>
      <c r="P501" s="50"/>
      <c r="Q501" s="50"/>
      <c r="R501" s="47"/>
      <c r="S501" s="50"/>
      <c r="T501" s="50"/>
      <c r="U501" s="50"/>
      <c r="V501" s="50"/>
      <c r="W501" s="50"/>
      <c r="X501"/>
      <c r="Y501"/>
      <c r="Z501"/>
      <c r="AA501"/>
      <c r="AB501"/>
      <c r="AC501"/>
      <c r="AD501"/>
      <c r="AE501"/>
      <c r="AF501"/>
      <c r="AG501"/>
      <c r="AH501"/>
      <c r="AI501"/>
    </row>
    <row r="502" spans="1:35" s="48" customFormat="1" x14ac:dyDescent="0.45">
      <c r="A502" s="3"/>
      <c r="H502"/>
      <c r="J502" s="49"/>
      <c r="K502" s="49"/>
      <c r="L502" s="50"/>
      <c r="M502" s="50"/>
      <c r="N502" s="50"/>
      <c r="O502" s="50"/>
      <c r="P502" s="50"/>
      <c r="Q502" s="50"/>
      <c r="R502" s="47"/>
      <c r="S502" s="50"/>
      <c r="T502" s="50"/>
      <c r="U502" s="50"/>
      <c r="V502" s="50"/>
      <c r="W502" s="50"/>
      <c r="X502"/>
      <c r="Y502"/>
      <c r="Z502"/>
      <c r="AA502"/>
      <c r="AB502"/>
      <c r="AC502"/>
      <c r="AD502"/>
      <c r="AE502"/>
      <c r="AF502"/>
      <c r="AG502"/>
      <c r="AH502"/>
      <c r="AI502"/>
    </row>
    <row r="503" spans="1:35" s="48" customFormat="1" x14ac:dyDescent="0.45">
      <c r="A503" s="3"/>
      <c r="H503"/>
      <c r="J503" s="49"/>
      <c r="K503" s="49"/>
      <c r="L503" s="50"/>
      <c r="M503" s="50"/>
      <c r="N503" s="50"/>
      <c r="O503" s="50"/>
      <c r="P503" s="50"/>
      <c r="Q503" s="50"/>
      <c r="R503" s="47"/>
      <c r="S503" s="50"/>
      <c r="T503" s="50"/>
      <c r="U503" s="50"/>
      <c r="V503" s="50"/>
      <c r="W503" s="50"/>
      <c r="X503"/>
      <c r="Y503"/>
      <c r="Z503"/>
      <c r="AA503"/>
      <c r="AB503"/>
      <c r="AC503"/>
      <c r="AD503"/>
      <c r="AE503"/>
      <c r="AF503"/>
      <c r="AG503"/>
      <c r="AH503"/>
      <c r="AI503"/>
    </row>
    <row r="504" spans="1:35" s="48" customFormat="1" x14ac:dyDescent="0.45">
      <c r="A504" s="3"/>
      <c r="H504"/>
      <c r="J504" s="49"/>
      <c r="K504" s="49"/>
      <c r="L504" s="50"/>
      <c r="M504" s="50"/>
      <c r="N504" s="50"/>
      <c r="O504" s="50"/>
      <c r="P504" s="50"/>
      <c r="Q504" s="50"/>
      <c r="R504" s="47"/>
      <c r="S504" s="50"/>
      <c r="T504" s="50"/>
      <c r="U504" s="50"/>
      <c r="V504" s="50"/>
      <c r="W504" s="50"/>
      <c r="X504"/>
      <c r="Y504"/>
      <c r="Z504"/>
      <c r="AA504"/>
      <c r="AB504"/>
      <c r="AC504"/>
      <c r="AD504"/>
      <c r="AE504"/>
      <c r="AF504"/>
      <c r="AG504"/>
      <c r="AH504"/>
      <c r="AI504"/>
    </row>
    <row r="505" spans="1:35" s="48" customFormat="1" x14ac:dyDescent="0.45">
      <c r="A505" s="3"/>
      <c r="H505"/>
      <c r="J505" s="49"/>
      <c r="K505" s="49"/>
      <c r="L505" s="50"/>
      <c r="M505" s="50"/>
      <c r="N505" s="50"/>
      <c r="O505" s="50"/>
      <c r="P505" s="50"/>
      <c r="Q505" s="50"/>
      <c r="R505" s="47"/>
      <c r="S505" s="50"/>
      <c r="T505" s="50"/>
      <c r="U505" s="50"/>
      <c r="V505" s="50"/>
      <c r="W505" s="50"/>
      <c r="X505"/>
      <c r="Y505"/>
      <c r="Z505"/>
      <c r="AA505"/>
      <c r="AB505"/>
      <c r="AC505"/>
      <c r="AD505"/>
      <c r="AE505"/>
      <c r="AF505"/>
      <c r="AG505"/>
      <c r="AH505"/>
      <c r="AI505"/>
    </row>
    <row r="506" spans="1:35" s="48" customFormat="1" x14ac:dyDescent="0.45">
      <c r="A506" s="3"/>
      <c r="H506"/>
      <c r="J506" s="49"/>
      <c r="K506" s="49"/>
      <c r="L506" s="50"/>
      <c r="M506" s="50"/>
      <c r="N506" s="50"/>
      <c r="O506" s="50"/>
      <c r="P506" s="50"/>
      <c r="Q506" s="50"/>
      <c r="R506" s="47"/>
      <c r="S506" s="50"/>
      <c r="T506" s="50"/>
      <c r="U506" s="50"/>
      <c r="V506" s="50"/>
      <c r="W506" s="50"/>
      <c r="X506"/>
      <c r="Y506"/>
      <c r="Z506"/>
      <c r="AA506"/>
      <c r="AB506"/>
      <c r="AC506"/>
      <c r="AD506"/>
      <c r="AE506"/>
      <c r="AF506"/>
      <c r="AG506"/>
      <c r="AH506"/>
      <c r="AI506"/>
    </row>
    <row r="507" spans="1:35" s="48" customFormat="1" x14ac:dyDescent="0.45">
      <c r="A507" s="3"/>
      <c r="H507"/>
      <c r="J507" s="49"/>
      <c r="K507" s="49"/>
      <c r="L507" s="50"/>
      <c r="M507" s="50"/>
      <c r="N507" s="50"/>
      <c r="O507" s="50"/>
      <c r="P507" s="50"/>
      <c r="Q507" s="50"/>
      <c r="R507" s="47"/>
      <c r="S507" s="50"/>
      <c r="T507" s="50"/>
      <c r="U507" s="50"/>
      <c r="V507" s="50"/>
      <c r="W507" s="50"/>
      <c r="X507"/>
      <c r="Y507"/>
      <c r="Z507"/>
      <c r="AA507"/>
      <c r="AB507"/>
      <c r="AC507"/>
      <c r="AD507"/>
      <c r="AE507"/>
      <c r="AF507"/>
      <c r="AG507"/>
      <c r="AH507"/>
      <c r="AI507"/>
    </row>
    <row r="508" spans="1:35" s="48" customFormat="1" x14ac:dyDescent="0.45">
      <c r="A508" s="3"/>
      <c r="H508"/>
      <c r="J508" s="49"/>
      <c r="K508" s="49"/>
      <c r="L508" s="50"/>
      <c r="M508" s="50"/>
      <c r="N508" s="50"/>
      <c r="O508" s="50"/>
      <c r="P508" s="50"/>
      <c r="Q508" s="50"/>
      <c r="R508" s="47"/>
      <c r="S508" s="50"/>
      <c r="T508" s="50"/>
      <c r="U508" s="50"/>
      <c r="V508" s="50"/>
      <c r="W508" s="50"/>
      <c r="X508"/>
      <c r="Y508"/>
      <c r="Z508"/>
      <c r="AA508"/>
      <c r="AB508"/>
      <c r="AC508"/>
      <c r="AD508"/>
      <c r="AE508"/>
      <c r="AF508"/>
      <c r="AG508"/>
      <c r="AH508"/>
      <c r="AI508"/>
    </row>
    <row r="509" spans="1:35" s="48" customFormat="1" x14ac:dyDescent="0.45">
      <c r="A509" s="3"/>
      <c r="H509"/>
      <c r="J509" s="49"/>
      <c r="K509" s="49"/>
      <c r="L509" s="50"/>
      <c r="M509" s="50"/>
      <c r="N509" s="50"/>
      <c r="O509" s="50"/>
      <c r="P509" s="50"/>
      <c r="Q509" s="50"/>
      <c r="R509" s="47"/>
      <c r="S509" s="50"/>
      <c r="T509" s="50"/>
      <c r="U509" s="50"/>
      <c r="V509" s="50"/>
      <c r="W509" s="50"/>
      <c r="X509"/>
      <c r="Y509"/>
      <c r="Z509"/>
      <c r="AA509"/>
      <c r="AB509"/>
      <c r="AC509"/>
      <c r="AD509"/>
      <c r="AE509"/>
      <c r="AF509"/>
      <c r="AG509"/>
      <c r="AH509"/>
      <c r="AI509"/>
    </row>
    <row r="510" spans="1:35" s="48" customFormat="1" x14ac:dyDescent="0.45">
      <c r="A510" s="3"/>
      <c r="H510"/>
      <c r="J510" s="49"/>
      <c r="K510" s="49"/>
      <c r="L510" s="50"/>
      <c r="M510" s="50"/>
      <c r="N510" s="50"/>
      <c r="O510" s="50"/>
      <c r="P510" s="50"/>
      <c r="Q510" s="50"/>
      <c r="R510" s="47"/>
      <c r="S510" s="50"/>
      <c r="T510" s="50"/>
      <c r="U510" s="50"/>
      <c r="V510" s="50"/>
      <c r="W510" s="50"/>
      <c r="X510"/>
      <c r="Y510"/>
      <c r="Z510"/>
      <c r="AA510"/>
      <c r="AB510"/>
      <c r="AC510"/>
      <c r="AD510"/>
      <c r="AE510"/>
      <c r="AF510"/>
      <c r="AG510"/>
      <c r="AH510"/>
      <c r="AI510"/>
    </row>
    <row r="511" spans="1:35" s="48" customFormat="1" x14ac:dyDescent="0.45">
      <c r="A511" s="3"/>
      <c r="H511"/>
      <c r="J511" s="49"/>
      <c r="K511" s="49"/>
      <c r="L511" s="50"/>
      <c r="M511" s="50"/>
      <c r="N511" s="50"/>
      <c r="O511" s="50"/>
      <c r="P511" s="50"/>
      <c r="Q511" s="50"/>
      <c r="R511" s="47"/>
      <c r="S511" s="50"/>
      <c r="T511" s="50"/>
      <c r="U511" s="50"/>
      <c r="V511" s="50"/>
      <c r="W511" s="50"/>
      <c r="X511"/>
      <c r="Y511"/>
      <c r="Z511"/>
      <c r="AA511"/>
      <c r="AB511"/>
      <c r="AC511"/>
      <c r="AD511"/>
      <c r="AE511"/>
      <c r="AF511"/>
      <c r="AG511"/>
      <c r="AH511"/>
      <c r="AI511"/>
    </row>
    <row r="512" spans="1:35" s="48" customFormat="1" x14ac:dyDescent="0.45">
      <c r="A512" s="3"/>
      <c r="H512"/>
      <c r="J512" s="49"/>
      <c r="K512" s="49"/>
      <c r="L512" s="50"/>
      <c r="M512" s="50"/>
      <c r="N512" s="50"/>
      <c r="O512" s="50"/>
      <c r="P512" s="50"/>
      <c r="Q512" s="50"/>
      <c r="R512" s="47"/>
      <c r="S512" s="50"/>
      <c r="T512" s="50"/>
      <c r="U512" s="50"/>
      <c r="V512" s="50"/>
      <c r="W512" s="50"/>
      <c r="X512"/>
      <c r="Y512"/>
      <c r="Z512"/>
      <c r="AA512"/>
      <c r="AB512"/>
      <c r="AC512"/>
      <c r="AD512"/>
      <c r="AE512"/>
      <c r="AF512"/>
      <c r="AG512"/>
      <c r="AH512"/>
      <c r="AI512"/>
    </row>
    <row r="513" spans="1:35" s="48" customFormat="1" x14ac:dyDescent="0.45">
      <c r="A513" s="3"/>
      <c r="H513"/>
      <c r="J513" s="49"/>
      <c r="K513" s="49"/>
      <c r="L513" s="50"/>
      <c r="M513" s="50"/>
      <c r="N513" s="50"/>
      <c r="O513" s="50"/>
      <c r="P513" s="50"/>
      <c r="Q513" s="50"/>
      <c r="R513" s="47"/>
      <c r="S513" s="50"/>
      <c r="T513" s="50"/>
      <c r="U513" s="50"/>
      <c r="V513" s="50"/>
      <c r="W513" s="50"/>
      <c r="X513"/>
      <c r="Y513"/>
      <c r="Z513"/>
      <c r="AA513"/>
      <c r="AB513"/>
      <c r="AC513"/>
      <c r="AD513"/>
      <c r="AE513"/>
      <c r="AF513"/>
      <c r="AG513"/>
      <c r="AH513"/>
      <c r="AI513"/>
    </row>
    <row r="514" spans="1:35" s="48" customFormat="1" x14ac:dyDescent="0.45">
      <c r="A514" s="3"/>
      <c r="H514"/>
      <c r="J514" s="49"/>
      <c r="K514" s="49"/>
      <c r="L514" s="50"/>
      <c r="M514" s="50"/>
      <c r="N514" s="50"/>
      <c r="O514" s="50"/>
      <c r="P514" s="50"/>
      <c r="Q514" s="50"/>
      <c r="R514" s="47"/>
      <c r="S514" s="50"/>
      <c r="T514" s="50"/>
      <c r="U514" s="50"/>
      <c r="V514" s="50"/>
      <c r="W514" s="50"/>
      <c r="X514"/>
      <c r="Y514"/>
      <c r="Z514"/>
      <c r="AA514"/>
      <c r="AB514"/>
      <c r="AC514"/>
      <c r="AD514"/>
      <c r="AE514"/>
      <c r="AF514"/>
      <c r="AG514"/>
      <c r="AH514"/>
      <c r="AI514"/>
    </row>
    <row r="515" spans="1:35" s="48" customFormat="1" x14ac:dyDescent="0.45">
      <c r="A515" s="3"/>
      <c r="H515"/>
      <c r="J515" s="49"/>
      <c r="K515" s="49"/>
      <c r="L515" s="50"/>
      <c r="M515" s="50"/>
      <c r="N515" s="50"/>
      <c r="O515" s="50"/>
      <c r="P515" s="50"/>
      <c r="Q515" s="50"/>
      <c r="R515" s="47"/>
      <c r="S515" s="50"/>
      <c r="T515" s="50"/>
      <c r="U515" s="50"/>
      <c r="V515" s="50"/>
      <c r="W515" s="50"/>
      <c r="X515"/>
      <c r="Y515"/>
      <c r="Z515"/>
      <c r="AA515"/>
      <c r="AB515"/>
      <c r="AC515"/>
      <c r="AD515"/>
      <c r="AE515"/>
      <c r="AF515"/>
      <c r="AG515"/>
      <c r="AH515"/>
      <c r="AI515"/>
    </row>
    <row r="516" spans="1:35" s="48" customFormat="1" x14ac:dyDescent="0.45">
      <c r="A516" s="3"/>
      <c r="H516"/>
      <c r="J516" s="49"/>
      <c r="K516" s="49"/>
      <c r="L516" s="50"/>
      <c r="M516" s="50"/>
      <c r="N516" s="50"/>
      <c r="O516" s="50"/>
      <c r="P516" s="50"/>
      <c r="Q516" s="50"/>
      <c r="R516" s="47"/>
      <c r="S516" s="50"/>
      <c r="T516" s="50"/>
      <c r="U516" s="50"/>
      <c r="V516" s="50"/>
      <c r="W516" s="50"/>
      <c r="X516"/>
      <c r="Y516"/>
      <c r="Z516"/>
      <c r="AA516"/>
      <c r="AB516"/>
      <c r="AC516"/>
      <c r="AD516"/>
      <c r="AE516"/>
      <c r="AF516"/>
      <c r="AG516"/>
      <c r="AH516"/>
      <c r="AI516"/>
    </row>
    <row r="517" spans="1:35" s="48" customFormat="1" x14ac:dyDescent="0.45">
      <c r="A517" s="3"/>
      <c r="H517"/>
      <c r="J517" s="49"/>
      <c r="K517" s="49"/>
      <c r="L517" s="50"/>
      <c r="M517" s="50"/>
      <c r="N517" s="50"/>
      <c r="O517" s="50"/>
      <c r="P517" s="50"/>
      <c r="Q517" s="50"/>
      <c r="R517" s="47"/>
      <c r="S517" s="50"/>
      <c r="T517" s="50"/>
      <c r="U517" s="50"/>
      <c r="V517" s="50"/>
      <c r="W517" s="50"/>
      <c r="X517"/>
      <c r="Y517"/>
      <c r="Z517"/>
      <c r="AA517"/>
      <c r="AB517"/>
      <c r="AC517"/>
      <c r="AD517"/>
      <c r="AE517"/>
      <c r="AF517"/>
      <c r="AG517"/>
      <c r="AH517"/>
      <c r="AI517"/>
    </row>
    <row r="518" spans="1:35" s="48" customFormat="1" x14ac:dyDescent="0.45">
      <c r="A518" s="3"/>
      <c r="H518"/>
      <c r="J518" s="49"/>
      <c r="K518" s="49"/>
      <c r="L518" s="50"/>
      <c r="M518" s="50"/>
      <c r="N518" s="50"/>
      <c r="O518" s="50"/>
      <c r="P518" s="50"/>
      <c r="Q518" s="50"/>
      <c r="R518" s="47"/>
      <c r="S518" s="50"/>
      <c r="T518" s="50"/>
      <c r="U518" s="50"/>
      <c r="V518" s="50"/>
      <c r="W518" s="50"/>
      <c r="X518"/>
      <c r="Y518"/>
      <c r="Z518"/>
      <c r="AA518"/>
      <c r="AB518"/>
      <c r="AC518"/>
      <c r="AD518"/>
      <c r="AE518"/>
      <c r="AF518"/>
      <c r="AG518"/>
      <c r="AH518"/>
      <c r="AI518"/>
    </row>
    <row r="519" spans="1:35" s="48" customFormat="1" x14ac:dyDescent="0.45">
      <c r="A519" s="3"/>
      <c r="H519"/>
      <c r="J519" s="49"/>
      <c r="K519" s="49"/>
      <c r="L519" s="50"/>
      <c r="M519" s="50"/>
      <c r="N519" s="50"/>
      <c r="O519" s="50"/>
      <c r="P519" s="50"/>
      <c r="Q519" s="50"/>
      <c r="R519" s="47"/>
      <c r="S519" s="50"/>
      <c r="T519" s="50"/>
      <c r="U519" s="50"/>
      <c r="V519" s="50"/>
      <c r="W519" s="50"/>
      <c r="X519"/>
      <c r="Y519"/>
      <c r="Z519"/>
      <c r="AA519"/>
      <c r="AB519"/>
      <c r="AC519"/>
      <c r="AD519"/>
      <c r="AE519"/>
      <c r="AF519"/>
      <c r="AG519"/>
      <c r="AH519"/>
      <c r="AI519"/>
    </row>
    <row r="520" spans="1:35" s="48" customFormat="1" x14ac:dyDescent="0.45">
      <c r="A520" s="3"/>
      <c r="H520"/>
      <c r="J520" s="49"/>
      <c r="K520" s="49"/>
      <c r="L520" s="50"/>
      <c r="M520" s="50"/>
      <c r="N520" s="50"/>
      <c r="O520" s="50"/>
      <c r="P520" s="50"/>
      <c r="Q520" s="50"/>
      <c r="R520" s="47"/>
      <c r="S520" s="50"/>
      <c r="T520" s="50"/>
      <c r="U520" s="50"/>
      <c r="V520" s="50"/>
      <c r="W520" s="50"/>
      <c r="X520"/>
      <c r="Y520"/>
      <c r="Z520"/>
      <c r="AA520"/>
      <c r="AB520"/>
      <c r="AC520"/>
      <c r="AD520"/>
      <c r="AE520"/>
      <c r="AF520"/>
      <c r="AG520"/>
      <c r="AH520"/>
      <c r="AI520"/>
    </row>
    <row r="521" spans="1:35" s="48" customFormat="1" x14ac:dyDescent="0.45">
      <c r="A521" s="3"/>
      <c r="H521"/>
      <c r="J521" s="49"/>
      <c r="K521" s="49"/>
      <c r="L521" s="50"/>
      <c r="M521" s="50"/>
      <c r="N521" s="50"/>
      <c r="O521" s="50"/>
      <c r="P521" s="50"/>
      <c r="Q521" s="50"/>
      <c r="R521" s="47"/>
      <c r="S521" s="50"/>
      <c r="T521" s="50"/>
      <c r="U521" s="50"/>
      <c r="V521" s="50"/>
      <c r="W521" s="50"/>
      <c r="X521"/>
      <c r="Y521"/>
      <c r="Z521"/>
      <c r="AA521"/>
      <c r="AB521"/>
      <c r="AC521"/>
      <c r="AD521"/>
      <c r="AE521"/>
      <c r="AF521"/>
      <c r="AG521"/>
      <c r="AH521"/>
      <c r="AI521"/>
    </row>
    <row r="522" spans="1:35" s="48" customFormat="1" x14ac:dyDescent="0.45">
      <c r="A522" s="3"/>
      <c r="H522"/>
      <c r="J522" s="49"/>
      <c r="K522" s="49"/>
      <c r="L522" s="50"/>
      <c r="M522" s="50"/>
      <c r="N522" s="50"/>
      <c r="O522" s="50"/>
      <c r="P522" s="50"/>
      <c r="Q522" s="50"/>
      <c r="R522" s="47"/>
      <c r="S522" s="50"/>
      <c r="T522" s="50"/>
      <c r="U522" s="50"/>
      <c r="V522" s="50"/>
      <c r="W522" s="50"/>
      <c r="X522"/>
      <c r="Y522"/>
      <c r="Z522"/>
      <c r="AA522"/>
      <c r="AB522"/>
      <c r="AC522"/>
      <c r="AD522"/>
      <c r="AE522"/>
      <c r="AF522"/>
      <c r="AG522"/>
      <c r="AH522"/>
      <c r="AI522"/>
    </row>
    <row r="523" spans="1:35" s="48" customFormat="1" x14ac:dyDescent="0.45">
      <c r="A523" s="3"/>
      <c r="H523"/>
      <c r="J523" s="49"/>
      <c r="K523" s="49"/>
      <c r="L523" s="50"/>
      <c r="M523" s="50"/>
      <c r="N523" s="50"/>
      <c r="O523" s="50"/>
      <c r="P523" s="50"/>
      <c r="Q523" s="50"/>
      <c r="R523" s="47"/>
      <c r="S523" s="50"/>
      <c r="T523" s="50"/>
      <c r="U523" s="50"/>
      <c r="V523" s="50"/>
      <c r="W523" s="50"/>
      <c r="X523"/>
      <c r="Y523"/>
      <c r="Z523"/>
      <c r="AA523"/>
      <c r="AB523"/>
      <c r="AC523"/>
      <c r="AD523"/>
      <c r="AE523"/>
      <c r="AF523"/>
      <c r="AG523"/>
      <c r="AH523"/>
      <c r="AI523"/>
    </row>
    <row r="524" spans="1:35" s="48" customFormat="1" x14ac:dyDescent="0.45">
      <c r="A524" s="3"/>
      <c r="H524"/>
      <c r="J524" s="49"/>
      <c r="K524" s="49"/>
      <c r="L524" s="50"/>
      <c r="M524" s="50"/>
      <c r="N524" s="50"/>
      <c r="O524" s="50"/>
      <c r="P524" s="50"/>
      <c r="Q524" s="50"/>
      <c r="R524" s="47"/>
      <c r="S524" s="50"/>
      <c r="T524" s="50"/>
      <c r="U524" s="50"/>
      <c r="V524" s="50"/>
      <c r="W524" s="50"/>
      <c r="X524"/>
      <c r="Y524"/>
      <c r="Z524"/>
      <c r="AA524"/>
      <c r="AB524"/>
      <c r="AC524"/>
      <c r="AD524"/>
      <c r="AE524"/>
      <c r="AF524"/>
      <c r="AG524"/>
      <c r="AH524"/>
      <c r="AI524"/>
    </row>
    <row r="525" spans="1:35" s="48" customFormat="1" x14ac:dyDescent="0.45">
      <c r="A525" s="3"/>
      <c r="H525"/>
      <c r="J525" s="49"/>
      <c r="K525" s="49"/>
      <c r="L525" s="50"/>
      <c r="M525" s="50"/>
      <c r="N525" s="50"/>
      <c r="O525" s="50"/>
      <c r="P525" s="50"/>
      <c r="Q525" s="50"/>
      <c r="R525" s="47"/>
      <c r="S525" s="50"/>
      <c r="T525" s="50"/>
      <c r="U525" s="50"/>
      <c r="V525" s="50"/>
      <c r="W525" s="50"/>
      <c r="X525"/>
      <c r="Y525"/>
      <c r="Z525"/>
      <c r="AA525"/>
      <c r="AB525"/>
      <c r="AC525"/>
      <c r="AD525"/>
      <c r="AE525"/>
      <c r="AF525"/>
      <c r="AG525"/>
      <c r="AH525"/>
      <c r="AI525"/>
    </row>
    <row r="526" spans="1:35" s="48" customFormat="1" x14ac:dyDescent="0.45">
      <c r="A526" s="3"/>
      <c r="H526"/>
      <c r="J526" s="49"/>
      <c r="K526" s="49"/>
      <c r="L526" s="50"/>
      <c r="M526" s="50"/>
      <c r="N526" s="50"/>
      <c r="O526" s="50"/>
      <c r="P526" s="50"/>
      <c r="Q526" s="50"/>
      <c r="R526" s="47"/>
      <c r="S526" s="50"/>
      <c r="T526" s="50"/>
      <c r="U526" s="50"/>
      <c r="V526" s="50"/>
      <c r="W526" s="50"/>
      <c r="X526"/>
      <c r="Y526"/>
      <c r="Z526"/>
      <c r="AA526"/>
      <c r="AB526"/>
      <c r="AC526"/>
      <c r="AD526"/>
      <c r="AE526"/>
      <c r="AF526"/>
      <c r="AG526"/>
      <c r="AH526"/>
      <c r="AI526"/>
    </row>
    <row r="527" spans="1:35" s="48" customFormat="1" x14ac:dyDescent="0.45">
      <c r="A527" s="3"/>
      <c r="H527"/>
      <c r="J527" s="49"/>
      <c r="K527" s="49"/>
      <c r="L527" s="50"/>
      <c r="M527" s="50"/>
      <c r="N527" s="50"/>
      <c r="O527" s="50"/>
      <c r="P527" s="50"/>
      <c r="Q527" s="50"/>
      <c r="R527" s="47"/>
      <c r="S527" s="50"/>
      <c r="T527" s="50"/>
      <c r="U527" s="50"/>
      <c r="V527" s="50"/>
      <c r="W527" s="50"/>
      <c r="X527"/>
      <c r="Y527"/>
      <c r="Z527"/>
      <c r="AA527"/>
      <c r="AB527"/>
      <c r="AC527"/>
      <c r="AD527"/>
      <c r="AE527"/>
      <c r="AF527"/>
      <c r="AG527"/>
      <c r="AH527"/>
      <c r="AI527"/>
    </row>
    <row r="528" spans="1:35" s="48" customFormat="1" x14ac:dyDescent="0.45">
      <c r="A528" s="3"/>
      <c r="H528"/>
      <c r="J528" s="49"/>
      <c r="K528" s="49"/>
      <c r="L528" s="50"/>
      <c r="M528" s="50"/>
      <c r="N528" s="50"/>
      <c r="O528" s="50"/>
      <c r="P528" s="50"/>
      <c r="Q528" s="50"/>
      <c r="R528" s="47"/>
      <c r="S528" s="50"/>
      <c r="T528" s="50"/>
      <c r="U528" s="50"/>
      <c r="V528" s="50"/>
      <c r="W528" s="50"/>
      <c r="X528"/>
      <c r="Y528"/>
      <c r="Z528"/>
      <c r="AA528"/>
      <c r="AB528"/>
      <c r="AC528"/>
      <c r="AD528"/>
      <c r="AE528"/>
      <c r="AF528"/>
      <c r="AG528"/>
      <c r="AH528"/>
      <c r="AI528"/>
    </row>
    <row r="529" spans="1:35" s="48" customFormat="1" x14ac:dyDescent="0.45">
      <c r="A529" s="3"/>
      <c r="H529"/>
      <c r="J529" s="49"/>
      <c r="K529" s="49"/>
      <c r="L529" s="50"/>
      <c r="M529" s="50"/>
      <c r="N529" s="50"/>
      <c r="O529" s="50"/>
      <c r="P529" s="50"/>
      <c r="Q529" s="50"/>
      <c r="R529" s="47"/>
      <c r="S529" s="50"/>
      <c r="T529" s="50"/>
      <c r="U529" s="50"/>
      <c r="V529" s="50"/>
      <c r="W529" s="50"/>
      <c r="X529"/>
      <c r="Y529"/>
      <c r="Z529"/>
      <c r="AA529"/>
      <c r="AB529"/>
      <c r="AC529"/>
      <c r="AD529"/>
      <c r="AE529"/>
      <c r="AF529"/>
      <c r="AG529"/>
      <c r="AH529"/>
      <c r="AI529"/>
    </row>
    <row r="530" spans="1:35" s="48" customFormat="1" x14ac:dyDescent="0.45">
      <c r="A530" s="3"/>
      <c r="H530"/>
      <c r="J530" s="49"/>
      <c r="K530" s="49"/>
      <c r="L530" s="50"/>
      <c r="M530" s="50"/>
      <c r="N530" s="50"/>
      <c r="O530" s="50"/>
      <c r="P530" s="50"/>
      <c r="Q530" s="50"/>
      <c r="R530" s="47"/>
      <c r="S530" s="50"/>
      <c r="T530" s="50"/>
      <c r="U530" s="50"/>
      <c r="V530" s="50"/>
      <c r="W530" s="50"/>
      <c r="X530"/>
      <c r="Y530"/>
      <c r="Z530"/>
      <c r="AA530"/>
      <c r="AB530"/>
      <c r="AC530"/>
      <c r="AD530"/>
      <c r="AE530"/>
      <c r="AF530"/>
      <c r="AG530"/>
      <c r="AH530"/>
      <c r="AI530"/>
    </row>
    <row r="531" spans="1:35" s="48" customFormat="1" x14ac:dyDescent="0.45">
      <c r="A531" s="3"/>
      <c r="H531"/>
      <c r="J531" s="49"/>
      <c r="K531" s="49"/>
      <c r="L531" s="50"/>
      <c r="M531" s="50"/>
      <c r="N531" s="50"/>
      <c r="O531" s="50"/>
      <c r="P531" s="50"/>
      <c r="Q531" s="50"/>
      <c r="R531" s="47"/>
      <c r="S531" s="50"/>
      <c r="T531" s="50"/>
      <c r="U531" s="50"/>
      <c r="V531" s="50"/>
      <c r="W531" s="50"/>
      <c r="X531"/>
      <c r="Y531"/>
      <c r="Z531"/>
      <c r="AA531"/>
      <c r="AB531"/>
      <c r="AC531"/>
      <c r="AD531"/>
      <c r="AE531"/>
      <c r="AF531"/>
      <c r="AG531"/>
      <c r="AH531"/>
      <c r="AI531"/>
    </row>
    <row r="532" spans="1:35" s="48" customFormat="1" x14ac:dyDescent="0.45">
      <c r="A532" s="3"/>
      <c r="H532"/>
      <c r="J532" s="49"/>
      <c r="K532" s="49"/>
      <c r="L532" s="50"/>
      <c r="M532" s="50"/>
      <c r="N532" s="50"/>
      <c r="O532" s="50"/>
      <c r="P532" s="50"/>
      <c r="Q532" s="50"/>
      <c r="R532" s="47"/>
      <c r="S532" s="50"/>
      <c r="T532" s="50"/>
      <c r="U532" s="50"/>
      <c r="V532" s="50"/>
      <c r="W532" s="50"/>
      <c r="X532"/>
      <c r="Y532"/>
      <c r="Z532"/>
      <c r="AA532"/>
      <c r="AB532"/>
      <c r="AC532"/>
      <c r="AD532"/>
      <c r="AE532"/>
      <c r="AF532"/>
      <c r="AG532"/>
      <c r="AH532"/>
      <c r="AI532"/>
    </row>
    <row r="533" spans="1:35" s="48" customFormat="1" x14ac:dyDescent="0.45">
      <c r="A533" s="3"/>
      <c r="H533"/>
      <c r="J533" s="49"/>
      <c r="K533" s="49"/>
      <c r="L533" s="50"/>
      <c r="M533" s="50"/>
      <c r="N533" s="50"/>
      <c r="O533" s="50"/>
      <c r="P533" s="50"/>
      <c r="Q533" s="50"/>
      <c r="R533" s="47"/>
      <c r="S533" s="50"/>
      <c r="T533" s="50"/>
      <c r="U533" s="50"/>
      <c r="V533" s="50"/>
      <c r="W533" s="50"/>
      <c r="X533"/>
      <c r="Y533"/>
      <c r="Z533"/>
      <c r="AA533"/>
      <c r="AB533"/>
      <c r="AC533"/>
      <c r="AD533"/>
      <c r="AE533"/>
      <c r="AF533"/>
      <c r="AG533"/>
      <c r="AH533"/>
      <c r="AI533"/>
    </row>
    <row r="534" spans="1:35" s="48" customFormat="1" x14ac:dyDescent="0.45">
      <c r="A534" s="3"/>
      <c r="H534"/>
      <c r="J534" s="49"/>
      <c r="K534" s="49"/>
      <c r="L534" s="50"/>
      <c r="M534" s="50"/>
      <c r="N534" s="50"/>
      <c r="O534" s="50"/>
      <c r="P534" s="50"/>
      <c r="Q534" s="50"/>
      <c r="R534" s="47"/>
      <c r="S534" s="50"/>
      <c r="T534" s="50"/>
      <c r="U534" s="50"/>
      <c r="V534" s="50"/>
      <c r="W534" s="50"/>
      <c r="X534"/>
      <c r="Y534"/>
      <c r="Z534"/>
      <c r="AA534"/>
      <c r="AB534"/>
      <c r="AC534"/>
      <c r="AD534"/>
      <c r="AE534"/>
      <c r="AF534"/>
      <c r="AG534"/>
      <c r="AH534"/>
      <c r="AI534"/>
    </row>
    <row r="535" spans="1:35" s="48" customFormat="1" x14ac:dyDescent="0.45">
      <c r="A535" s="3"/>
      <c r="H535"/>
      <c r="J535" s="49"/>
      <c r="K535" s="49"/>
      <c r="L535" s="50"/>
      <c r="M535" s="50"/>
      <c r="N535" s="50"/>
      <c r="O535" s="50"/>
      <c r="P535" s="50"/>
      <c r="Q535" s="50"/>
      <c r="R535" s="47"/>
      <c r="S535" s="50"/>
      <c r="T535" s="50"/>
      <c r="U535" s="50"/>
      <c r="V535" s="50"/>
      <c r="W535" s="50"/>
      <c r="X535"/>
      <c r="Y535"/>
      <c r="Z535"/>
      <c r="AA535"/>
      <c r="AB535"/>
      <c r="AC535"/>
      <c r="AD535"/>
      <c r="AE535"/>
      <c r="AF535"/>
      <c r="AG535"/>
      <c r="AH535"/>
      <c r="AI535"/>
    </row>
    <row r="536" spans="1:35" s="48" customFormat="1" x14ac:dyDescent="0.45">
      <c r="A536" s="3"/>
      <c r="H536"/>
      <c r="J536" s="49"/>
      <c r="K536" s="49"/>
      <c r="L536" s="50"/>
      <c r="M536" s="50"/>
      <c r="N536" s="50"/>
      <c r="O536" s="50"/>
      <c r="P536" s="50"/>
      <c r="Q536" s="50"/>
      <c r="R536" s="47"/>
      <c r="S536" s="50"/>
      <c r="T536" s="50"/>
      <c r="U536" s="50"/>
      <c r="V536" s="50"/>
      <c r="W536" s="50"/>
      <c r="X536"/>
      <c r="Y536"/>
      <c r="Z536"/>
      <c r="AA536"/>
      <c r="AB536"/>
      <c r="AC536"/>
      <c r="AD536"/>
      <c r="AE536"/>
      <c r="AF536"/>
      <c r="AG536"/>
      <c r="AH536"/>
      <c r="AI536"/>
    </row>
    <row r="537" spans="1:35" s="48" customFormat="1" x14ac:dyDescent="0.45">
      <c r="A537" s="3"/>
      <c r="H537"/>
      <c r="J537" s="49"/>
      <c r="K537" s="49"/>
      <c r="L537" s="50"/>
      <c r="M537" s="50"/>
      <c r="N537" s="50"/>
      <c r="O537" s="50"/>
      <c r="P537" s="50"/>
      <c r="Q537" s="50"/>
      <c r="R537" s="47"/>
      <c r="S537" s="50"/>
      <c r="T537" s="50"/>
      <c r="U537" s="50"/>
      <c r="V537" s="50"/>
      <c r="W537" s="50"/>
      <c r="X537"/>
      <c r="Y537"/>
      <c r="Z537"/>
      <c r="AA537"/>
      <c r="AB537"/>
      <c r="AC537"/>
      <c r="AD537"/>
      <c r="AE537"/>
      <c r="AF537"/>
      <c r="AG537"/>
      <c r="AH537"/>
      <c r="AI537"/>
    </row>
    <row r="538" spans="1:35" s="48" customFormat="1" x14ac:dyDescent="0.45">
      <c r="A538" s="3"/>
      <c r="H538"/>
      <c r="J538" s="49"/>
      <c r="K538" s="49"/>
      <c r="L538" s="50"/>
      <c r="M538" s="50"/>
      <c r="N538" s="50"/>
      <c r="O538" s="50"/>
      <c r="P538" s="50"/>
      <c r="Q538" s="50"/>
      <c r="R538" s="47"/>
      <c r="S538" s="50"/>
      <c r="T538" s="50"/>
      <c r="U538" s="50"/>
      <c r="V538" s="50"/>
      <c r="W538" s="50"/>
      <c r="X538"/>
      <c r="Y538"/>
      <c r="Z538"/>
      <c r="AA538"/>
      <c r="AB538"/>
      <c r="AC538"/>
      <c r="AD538"/>
      <c r="AE538"/>
      <c r="AF538"/>
      <c r="AG538"/>
      <c r="AH538"/>
      <c r="AI538"/>
    </row>
    <row r="539" spans="1:35" s="48" customFormat="1" x14ac:dyDescent="0.45">
      <c r="A539" s="3"/>
      <c r="H539"/>
      <c r="J539" s="49"/>
      <c r="K539" s="49"/>
      <c r="L539" s="50"/>
      <c r="M539" s="50"/>
      <c r="N539" s="50"/>
      <c r="O539" s="50"/>
      <c r="P539" s="50"/>
      <c r="Q539" s="50"/>
      <c r="R539" s="47"/>
      <c r="S539" s="50"/>
      <c r="T539" s="50"/>
      <c r="U539" s="50"/>
      <c r="V539" s="50"/>
      <c r="W539" s="50"/>
      <c r="X539"/>
      <c r="Y539"/>
      <c r="Z539"/>
      <c r="AA539"/>
      <c r="AB539"/>
      <c r="AC539"/>
      <c r="AD539"/>
      <c r="AE539"/>
      <c r="AF539"/>
      <c r="AG539"/>
      <c r="AH539"/>
      <c r="AI539"/>
    </row>
    <row r="540" spans="1:35" s="48" customFormat="1" x14ac:dyDescent="0.45">
      <c r="A540" s="3"/>
      <c r="H540"/>
      <c r="J540" s="49"/>
      <c r="K540" s="49"/>
      <c r="L540" s="50"/>
      <c r="M540" s="50"/>
      <c r="N540" s="50"/>
      <c r="O540" s="50"/>
      <c r="P540" s="50"/>
      <c r="Q540" s="50"/>
      <c r="R540" s="47"/>
      <c r="S540" s="50"/>
      <c r="T540" s="50"/>
      <c r="U540" s="50"/>
      <c r="V540" s="50"/>
      <c r="W540" s="50"/>
      <c r="X540"/>
      <c r="Y540"/>
      <c r="Z540"/>
      <c r="AA540"/>
      <c r="AB540"/>
      <c r="AC540"/>
      <c r="AD540"/>
      <c r="AE540"/>
      <c r="AF540"/>
      <c r="AG540"/>
      <c r="AH540"/>
      <c r="AI540"/>
    </row>
    <row r="541" spans="1:35" s="48" customFormat="1" x14ac:dyDescent="0.45">
      <c r="A541" s="3"/>
      <c r="H541"/>
      <c r="J541" s="49"/>
      <c r="K541" s="49"/>
      <c r="L541" s="50"/>
      <c r="M541" s="50"/>
      <c r="N541" s="50"/>
      <c r="O541" s="50"/>
      <c r="P541" s="50"/>
      <c r="Q541" s="50"/>
      <c r="R541" s="47"/>
      <c r="S541" s="50"/>
      <c r="T541" s="50"/>
      <c r="U541" s="50"/>
      <c r="V541" s="50"/>
      <c r="W541" s="50"/>
      <c r="X541"/>
      <c r="Y541"/>
      <c r="Z541"/>
      <c r="AA541"/>
      <c r="AB541"/>
      <c r="AC541"/>
      <c r="AD541"/>
      <c r="AE541"/>
      <c r="AF541"/>
      <c r="AG541"/>
      <c r="AH541"/>
      <c r="AI541"/>
    </row>
    <row r="542" spans="1:35" s="48" customFormat="1" x14ac:dyDescent="0.45">
      <c r="A542" s="3"/>
      <c r="H542"/>
      <c r="J542" s="49"/>
      <c r="K542" s="49"/>
      <c r="L542" s="50"/>
      <c r="M542" s="50"/>
      <c r="N542" s="50"/>
      <c r="O542" s="50"/>
      <c r="P542" s="50"/>
      <c r="Q542" s="50"/>
      <c r="R542" s="47"/>
      <c r="S542" s="50"/>
      <c r="T542" s="50"/>
      <c r="U542" s="50"/>
      <c r="V542" s="50"/>
      <c r="W542" s="50"/>
      <c r="X542"/>
      <c r="Y542"/>
      <c r="Z542"/>
      <c r="AA542"/>
      <c r="AB542"/>
      <c r="AC542"/>
      <c r="AD542"/>
      <c r="AE542"/>
      <c r="AF542"/>
      <c r="AG542"/>
      <c r="AH542"/>
      <c r="AI542"/>
    </row>
    <row r="543" spans="1:35" s="48" customFormat="1" x14ac:dyDescent="0.45">
      <c r="A543" s="3"/>
      <c r="H543"/>
      <c r="J543" s="49"/>
      <c r="K543" s="49"/>
      <c r="L543" s="50"/>
      <c r="M543" s="50"/>
      <c r="N543" s="50"/>
      <c r="O543" s="50"/>
      <c r="P543" s="50"/>
      <c r="Q543" s="50"/>
      <c r="R543" s="47"/>
      <c r="S543" s="50"/>
      <c r="T543" s="50"/>
      <c r="U543" s="50"/>
      <c r="V543" s="50"/>
      <c r="W543" s="50"/>
      <c r="X543"/>
      <c r="Y543"/>
      <c r="Z543"/>
      <c r="AA543"/>
      <c r="AB543"/>
      <c r="AC543"/>
      <c r="AD543"/>
      <c r="AE543"/>
      <c r="AF543"/>
      <c r="AG543"/>
      <c r="AH543"/>
      <c r="AI543"/>
    </row>
    <row r="544" spans="1:35" s="48" customFormat="1" x14ac:dyDescent="0.45">
      <c r="A544" s="3"/>
      <c r="H544"/>
      <c r="J544" s="49"/>
      <c r="K544" s="49"/>
      <c r="L544" s="50"/>
      <c r="M544" s="50"/>
      <c r="N544" s="50"/>
      <c r="O544" s="50"/>
      <c r="P544" s="50"/>
      <c r="Q544" s="50"/>
      <c r="R544" s="47"/>
      <c r="S544" s="50"/>
      <c r="T544" s="50"/>
      <c r="U544" s="50"/>
      <c r="V544" s="50"/>
      <c r="W544" s="50"/>
      <c r="X544"/>
      <c r="Y544"/>
      <c r="Z544"/>
      <c r="AA544"/>
      <c r="AB544"/>
      <c r="AC544"/>
      <c r="AD544"/>
      <c r="AE544"/>
      <c r="AF544"/>
      <c r="AG544"/>
      <c r="AH544"/>
      <c r="AI544"/>
    </row>
    <row r="545" spans="1:35" s="48" customFormat="1" x14ac:dyDescent="0.45">
      <c r="A545" s="3"/>
      <c r="H545"/>
      <c r="J545" s="49"/>
      <c r="K545" s="49"/>
      <c r="L545" s="50"/>
      <c r="M545" s="50"/>
      <c r="N545" s="50"/>
      <c r="O545" s="50"/>
      <c r="P545" s="50"/>
      <c r="Q545" s="50"/>
      <c r="R545" s="47"/>
      <c r="S545" s="50"/>
      <c r="T545" s="50"/>
      <c r="U545" s="50"/>
      <c r="V545" s="50"/>
      <c r="W545" s="50"/>
      <c r="X545"/>
      <c r="Y545"/>
      <c r="Z545"/>
      <c r="AA545"/>
      <c r="AB545"/>
      <c r="AC545"/>
      <c r="AD545"/>
      <c r="AE545"/>
      <c r="AF545"/>
      <c r="AG545"/>
      <c r="AH545"/>
      <c r="AI545"/>
    </row>
    <row r="546" spans="1:35" s="48" customFormat="1" x14ac:dyDescent="0.45">
      <c r="A546" s="3"/>
      <c r="H546"/>
      <c r="J546" s="49"/>
      <c r="K546" s="49"/>
      <c r="L546" s="50"/>
      <c r="M546" s="50"/>
      <c r="N546" s="50"/>
      <c r="O546" s="50"/>
      <c r="P546" s="50"/>
      <c r="Q546" s="50"/>
      <c r="R546" s="47"/>
      <c r="S546" s="50"/>
      <c r="T546" s="50"/>
      <c r="U546" s="50"/>
      <c r="V546" s="50"/>
      <c r="W546" s="50"/>
      <c r="X546"/>
      <c r="Y546"/>
      <c r="Z546"/>
      <c r="AA546"/>
      <c r="AB546"/>
      <c r="AC546"/>
      <c r="AD546"/>
      <c r="AE546"/>
      <c r="AF546"/>
      <c r="AG546"/>
      <c r="AH546"/>
      <c r="AI546"/>
    </row>
    <row r="547" spans="1:35" s="48" customFormat="1" x14ac:dyDescent="0.45">
      <c r="A547" s="3"/>
      <c r="H547"/>
      <c r="J547" s="49"/>
      <c r="K547" s="49"/>
      <c r="L547" s="50"/>
      <c r="M547" s="50"/>
      <c r="N547" s="50"/>
      <c r="O547" s="50"/>
      <c r="P547" s="50"/>
      <c r="Q547" s="50"/>
      <c r="R547" s="47"/>
      <c r="S547" s="50"/>
      <c r="T547" s="50"/>
      <c r="U547" s="50"/>
      <c r="V547" s="50"/>
      <c r="W547" s="50"/>
      <c r="X547"/>
      <c r="Y547"/>
      <c r="Z547"/>
      <c r="AA547"/>
      <c r="AB547"/>
      <c r="AC547"/>
      <c r="AD547"/>
      <c r="AE547"/>
      <c r="AF547"/>
      <c r="AG547"/>
      <c r="AH547"/>
      <c r="AI547"/>
    </row>
    <row r="548" spans="1:35" s="48" customFormat="1" x14ac:dyDescent="0.45">
      <c r="A548" s="3"/>
      <c r="H548"/>
      <c r="J548" s="49"/>
      <c r="K548" s="49"/>
      <c r="L548" s="50"/>
      <c r="M548" s="50"/>
      <c r="N548" s="50"/>
      <c r="O548" s="50"/>
      <c r="P548" s="50"/>
      <c r="Q548" s="50"/>
      <c r="R548" s="47"/>
      <c r="S548" s="50"/>
      <c r="T548" s="50"/>
      <c r="U548" s="50"/>
      <c r="V548" s="50"/>
      <c r="W548" s="50"/>
      <c r="X548"/>
      <c r="Y548"/>
      <c r="Z548"/>
      <c r="AA548"/>
      <c r="AB548"/>
      <c r="AC548"/>
      <c r="AD548"/>
      <c r="AE548"/>
      <c r="AF548"/>
      <c r="AG548"/>
      <c r="AH548"/>
      <c r="AI548"/>
    </row>
    <row r="549" spans="1:35" s="48" customFormat="1" x14ac:dyDescent="0.45">
      <c r="A549" s="3"/>
      <c r="H549"/>
      <c r="J549" s="49"/>
      <c r="K549" s="49"/>
      <c r="L549" s="50"/>
      <c r="M549" s="50"/>
      <c r="N549" s="50"/>
      <c r="O549" s="50"/>
      <c r="P549" s="50"/>
      <c r="Q549" s="50"/>
      <c r="R549" s="47"/>
      <c r="S549" s="50"/>
      <c r="T549" s="50"/>
      <c r="U549" s="50"/>
      <c r="V549" s="50"/>
      <c r="W549" s="50"/>
      <c r="X549"/>
      <c r="Y549"/>
      <c r="Z549"/>
      <c r="AA549"/>
      <c r="AB549"/>
      <c r="AC549"/>
      <c r="AD549"/>
      <c r="AE549"/>
      <c r="AF549"/>
      <c r="AG549"/>
      <c r="AH549"/>
      <c r="AI549"/>
    </row>
    <row r="550" spans="1:35" s="48" customFormat="1" x14ac:dyDescent="0.45">
      <c r="A550" s="3"/>
      <c r="H550"/>
      <c r="J550" s="49"/>
      <c r="K550" s="49"/>
      <c r="L550" s="50"/>
      <c r="M550" s="50"/>
      <c r="N550" s="50"/>
      <c r="O550" s="50"/>
      <c r="P550" s="50"/>
      <c r="Q550" s="50"/>
      <c r="R550" s="47"/>
      <c r="S550" s="50"/>
      <c r="T550" s="50"/>
      <c r="U550" s="50"/>
      <c r="V550" s="50"/>
      <c r="W550" s="50"/>
      <c r="X550"/>
      <c r="Y550"/>
      <c r="Z550"/>
      <c r="AA550"/>
      <c r="AB550"/>
      <c r="AC550"/>
      <c r="AD550"/>
      <c r="AE550"/>
      <c r="AF550"/>
      <c r="AG550"/>
      <c r="AH550"/>
      <c r="AI550"/>
    </row>
    <row r="551" spans="1:35" s="48" customFormat="1" x14ac:dyDescent="0.45">
      <c r="A551" s="3"/>
      <c r="H551"/>
      <c r="J551" s="49"/>
      <c r="K551" s="49"/>
      <c r="L551" s="50"/>
      <c r="M551" s="50"/>
      <c r="N551" s="50"/>
      <c r="O551" s="50"/>
      <c r="P551" s="50"/>
      <c r="Q551" s="50"/>
      <c r="R551" s="47"/>
      <c r="S551" s="50"/>
      <c r="T551" s="50"/>
      <c r="U551" s="50"/>
      <c r="V551" s="50"/>
      <c r="W551" s="50"/>
      <c r="X551"/>
      <c r="Y551"/>
      <c r="Z551"/>
      <c r="AA551"/>
      <c r="AB551"/>
      <c r="AC551"/>
      <c r="AD551"/>
      <c r="AE551"/>
      <c r="AF551"/>
      <c r="AG551"/>
      <c r="AH551"/>
      <c r="AI551"/>
    </row>
    <row r="552" spans="1:35" s="48" customFormat="1" x14ac:dyDescent="0.45">
      <c r="A552" s="3"/>
      <c r="H552"/>
      <c r="J552" s="49"/>
      <c r="K552" s="49"/>
      <c r="L552" s="50"/>
      <c r="M552" s="50"/>
      <c r="N552" s="50"/>
      <c r="O552" s="50"/>
      <c r="P552" s="50"/>
      <c r="Q552" s="50"/>
      <c r="R552" s="47"/>
      <c r="S552" s="50"/>
      <c r="T552" s="50"/>
      <c r="U552" s="50"/>
      <c r="V552" s="50"/>
      <c r="W552" s="50"/>
      <c r="X552"/>
      <c r="Y552"/>
      <c r="Z552"/>
      <c r="AA552"/>
      <c r="AB552"/>
      <c r="AC552"/>
      <c r="AD552"/>
      <c r="AE552"/>
      <c r="AF552"/>
      <c r="AG552"/>
      <c r="AH552"/>
      <c r="AI552"/>
    </row>
    <row r="553" spans="1:35" s="48" customFormat="1" x14ac:dyDescent="0.45">
      <c r="A553" s="3"/>
      <c r="H553"/>
      <c r="J553" s="49"/>
      <c r="K553" s="49"/>
      <c r="L553" s="50"/>
      <c r="M553" s="50"/>
      <c r="N553" s="50"/>
      <c r="O553" s="50"/>
      <c r="P553" s="50"/>
      <c r="Q553" s="50"/>
      <c r="R553" s="47"/>
      <c r="S553" s="50"/>
      <c r="T553" s="50"/>
      <c r="U553" s="50"/>
      <c r="V553" s="50"/>
      <c r="W553" s="50"/>
      <c r="X553"/>
      <c r="Y553"/>
      <c r="Z553"/>
      <c r="AA553"/>
      <c r="AB553"/>
      <c r="AC553"/>
      <c r="AD553"/>
      <c r="AE553"/>
      <c r="AF553"/>
      <c r="AG553"/>
      <c r="AH553"/>
      <c r="AI553"/>
    </row>
    <row r="554" spans="1:35" s="48" customFormat="1" x14ac:dyDescent="0.45">
      <c r="A554" s="3"/>
      <c r="H554"/>
      <c r="J554" s="49"/>
      <c r="K554" s="49"/>
      <c r="L554" s="50"/>
      <c r="M554" s="50"/>
      <c r="N554" s="50"/>
      <c r="O554" s="50"/>
      <c r="P554" s="50"/>
      <c r="Q554" s="50"/>
      <c r="R554" s="47"/>
      <c r="S554" s="50"/>
      <c r="T554" s="50"/>
      <c r="U554" s="50"/>
      <c r="V554" s="50"/>
      <c r="W554" s="50"/>
      <c r="X554"/>
      <c r="Y554"/>
      <c r="Z554"/>
      <c r="AA554"/>
      <c r="AB554"/>
      <c r="AC554"/>
      <c r="AD554"/>
      <c r="AE554"/>
      <c r="AF554"/>
      <c r="AG554"/>
      <c r="AH554"/>
      <c r="AI554"/>
    </row>
    <row r="555" spans="1:35" s="48" customFormat="1" x14ac:dyDescent="0.45">
      <c r="A555" s="3"/>
      <c r="H555"/>
      <c r="J555" s="49"/>
      <c r="K555" s="49"/>
      <c r="L555" s="50"/>
      <c r="M555" s="50"/>
      <c r="N555" s="50"/>
      <c r="O555" s="50"/>
      <c r="P555" s="50"/>
      <c r="Q555" s="50"/>
      <c r="R555" s="47"/>
      <c r="S555" s="50"/>
      <c r="T555" s="50"/>
      <c r="U555" s="50"/>
      <c r="V555" s="50"/>
      <c r="W555" s="50"/>
      <c r="X555"/>
      <c r="Y555"/>
      <c r="Z555"/>
      <c r="AA555"/>
      <c r="AB555"/>
      <c r="AC555"/>
      <c r="AD555"/>
      <c r="AE555"/>
      <c r="AF555"/>
      <c r="AG555"/>
      <c r="AH555"/>
      <c r="AI555"/>
    </row>
    <row r="556" spans="1:35" s="48" customFormat="1" x14ac:dyDescent="0.45">
      <c r="A556" s="3"/>
      <c r="H556"/>
      <c r="J556" s="49"/>
      <c r="K556" s="49"/>
      <c r="L556" s="50"/>
      <c r="M556" s="50"/>
      <c r="N556" s="50"/>
      <c r="O556" s="50"/>
      <c r="P556" s="50"/>
      <c r="Q556" s="50"/>
      <c r="R556" s="47"/>
      <c r="S556" s="50"/>
      <c r="T556" s="50"/>
      <c r="U556" s="50"/>
      <c r="V556" s="50"/>
      <c r="W556" s="50"/>
      <c r="X556"/>
      <c r="Y556"/>
      <c r="Z556"/>
      <c r="AA556"/>
      <c r="AB556"/>
      <c r="AC556"/>
      <c r="AD556"/>
      <c r="AE556"/>
      <c r="AF556"/>
      <c r="AG556"/>
      <c r="AH556"/>
      <c r="AI556"/>
    </row>
    <row r="557" spans="1:35" s="48" customFormat="1" x14ac:dyDescent="0.45">
      <c r="A557" s="3"/>
      <c r="H557"/>
      <c r="J557" s="49"/>
      <c r="K557" s="49"/>
      <c r="L557" s="50"/>
      <c r="M557" s="50"/>
      <c r="N557" s="50"/>
      <c r="O557" s="50"/>
      <c r="P557" s="50"/>
      <c r="Q557" s="50"/>
      <c r="R557" s="47"/>
      <c r="S557" s="50"/>
      <c r="T557" s="50"/>
      <c r="U557" s="50"/>
      <c r="V557" s="50"/>
      <c r="W557" s="50"/>
      <c r="X557"/>
      <c r="Y557"/>
      <c r="Z557"/>
      <c r="AA557"/>
      <c r="AB557"/>
      <c r="AC557"/>
      <c r="AD557"/>
      <c r="AE557"/>
      <c r="AF557"/>
      <c r="AG557"/>
      <c r="AH557"/>
      <c r="AI557"/>
    </row>
    <row r="558" spans="1:35" s="48" customFormat="1" x14ac:dyDescent="0.45">
      <c r="A558" s="3"/>
      <c r="H558"/>
      <c r="J558" s="49"/>
      <c r="K558" s="49"/>
      <c r="L558" s="50"/>
      <c r="M558" s="50"/>
      <c r="N558" s="50"/>
      <c r="O558" s="50"/>
      <c r="P558" s="50"/>
      <c r="Q558" s="50"/>
      <c r="R558" s="47"/>
      <c r="S558" s="50"/>
      <c r="T558" s="50"/>
      <c r="U558" s="50"/>
      <c r="V558" s="50"/>
      <c r="W558" s="50"/>
      <c r="X558"/>
      <c r="Y558"/>
      <c r="Z558"/>
      <c r="AA558"/>
      <c r="AB558"/>
      <c r="AC558"/>
      <c r="AD558"/>
      <c r="AE558"/>
      <c r="AF558"/>
      <c r="AG558"/>
      <c r="AH558"/>
      <c r="AI558"/>
    </row>
    <row r="559" spans="1:35" s="48" customFormat="1" x14ac:dyDescent="0.45">
      <c r="A559" s="3"/>
      <c r="H559"/>
      <c r="J559" s="49"/>
      <c r="K559" s="49"/>
      <c r="L559" s="50"/>
      <c r="M559" s="50"/>
      <c r="N559" s="50"/>
      <c r="O559" s="50"/>
      <c r="P559" s="50"/>
      <c r="Q559" s="50"/>
      <c r="R559" s="47"/>
      <c r="S559" s="50"/>
      <c r="T559" s="50"/>
      <c r="U559" s="50"/>
      <c r="V559" s="50"/>
      <c r="W559" s="50"/>
      <c r="X559"/>
      <c r="Y559"/>
      <c r="Z559"/>
      <c r="AA559"/>
      <c r="AB559"/>
      <c r="AC559"/>
      <c r="AD559"/>
      <c r="AE559"/>
      <c r="AF559"/>
      <c r="AG559"/>
      <c r="AH559"/>
      <c r="AI559"/>
    </row>
    <row r="560" spans="1:35" s="48" customFormat="1" x14ac:dyDescent="0.45">
      <c r="A560" s="3"/>
      <c r="H560"/>
      <c r="J560" s="49"/>
      <c r="K560" s="49"/>
      <c r="L560" s="50"/>
      <c r="M560" s="50"/>
      <c r="N560" s="50"/>
      <c r="O560" s="50"/>
      <c r="P560" s="50"/>
      <c r="Q560" s="50"/>
      <c r="R560" s="47"/>
      <c r="S560" s="50"/>
      <c r="T560" s="50"/>
      <c r="U560" s="50"/>
      <c r="V560" s="50"/>
      <c r="W560" s="50"/>
      <c r="X560"/>
      <c r="Y560"/>
      <c r="Z560"/>
      <c r="AA560"/>
      <c r="AB560"/>
      <c r="AC560"/>
      <c r="AD560"/>
      <c r="AE560"/>
      <c r="AF560"/>
      <c r="AG560"/>
      <c r="AH560"/>
      <c r="AI560"/>
    </row>
    <row r="561" spans="1:35" s="48" customFormat="1" x14ac:dyDescent="0.45">
      <c r="A561" s="3"/>
      <c r="H561"/>
      <c r="J561" s="49"/>
      <c r="K561" s="49"/>
      <c r="L561" s="50"/>
      <c r="M561" s="50"/>
      <c r="N561" s="50"/>
      <c r="O561" s="50"/>
      <c r="P561" s="50"/>
      <c r="Q561" s="50"/>
      <c r="R561" s="47"/>
      <c r="S561" s="50"/>
      <c r="T561" s="50"/>
      <c r="U561" s="50"/>
      <c r="V561" s="50"/>
      <c r="W561" s="50"/>
      <c r="X561"/>
      <c r="Y561"/>
      <c r="Z561"/>
      <c r="AA561"/>
      <c r="AB561"/>
      <c r="AC561"/>
      <c r="AD561"/>
      <c r="AE561"/>
      <c r="AF561"/>
      <c r="AG561"/>
      <c r="AH561"/>
      <c r="AI561"/>
    </row>
    <row r="562" spans="1:35" s="48" customFormat="1" x14ac:dyDescent="0.45">
      <c r="A562" s="3"/>
      <c r="H562"/>
      <c r="J562" s="49"/>
      <c r="K562" s="49"/>
      <c r="L562" s="50"/>
      <c r="M562" s="50"/>
      <c r="N562" s="50"/>
      <c r="O562" s="50"/>
      <c r="P562" s="50"/>
      <c r="Q562" s="50"/>
      <c r="R562" s="47"/>
      <c r="S562" s="50"/>
      <c r="T562" s="50"/>
      <c r="U562" s="50"/>
      <c r="V562" s="50"/>
      <c r="W562" s="50"/>
      <c r="X562"/>
      <c r="Y562"/>
      <c r="Z562"/>
      <c r="AA562"/>
      <c r="AB562"/>
      <c r="AC562"/>
      <c r="AD562"/>
      <c r="AE562"/>
      <c r="AF562"/>
      <c r="AG562"/>
      <c r="AH562"/>
      <c r="AI562"/>
    </row>
    <row r="563" spans="1:35" s="48" customFormat="1" x14ac:dyDescent="0.45">
      <c r="A563" s="3"/>
      <c r="H563"/>
      <c r="J563" s="49"/>
      <c r="K563" s="49"/>
      <c r="L563" s="50"/>
      <c r="M563" s="50"/>
      <c r="N563" s="50"/>
      <c r="O563" s="50"/>
      <c r="P563" s="50"/>
      <c r="Q563" s="50"/>
      <c r="R563" s="47"/>
      <c r="S563" s="50"/>
      <c r="T563" s="50"/>
      <c r="U563" s="50"/>
      <c r="V563" s="50"/>
      <c r="W563" s="50"/>
      <c r="X563"/>
      <c r="Y563"/>
      <c r="Z563"/>
      <c r="AA563"/>
      <c r="AB563"/>
      <c r="AC563"/>
      <c r="AD563"/>
      <c r="AE563"/>
      <c r="AF563"/>
      <c r="AG563"/>
      <c r="AH563"/>
      <c r="AI563"/>
    </row>
    <row r="564" spans="1:35" s="48" customFormat="1" x14ac:dyDescent="0.45">
      <c r="A564" s="3"/>
      <c r="H564"/>
      <c r="J564" s="49"/>
      <c r="K564" s="49"/>
      <c r="L564" s="50"/>
      <c r="M564" s="50"/>
      <c r="N564" s="50"/>
      <c r="O564" s="50"/>
      <c r="P564" s="50"/>
      <c r="Q564" s="50"/>
      <c r="R564" s="47"/>
      <c r="S564" s="50"/>
      <c r="T564" s="50"/>
      <c r="U564" s="50"/>
      <c r="V564" s="50"/>
      <c r="W564" s="50"/>
      <c r="X564"/>
      <c r="Y564"/>
      <c r="Z564"/>
      <c r="AA564"/>
      <c r="AB564"/>
      <c r="AC564"/>
      <c r="AD564"/>
      <c r="AE564"/>
      <c r="AF564"/>
      <c r="AG564"/>
      <c r="AH564"/>
      <c r="AI564"/>
    </row>
    <row r="565" spans="1:35" s="48" customFormat="1" x14ac:dyDescent="0.45">
      <c r="A565" s="3"/>
      <c r="H565"/>
      <c r="J565" s="49"/>
      <c r="K565" s="49"/>
      <c r="L565" s="50"/>
      <c r="M565" s="50"/>
      <c r="N565" s="50"/>
      <c r="O565" s="50"/>
      <c r="P565" s="50"/>
      <c r="Q565" s="50"/>
      <c r="R565" s="47"/>
      <c r="S565" s="50"/>
      <c r="T565" s="50"/>
      <c r="U565" s="50"/>
      <c r="V565" s="50"/>
      <c r="W565" s="50"/>
      <c r="X565"/>
      <c r="Y565"/>
      <c r="Z565"/>
      <c r="AA565"/>
      <c r="AB565"/>
      <c r="AC565"/>
      <c r="AD565"/>
      <c r="AE565"/>
      <c r="AF565"/>
      <c r="AG565"/>
      <c r="AH565"/>
      <c r="AI565"/>
    </row>
    <row r="566" spans="1:35" s="48" customFormat="1" x14ac:dyDescent="0.45">
      <c r="A566" s="3"/>
      <c r="H566"/>
      <c r="J566" s="49"/>
      <c r="K566" s="49"/>
      <c r="L566" s="50"/>
      <c r="M566" s="50"/>
      <c r="N566" s="50"/>
      <c r="O566" s="50"/>
      <c r="P566" s="50"/>
      <c r="Q566" s="50"/>
      <c r="R566" s="47"/>
      <c r="S566" s="50"/>
      <c r="T566" s="50"/>
      <c r="U566" s="50"/>
      <c r="V566" s="50"/>
      <c r="W566" s="50"/>
      <c r="X566"/>
      <c r="Y566"/>
      <c r="Z566"/>
      <c r="AA566"/>
      <c r="AB566"/>
      <c r="AC566"/>
      <c r="AD566"/>
      <c r="AE566"/>
      <c r="AF566"/>
      <c r="AG566"/>
      <c r="AH566"/>
      <c r="AI566"/>
    </row>
    <row r="567" spans="1:35" s="48" customFormat="1" x14ac:dyDescent="0.45">
      <c r="A567" s="3"/>
      <c r="H567"/>
      <c r="J567" s="49"/>
      <c r="K567" s="49"/>
      <c r="L567" s="50"/>
      <c r="M567" s="50"/>
      <c r="N567" s="50"/>
      <c r="O567" s="50"/>
      <c r="P567" s="50"/>
      <c r="Q567" s="50"/>
      <c r="R567" s="47"/>
      <c r="S567" s="50"/>
      <c r="T567" s="50"/>
      <c r="U567" s="50"/>
      <c r="V567" s="50"/>
      <c r="W567" s="50"/>
      <c r="X567"/>
      <c r="Y567"/>
      <c r="Z567"/>
      <c r="AA567"/>
      <c r="AB567"/>
      <c r="AC567"/>
      <c r="AD567"/>
      <c r="AE567"/>
      <c r="AF567"/>
      <c r="AG567"/>
      <c r="AH567"/>
      <c r="AI567"/>
    </row>
    <row r="568" spans="1:35" s="48" customFormat="1" x14ac:dyDescent="0.45">
      <c r="A568" s="3"/>
      <c r="H568"/>
      <c r="J568" s="49"/>
      <c r="K568" s="49"/>
      <c r="L568" s="50"/>
      <c r="M568" s="50"/>
      <c r="N568" s="50"/>
      <c r="O568" s="50"/>
      <c r="P568" s="50"/>
      <c r="Q568" s="50"/>
      <c r="R568" s="47"/>
      <c r="S568" s="50"/>
      <c r="T568" s="50"/>
      <c r="U568" s="50"/>
      <c r="V568" s="50"/>
      <c r="W568" s="50"/>
      <c r="X568"/>
      <c r="Y568"/>
      <c r="Z568"/>
      <c r="AA568"/>
      <c r="AB568"/>
      <c r="AC568"/>
      <c r="AD568"/>
      <c r="AE568"/>
      <c r="AF568"/>
      <c r="AG568"/>
      <c r="AH568"/>
      <c r="AI568"/>
    </row>
    <row r="569" spans="1:35" s="48" customFormat="1" x14ac:dyDescent="0.45">
      <c r="A569" s="3"/>
      <c r="H569"/>
      <c r="J569" s="49"/>
      <c r="K569" s="49"/>
      <c r="L569" s="50"/>
      <c r="M569" s="50"/>
      <c r="N569" s="50"/>
      <c r="O569" s="50"/>
      <c r="P569" s="50"/>
      <c r="Q569" s="50"/>
      <c r="R569" s="47"/>
      <c r="S569" s="50"/>
      <c r="T569" s="50"/>
      <c r="U569" s="50"/>
      <c r="V569" s="50"/>
      <c r="W569" s="50"/>
      <c r="X569"/>
      <c r="Y569"/>
      <c r="Z569"/>
      <c r="AA569"/>
      <c r="AB569"/>
      <c r="AC569"/>
      <c r="AD569"/>
      <c r="AE569"/>
      <c r="AF569"/>
      <c r="AG569"/>
      <c r="AH569"/>
      <c r="AI569"/>
    </row>
    <row r="570" spans="1:35" s="48" customFormat="1" x14ac:dyDescent="0.45">
      <c r="A570" s="3"/>
      <c r="H570"/>
      <c r="J570" s="49"/>
      <c r="K570" s="49"/>
      <c r="L570" s="50"/>
      <c r="M570" s="50"/>
      <c r="N570" s="50"/>
      <c r="O570" s="50"/>
      <c r="P570" s="50"/>
      <c r="Q570" s="50"/>
      <c r="R570" s="47"/>
      <c r="S570" s="50"/>
      <c r="T570" s="50"/>
      <c r="U570" s="50"/>
      <c r="V570" s="50"/>
      <c r="W570" s="50"/>
      <c r="X570"/>
      <c r="Y570"/>
      <c r="Z570"/>
      <c r="AA570"/>
      <c r="AB570"/>
      <c r="AC570"/>
      <c r="AD570"/>
      <c r="AE570"/>
      <c r="AF570"/>
      <c r="AG570"/>
      <c r="AH570"/>
      <c r="AI570"/>
    </row>
    <row r="571" spans="1:35" s="48" customFormat="1" x14ac:dyDescent="0.45">
      <c r="A571" s="3"/>
      <c r="H571"/>
      <c r="J571" s="49"/>
      <c r="K571" s="49"/>
      <c r="L571" s="50"/>
      <c r="M571" s="50"/>
      <c r="N571" s="50"/>
      <c r="O571" s="50"/>
      <c r="P571" s="50"/>
      <c r="Q571" s="50"/>
      <c r="R571" s="47"/>
      <c r="S571" s="50"/>
      <c r="T571" s="50"/>
      <c r="U571" s="50"/>
      <c r="V571" s="50"/>
      <c r="W571" s="50"/>
      <c r="X571"/>
      <c r="Y571"/>
      <c r="Z571"/>
      <c r="AA571"/>
      <c r="AB571"/>
      <c r="AC571"/>
      <c r="AD571"/>
      <c r="AE571"/>
      <c r="AF571"/>
      <c r="AG571"/>
      <c r="AH571"/>
      <c r="AI571"/>
    </row>
    <row r="572" spans="1:35" s="48" customFormat="1" x14ac:dyDescent="0.45">
      <c r="A572" s="3"/>
      <c r="H572"/>
      <c r="J572" s="49"/>
      <c r="K572" s="49"/>
      <c r="L572" s="50"/>
      <c r="M572" s="50"/>
      <c r="N572" s="50"/>
      <c r="O572" s="50"/>
      <c r="P572" s="50"/>
      <c r="Q572" s="50"/>
      <c r="R572" s="47"/>
      <c r="S572" s="50"/>
      <c r="T572" s="50"/>
      <c r="U572" s="50"/>
      <c r="V572" s="50"/>
      <c r="W572" s="50"/>
      <c r="X572"/>
      <c r="Y572"/>
      <c r="Z572"/>
      <c r="AA572"/>
      <c r="AB572"/>
      <c r="AC572"/>
      <c r="AD572"/>
      <c r="AE572"/>
      <c r="AF572"/>
      <c r="AG572"/>
      <c r="AH572"/>
      <c r="AI572"/>
    </row>
    <row r="573" spans="1:35" s="48" customFormat="1" x14ac:dyDescent="0.45">
      <c r="A573" s="3"/>
      <c r="H573"/>
      <c r="J573" s="49"/>
      <c r="K573" s="49"/>
      <c r="L573" s="50"/>
      <c r="M573" s="50"/>
      <c r="N573" s="50"/>
      <c r="O573" s="50"/>
      <c r="P573" s="50"/>
      <c r="Q573" s="50"/>
      <c r="R573" s="47"/>
      <c r="S573" s="50"/>
      <c r="T573" s="50"/>
      <c r="U573" s="50"/>
      <c r="V573" s="50"/>
      <c r="W573" s="50"/>
      <c r="X573"/>
      <c r="Y573"/>
      <c r="Z573"/>
      <c r="AA573"/>
      <c r="AB573"/>
      <c r="AC573"/>
      <c r="AD573"/>
      <c r="AE573"/>
      <c r="AF573"/>
      <c r="AG573"/>
      <c r="AH573"/>
      <c r="AI573"/>
    </row>
    <row r="574" spans="1:35" s="48" customFormat="1" x14ac:dyDescent="0.45">
      <c r="A574" s="3"/>
      <c r="H574"/>
      <c r="J574" s="49"/>
      <c r="K574" s="49"/>
      <c r="L574" s="50"/>
      <c r="M574" s="50"/>
      <c r="N574" s="50"/>
      <c r="O574" s="50"/>
      <c r="P574" s="50"/>
      <c r="Q574" s="50"/>
      <c r="R574" s="47"/>
      <c r="S574" s="50"/>
      <c r="T574" s="50"/>
      <c r="U574" s="50"/>
      <c r="V574" s="50"/>
      <c r="W574" s="50"/>
      <c r="X574"/>
      <c r="Y574"/>
      <c r="Z574"/>
      <c r="AA574"/>
      <c r="AB574"/>
      <c r="AC574"/>
      <c r="AD574"/>
      <c r="AE574"/>
      <c r="AF574"/>
      <c r="AG574"/>
      <c r="AH574"/>
      <c r="AI574"/>
    </row>
    <row r="575" spans="1:35" s="48" customFormat="1" x14ac:dyDescent="0.45">
      <c r="A575" s="3"/>
      <c r="H575"/>
      <c r="J575" s="49"/>
      <c r="K575" s="49"/>
      <c r="L575" s="50"/>
      <c r="M575" s="50"/>
      <c r="N575" s="50"/>
      <c r="O575" s="50"/>
      <c r="P575" s="50"/>
      <c r="Q575" s="50"/>
      <c r="R575" s="47"/>
      <c r="S575" s="50"/>
      <c r="T575" s="50"/>
      <c r="U575" s="50"/>
      <c r="V575" s="50"/>
      <c r="W575" s="50"/>
      <c r="X575"/>
      <c r="Y575"/>
      <c r="Z575"/>
      <c r="AA575"/>
      <c r="AB575"/>
      <c r="AC575"/>
      <c r="AD575"/>
      <c r="AE575"/>
      <c r="AF575"/>
      <c r="AG575"/>
      <c r="AH575"/>
      <c r="AI575"/>
    </row>
    <row r="576" spans="1:35" s="48" customFormat="1" x14ac:dyDescent="0.45">
      <c r="A576" s="3"/>
      <c r="H576"/>
      <c r="J576" s="49"/>
      <c r="K576" s="49"/>
      <c r="L576" s="50"/>
      <c r="M576" s="50"/>
      <c r="N576" s="50"/>
      <c r="O576" s="50"/>
      <c r="P576" s="50"/>
      <c r="Q576" s="50"/>
      <c r="R576" s="47"/>
      <c r="S576" s="50"/>
      <c r="T576" s="50"/>
      <c r="U576" s="50"/>
      <c r="V576" s="50"/>
      <c r="W576" s="50"/>
      <c r="X576"/>
      <c r="Y576"/>
      <c r="Z576"/>
      <c r="AA576"/>
      <c r="AB576"/>
      <c r="AC576"/>
      <c r="AD576"/>
      <c r="AE576"/>
      <c r="AF576"/>
      <c r="AG576"/>
      <c r="AH576"/>
      <c r="AI576"/>
    </row>
    <row r="577" spans="1:35" s="48" customFormat="1" x14ac:dyDescent="0.45">
      <c r="A577" s="3"/>
      <c r="H577"/>
      <c r="J577" s="49"/>
      <c r="K577" s="49"/>
      <c r="L577" s="50"/>
      <c r="M577" s="50"/>
      <c r="N577" s="50"/>
      <c r="O577" s="50"/>
      <c r="P577" s="50"/>
      <c r="Q577" s="50"/>
      <c r="R577" s="47"/>
      <c r="S577" s="50"/>
      <c r="T577" s="50"/>
      <c r="U577" s="50"/>
      <c r="V577" s="50"/>
      <c r="W577" s="50"/>
      <c r="X577"/>
      <c r="Y577"/>
      <c r="Z577"/>
      <c r="AA577"/>
      <c r="AB577"/>
      <c r="AC577"/>
      <c r="AD577"/>
      <c r="AE577"/>
      <c r="AF577"/>
      <c r="AG577"/>
      <c r="AH577"/>
      <c r="AI577"/>
    </row>
    <row r="578" spans="1:35" s="48" customFormat="1" x14ac:dyDescent="0.45">
      <c r="A578" s="3"/>
      <c r="H578"/>
      <c r="J578" s="49"/>
      <c r="K578" s="49"/>
      <c r="L578" s="50"/>
      <c r="M578" s="50"/>
      <c r="N578" s="50"/>
      <c r="O578" s="50"/>
      <c r="P578" s="50"/>
      <c r="Q578" s="50"/>
      <c r="R578" s="47"/>
      <c r="S578" s="50"/>
      <c r="T578" s="50"/>
      <c r="U578" s="50"/>
      <c r="V578" s="50"/>
      <c r="W578" s="50"/>
      <c r="X578"/>
      <c r="Y578"/>
      <c r="Z578"/>
      <c r="AA578"/>
      <c r="AB578"/>
      <c r="AC578"/>
      <c r="AD578"/>
      <c r="AE578"/>
      <c r="AF578"/>
      <c r="AG578"/>
      <c r="AH578"/>
      <c r="AI578"/>
    </row>
    <row r="579" spans="1:35" s="48" customFormat="1" x14ac:dyDescent="0.45">
      <c r="A579" s="3"/>
      <c r="H579"/>
      <c r="J579" s="49"/>
      <c r="K579" s="49"/>
      <c r="L579" s="50"/>
      <c r="M579" s="50"/>
      <c r="N579" s="50"/>
      <c r="O579" s="50"/>
      <c r="P579" s="50"/>
      <c r="Q579" s="50"/>
      <c r="R579" s="47"/>
      <c r="S579" s="50"/>
      <c r="T579" s="50"/>
      <c r="U579" s="50"/>
      <c r="V579" s="50"/>
      <c r="W579" s="50"/>
      <c r="X579"/>
      <c r="Y579"/>
      <c r="Z579"/>
      <c r="AA579"/>
      <c r="AB579"/>
      <c r="AC579"/>
      <c r="AD579"/>
      <c r="AE579"/>
      <c r="AF579"/>
      <c r="AG579"/>
      <c r="AH579"/>
      <c r="AI579"/>
    </row>
    <row r="580" spans="1:35" s="48" customFormat="1" x14ac:dyDescent="0.45">
      <c r="A580" s="3"/>
      <c r="H580"/>
      <c r="J580" s="49"/>
      <c r="K580" s="49"/>
      <c r="L580" s="50"/>
      <c r="M580" s="50"/>
      <c r="N580" s="50"/>
      <c r="O580" s="50"/>
      <c r="P580" s="50"/>
      <c r="Q580" s="50"/>
      <c r="R580" s="47"/>
      <c r="S580" s="50"/>
      <c r="T580" s="50"/>
      <c r="U580" s="50"/>
      <c r="V580" s="50"/>
      <c r="W580" s="50"/>
      <c r="X580"/>
      <c r="Y580"/>
      <c r="Z580"/>
      <c r="AA580"/>
      <c r="AB580"/>
      <c r="AC580"/>
      <c r="AD580"/>
      <c r="AE580"/>
      <c r="AF580"/>
      <c r="AG580"/>
      <c r="AH580"/>
      <c r="AI580"/>
    </row>
    <row r="581" spans="1:35" s="48" customFormat="1" x14ac:dyDescent="0.45">
      <c r="A581" s="3"/>
      <c r="H581"/>
      <c r="J581" s="49"/>
      <c r="K581" s="49"/>
      <c r="L581" s="50"/>
      <c r="M581" s="50"/>
      <c r="N581" s="50"/>
      <c r="O581" s="50"/>
      <c r="P581" s="50"/>
      <c r="Q581" s="50"/>
      <c r="R581" s="47"/>
      <c r="S581" s="50"/>
      <c r="T581" s="50"/>
      <c r="U581" s="50"/>
      <c r="V581" s="50"/>
      <c r="W581" s="50"/>
      <c r="X581"/>
      <c r="Y581"/>
      <c r="Z581"/>
      <c r="AA581"/>
      <c r="AB581"/>
      <c r="AC581"/>
      <c r="AD581"/>
      <c r="AE581"/>
      <c r="AF581"/>
      <c r="AG581"/>
      <c r="AH581"/>
      <c r="AI581"/>
    </row>
    <row r="582" spans="1:35" s="48" customFormat="1" x14ac:dyDescent="0.45">
      <c r="A582" s="3"/>
      <c r="H582"/>
      <c r="J582" s="49"/>
      <c r="K582" s="49"/>
      <c r="L582" s="50"/>
      <c r="M582" s="50"/>
      <c r="N582" s="50"/>
      <c r="O582" s="50"/>
      <c r="P582" s="50"/>
      <c r="Q582" s="50"/>
      <c r="R582" s="47"/>
      <c r="S582" s="50"/>
      <c r="T582" s="50"/>
      <c r="U582" s="50"/>
      <c r="V582" s="50"/>
      <c r="W582" s="50"/>
      <c r="X582"/>
      <c r="Y582"/>
      <c r="Z582"/>
      <c r="AA582"/>
      <c r="AB582"/>
      <c r="AC582"/>
      <c r="AD582"/>
      <c r="AE582"/>
      <c r="AF582"/>
      <c r="AG582"/>
      <c r="AH582"/>
      <c r="AI582"/>
    </row>
    <row r="583" spans="1:35" s="48" customFormat="1" x14ac:dyDescent="0.45">
      <c r="A583" s="3"/>
      <c r="H583"/>
      <c r="J583" s="49"/>
      <c r="K583" s="49"/>
      <c r="L583" s="50"/>
      <c r="M583" s="50"/>
      <c r="N583" s="50"/>
      <c r="O583" s="50"/>
      <c r="P583" s="50"/>
      <c r="Q583" s="50"/>
      <c r="R583" s="47"/>
      <c r="S583" s="50"/>
      <c r="T583" s="50"/>
      <c r="U583" s="50"/>
      <c r="V583" s="50"/>
      <c r="W583" s="50"/>
      <c r="X583"/>
      <c r="Y583"/>
      <c r="Z583"/>
      <c r="AA583"/>
      <c r="AB583"/>
      <c r="AC583"/>
      <c r="AD583"/>
      <c r="AE583"/>
      <c r="AF583"/>
      <c r="AG583"/>
      <c r="AH583"/>
      <c r="AI583"/>
    </row>
    <row r="584" spans="1:35" s="48" customFormat="1" x14ac:dyDescent="0.45">
      <c r="A584" s="3"/>
      <c r="H584"/>
      <c r="J584" s="49"/>
      <c r="K584" s="49"/>
      <c r="L584" s="50"/>
      <c r="M584" s="50"/>
      <c r="N584" s="50"/>
      <c r="O584" s="50"/>
      <c r="P584" s="50"/>
      <c r="Q584" s="50"/>
      <c r="R584" s="47"/>
      <c r="S584" s="50"/>
      <c r="T584" s="50"/>
      <c r="U584" s="50"/>
      <c r="V584" s="50"/>
      <c r="W584" s="50"/>
      <c r="X584"/>
      <c r="Y584"/>
      <c r="Z584"/>
      <c r="AA584"/>
      <c r="AB584"/>
      <c r="AC584"/>
      <c r="AD584"/>
      <c r="AE584"/>
      <c r="AF584"/>
      <c r="AG584"/>
      <c r="AH584"/>
      <c r="AI584"/>
    </row>
    <row r="585" spans="1:35" s="48" customFormat="1" x14ac:dyDescent="0.45">
      <c r="A585" s="3"/>
      <c r="H585"/>
      <c r="J585" s="49"/>
      <c r="K585" s="49"/>
      <c r="L585" s="50"/>
      <c r="M585" s="50"/>
      <c r="N585" s="50"/>
      <c r="O585" s="50"/>
      <c r="P585" s="50"/>
      <c r="Q585" s="50"/>
      <c r="R585" s="47"/>
      <c r="S585" s="50"/>
      <c r="T585" s="50"/>
      <c r="U585" s="50"/>
      <c r="V585" s="50"/>
      <c r="W585" s="50"/>
      <c r="X585"/>
      <c r="Y585"/>
      <c r="Z585"/>
      <c r="AA585"/>
      <c r="AB585"/>
      <c r="AC585"/>
      <c r="AD585"/>
      <c r="AE585"/>
      <c r="AF585"/>
      <c r="AG585"/>
      <c r="AH585"/>
      <c r="AI585"/>
    </row>
    <row r="586" spans="1:35" s="48" customFormat="1" x14ac:dyDescent="0.45">
      <c r="A586" s="3"/>
      <c r="H586"/>
      <c r="J586" s="49"/>
      <c r="K586" s="49"/>
      <c r="L586" s="50"/>
      <c r="M586" s="50"/>
      <c r="N586" s="50"/>
      <c r="O586" s="50"/>
      <c r="P586" s="50"/>
      <c r="Q586" s="50"/>
      <c r="R586" s="47"/>
      <c r="S586" s="50"/>
      <c r="T586" s="50"/>
      <c r="U586" s="50"/>
      <c r="V586" s="50"/>
      <c r="W586" s="50"/>
      <c r="X586"/>
      <c r="Y586"/>
      <c r="Z586"/>
      <c r="AA586"/>
      <c r="AB586"/>
      <c r="AC586"/>
      <c r="AD586"/>
      <c r="AE586"/>
      <c r="AF586"/>
      <c r="AG586"/>
      <c r="AH586"/>
      <c r="AI586"/>
    </row>
    <row r="587" spans="1:35" s="48" customFormat="1" x14ac:dyDescent="0.45">
      <c r="A587" s="3"/>
      <c r="H587"/>
      <c r="J587" s="49"/>
      <c r="K587" s="49"/>
      <c r="L587" s="50"/>
      <c r="M587" s="50"/>
      <c r="N587" s="50"/>
      <c r="O587" s="50"/>
      <c r="P587" s="50"/>
      <c r="Q587" s="50"/>
      <c r="R587" s="47"/>
      <c r="S587" s="50"/>
      <c r="T587" s="50"/>
      <c r="U587" s="50"/>
      <c r="V587" s="50"/>
      <c r="W587" s="50"/>
      <c r="X587"/>
      <c r="Y587"/>
      <c r="Z587"/>
      <c r="AA587"/>
      <c r="AB587"/>
      <c r="AC587"/>
      <c r="AD587"/>
      <c r="AE587"/>
      <c r="AF587"/>
      <c r="AG587"/>
      <c r="AH587"/>
      <c r="AI587"/>
    </row>
    <row r="588" spans="1:35" s="48" customFormat="1" x14ac:dyDescent="0.45">
      <c r="A588" s="3"/>
      <c r="H588"/>
      <c r="J588" s="49"/>
      <c r="K588" s="49"/>
      <c r="L588" s="50"/>
      <c r="M588" s="50"/>
      <c r="N588" s="50"/>
      <c r="O588" s="50"/>
      <c r="P588" s="50"/>
      <c r="Q588" s="50"/>
      <c r="R588" s="47"/>
      <c r="S588" s="50"/>
      <c r="T588" s="50"/>
      <c r="U588" s="50"/>
      <c r="V588" s="50"/>
      <c r="W588" s="50"/>
      <c r="X588"/>
      <c r="Y588"/>
      <c r="Z588"/>
      <c r="AA588"/>
      <c r="AB588"/>
      <c r="AC588"/>
      <c r="AD588"/>
      <c r="AE588"/>
      <c r="AF588"/>
      <c r="AG588"/>
      <c r="AH588"/>
      <c r="AI588"/>
    </row>
    <row r="589" spans="1:35" s="48" customFormat="1" x14ac:dyDescent="0.45">
      <c r="A589" s="3"/>
      <c r="H589"/>
      <c r="J589" s="49"/>
      <c r="K589" s="49"/>
      <c r="L589" s="50"/>
      <c r="M589" s="50"/>
      <c r="N589" s="50"/>
      <c r="O589" s="50"/>
      <c r="P589" s="50"/>
      <c r="Q589" s="50"/>
      <c r="R589" s="47"/>
      <c r="S589" s="50"/>
      <c r="T589" s="50"/>
      <c r="U589" s="50"/>
      <c r="V589" s="50"/>
      <c r="W589" s="50"/>
      <c r="X589"/>
      <c r="Y589"/>
      <c r="Z589"/>
      <c r="AA589"/>
      <c r="AB589"/>
      <c r="AC589"/>
      <c r="AD589"/>
      <c r="AE589"/>
      <c r="AF589"/>
      <c r="AG589"/>
      <c r="AH589"/>
      <c r="AI589"/>
    </row>
    <row r="590" spans="1:35" s="48" customFormat="1" x14ac:dyDescent="0.45">
      <c r="A590" s="3"/>
      <c r="H590"/>
      <c r="J590" s="49"/>
      <c r="K590" s="49"/>
      <c r="L590" s="50"/>
      <c r="M590" s="50"/>
      <c r="N590" s="50"/>
      <c r="O590" s="50"/>
      <c r="P590" s="50"/>
      <c r="Q590" s="50"/>
      <c r="R590" s="47"/>
      <c r="S590" s="50"/>
      <c r="T590" s="50"/>
      <c r="U590" s="50"/>
      <c r="V590" s="50"/>
      <c r="W590" s="50"/>
      <c r="X590"/>
      <c r="Y590"/>
      <c r="Z590"/>
      <c r="AA590"/>
      <c r="AB590"/>
      <c r="AC590"/>
      <c r="AD590"/>
      <c r="AE590"/>
      <c r="AF590"/>
      <c r="AG590"/>
      <c r="AH590"/>
      <c r="AI590"/>
    </row>
    <row r="591" spans="1:35" s="48" customFormat="1" x14ac:dyDescent="0.45">
      <c r="A591" s="3"/>
      <c r="H591"/>
      <c r="J591" s="49"/>
      <c r="K591" s="49"/>
      <c r="L591" s="50"/>
      <c r="M591" s="50"/>
      <c r="N591" s="50"/>
      <c r="O591" s="50"/>
      <c r="P591" s="50"/>
      <c r="Q591" s="50"/>
      <c r="R591" s="47"/>
      <c r="S591" s="50"/>
      <c r="T591" s="50"/>
      <c r="U591" s="50"/>
      <c r="V591" s="50"/>
      <c r="W591" s="50"/>
      <c r="X591"/>
      <c r="Y591"/>
      <c r="Z591"/>
      <c r="AA591"/>
      <c r="AB591"/>
      <c r="AC591"/>
      <c r="AD591"/>
      <c r="AE591"/>
      <c r="AF591"/>
      <c r="AG591"/>
      <c r="AH591"/>
      <c r="AI591"/>
    </row>
    <row r="592" spans="1:35" s="48" customFormat="1" x14ac:dyDescent="0.45">
      <c r="A592" s="3"/>
      <c r="H592"/>
      <c r="J592" s="49"/>
      <c r="K592" s="49"/>
      <c r="L592" s="50"/>
      <c r="M592" s="50"/>
      <c r="N592" s="50"/>
      <c r="O592" s="50"/>
      <c r="P592" s="50"/>
      <c r="Q592" s="50"/>
      <c r="R592" s="47"/>
      <c r="S592" s="50"/>
      <c r="T592" s="50"/>
      <c r="U592" s="50"/>
      <c r="V592" s="50"/>
      <c r="W592" s="50"/>
      <c r="X592"/>
      <c r="Y592"/>
      <c r="Z592"/>
      <c r="AA592"/>
      <c r="AB592"/>
      <c r="AC592"/>
      <c r="AD592"/>
      <c r="AE592"/>
      <c r="AF592"/>
      <c r="AG592"/>
      <c r="AH592"/>
      <c r="AI592"/>
    </row>
    <row r="593" spans="1:35" s="48" customFormat="1" x14ac:dyDescent="0.45">
      <c r="A593" s="3"/>
      <c r="H593"/>
      <c r="J593" s="49"/>
      <c r="K593" s="49"/>
      <c r="L593" s="50"/>
      <c r="M593" s="50"/>
      <c r="N593" s="50"/>
      <c r="O593" s="50"/>
      <c r="P593" s="50"/>
      <c r="Q593" s="50"/>
      <c r="R593" s="47"/>
      <c r="S593" s="50"/>
      <c r="T593" s="50"/>
      <c r="U593" s="50"/>
      <c r="V593" s="50"/>
      <c r="W593" s="50"/>
      <c r="X593"/>
      <c r="Y593"/>
      <c r="Z593"/>
      <c r="AA593"/>
      <c r="AB593"/>
      <c r="AC593"/>
      <c r="AD593"/>
      <c r="AE593"/>
      <c r="AF593"/>
      <c r="AG593"/>
      <c r="AH593"/>
      <c r="AI593"/>
    </row>
    <row r="594" spans="1:35" s="48" customFormat="1" x14ac:dyDescent="0.45">
      <c r="A594" s="3"/>
      <c r="H594"/>
      <c r="J594" s="49"/>
      <c r="K594" s="49"/>
      <c r="L594" s="50"/>
      <c r="M594" s="50"/>
      <c r="N594" s="50"/>
      <c r="O594" s="50"/>
      <c r="P594" s="50"/>
      <c r="Q594" s="50"/>
      <c r="R594" s="47"/>
      <c r="S594" s="50"/>
      <c r="T594" s="50"/>
      <c r="U594" s="50"/>
      <c r="V594" s="50"/>
      <c r="W594" s="50"/>
      <c r="X594"/>
      <c r="Y594"/>
      <c r="Z594"/>
      <c r="AA594"/>
      <c r="AB594"/>
      <c r="AC594"/>
      <c r="AD594"/>
      <c r="AE594"/>
      <c r="AF594"/>
      <c r="AG594"/>
      <c r="AH594"/>
      <c r="AI594"/>
    </row>
    <row r="595" spans="1:35" s="48" customFormat="1" x14ac:dyDescent="0.45">
      <c r="A595" s="3"/>
      <c r="H595"/>
      <c r="J595" s="49"/>
      <c r="K595" s="49"/>
      <c r="L595" s="50"/>
      <c r="M595" s="50"/>
      <c r="N595" s="50"/>
      <c r="O595" s="50"/>
      <c r="P595" s="50"/>
      <c r="Q595" s="50"/>
      <c r="R595" s="47"/>
      <c r="S595" s="50"/>
      <c r="T595" s="50"/>
      <c r="U595" s="50"/>
      <c r="V595" s="50"/>
      <c r="W595" s="50"/>
      <c r="X595"/>
      <c r="Y595"/>
      <c r="Z595"/>
      <c r="AA595"/>
      <c r="AB595"/>
      <c r="AC595"/>
      <c r="AD595"/>
      <c r="AE595"/>
      <c r="AF595"/>
      <c r="AG595"/>
      <c r="AH595"/>
      <c r="AI595"/>
    </row>
    <row r="596" spans="1:35" s="48" customFormat="1" x14ac:dyDescent="0.45">
      <c r="A596" s="3"/>
      <c r="H596"/>
      <c r="J596" s="49"/>
      <c r="K596" s="49"/>
      <c r="L596" s="50"/>
      <c r="M596" s="50"/>
      <c r="N596" s="50"/>
      <c r="O596" s="50"/>
      <c r="P596" s="50"/>
      <c r="Q596" s="50"/>
      <c r="R596" s="47"/>
      <c r="S596" s="50"/>
      <c r="T596" s="50"/>
      <c r="U596" s="50"/>
      <c r="V596" s="50"/>
      <c r="W596" s="50"/>
      <c r="X596"/>
      <c r="Y596"/>
      <c r="Z596"/>
      <c r="AA596"/>
      <c r="AB596"/>
      <c r="AC596"/>
      <c r="AD596"/>
      <c r="AE596"/>
      <c r="AF596"/>
      <c r="AG596"/>
      <c r="AH596"/>
      <c r="AI596"/>
    </row>
    <row r="597" spans="1:35" s="48" customFormat="1" x14ac:dyDescent="0.45">
      <c r="A597" s="3"/>
      <c r="H597"/>
      <c r="J597" s="49"/>
      <c r="K597" s="49"/>
      <c r="L597" s="50"/>
      <c r="M597" s="50"/>
      <c r="N597" s="50"/>
      <c r="O597" s="50"/>
      <c r="P597" s="50"/>
      <c r="Q597" s="50"/>
      <c r="R597" s="47"/>
      <c r="S597" s="50"/>
      <c r="T597" s="50"/>
      <c r="U597" s="50"/>
      <c r="V597" s="50"/>
      <c r="W597" s="50"/>
      <c r="X597"/>
      <c r="Y597"/>
      <c r="Z597"/>
      <c r="AA597"/>
      <c r="AB597"/>
      <c r="AC597"/>
      <c r="AD597"/>
      <c r="AE597"/>
      <c r="AF597"/>
      <c r="AG597"/>
      <c r="AH597"/>
      <c r="AI597"/>
    </row>
    <row r="598" spans="1:35" s="48" customFormat="1" x14ac:dyDescent="0.45">
      <c r="A598" s="3"/>
      <c r="H598"/>
      <c r="J598" s="49"/>
      <c r="K598" s="49"/>
      <c r="L598" s="50"/>
      <c r="M598" s="50"/>
      <c r="N598" s="50"/>
      <c r="O598" s="50"/>
      <c r="P598" s="50"/>
      <c r="Q598" s="50"/>
      <c r="R598" s="47"/>
      <c r="S598" s="50"/>
      <c r="T598" s="50"/>
      <c r="U598" s="50"/>
      <c r="V598" s="50"/>
      <c r="W598" s="50"/>
      <c r="X598"/>
      <c r="Y598"/>
      <c r="Z598"/>
      <c r="AA598"/>
      <c r="AB598"/>
      <c r="AC598"/>
      <c r="AD598"/>
      <c r="AE598"/>
      <c r="AF598"/>
      <c r="AG598"/>
      <c r="AH598"/>
      <c r="AI598"/>
    </row>
    <row r="599" spans="1:35" s="48" customFormat="1" x14ac:dyDescent="0.45">
      <c r="A599" s="3"/>
      <c r="H599"/>
      <c r="J599" s="49"/>
      <c r="K599" s="49"/>
      <c r="L599" s="50"/>
      <c r="M599" s="50"/>
      <c r="N599" s="50"/>
      <c r="O599" s="50"/>
      <c r="P599" s="50"/>
      <c r="Q599" s="50"/>
      <c r="R599" s="47"/>
      <c r="S599" s="50"/>
      <c r="T599" s="50"/>
      <c r="U599" s="50"/>
      <c r="V599" s="50"/>
      <c r="W599" s="50"/>
      <c r="X599"/>
      <c r="Y599"/>
      <c r="Z599"/>
      <c r="AA599"/>
      <c r="AB599"/>
      <c r="AC599"/>
      <c r="AD599"/>
      <c r="AE599"/>
      <c r="AF599"/>
      <c r="AG599"/>
      <c r="AH599"/>
      <c r="AI599"/>
    </row>
    <row r="600" spans="1:35" s="48" customFormat="1" x14ac:dyDescent="0.45">
      <c r="A600" s="3"/>
      <c r="H600"/>
      <c r="J600" s="49"/>
      <c r="K600" s="49"/>
      <c r="L600" s="50"/>
      <c r="M600" s="50"/>
      <c r="N600" s="50"/>
      <c r="O600" s="50"/>
      <c r="P600" s="50"/>
      <c r="Q600" s="50"/>
      <c r="R600" s="47"/>
      <c r="S600" s="50"/>
      <c r="T600" s="50"/>
      <c r="U600" s="50"/>
      <c r="V600" s="50"/>
      <c r="W600" s="50"/>
      <c r="X600"/>
      <c r="Y600"/>
      <c r="Z600"/>
      <c r="AA600"/>
      <c r="AB600"/>
      <c r="AC600"/>
      <c r="AD600"/>
      <c r="AE600"/>
      <c r="AF600"/>
      <c r="AG600"/>
      <c r="AH600"/>
      <c r="AI600"/>
    </row>
    <row r="601" spans="1:35" s="48" customFormat="1" x14ac:dyDescent="0.45">
      <c r="A601" s="3"/>
      <c r="H601"/>
      <c r="J601" s="49"/>
      <c r="K601" s="49"/>
      <c r="L601" s="50"/>
      <c r="M601" s="50"/>
      <c r="N601" s="50"/>
      <c r="O601" s="50"/>
      <c r="P601" s="50"/>
      <c r="Q601" s="50"/>
      <c r="R601" s="47"/>
      <c r="S601" s="50"/>
      <c r="T601" s="50"/>
      <c r="U601" s="50"/>
      <c r="V601" s="50"/>
      <c r="W601" s="50"/>
      <c r="X601"/>
      <c r="Y601"/>
      <c r="Z601"/>
      <c r="AA601"/>
      <c r="AB601"/>
      <c r="AC601"/>
      <c r="AD601"/>
      <c r="AE601"/>
      <c r="AF601"/>
      <c r="AG601"/>
      <c r="AH601"/>
      <c r="AI601"/>
    </row>
    <row r="602" spans="1:35" s="48" customFormat="1" x14ac:dyDescent="0.45">
      <c r="A602" s="3"/>
      <c r="H602"/>
      <c r="J602" s="49"/>
      <c r="K602" s="49"/>
      <c r="L602" s="50"/>
      <c r="M602" s="50"/>
      <c r="N602" s="50"/>
      <c r="O602" s="50"/>
      <c r="P602" s="50"/>
      <c r="Q602" s="50"/>
      <c r="R602" s="47"/>
      <c r="S602" s="50"/>
      <c r="T602" s="50"/>
      <c r="U602" s="50"/>
      <c r="V602" s="50"/>
      <c r="W602" s="50"/>
      <c r="X602"/>
      <c r="Y602"/>
      <c r="Z602"/>
      <c r="AA602"/>
      <c r="AB602"/>
      <c r="AC602"/>
      <c r="AD602"/>
      <c r="AE602"/>
      <c r="AF602"/>
      <c r="AG602"/>
      <c r="AH602"/>
      <c r="AI602"/>
    </row>
    <row r="603" spans="1:35" s="48" customFormat="1" x14ac:dyDescent="0.45">
      <c r="A603" s="3"/>
      <c r="H603"/>
      <c r="J603" s="49"/>
      <c r="K603" s="49"/>
      <c r="L603" s="50"/>
      <c r="M603" s="50"/>
      <c r="N603" s="50"/>
      <c r="O603" s="50"/>
      <c r="P603" s="50"/>
      <c r="Q603" s="50"/>
      <c r="R603" s="47"/>
      <c r="S603" s="50"/>
      <c r="T603" s="50"/>
      <c r="U603" s="50"/>
      <c r="V603" s="50"/>
      <c r="W603" s="50"/>
      <c r="X603"/>
      <c r="Y603"/>
      <c r="Z603"/>
      <c r="AA603"/>
      <c r="AB603"/>
      <c r="AC603"/>
      <c r="AD603"/>
      <c r="AE603"/>
      <c r="AF603"/>
      <c r="AG603"/>
      <c r="AH603"/>
      <c r="AI603"/>
    </row>
    <row r="604" spans="1:35" s="48" customFormat="1" x14ac:dyDescent="0.45">
      <c r="A604" s="3"/>
      <c r="H604"/>
      <c r="J604" s="49"/>
      <c r="K604" s="49"/>
      <c r="L604" s="50"/>
      <c r="M604" s="50"/>
      <c r="N604" s="50"/>
      <c r="O604" s="50"/>
      <c r="P604" s="50"/>
      <c r="Q604" s="50"/>
      <c r="R604" s="47"/>
      <c r="S604" s="50"/>
      <c r="T604" s="50"/>
      <c r="U604" s="50"/>
      <c r="V604" s="50"/>
      <c r="W604" s="50"/>
      <c r="X604"/>
      <c r="Y604"/>
      <c r="Z604"/>
      <c r="AA604"/>
      <c r="AB604"/>
      <c r="AC604"/>
      <c r="AD604"/>
      <c r="AE604"/>
      <c r="AF604"/>
      <c r="AG604"/>
      <c r="AH604"/>
      <c r="AI604"/>
    </row>
    <row r="605" spans="1:35" s="48" customFormat="1" x14ac:dyDescent="0.45">
      <c r="A605" s="3"/>
      <c r="H605"/>
      <c r="J605" s="49"/>
      <c r="K605" s="49"/>
      <c r="L605" s="50"/>
      <c r="M605" s="50"/>
      <c r="N605" s="50"/>
      <c r="O605" s="50"/>
      <c r="P605" s="50"/>
      <c r="Q605" s="50"/>
      <c r="R605" s="47"/>
      <c r="S605" s="50"/>
      <c r="T605" s="50"/>
      <c r="U605" s="50"/>
      <c r="V605" s="50"/>
      <c r="W605" s="50"/>
      <c r="X605"/>
      <c r="Y605"/>
      <c r="Z605"/>
      <c r="AA605"/>
      <c r="AB605"/>
      <c r="AC605"/>
      <c r="AD605"/>
      <c r="AE605"/>
      <c r="AF605"/>
      <c r="AG605"/>
      <c r="AH605"/>
      <c r="AI605"/>
    </row>
    <row r="606" spans="1:35" s="48" customFormat="1" x14ac:dyDescent="0.45">
      <c r="A606" s="3"/>
      <c r="H606"/>
      <c r="J606" s="49"/>
      <c r="K606" s="49"/>
      <c r="L606" s="50"/>
      <c r="M606" s="50"/>
      <c r="N606" s="50"/>
      <c r="O606" s="50"/>
      <c r="P606" s="50"/>
      <c r="Q606" s="50"/>
      <c r="R606" s="47"/>
      <c r="S606" s="50"/>
      <c r="T606" s="50"/>
      <c r="U606" s="50"/>
      <c r="V606" s="50"/>
      <c r="W606" s="50"/>
      <c r="X606"/>
      <c r="Y606"/>
      <c r="Z606"/>
      <c r="AA606"/>
      <c r="AB606"/>
      <c r="AC606"/>
      <c r="AD606"/>
      <c r="AE606"/>
      <c r="AF606"/>
      <c r="AG606"/>
      <c r="AH606"/>
      <c r="AI606"/>
    </row>
    <row r="607" spans="1:35" s="48" customFormat="1" x14ac:dyDescent="0.45">
      <c r="A607" s="3"/>
      <c r="H607"/>
      <c r="J607" s="49"/>
      <c r="K607" s="49"/>
      <c r="L607" s="50"/>
      <c r="M607" s="50"/>
      <c r="N607" s="50"/>
      <c r="O607" s="50"/>
      <c r="P607" s="50"/>
      <c r="Q607" s="50"/>
      <c r="R607" s="47"/>
      <c r="S607" s="50"/>
      <c r="T607" s="50"/>
      <c r="U607" s="50"/>
      <c r="V607" s="50"/>
      <c r="W607" s="50"/>
      <c r="X607"/>
      <c r="Y607"/>
      <c r="Z607"/>
      <c r="AA607"/>
      <c r="AB607"/>
      <c r="AC607"/>
      <c r="AD607"/>
      <c r="AE607"/>
      <c r="AF607"/>
      <c r="AG607"/>
      <c r="AH607"/>
      <c r="AI607"/>
    </row>
    <row r="608" spans="1:35" s="48" customFormat="1" x14ac:dyDescent="0.45">
      <c r="A608" s="3"/>
      <c r="H608"/>
      <c r="J608" s="49"/>
      <c r="K608" s="49"/>
      <c r="L608" s="50"/>
      <c r="M608" s="50"/>
      <c r="N608" s="50"/>
      <c r="O608" s="50"/>
      <c r="P608" s="50"/>
      <c r="Q608" s="50"/>
      <c r="R608" s="47"/>
      <c r="S608" s="50"/>
      <c r="T608" s="50"/>
      <c r="U608" s="50"/>
      <c r="V608" s="50"/>
      <c r="W608" s="50"/>
      <c r="X608"/>
      <c r="Y608"/>
      <c r="Z608"/>
      <c r="AA608"/>
      <c r="AB608"/>
      <c r="AC608"/>
      <c r="AD608"/>
      <c r="AE608"/>
      <c r="AF608"/>
      <c r="AG608"/>
      <c r="AH608"/>
      <c r="AI608"/>
    </row>
    <row r="609" spans="1:35" s="48" customFormat="1" x14ac:dyDescent="0.45">
      <c r="A609" s="3"/>
      <c r="H609"/>
      <c r="J609" s="49"/>
      <c r="K609" s="49"/>
      <c r="L609" s="50"/>
      <c r="M609" s="50"/>
      <c r="N609" s="50"/>
      <c r="O609" s="50"/>
      <c r="P609" s="50"/>
      <c r="Q609" s="50"/>
      <c r="R609" s="47"/>
      <c r="S609" s="50"/>
      <c r="T609" s="50"/>
      <c r="U609" s="50"/>
      <c r="V609" s="50"/>
      <c r="W609" s="50"/>
      <c r="X609"/>
      <c r="Y609"/>
      <c r="Z609"/>
      <c r="AA609"/>
      <c r="AB609"/>
      <c r="AC609"/>
      <c r="AD609"/>
      <c r="AE609"/>
      <c r="AF609"/>
      <c r="AG609"/>
      <c r="AH609"/>
      <c r="AI609"/>
    </row>
    <row r="610" spans="1:35" s="48" customFormat="1" x14ac:dyDescent="0.45">
      <c r="A610" s="3"/>
      <c r="H610"/>
      <c r="J610" s="49"/>
      <c r="K610" s="49"/>
      <c r="L610" s="50"/>
      <c r="M610" s="50"/>
      <c r="N610" s="50"/>
      <c r="O610" s="50"/>
      <c r="P610" s="50"/>
      <c r="Q610" s="50"/>
      <c r="R610" s="47"/>
      <c r="S610" s="50"/>
      <c r="T610" s="50"/>
      <c r="U610" s="50"/>
      <c r="V610" s="50"/>
      <c r="W610" s="50"/>
      <c r="X610"/>
      <c r="Y610"/>
      <c r="Z610"/>
      <c r="AA610"/>
      <c r="AB610"/>
      <c r="AC610"/>
      <c r="AD610"/>
      <c r="AE610"/>
      <c r="AF610"/>
      <c r="AG610"/>
      <c r="AH610"/>
      <c r="AI610"/>
    </row>
    <row r="611" spans="1:35" s="48" customFormat="1" x14ac:dyDescent="0.45">
      <c r="A611" s="3"/>
      <c r="H611"/>
      <c r="J611" s="49"/>
      <c r="K611" s="49"/>
      <c r="L611" s="50"/>
      <c r="M611" s="50"/>
      <c r="N611" s="50"/>
      <c r="O611" s="50"/>
      <c r="P611" s="50"/>
      <c r="Q611" s="50"/>
      <c r="R611" s="47"/>
      <c r="S611" s="50"/>
      <c r="T611" s="50"/>
      <c r="U611" s="50"/>
      <c r="V611" s="50"/>
      <c r="W611" s="50"/>
      <c r="X611"/>
      <c r="Y611"/>
      <c r="Z611"/>
      <c r="AA611"/>
      <c r="AB611"/>
      <c r="AC611"/>
      <c r="AD611"/>
      <c r="AE611"/>
      <c r="AF611"/>
      <c r="AG611"/>
      <c r="AH611"/>
      <c r="AI611"/>
    </row>
    <row r="612" spans="1:35" s="48" customFormat="1" x14ac:dyDescent="0.45">
      <c r="A612" s="3"/>
      <c r="H612"/>
      <c r="J612" s="49"/>
      <c r="K612" s="49"/>
      <c r="L612" s="50"/>
      <c r="M612" s="50"/>
      <c r="N612" s="50"/>
      <c r="O612" s="50"/>
      <c r="P612" s="50"/>
      <c r="Q612" s="50"/>
      <c r="R612" s="47"/>
      <c r="S612" s="50"/>
      <c r="T612" s="50"/>
      <c r="U612" s="50"/>
      <c r="V612" s="50"/>
      <c r="W612" s="50"/>
      <c r="X612"/>
      <c r="Y612"/>
      <c r="Z612"/>
      <c r="AA612"/>
      <c r="AB612"/>
      <c r="AC612"/>
      <c r="AD612"/>
      <c r="AE612"/>
      <c r="AF612"/>
      <c r="AG612"/>
      <c r="AH612"/>
      <c r="AI612"/>
    </row>
    <row r="613" spans="1:35" s="48" customFormat="1" x14ac:dyDescent="0.45">
      <c r="A613" s="3"/>
      <c r="H613"/>
      <c r="J613" s="49"/>
      <c r="K613" s="49"/>
      <c r="L613" s="50"/>
      <c r="M613" s="50"/>
      <c r="N613" s="50"/>
      <c r="O613" s="50"/>
      <c r="P613" s="50"/>
      <c r="Q613" s="50"/>
      <c r="R613" s="47"/>
      <c r="S613" s="50"/>
      <c r="T613" s="50"/>
      <c r="U613" s="50"/>
      <c r="V613" s="50"/>
      <c r="W613" s="50"/>
      <c r="X613"/>
      <c r="Y613"/>
      <c r="Z613"/>
      <c r="AA613"/>
      <c r="AB613"/>
      <c r="AC613"/>
      <c r="AD613"/>
      <c r="AE613"/>
      <c r="AF613"/>
      <c r="AG613"/>
      <c r="AH613"/>
      <c r="AI613"/>
    </row>
    <row r="614" spans="1:35" s="48" customFormat="1" x14ac:dyDescent="0.45">
      <c r="A614" s="3"/>
      <c r="H614"/>
      <c r="J614" s="49"/>
      <c r="K614" s="49"/>
      <c r="L614" s="50"/>
      <c r="M614" s="50"/>
      <c r="N614" s="50"/>
      <c r="O614" s="50"/>
      <c r="P614" s="50"/>
      <c r="Q614" s="50"/>
      <c r="R614" s="47"/>
      <c r="S614" s="50"/>
      <c r="T614" s="50"/>
      <c r="U614" s="50"/>
      <c r="V614" s="50"/>
      <c r="W614" s="50"/>
      <c r="X614"/>
      <c r="Y614"/>
      <c r="Z614"/>
      <c r="AA614"/>
      <c r="AB614"/>
      <c r="AC614"/>
      <c r="AD614"/>
      <c r="AE614"/>
      <c r="AF614"/>
      <c r="AG614"/>
      <c r="AH614"/>
      <c r="AI614"/>
    </row>
    <row r="615" spans="1:35" s="48" customFormat="1" x14ac:dyDescent="0.45">
      <c r="A615" s="3"/>
      <c r="H615"/>
      <c r="J615" s="49"/>
      <c r="K615" s="49"/>
      <c r="L615" s="50"/>
      <c r="M615" s="50"/>
      <c r="N615" s="50"/>
      <c r="O615" s="50"/>
      <c r="P615" s="50"/>
      <c r="Q615" s="50"/>
      <c r="R615" s="47"/>
      <c r="S615" s="50"/>
      <c r="T615" s="50"/>
      <c r="U615" s="50"/>
      <c r="V615" s="50"/>
      <c r="W615" s="50"/>
      <c r="X615"/>
      <c r="Y615"/>
      <c r="Z615"/>
      <c r="AA615"/>
      <c r="AB615"/>
      <c r="AC615"/>
      <c r="AD615"/>
      <c r="AE615"/>
      <c r="AF615"/>
      <c r="AG615"/>
      <c r="AH615"/>
      <c r="AI615"/>
    </row>
    <row r="616" spans="1:35" s="48" customFormat="1" x14ac:dyDescent="0.45">
      <c r="A616" s="3"/>
      <c r="H616"/>
      <c r="J616" s="49"/>
      <c r="K616" s="49"/>
      <c r="L616" s="50"/>
      <c r="M616" s="50"/>
      <c r="N616" s="50"/>
      <c r="O616" s="50"/>
      <c r="P616" s="50"/>
      <c r="Q616" s="50"/>
      <c r="R616" s="47"/>
      <c r="S616" s="50"/>
      <c r="T616" s="50"/>
      <c r="U616" s="50"/>
      <c r="V616" s="50"/>
      <c r="W616" s="50"/>
      <c r="X616"/>
      <c r="Y616"/>
      <c r="Z616"/>
      <c r="AA616"/>
      <c r="AB616"/>
      <c r="AC616"/>
      <c r="AD616"/>
      <c r="AE616"/>
      <c r="AF616"/>
      <c r="AG616"/>
      <c r="AH616"/>
      <c r="AI616"/>
    </row>
    <row r="617" spans="1:35" s="48" customFormat="1" x14ac:dyDescent="0.45">
      <c r="A617" s="3"/>
      <c r="H617"/>
      <c r="J617" s="49"/>
      <c r="K617" s="49"/>
      <c r="L617" s="50"/>
      <c r="M617" s="50"/>
      <c r="N617" s="50"/>
      <c r="O617" s="50"/>
      <c r="P617" s="50"/>
      <c r="Q617" s="50"/>
      <c r="R617" s="47"/>
      <c r="S617" s="50"/>
      <c r="T617" s="50"/>
      <c r="U617" s="50"/>
      <c r="V617" s="50"/>
      <c r="W617" s="50"/>
      <c r="X617"/>
      <c r="Y617"/>
      <c r="Z617"/>
      <c r="AA617"/>
      <c r="AB617"/>
      <c r="AC617"/>
      <c r="AD617"/>
      <c r="AE617"/>
      <c r="AF617"/>
      <c r="AG617"/>
      <c r="AH617"/>
      <c r="AI617"/>
    </row>
    <row r="618" spans="1:35" s="48" customFormat="1" x14ac:dyDescent="0.45">
      <c r="A618" s="3"/>
      <c r="H618"/>
      <c r="J618" s="49"/>
      <c r="K618" s="49"/>
      <c r="L618" s="50"/>
      <c r="M618" s="50"/>
      <c r="N618" s="50"/>
      <c r="O618" s="50"/>
      <c r="P618" s="50"/>
      <c r="Q618" s="50"/>
      <c r="R618" s="47"/>
      <c r="S618" s="50"/>
      <c r="T618" s="50"/>
      <c r="U618" s="50"/>
      <c r="V618" s="50"/>
      <c r="W618" s="50"/>
      <c r="X618"/>
      <c r="Y618"/>
      <c r="Z618"/>
      <c r="AA618"/>
      <c r="AB618"/>
      <c r="AC618"/>
      <c r="AD618"/>
      <c r="AE618"/>
      <c r="AF618"/>
      <c r="AG618"/>
      <c r="AH618"/>
      <c r="AI618"/>
    </row>
    <row r="619" spans="1:35" s="48" customFormat="1" x14ac:dyDescent="0.45">
      <c r="A619" s="3"/>
      <c r="H619"/>
      <c r="J619" s="49"/>
      <c r="K619" s="49"/>
      <c r="L619" s="50"/>
      <c r="M619" s="50"/>
      <c r="N619" s="50"/>
      <c r="O619" s="50"/>
      <c r="P619" s="50"/>
      <c r="Q619" s="50"/>
      <c r="R619" s="47"/>
      <c r="S619" s="50"/>
      <c r="T619" s="50"/>
      <c r="U619" s="50"/>
      <c r="V619" s="50"/>
      <c r="W619" s="50"/>
      <c r="X619"/>
      <c r="Y619"/>
      <c r="Z619"/>
      <c r="AA619"/>
      <c r="AB619"/>
      <c r="AC619"/>
      <c r="AD619"/>
      <c r="AE619"/>
      <c r="AF619"/>
      <c r="AG619"/>
      <c r="AH619"/>
      <c r="AI619"/>
    </row>
    <row r="620" spans="1:35" s="48" customFormat="1" x14ac:dyDescent="0.45">
      <c r="A620" s="3"/>
      <c r="H620"/>
      <c r="J620" s="49"/>
      <c r="K620" s="49"/>
      <c r="L620" s="50"/>
      <c r="M620" s="50"/>
      <c r="N620" s="50"/>
      <c r="O620" s="50"/>
      <c r="P620" s="50"/>
      <c r="Q620" s="50"/>
      <c r="R620" s="47"/>
      <c r="S620" s="50"/>
      <c r="T620" s="50"/>
      <c r="U620" s="50"/>
      <c r="V620" s="50"/>
      <c r="W620" s="50"/>
      <c r="X620"/>
      <c r="Y620"/>
      <c r="Z620"/>
      <c r="AA620"/>
      <c r="AB620"/>
      <c r="AC620"/>
      <c r="AD620"/>
      <c r="AE620"/>
      <c r="AF620"/>
      <c r="AG620"/>
      <c r="AH620"/>
      <c r="AI620"/>
    </row>
    <row r="621" spans="1:35" s="48" customFormat="1" x14ac:dyDescent="0.45">
      <c r="A621" s="3"/>
      <c r="H621"/>
      <c r="J621" s="49"/>
      <c r="K621" s="49"/>
      <c r="L621" s="50"/>
      <c r="M621" s="50"/>
      <c r="N621" s="50"/>
      <c r="O621" s="50"/>
      <c r="P621" s="50"/>
      <c r="Q621" s="50"/>
      <c r="R621" s="47"/>
      <c r="S621" s="50"/>
      <c r="T621" s="50"/>
      <c r="U621" s="50"/>
      <c r="V621" s="50"/>
      <c r="W621" s="50"/>
      <c r="X621"/>
      <c r="Y621"/>
      <c r="Z621"/>
      <c r="AA621"/>
      <c r="AB621"/>
      <c r="AC621"/>
      <c r="AD621"/>
      <c r="AE621"/>
      <c r="AF621"/>
      <c r="AG621"/>
      <c r="AH621"/>
      <c r="AI621"/>
    </row>
    <row r="622" spans="1:35" s="48" customFormat="1" x14ac:dyDescent="0.45">
      <c r="A622" s="3"/>
      <c r="H622"/>
      <c r="J622" s="49"/>
      <c r="K622" s="49"/>
      <c r="L622" s="50"/>
      <c r="M622" s="50"/>
      <c r="N622" s="50"/>
      <c r="O622" s="50"/>
      <c r="P622" s="50"/>
      <c r="Q622" s="50"/>
      <c r="R622" s="47"/>
      <c r="S622" s="50"/>
      <c r="T622" s="50"/>
      <c r="U622" s="50"/>
      <c r="V622" s="50"/>
      <c r="W622" s="50"/>
      <c r="X622"/>
      <c r="Y622"/>
      <c r="Z622"/>
      <c r="AA622"/>
      <c r="AB622"/>
      <c r="AC622"/>
      <c r="AD622"/>
      <c r="AE622"/>
      <c r="AF622"/>
      <c r="AG622"/>
      <c r="AH622"/>
      <c r="AI622"/>
    </row>
    <row r="623" spans="1:35" s="48" customFormat="1" x14ac:dyDescent="0.45">
      <c r="A623" s="3"/>
      <c r="H623"/>
      <c r="J623" s="49"/>
      <c r="K623" s="49"/>
      <c r="L623" s="50"/>
      <c r="M623" s="50"/>
      <c r="N623" s="50"/>
      <c r="O623" s="50"/>
      <c r="P623" s="50"/>
      <c r="Q623" s="50"/>
      <c r="R623" s="47"/>
      <c r="S623" s="50"/>
      <c r="T623" s="50"/>
      <c r="U623" s="50"/>
      <c r="V623" s="50"/>
      <c r="W623" s="50"/>
      <c r="X623"/>
      <c r="Y623"/>
      <c r="Z623"/>
      <c r="AA623"/>
      <c r="AB623"/>
      <c r="AC623"/>
      <c r="AD623"/>
      <c r="AE623"/>
      <c r="AF623"/>
      <c r="AG623"/>
      <c r="AH623"/>
      <c r="AI623"/>
    </row>
    <row r="624" spans="1:35" s="48" customFormat="1" x14ac:dyDescent="0.45">
      <c r="A624" s="3"/>
      <c r="H624"/>
      <c r="J624" s="49"/>
      <c r="K624" s="49"/>
      <c r="L624" s="50"/>
      <c r="M624" s="50"/>
      <c r="N624" s="50"/>
      <c r="O624" s="50"/>
      <c r="P624" s="50"/>
      <c r="Q624" s="50"/>
      <c r="R624" s="47"/>
      <c r="S624" s="50"/>
      <c r="T624" s="50"/>
      <c r="U624" s="50"/>
      <c r="V624" s="50"/>
      <c r="W624" s="50"/>
      <c r="X624"/>
      <c r="Y624"/>
      <c r="Z624"/>
      <c r="AA624"/>
      <c r="AB624"/>
      <c r="AC624"/>
      <c r="AD624"/>
      <c r="AE624"/>
      <c r="AF624"/>
      <c r="AG624"/>
      <c r="AH624"/>
      <c r="AI624"/>
    </row>
    <row r="625" spans="1:35" s="48" customFormat="1" x14ac:dyDescent="0.45">
      <c r="A625" s="3"/>
      <c r="H625"/>
      <c r="J625" s="49"/>
      <c r="K625" s="49"/>
      <c r="L625" s="50"/>
      <c r="M625" s="50"/>
      <c r="N625" s="50"/>
      <c r="O625" s="50"/>
      <c r="P625" s="50"/>
      <c r="Q625" s="50"/>
      <c r="R625" s="47"/>
      <c r="S625" s="50"/>
      <c r="T625" s="50"/>
      <c r="U625" s="50"/>
      <c r="V625" s="50"/>
      <c r="W625" s="50"/>
      <c r="X625"/>
      <c r="Y625"/>
      <c r="Z625"/>
      <c r="AA625"/>
      <c r="AB625"/>
      <c r="AC625"/>
      <c r="AD625"/>
      <c r="AE625"/>
      <c r="AF625"/>
      <c r="AG625"/>
      <c r="AH625"/>
      <c r="AI625"/>
    </row>
    <row r="626" spans="1:35" s="48" customFormat="1" x14ac:dyDescent="0.45">
      <c r="A626" s="3"/>
      <c r="H626"/>
      <c r="J626" s="49"/>
      <c r="K626" s="49"/>
      <c r="L626" s="50"/>
      <c r="M626" s="50"/>
      <c r="N626" s="50"/>
      <c r="O626" s="50"/>
      <c r="P626" s="50"/>
      <c r="Q626" s="50"/>
      <c r="R626" s="47"/>
      <c r="S626" s="50"/>
      <c r="T626" s="50"/>
      <c r="U626" s="50"/>
      <c r="V626" s="50"/>
      <c r="W626" s="50"/>
      <c r="X626"/>
      <c r="Y626"/>
      <c r="Z626"/>
      <c r="AA626"/>
      <c r="AB626"/>
      <c r="AC626"/>
      <c r="AD626"/>
      <c r="AE626"/>
      <c r="AF626"/>
      <c r="AG626"/>
      <c r="AH626"/>
      <c r="AI626"/>
    </row>
    <row r="627" spans="1:35" s="48" customFormat="1" x14ac:dyDescent="0.45">
      <c r="A627" s="3"/>
      <c r="H627"/>
      <c r="J627" s="49"/>
      <c r="K627" s="49"/>
      <c r="L627" s="50"/>
      <c r="M627" s="50"/>
      <c r="N627" s="50"/>
      <c r="O627" s="50"/>
      <c r="P627" s="50"/>
      <c r="Q627" s="50"/>
      <c r="R627" s="47"/>
      <c r="S627" s="50"/>
      <c r="T627" s="50"/>
      <c r="U627" s="50"/>
      <c r="V627" s="50"/>
      <c r="W627" s="50"/>
      <c r="X627"/>
      <c r="Y627"/>
      <c r="Z627"/>
      <c r="AA627"/>
      <c r="AB627"/>
      <c r="AC627"/>
      <c r="AD627"/>
      <c r="AE627"/>
      <c r="AF627"/>
      <c r="AG627"/>
      <c r="AH627"/>
      <c r="AI627"/>
    </row>
    <row r="628" spans="1:35" s="48" customFormat="1" x14ac:dyDescent="0.45">
      <c r="A628" s="3"/>
      <c r="H628"/>
      <c r="J628" s="49"/>
      <c r="K628" s="49"/>
      <c r="L628" s="50"/>
      <c r="M628" s="50"/>
      <c r="N628" s="50"/>
      <c r="O628" s="50"/>
      <c r="P628" s="50"/>
      <c r="Q628" s="50"/>
      <c r="R628" s="47"/>
      <c r="S628" s="50"/>
      <c r="T628" s="50"/>
      <c r="U628" s="50"/>
      <c r="V628" s="50"/>
      <c r="W628" s="50"/>
      <c r="X628"/>
      <c r="Y628"/>
      <c r="Z628"/>
      <c r="AA628"/>
      <c r="AB628"/>
      <c r="AC628"/>
      <c r="AD628"/>
      <c r="AE628"/>
      <c r="AF628"/>
      <c r="AG628"/>
      <c r="AH628"/>
      <c r="AI628"/>
    </row>
    <row r="629" spans="1:35" s="48" customFormat="1" x14ac:dyDescent="0.45">
      <c r="A629" s="3"/>
      <c r="H629"/>
      <c r="J629" s="49"/>
      <c r="K629" s="49"/>
      <c r="L629" s="50"/>
      <c r="M629" s="50"/>
      <c r="N629" s="50"/>
      <c r="O629" s="50"/>
      <c r="P629" s="50"/>
      <c r="Q629" s="50"/>
      <c r="R629" s="47"/>
      <c r="S629" s="50"/>
      <c r="T629" s="50"/>
      <c r="U629" s="50"/>
      <c r="V629" s="50"/>
      <c r="W629" s="50"/>
      <c r="X629"/>
      <c r="Y629"/>
      <c r="Z629"/>
      <c r="AA629"/>
      <c r="AB629"/>
      <c r="AC629"/>
      <c r="AD629"/>
      <c r="AE629"/>
      <c r="AF629"/>
      <c r="AG629"/>
      <c r="AH629"/>
      <c r="AI629"/>
    </row>
    <row r="630" spans="1:35" s="48" customFormat="1" x14ac:dyDescent="0.45">
      <c r="A630" s="3"/>
      <c r="H630"/>
      <c r="J630" s="49"/>
      <c r="K630" s="49"/>
      <c r="L630" s="50"/>
      <c r="M630" s="50"/>
      <c r="N630" s="50"/>
      <c r="O630" s="50"/>
      <c r="P630" s="50"/>
      <c r="Q630" s="50"/>
      <c r="R630" s="47"/>
      <c r="S630" s="50"/>
      <c r="T630" s="50"/>
      <c r="U630" s="50"/>
      <c r="V630" s="50"/>
      <c r="W630" s="50"/>
      <c r="X630"/>
      <c r="Y630"/>
      <c r="Z630"/>
      <c r="AA630"/>
      <c r="AB630"/>
      <c r="AC630"/>
      <c r="AD630"/>
      <c r="AE630"/>
      <c r="AF630"/>
      <c r="AG630"/>
      <c r="AH630"/>
      <c r="AI630"/>
    </row>
    <row r="631" spans="1:35" s="48" customFormat="1" x14ac:dyDescent="0.45">
      <c r="A631" s="3"/>
      <c r="H631"/>
      <c r="J631" s="49"/>
      <c r="K631" s="49"/>
      <c r="L631" s="50"/>
      <c r="M631" s="50"/>
      <c r="N631" s="50"/>
      <c r="O631" s="50"/>
      <c r="P631" s="50"/>
      <c r="Q631" s="50"/>
      <c r="R631" s="47"/>
      <c r="S631" s="50"/>
      <c r="T631" s="50"/>
      <c r="U631" s="50"/>
      <c r="V631" s="50"/>
      <c r="W631" s="50"/>
      <c r="X631"/>
      <c r="Y631"/>
      <c r="Z631"/>
      <c r="AA631"/>
      <c r="AB631"/>
      <c r="AC631"/>
      <c r="AD631"/>
      <c r="AE631"/>
      <c r="AF631"/>
      <c r="AG631"/>
      <c r="AH631"/>
      <c r="AI631"/>
    </row>
    <row r="632" spans="1:35" s="48" customFormat="1" x14ac:dyDescent="0.45">
      <c r="A632" s="3"/>
      <c r="H632"/>
      <c r="J632" s="49"/>
      <c r="K632" s="49"/>
      <c r="L632" s="50"/>
      <c r="M632" s="50"/>
      <c r="N632" s="50"/>
      <c r="O632" s="50"/>
      <c r="P632" s="50"/>
      <c r="Q632" s="50"/>
      <c r="R632" s="47"/>
      <c r="S632" s="50"/>
      <c r="T632" s="50"/>
      <c r="U632" s="50"/>
      <c r="V632" s="50"/>
      <c r="W632" s="50"/>
      <c r="X632"/>
      <c r="Y632"/>
      <c r="Z632"/>
      <c r="AA632"/>
      <c r="AB632"/>
      <c r="AC632"/>
      <c r="AD632"/>
      <c r="AE632"/>
      <c r="AF632"/>
      <c r="AG632"/>
      <c r="AH632"/>
      <c r="AI632"/>
    </row>
    <row r="633" spans="1:35" s="48" customFormat="1" x14ac:dyDescent="0.45">
      <c r="A633" s="3"/>
      <c r="H633"/>
      <c r="J633" s="49"/>
      <c r="K633" s="49"/>
      <c r="L633" s="50"/>
      <c r="M633" s="50"/>
      <c r="N633" s="50"/>
      <c r="O633" s="50"/>
      <c r="P633" s="50"/>
      <c r="Q633" s="50"/>
      <c r="R633" s="47"/>
      <c r="S633" s="50"/>
      <c r="T633" s="50"/>
      <c r="U633" s="50"/>
      <c r="V633" s="50"/>
      <c r="W633" s="50"/>
      <c r="X633"/>
      <c r="Y633"/>
      <c r="Z633"/>
      <c r="AA633"/>
      <c r="AB633"/>
      <c r="AC633"/>
      <c r="AD633"/>
      <c r="AE633"/>
      <c r="AF633"/>
      <c r="AG633"/>
      <c r="AH633"/>
      <c r="AI633"/>
    </row>
    <row r="634" spans="1:35" s="48" customFormat="1" x14ac:dyDescent="0.45">
      <c r="A634" s="3"/>
      <c r="H634"/>
      <c r="J634" s="49"/>
      <c r="K634" s="49"/>
      <c r="L634" s="50"/>
      <c r="M634" s="50"/>
      <c r="N634" s="50"/>
      <c r="O634" s="50"/>
      <c r="P634" s="50"/>
      <c r="Q634" s="50"/>
      <c r="R634" s="47"/>
      <c r="S634" s="50"/>
      <c r="T634" s="50"/>
      <c r="U634" s="50"/>
      <c r="V634" s="50"/>
      <c r="W634" s="50"/>
      <c r="X634"/>
      <c r="Y634"/>
      <c r="Z634"/>
      <c r="AA634"/>
      <c r="AB634"/>
      <c r="AC634"/>
      <c r="AD634"/>
      <c r="AE634"/>
      <c r="AF634"/>
      <c r="AG634"/>
      <c r="AH634"/>
      <c r="AI634"/>
    </row>
    <row r="635" spans="1:35" s="48" customFormat="1" x14ac:dyDescent="0.45">
      <c r="A635" s="3"/>
      <c r="H635"/>
      <c r="J635" s="49"/>
      <c r="K635" s="49"/>
      <c r="L635" s="50"/>
      <c r="M635" s="50"/>
      <c r="N635" s="50"/>
      <c r="O635" s="50"/>
      <c r="P635" s="50"/>
      <c r="Q635" s="50"/>
      <c r="R635" s="47"/>
      <c r="S635" s="50"/>
      <c r="T635" s="50"/>
      <c r="U635" s="50"/>
      <c r="V635" s="50"/>
      <c r="W635" s="50"/>
      <c r="X635"/>
      <c r="Y635"/>
      <c r="Z635"/>
      <c r="AA635"/>
      <c r="AB635"/>
      <c r="AC635"/>
      <c r="AD635"/>
      <c r="AE635"/>
      <c r="AF635"/>
      <c r="AG635"/>
      <c r="AH635"/>
      <c r="AI635"/>
    </row>
    <row r="636" spans="1:35" s="48" customFormat="1" x14ac:dyDescent="0.45">
      <c r="A636" s="3"/>
      <c r="H636"/>
      <c r="J636" s="49"/>
      <c r="K636" s="49"/>
      <c r="L636" s="50"/>
      <c r="M636" s="50"/>
      <c r="N636" s="50"/>
      <c r="O636" s="50"/>
      <c r="P636" s="50"/>
      <c r="Q636" s="50"/>
      <c r="R636" s="47"/>
      <c r="S636" s="50"/>
      <c r="T636" s="50"/>
      <c r="U636" s="50"/>
      <c r="V636" s="50"/>
      <c r="W636" s="50"/>
      <c r="X636"/>
      <c r="Y636"/>
      <c r="Z636"/>
      <c r="AA636"/>
      <c r="AB636"/>
      <c r="AC636"/>
      <c r="AD636"/>
      <c r="AE636"/>
      <c r="AF636"/>
      <c r="AG636"/>
      <c r="AH636"/>
      <c r="AI636"/>
    </row>
    <row r="637" spans="1:35" s="48" customFormat="1" x14ac:dyDescent="0.45">
      <c r="A637" s="3"/>
      <c r="H637"/>
      <c r="J637" s="49"/>
      <c r="K637" s="49"/>
      <c r="L637" s="50"/>
      <c r="M637" s="50"/>
      <c r="N637" s="50"/>
      <c r="O637" s="50"/>
      <c r="P637" s="50"/>
      <c r="Q637" s="50"/>
      <c r="R637" s="47"/>
      <c r="S637" s="50"/>
      <c r="T637" s="50"/>
      <c r="U637" s="50"/>
      <c r="V637" s="50"/>
      <c r="W637" s="50"/>
      <c r="X637"/>
      <c r="Y637"/>
      <c r="Z637"/>
      <c r="AA637"/>
      <c r="AB637"/>
      <c r="AC637"/>
      <c r="AD637"/>
      <c r="AE637"/>
      <c r="AF637"/>
      <c r="AG637"/>
      <c r="AH637"/>
      <c r="AI637"/>
    </row>
    <row r="638" spans="1:35" s="48" customFormat="1" x14ac:dyDescent="0.45">
      <c r="A638" s="3"/>
      <c r="H638"/>
      <c r="J638" s="49"/>
      <c r="K638" s="49"/>
      <c r="L638" s="50"/>
      <c r="M638" s="50"/>
      <c r="N638" s="50"/>
      <c r="O638" s="50"/>
      <c r="P638" s="50"/>
      <c r="Q638" s="50"/>
      <c r="R638" s="47"/>
      <c r="S638" s="50"/>
      <c r="T638" s="50"/>
      <c r="U638" s="50"/>
      <c r="V638" s="50"/>
      <c r="W638" s="50"/>
      <c r="X638"/>
      <c r="Y638"/>
      <c r="Z638"/>
      <c r="AA638"/>
      <c r="AB638"/>
      <c r="AC638"/>
      <c r="AD638"/>
      <c r="AE638"/>
      <c r="AF638"/>
      <c r="AG638"/>
      <c r="AH638"/>
      <c r="AI638"/>
    </row>
    <row r="639" spans="1:35" s="48" customFormat="1" x14ac:dyDescent="0.45">
      <c r="A639" s="3"/>
      <c r="H639"/>
      <c r="J639" s="49"/>
      <c r="K639" s="49"/>
      <c r="L639" s="50"/>
      <c r="M639" s="50"/>
      <c r="N639" s="50"/>
      <c r="O639" s="50"/>
      <c r="P639" s="50"/>
      <c r="Q639" s="50"/>
      <c r="R639" s="47"/>
      <c r="S639" s="50"/>
      <c r="T639" s="50"/>
      <c r="U639" s="50"/>
      <c r="V639" s="50"/>
      <c r="W639" s="50"/>
      <c r="X639"/>
      <c r="Y639"/>
      <c r="Z639"/>
      <c r="AA639"/>
      <c r="AB639"/>
      <c r="AC639"/>
      <c r="AD639"/>
      <c r="AE639"/>
      <c r="AF639"/>
      <c r="AG639"/>
      <c r="AH639"/>
      <c r="AI639"/>
    </row>
    <row r="640" spans="1:35" s="48" customFormat="1" x14ac:dyDescent="0.45">
      <c r="A640" s="3"/>
      <c r="H640"/>
      <c r="J640" s="49"/>
      <c r="K640" s="49"/>
      <c r="L640" s="50"/>
      <c r="M640" s="50"/>
      <c r="N640" s="50"/>
      <c r="O640" s="50"/>
      <c r="P640" s="50"/>
      <c r="Q640" s="50"/>
      <c r="R640" s="47"/>
      <c r="S640" s="50"/>
      <c r="T640" s="50"/>
      <c r="U640" s="50"/>
      <c r="V640" s="50"/>
      <c r="W640" s="50"/>
      <c r="X640"/>
      <c r="Y640"/>
      <c r="Z640"/>
      <c r="AA640"/>
      <c r="AB640"/>
      <c r="AC640"/>
      <c r="AD640"/>
      <c r="AE640"/>
      <c r="AF640"/>
      <c r="AG640"/>
      <c r="AH640"/>
      <c r="AI640"/>
    </row>
    <row r="641" spans="1:35" s="48" customFormat="1" x14ac:dyDescent="0.45">
      <c r="A641" s="3"/>
      <c r="H641"/>
      <c r="J641" s="49"/>
      <c r="K641" s="49"/>
      <c r="L641" s="50"/>
      <c r="M641" s="50"/>
      <c r="N641" s="50"/>
      <c r="O641" s="50"/>
      <c r="P641" s="50"/>
      <c r="Q641" s="50"/>
      <c r="R641" s="47"/>
      <c r="S641" s="50"/>
      <c r="T641" s="50"/>
      <c r="U641" s="50"/>
      <c r="V641" s="50"/>
      <c r="W641" s="50"/>
      <c r="X641"/>
      <c r="Y641"/>
      <c r="Z641"/>
      <c r="AA641"/>
      <c r="AB641"/>
      <c r="AC641"/>
      <c r="AD641"/>
      <c r="AE641"/>
      <c r="AF641"/>
      <c r="AG641"/>
      <c r="AH641"/>
      <c r="AI641"/>
    </row>
    <row r="642" spans="1:35" s="48" customFormat="1" x14ac:dyDescent="0.45">
      <c r="A642" s="3"/>
      <c r="H642"/>
      <c r="J642" s="49"/>
      <c r="K642" s="49"/>
      <c r="L642" s="50"/>
      <c r="M642" s="50"/>
      <c r="N642" s="50"/>
      <c r="O642" s="50"/>
      <c r="P642" s="50"/>
      <c r="Q642" s="50"/>
      <c r="R642" s="47"/>
      <c r="S642" s="50"/>
      <c r="T642" s="50"/>
      <c r="U642" s="50"/>
      <c r="V642" s="50"/>
      <c r="W642" s="50"/>
      <c r="X642"/>
      <c r="Y642"/>
      <c r="Z642"/>
      <c r="AA642"/>
      <c r="AB642"/>
      <c r="AC642"/>
      <c r="AD642"/>
      <c r="AE642"/>
      <c r="AF642"/>
      <c r="AG642"/>
      <c r="AH642"/>
      <c r="AI642"/>
    </row>
    <row r="643" spans="1:35" s="48" customFormat="1" x14ac:dyDescent="0.45">
      <c r="A643" s="3"/>
      <c r="H643"/>
      <c r="J643" s="49"/>
      <c r="K643" s="49"/>
      <c r="L643" s="50"/>
      <c r="M643" s="50"/>
      <c r="N643" s="50"/>
      <c r="O643" s="50"/>
      <c r="P643" s="50"/>
      <c r="Q643" s="50"/>
      <c r="R643" s="47"/>
      <c r="S643" s="50"/>
      <c r="T643" s="50"/>
      <c r="U643" s="50"/>
      <c r="V643" s="50"/>
      <c r="W643" s="50"/>
      <c r="X643"/>
      <c r="Y643"/>
      <c r="Z643"/>
      <c r="AA643"/>
      <c r="AB643"/>
      <c r="AC643"/>
      <c r="AD643"/>
      <c r="AE643"/>
      <c r="AF643"/>
      <c r="AG643"/>
      <c r="AH643"/>
      <c r="AI643"/>
    </row>
    <row r="644" spans="1:35" s="48" customFormat="1" x14ac:dyDescent="0.45">
      <c r="A644" s="3"/>
      <c r="H644"/>
      <c r="J644" s="49"/>
      <c r="K644" s="49"/>
      <c r="L644" s="50"/>
      <c r="M644" s="50"/>
      <c r="N644" s="50"/>
      <c r="O644" s="50"/>
      <c r="P644" s="50"/>
      <c r="Q644" s="50"/>
      <c r="R644" s="47"/>
      <c r="S644" s="50"/>
      <c r="T644" s="50"/>
      <c r="U644" s="50"/>
      <c r="V644" s="50"/>
      <c r="W644" s="50"/>
      <c r="X644"/>
      <c r="Y644"/>
      <c r="Z644"/>
      <c r="AA644"/>
      <c r="AB644"/>
      <c r="AC644"/>
      <c r="AD644"/>
      <c r="AE644"/>
      <c r="AF644"/>
      <c r="AG644"/>
      <c r="AH644"/>
      <c r="AI644"/>
    </row>
    <row r="645" spans="1:35" s="48" customFormat="1" x14ac:dyDescent="0.45">
      <c r="A645" s="3"/>
      <c r="H645"/>
      <c r="J645" s="49"/>
      <c r="K645" s="49"/>
      <c r="L645" s="50"/>
      <c r="M645" s="50"/>
      <c r="N645" s="50"/>
      <c r="O645" s="50"/>
      <c r="P645" s="50"/>
      <c r="Q645" s="50"/>
      <c r="R645" s="47"/>
      <c r="S645" s="50"/>
      <c r="T645" s="50"/>
      <c r="U645" s="50"/>
      <c r="V645" s="50"/>
      <c r="W645" s="50"/>
      <c r="X645"/>
      <c r="Y645"/>
      <c r="Z645"/>
      <c r="AA645"/>
      <c r="AB645"/>
      <c r="AC645"/>
      <c r="AD645"/>
      <c r="AE645"/>
      <c r="AF645"/>
      <c r="AG645"/>
      <c r="AH645"/>
      <c r="AI645"/>
    </row>
    <row r="646" spans="1:35" s="48" customFormat="1" x14ac:dyDescent="0.45">
      <c r="A646" s="3"/>
      <c r="H646"/>
      <c r="J646" s="49"/>
      <c r="K646" s="49"/>
      <c r="L646" s="50"/>
      <c r="M646" s="50"/>
      <c r="N646" s="50"/>
      <c r="O646" s="50"/>
      <c r="P646" s="50"/>
      <c r="Q646" s="50"/>
      <c r="R646" s="47"/>
      <c r="S646" s="50"/>
      <c r="T646" s="50"/>
      <c r="U646" s="50"/>
      <c r="V646" s="50"/>
      <c r="W646" s="50"/>
      <c r="X646"/>
      <c r="Y646"/>
      <c r="Z646"/>
      <c r="AA646"/>
      <c r="AB646"/>
      <c r="AC646"/>
      <c r="AD646"/>
      <c r="AE646"/>
      <c r="AF646"/>
      <c r="AG646"/>
      <c r="AH646"/>
      <c r="AI646"/>
    </row>
    <row r="647" spans="1:35" s="48" customFormat="1" x14ac:dyDescent="0.45">
      <c r="A647" s="3"/>
      <c r="H647"/>
      <c r="J647" s="49"/>
      <c r="K647" s="49"/>
      <c r="L647" s="50"/>
      <c r="M647" s="50"/>
      <c r="N647" s="50"/>
      <c r="O647" s="50"/>
      <c r="P647" s="50"/>
      <c r="Q647" s="50"/>
      <c r="R647" s="47"/>
      <c r="S647" s="50"/>
      <c r="T647" s="50"/>
      <c r="U647" s="50"/>
      <c r="V647" s="50"/>
      <c r="W647" s="50"/>
      <c r="X647"/>
      <c r="Y647"/>
      <c r="Z647"/>
      <c r="AA647"/>
      <c r="AB647"/>
      <c r="AC647"/>
      <c r="AD647"/>
      <c r="AE647"/>
      <c r="AF647"/>
      <c r="AG647"/>
      <c r="AH647"/>
      <c r="AI647"/>
    </row>
    <row r="648" spans="1:35" s="48" customFormat="1" x14ac:dyDescent="0.45">
      <c r="A648" s="3"/>
      <c r="H648"/>
      <c r="J648" s="49"/>
      <c r="K648" s="49"/>
      <c r="L648" s="50"/>
      <c r="M648" s="50"/>
      <c r="N648" s="50"/>
      <c r="O648" s="50"/>
      <c r="P648" s="50"/>
      <c r="Q648" s="50"/>
      <c r="R648" s="47"/>
      <c r="S648" s="50"/>
      <c r="T648" s="50"/>
      <c r="U648" s="50"/>
      <c r="V648" s="50"/>
      <c r="W648" s="50"/>
      <c r="X648"/>
      <c r="Y648"/>
      <c r="Z648"/>
      <c r="AA648"/>
      <c r="AB648"/>
      <c r="AC648"/>
      <c r="AD648"/>
      <c r="AE648"/>
      <c r="AF648"/>
      <c r="AG648"/>
      <c r="AH648"/>
      <c r="AI648"/>
    </row>
    <row r="649" spans="1:35" s="48" customFormat="1" x14ac:dyDescent="0.45">
      <c r="A649" s="3"/>
      <c r="H649"/>
      <c r="J649" s="49"/>
      <c r="K649" s="49"/>
      <c r="L649" s="50"/>
      <c r="M649" s="50"/>
      <c r="N649" s="50"/>
      <c r="O649" s="50"/>
      <c r="P649" s="50"/>
      <c r="Q649" s="50"/>
      <c r="R649" s="47"/>
      <c r="S649" s="50"/>
      <c r="T649" s="50"/>
      <c r="U649" s="50"/>
      <c r="V649" s="50"/>
      <c r="W649" s="50"/>
      <c r="X649"/>
      <c r="Y649"/>
      <c r="Z649"/>
      <c r="AA649"/>
      <c r="AB649"/>
      <c r="AC649"/>
      <c r="AD649"/>
      <c r="AE649"/>
      <c r="AF649"/>
      <c r="AG649"/>
      <c r="AH649"/>
      <c r="AI649"/>
    </row>
    <row r="650" spans="1:35" s="48" customFormat="1" x14ac:dyDescent="0.45">
      <c r="A650" s="3"/>
      <c r="H650"/>
      <c r="J650" s="49"/>
      <c r="K650" s="49"/>
      <c r="L650" s="50"/>
      <c r="M650" s="50"/>
      <c r="N650" s="50"/>
      <c r="O650" s="50"/>
      <c r="P650" s="50"/>
      <c r="Q650" s="50"/>
      <c r="R650" s="47"/>
      <c r="S650" s="50"/>
      <c r="T650" s="50"/>
      <c r="U650" s="50"/>
      <c r="V650" s="50"/>
      <c r="W650" s="50"/>
      <c r="X650"/>
      <c r="Y650"/>
      <c r="Z650"/>
      <c r="AA650"/>
      <c r="AB650"/>
      <c r="AC650"/>
      <c r="AD650"/>
      <c r="AE650"/>
      <c r="AF650"/>
      <c r="AG650"/>
      <c r="AH650"/>
      <c r="AI650"/>
    </row>
    <row r="651" spans="1:35" s="48" customFormat="1" x14ac:dyDescent="0.45">
      <c r="A651" s="3"/>
      <c r="H651"/>
      <c r="J651" s="49"/>
      <c r="K651" s="49"/>
      <c r="L651" s="50"/>
      <c r="M651" s="50"/>
      <c r="N651" s="50"/>
      <c r="O651" s="50"/>
      <c r="P651" s="50"/>
      <c r="Q651" s="50"/>
      <c r="R651" s="47"/>
      <c r="S651" s="50"/>
      <c r="T651" s="50"/>
      <c r="U651" s="50"/>
      <c r="V651" s="50"/>
      <c r="W651" s="50"/>
      <c r="X651"/>
      <c r="Y651"/>
      <c r="Z651"/>
      <c r="AA651"/>
      <c r="AB651"/>
      <c r="AC651"/>
      <c r="AD651"/>
      <c r="AE651"/>
      <c r="AF651"/>
      <c r="AG651"/>
      <c r="AH651"/>
      <c r="AI651"/>
    </row>
    <row r="652" spans="1:35" s="48" customFormat="1" x14ac:dyDescent="0.45">
      <c r="A652" s="3"/>
      <c r="H652"/>
      <c r="J652" s="49"/>
      <c r="K652" s="49"/>
      <c r="L652" s="50"/>
      <c r="M652" s="50"/>
      <c r="N652" s="50"/>
      <c r="O652" s="50"/>
      <c r="P652" s="50"/>
      <c r="Q652" s="50"/>
      <c r="R652" s="47"/>
      <c r="S652" s="50"/>
      <c r="T652" s="50"/>
      <c r="U652" s="50"/>
      <c r="V652" s="50"/>
      <c r="W652" s="50"/>
      <c r="X652"/>
      <c r="Y652"/>
      <c r="Z652"/>
      <c r="AA652"/>
      <c r="AB652"/>
      <c r="AC652"/>
      <c r="AD652"/>
      <c r="AE652"/>
      <c r="AF652"/>
      <c r="AG652"/>
      <c r="AH652"/>
      <c r="AI652"/>
    </row>
    <row r="653" spans="1:35" s="48" customFormat="1" x14ac:dyDescent="0.45">
      <c r="A653" s="3"/>
      <c r="H653"/>
      <c r="J653" s="49"/>
      <c r="K653" s="49"/>
      <c r="L653" s="50"/>
      <c r="M653" s="50"/>
      <c r="N653" s="50"/>
      <c r="O653" s="50"/>
      <c r="P653" s="50"/>
      <c r="Q653" s="50"/>
      <c r="R653" s="47"/>
      <c r="S653" s="50"/>
      <c r="T653" s="50"/>
      <c r="U653" s="50"/>
      <c r="V653" s="50"/>
      <c r="W653" s="50"/>
      <c r="X653"/>
      <c r="Y653"/>
      <c r="Z653"/>
      <c r="AA653"/>
      <c r="AB653"/>
      <c r="AC653"/>
      <c r="AD653"/>
      <c r="AE653"/>
      <c r="AF653"/>
      <c r="AG653"/>
      <c r="AH653"/>
      <c r="AI653"/>
    </row>
    <row r="654" spans="1:35" s="48" customFormat="1" x14ac:dyDescent="0.45">
      <c r="A654" s="3"/>
      <c r="H654"/>
      <c r="J654" s="49"/>
      <c r="K654" s="49"/>
      <c r="L654" s="50"/>
      <c r="M654" s="50"/>
      <c r="N654" s="50"/>
      <c r="O654" s="50"/>
      <c r="P654" s="50"/>
      <c r="Q654" s="50"/>
      <c r="R654" s="47"/>
      <c r="S654" s="50"/>
      <c r="T654" s="50"/>
      <c r="U654" s="50"/>
      <c r="V654" s="50"/>
      <c r="W654" s="50"/>
      <c r="X654"/>
      <c r="Y654"/>
      <c r="Z654"/>
      <c r="AA654"/>
      <c r="AB654"/>
      <c r="AC654"/>
      <c r="AD654"/>
      <c r="AE654"/>
      <c r="AF654"/>
      <c r="AG654"/>
      <c r="AH654"/>
      <c r="AI654"/>
    </row>
    <row r="655" spans="1:35" s="48" customFormat="1" x14ac:dyDescent="0.45">
      <c r="A655" s="3"/>
      <c r="H655"/>
      <c r="J655" s="49"/>
      <c r="K655" s="49"/>
      <c r="L655" s="50"/>
      <c r="M655" s="50"/>
      <c r="N655" s="50"/>
      <c r="O655" s="50"/>
      <c r="P655" s="50"/>
      <c r="Q655" s="50"/>
      <c r="R655" s="47"/>
      <c r="S655" s="50"/>
      <c r="T655" s="50"/>
      <c r="U655" s="50"/>
      <c r="V655" s="50"/>
      <c r="W655" s="50"/>
      <c r="X655"/>
      <c r="Y655"/>
      <c r="Z655"/>
      <c r="AA655"/>
      <c r="AB655"/>
      <c r="AC655"/>
      <c r="AD655"/>
      <c r="AE655"/>
      <c r="AF655"/>
      <c r="AG655"/>
      <c r="AH655"/>
      <c r="AI655"/>
    </row>
    <row r="656" spans="1:35" s="48" customFormat="1" x14ac:dyDescent="0.45">
      <c r="A656" s="3"/>
      <c r="H656"/>
      <c r="J656" s="49"/>
      <c r="K656" s="49"/>
      <c r="L656" s="50"/>
      <c r="M656" s="50"/>
      <c r="N656" s="50"/>
      <c r="O656" s="50"/>
      <c r="P656" s="50"/>
      <c r="Q656" s="50"/>
      <c r="R656" s="47"/>
      <c r="S656" s="50"/>
      <c r="T656" s="50"/>
      <c r="U656" s="50"/>
      <c r="V656" s="50"/>
      <c r="W656" s="50"/>
      <c r="X656"/>
      <c r="Y656"/>
      <c r="Z656"/>
      <c r="AA656"/>
      <c r="AB656"/>
      <c r="AC656"/>
      <c r="AD656"/>
      <c r="AE656"/>
      <c r="AF656"/>
      <c r="AG656"/>
      <c r="AH656"/>
      <c r="AI656"/>
    </row>
    <row r="657" spans="1:35" s="48" customFormat="1" x14ac:dyDescent="0.45">
      <c r="A657" s="3"/>
      <c r="H657"/>
      <c r="J657" s="49"/>
      <c r="K657" s="49"/>
      <c r="L657" s="50"/>
      <c r="M657" s="50"/>
      <c r="N657" s="50"/>
      <c r="O657" s="50"/>
      <c r="P657" s="50"/>
      <c r="Q657" s="50"/>
      <c r="R657" s="47"/>
      <c r="S657" s="50"/>
      <c r="T657" s="50"/>
      <c r="U657" s="50"/>
      <c r="V657" s="50"/>
      <c r="W657" s="50"/>
      <c r="X657"/>
      <c r="Y657"/>
      <c r="Z657"/>
      <c r="AA657"/>
      <c r="AB657"/>
      <c r="AC657"/>
      <c r="AD657"/>
      <c r="AE657"/>
      <c r="AF657"/>
      <c r="AG657"/>
      <c r="AH657"/>
      <c r="AI657"/>
    </row>
    <row r="658" spans="1:35" s="48" customFormat="1" x14ac:dyDescent="0.45">
      <c r="A658" s="3"/>
      <c r="H658"/>
      <c r="J658" s="49"/>
      <c r="K658" s="49"/>
      <c r="L658" s="50"/>
      <c r="M658" s="50"/>
      <c r="N658" s="50"/>
      <c r="O658" s="50"/>
      <c r="P658" s="50"/>
      <c r="Q658" s="50"/>
      <c r="R658" s="47"/>
      <c r="S658" s="50"/>
      <c r="T658" s="50"/>
      <c r="U658" s="50"/>
      <c r="V658" s="50"/>
      <c r="W658" s="50"/>
      <c r="X658"/>
      <c r="Y658"/>
      <c r="Z658"/>
      <c r="AA658"/>
      <c r="AB658"/>
      <c r="AC658"/>
      <c r="AD658"/>
      <c r="AE658"/>
      <c r="AF658"/>
      <c r="AG658"/>
      <c r="AH658"/>
      <c r="AI658"/>
    </row>
    <row r="659" spans="1:35" s="48" customFormat="1" x14ac:dyDescent="0.45">
      <c r="A659" s="3"/>
      <c r="H659"/>
      <c r="J659" s="49"/>
      <c r="K659" s="49"/>
      <c r="L659" s="50"/>
      <c r="M659" s="50"/>
      <c r="N659" s="50"/>
      <c r="O659" s="50"/>
      <c r="P659" s="50"/>
      <c r="Q659" s="50"/>
      <c r="R659" s="47"/>
      <c r="S659" s="50"/>
      <c r="T659" s="50"/>
      <c r="U659" s="50"/>
      <c r="V659" s="50"/>
      <c r="W659" s="50"/>
      <c r="X659"/>
      <c r="Y659"/>
      <c r="Z659"/>
      <c r="AA659"/>
      <c r="AB659"/>
      <c r="AC659"/>
      <c r="AD659"/>
      <c r="AE659"/>
      <c r="AF659"/>
      <c r="AG659"/>
      <c r="AH659"/>
      <c r="AI659"/>
    </row>
    <row r="660" spans="1:35" s="48" customFormat="1" x14ac:dyDescent="0.45">
      <c r="A660" s="3"/>
      <c r="H660"/>
      <c r="J660" s="49"/>
      <c r="K660" s="49"/>
      <c r="L660" s="50"/>
      <c r="M660" s="50"/>
      <c r="N660" s="50"/>
      <c r="O660" s="50"/>
      <c r="P660" s="50"/>
      <c r="Q660" s="50"/>
      <c r="R660" s="47"/>
      <c r="S660" s="50"/>
      <c r="T660" s="50"/>
      <c r="U660" s="50"/>
      <c r="V660" s="50"/>
      <c r="W660" s="50"/>
      <c r="X660"/>
      <c r="Y660"/>
      <c r="Z660"/>
      <c r="AA660"/>
      <c r="AB660"/>
      <c r="AC660"/>
      <c r="AD660"/>
      <c r="AE660"/>
      <c r="AF660"/>
      <c r="AG660"/>
      <c r="AH660"/>
      <c r="AI660"/>
    </row>
    <row r="661" spans="1:35" s="48" customFormat="1" x14ac:dyDescent="0.45">
      <c r="A661" s="3"/>
      <c r="H661"/>
      <c r="J661" s="49"/>
      <c r="K661" s="49"/>
      <c r="L661" s="50"/>
      <c r="M661" s="50"/>
      <c r="N661" s="50"/>
      <c r="O661" s="50"/>
      <c r="P661" s="50"/>
      <c r="Q661" s="50"/>
      <c r="R661" s="47"/>
      <c r="S661" s="50"/>
      <c r="T661" s="50"/>
      <c r="U661" s="50"/>
      <c r="V661" s="50"/>
      <c r="W661" s="50"/>
      <c r="X661"/>
      <c r="Y661"/>
      <c r="Z661"/>
      <c r="AA661"/>
      <c r="AB661"/>
      <c r="AC661"/>
      <c r="AD661"/>
      <c r="AE661"/>
      <c r="AF661"/>
      <c r="AG661"/>
      <c r="AH661"/>
      <c r="AI661"/>
    </row>
    <row r="662" spans="1:35" s="48" customFormat="1" x14ac:dyDescent="0.45">
      <c r="A662" s="3"/>
      <c r="H662"/>
      <c r="J662" s="49"/>
      <c r="K662" s="49"/>
      <c r="L662" s="50"/>
      <c r="M662" s="50"/>
      <c r="N662" s="50"/>
      <c r="O662" s="50"/>
      <c r="P662" s="50"/>
      <c r="Q662" s="50"/>
      <c r="R662" s="47"/>
      <c r="S662" s="50"/>
      <c r="T662" s="50"/>
      <c r="U662" s="50"/>
      <c r="V662" s="50"/>
      <c r="W662" s="50"/>
      <c r="X662"/>
      <c r="Y662"/>
      <c r="Z662"/>
      <c r="AA662"/>
      <c r="AB662"/>
      <c r="AC662"/>
      <c r="AD662"/>
      <c r="AE662"/>
      <c r="AF662"/>
      <c r="AG662"/>
      <c r="AH662"/>
      <c r="AI662"/>
    </row>
    <row r="663" spans="1:35" s="48" customFormat="1" x14ac:dyDescent="0.45">
      <c r="A663" s="3"/>
      <c r="H663"/>
      <c r="J663" s="49"/>
      <c r="K663" s="49"/>
      <c r="L663" s="50"/>
      <c r="M663" s="50"/>
      <c r="N663" s="50"/>
      <c r="O663" s="50"/>
      <c r="P663" s="50"/>
      <c r="Q663" s="50"/>
      <c r="R663" s="47"/>
      <c r="S663" s="50"/>
      <c r="T663" s="50"/>
      <c r="U663" s="50"/>
      <c r="V663" s="50"/>
      <c r="W663" s="50"/>
      <c r="X663"/>
      <c r="Y663"/>
      <c r="Z663"/>
      <c r="AA663"/>
      <c r="AB663"/>
      <c r="AC663"/>
      <c r="AD663"/>
      <c r="AE663"/>
      <c r="AF663"/>
      <c r="AG663"/>
      <c r="AH663"/>
      <c r="AI663"/>
    </row>
    <row r="664" spans="1:35" s="48" customFormat="1" x14ac:dyDescent="0.45">
      <c r="A664" s="3"/>
      <c r="H664"/>
      <c r="J664" s="49"/>
      <c r="K664" s="49"/>
      <c r="L664" s="50"/>
      <c r="M664" s="50"/>
      <c r="N664" s="50"/>
      <c r="O664" s="50"/>
      <c r="P664" s="50"/>
      <c r="Q664" s="50"/>
      <c r="R664" s="47"/>
      <c r="S664" s="50"/>
      <c r="T664" s="50"/>
      <c r="U664" s="50"/>
      <c r="V664" s="50"/>
      <c r="W664" s="50"/>
      <c r="X664"/>
      <c r="Y664"/>
      <c r="Z664"/>
      <c r="AA664"/>
      <c r="AB664"/>
      <c r="AC664"/>
      <c r="AD664"/>
      <c r="AE664"/>
      <c r="AF664"/>
      <c r="AG664"/>
      <c r="AH664"/>
      <c r="AI664"/>
    </row>
    <row r="665" spans="1:35" s="48" customFormat="1" x14ac:dyDescent="0.45">
      <c r="A665" s="3"/>
      <c r="H665"/>
      <c r="J665" s="49"/>
      <c r="K665" s="49"/>
      <c r="L665" s="50"/>
      <c r="M665" s="50"/>
      <c r="N665" s="50"/>
      <c r="O665" s="50"/>
      <c r="P665" s="50"/>
      <c r="Q665" s="50"/>
      <c r="R665" s="47"/>
      <c r="S665" s="50"/>
      <c r="T665" s="50"/>
      <c r="U665" s="50"/>
      <c r="V665" s="50"/>
      <c r="W665" s="50"/>
      <c r="X665"/>
      <c r="Y665"/>
      <c r="Z665"/>
      <c r="AA665"/>
      <c r="AB665"/>
      <c r="AC665"/>
      <c r="AD665"/>
      <c r="AE665"/>
      <c r="AF665"/>
      <c r="AG665"/>
      <c r="AH665"/>
      <c r="AI665"/>
    </row>
    <row r="666" spans="1:35" s="48" customFormat="1" x14ac:dyDescent="0.45">
      <c r="A666" s="3"/>
      <c r="H666"/>
      <c r="J666" s="49"/>
      <c r="K666" s="49"/>
      <c r="L666" s="50"/>
      <c r="M666" s="50"/>
      <c r="N666" s="50"/>
      <c r="O666" s="50"/>
      <c r="P666" s="50"/>
      <c r="Q666" s="50"/>
      <c r="R666" s="47"/>
      <c r="S666" s="50"/>
      <c r="T666" s="50"/>
      <c r="U666" s="50"/>
      <c r="V666" s="50"/>
      <c r="W666" s="50"/>
      <c r="X666"/>
      <c r="Y666"/>
      <c r="Z666"/>
      <c r="AA666"/>
      <c r="AB666"/>
      <c r="AC666"/>
      <c r="AD666"/>
      <c r="AE666"/>
      <c r="AF666"/>
      <c r="AG666"/>
      <c r="AH666"/>
      <c r="AI666"/>
    </row>
    <row r="667" spans="1:35" s="48" customFormat="1" x14ac:dyDescent="0.45">
      <c r="A667" s="3"/>
      <c r="H667"/>
      <c r="J667" s="49"/>
      <c r="K667" s="49"/>
      <c r="L667" s="50"/>
      <c r="M667" s="50"/>
      <c r="N667" s="50"/>
      <c r="O667" s="50"/>
      <c r="P667" s="50"/>
      <c r="Q667" s="50"/>
      <c r="R667" s="47"/>
      <c r="S667" s="50"/>
      <c r="T667" s="50"/>
      <c r="U667" s="50"/>
      <c r="V667" s="50"/>
      <c r="W667" s="50"/>
      <c r="X667"/>
      <c r="Y667"/>
      <c r="Z667"/>
      <c r="AA667"/>
      <c r="AB667"/>
      <c r="AC667"/>
      <c r="AD667"/>
      <c r="AE667"/>
      <c r="AF667"/>
      <c r="AG667"/>
      <c r="AH667"/>
      <c r="AI667"/>
    </row>
    <row r="668" spans="1:35" s="48" customFormat="1" x14ac:dyDescent="0.45">
      <c r="A668" s="3"/>
      <c r="H668"/>
      <c r="J668" s="49"/>
      <c r="K668" s="49"/>
      <c r="L668" s="50"/>
      <c r="M668" s="50"/>
      <c r="N668" s="50"/>
      <c r="O668" s="50"/>
      <c r="P668" s="50"/>
      <c r="Q668" s="50"/>
      <c r="R668" s="47"/>
      <c r="S668" s="50"/>
      <c r="T668" s="50"/>
      <c r="U668" s="50"/>
      <c r="V668" s="50"/>
      <c r="W668" s="50"/>
      <c r="X668"/>
      <c r="Y668"/>
      <c r="Z668"/>
      <c r="AA668"/>
      <c r="AB668"/>
      <c r="AC668"/>
      <c r="AD668"/>
      <c r="AE668"/>
      <c r="AF668"/>
      <c r="AG668"/>
      <c r="AH668"/>
      <c r="AI668"/>
    </row>
    <row r="669" spans="1:35" s="48" customFormat="1" x14ac:dyDescent="0.45">
      <c r="A669" s="3"/>
      <c r="H669"/>
      <c r="J669" s="49"/>
      <c r="K669" s="49"/>
      <c r="L669" s="50"/>
      <c r="M669" s="50"/>
      <c r="N669" s="50"/>
      <c r="O669" s="50"/>
      <c r="P669" s="50"/>
      <c r="Q669" s="50"/>
      <c r="R669" s="47"/>
      <c r="S669" s="50"/>
      <c r="T669" s="50"/>
      <c r="U669" s="50"/>
      <c r="V669" s="50"/>
      <c r="W669" s="50"/>
      <c r="X669"/>
      <c r="Y669"/>
      <c r="Z669"/>
      <c r="AA669"/>
      <c r="AB669"/>
      <c r="AC669"/>
      <c r="AD669"/>
      <c r="AE669"/>
      <c r="AF669"/>
      <c r="AG669"/>
      <c r="AH669"/>
      <c r="AI669"/>
    </row>
    <row r="670" spans="1:35" s="48" customFormat="1" x14ac:dyDescent="0.45">
      <c r="A670" s="3"/>
      <c r="H670"/>
      <c r="J670" s="49"/>
      <c r="K670" s="49"/>
      <c r="L670" s="50"/>
      <c r="M670" s="50"/>
      <c r="N670" s="50"/>
      <c r="O670" s="50"/>
      <c r="P670" s="50"/>
      <c r="Q670" s="50"/>
      <c r="R670" s="47"/>
      <c r="S670" s="50"/>
      <c r="T670" s="50"/>
      <c r="U670" s="50"/>
      <c r="V670" s="50"/>
      <c r="W670" s="50"/>
      <c r="X670"/>
      <c r="Y670"/>
      <c r="Z670"/>
      <c r="AA670"/>
      <c r="AB670"/>
      <c r="AC670"/>
      <c r="AD670"/>
      <c r="AE670"/>
      <c r="AF670"/>
      <c r="AG670"/>
      <c r="AH670"/>
      <c r="AI670"/>
    </row>
    <row r="671" spans="1:35" s="48" customFormat="1" x14ac:dyDescent="0.45">
      <c r="A671" s="3"/>
      <c r="H671"/>
      <c r="J671" s="49"/>
      <c r="K671" s="49"/>
      <c r="L671" s="50"/>
      <c r="M671" s="50"/>
      <c r="N671" s="50"/>
      <c r="O671" s="50"/>
      <c r="P671" s="50"/>
      <c r="Q671" s="50"/>
      <c r="R671" s="47"/>
      <c r="S671" s="50"/>
      <c r="T671" s="50"/>
      <c r="U671" s="50"/>
      <c r="V671" s="50"/>
      <c r="W671" s="50"/>
      <c r="X671"/>
      <c r="Y671"/>
      <c r="Z671"/>
      <c r="AA671"/>
      <c r="AB671"/>
      <c r="AC671"/>
      <c r="AD671"/>
      <c r="AE671"/>
      <c r="AF671"/>
      <c r="AG671"/>
      <c r="AH671"/>
      <c r="AI671"/>
    </row>
    <row r="672" spans="1:35" s="48" customFormat="1" x14ac:dyDescent="0.45">
      <c r="A672" s="3"/>
      <c r="H672"/>
      <c r="J672" s="49"/>
      <c r="K672" s="49"/>
      <c r="L672" s="50"/>
      <c r="M672" s="50"/>
      <c r="N672" s="50"/>
      <c r="O672" s="50"/>
      <c r="P672" s="50"/>
      <c r="Q672" s="50"/>
      <c r="R672" s="47"/>
      <c r="S672" s="50"/>
      <c r="T672" s="50"/>
      <c r="U672" s="50"/>
      <c r="V672" s="50"/>
      <c r="W672" s="50"/>
      <c r="X672"/>
      <c r="Y672"/>
      <c r="Z672"/>
      <c r="AA672"/>
      <c r="AB672"/>
      <c r="AC672"/>
      <c r="AD672"/>
      <c r="AE672"/>
      <c r="AF672"/>
      <c r="AG672"/>
      <c r="AH672"/>
      <c r="AI672"/>
    </row>
    <row r="673" spans="1:35" s="48" customFormat="1" x14ac:dyDescent="0.45">
      <c r="A673" s="3"/>
      <c r="H673"/>
      <c r="J673" s="49"/>
      <c r="K673" s="49"/>
      <c r="L673" s="50"/>
      <c r="M673" s="50"/>
      <c r="N673" s="50"/>
      <c r="O673" s="50"/>
      <c r="P673" s="50"/>
      <c r="Q673" s="50"/>
      <c r="R673" s="47"/>
      <c r="S673" s="50"/>
      <c r="T673" s="50"/>
      <c r="U673" s="50"/>
      <c r="V673" s="50"/>
      <c r="W673" s="50"/>
      <c r="X673"/>
      <c r="Y673"/>
      <c r="Z673"/>
      <c r="AA673"/>
      <c r="AB673"/>
      <c r="AC673"/>
      <c r="AD673"/>
      <c r="AE673"/>
      <c r="AF673"/>
      <c r="AG673"/>
      <c r="AH673"/>
      <c r="AI673"/>
    </row>
    <row r="674" spans="1:35" s="48" customFormat="1" x14ac:dyDescent="0.45">
      <c r="A674" s="3"/>
      <c r="H674"/>
      <c r="J674" s="49"/>
      <c r="K674" s="49"/>
      <c r="L674" s="50"/>
      <c r="M674" s="50"/>
      <c r="N674" s="50"/>
      <c r="O674" s="50"/>
      <c r="P674" s="50"/>
      <c r="Q674" s="50"/>
      <c r="R674" s="47"/>
      <c r="S674" s="50"/>
      <c r="T674" s="50"/>
      <c r="U674" s="50"/>
      <c r="V674" s="50"/>
      <c r="W674" s="50"/>
      <c r="X674"/>
      <c r="Y674"/>
      <c r="Z674"/>
      <c r="AA674"/>
      <c r="AB674"/>
      <c r="AC674"/>
      <c r="AD674"/>
      <c r="AE674"/>
      <c r="AF674"/>
      <c r="AG674"/>
      <c r="AH674"/>
      <c r="AI674"/>
    </row>
    <row r="675" spans="1:35" s="48" customFormat="1" x14ac:dyDescent="0.45">
      <c r="A675" s="3"/>
      <c r="H675"/>
      <c r="J675" s="49"/>
      <c r="K675" s="49"/>
      <c r="L675" s="50"/>
      <c r="M675" s="50"/>
      <c r="N675" s="50"/>
      <c r="O675" s="50"/>
      <c r="P675" s="50"/>
      <c r="Q675" s="50"/>
      <c r="R675" s="47"/>
      <c r="S675" s="50"/>
      <c r="T675" s="50"/>
      <c r="U675" s="50"/>
      <c r="V675" s="50"/>
      <c r="W675" s="50"/>
      <c r="X675"/>
      <c r="Y675"/>
      <c r="Z675"/>
      <c r="AA675"/>
      <c r="AB675"/>
      <c r="AC675"/>
      <c r="AD675"/>
      <c r="AE675"/>
      <c r="AF675"/>
      <c r="AG675"/>
      <c r="AH675"/>
      <c r="AI675"/>
    </row>
    <row r="676" spans="1:35" s="48" customFormat="1" x14ac:dyDescent="0.45">
      <c r="A676" s="3"/>
      <c r="H676"/>
      <c r="J676" s="49"/>
      <c r="K676" s="49"/>
      <c r="L676" s="50"/>
      <c r="M676" s="50"/>
      <c r="N676" s="50"/>
      <c r="O676" s="50"/>
      <c r="P676" s="50"/>
      <c r="Q676" s="50"/>
      <c r="R676" s="47"/>
      <c r="S676" s="50"/>
      <c r="T676" s="50"/>
      <c r="U676" s="50"/>
      <c r="V676" s="50"/>
      <c r="W676" s="50"/>
      <c r="X676"/>
      <c r="Y676"/>
      <c r="Z676"/>
      <c r="AA676"/>
      <c r="AB676"/>
      <c r="AC676"/>
      <c r="AD676"/>
      <c r="AE676"/>
      <c r="AF676"/>
      <c r="AG676"/>
      <c r="AH676"/>
      <c r="AI676"/>
    </row>
    <row r="677" spans="1:35" s="48" customFormat="1" x14ac:dyDescent="0.45">
      <c r="A677" s="3"/>
      <c r="H677"/>
      <c r="J677" s="49"/>
      <c r="K677" s="49"/>
      <c r="L677" s="50"/>
      <c r="M677" s="50"/>
      <c r="N677" s="50"/>
      <c r="O677" s="50"/>
      <c r="P677" s="50"/>
      <c r="Q677" s="50"/>
      <c r="R677" s="47"/>
      <c r="S677" s="50"/>
      <c r="T677" s="50"/>
      <c r="U677" s="50"/>
      <c r="V677" s="50"/>
      <c r="W677" s="50"/>
      <c r="X677"/>
      <c r="Y677"/>
      <c r="Z677"/>
      <c r="AA677"/>
      <c r="AB677"/>
      <c r="AC677"/>
      <c r="AD677"/>
      <c r="AE677"/>
      <c r="AF677"/>
      <c r="AG677"/>
      <c r="AH677"/>
      <c r="AI677"/>
    </row>
    <row r="678" spans="1:35" s="48" customFormat="1" x14ac:dyDescent="0.45">
      <c r="A678" s="3"/>
      <c r="H678"/>
      <c r="J678" s="49"/>
      <c r="K678" s="49"/>
      <c r="L678" s="50"/>
      <c r="M678" s="50"/>
      <c r="N678" s="50"/>
      <c r="O678" s="50"/>
      <c r="P678" s="50"/>
      <c r="Q678" s="50"/>
      <c r="R678" s="47"/>
      <c r="S678" s="50"/>
      <c r="T678" s="50"/>
      <c r="U678" s="50"/>
      <c r="V678" s="50"/>
      <c r="W678" s="50"/>
      <c r="X678"/>
      <c r="Y678"/>
      <c r="Z678"/>
      <c r="AA678"/>
      <c r="AB678"/>
      <c r="AC678"/>
      <c r="AD678"/>
      <c r="AE678"/>
      <c r="AF678"/>
      <c r="AG678"/>
      <c r="AH678"/>
      <c r="AI678"/>
    </row>
    <row r="679" spans="1:35" s="48" customFormat="1" x14ac:dyDescent="0.45">
      <c r="A679" s="3"/>
      <c r="H679"/>
      <c r="J679" s="49"/>
      <c r="K679" s="49"/>
      <c r="L679" s="50"/>
      <c r="M679" s="50"/>
      <c r="N679" s="50"/>
      <c r="O679" s="50"/>
      <c r="P679" s="50"/>
      <c r="Q679" s="50"/>
      <c r="R679" s="47"/>
      <c r="S679" s="50"/>
      <c r="T679" s="50"/>
      <c r="U679" s="50"/>
      <c r="V679" s="50"/>
      <c r="W679" s="50"/>
      <c r="X679"/>
      <c r="Y679"/>
      <c r="Z679"/>
      <c r="AA679"/>
      <c r="AB679"/>
      <c r="AC679"/>
      <c r="AD679"/>
      <c r="AE679"/>
      <c r="AF679"/>
      <c r="AG679"/>
      <c r="AH679"/>
      <c r="AI679"/>
    </row>
    <row r="680" spans="1:35" s="48" customFormat="1" x14ac:dyDescent="0.45">
      <c r="A680" s="3"/>
      <c r="H680"/>
      <c r="J680" s="49"/>
      <c r="K680" s="49"/>
      <c r="L680" s="50"/>
      <c r="M680" s="50"/>
      <c r="N680" s="50"/>
      <c r="O680" s="50"/>
      <c r="P680" s="50"/>
      <c r="Q680" s="50"/>
      <c r="R680" s="47"/>
      <c r="S680" s="50"/>
      <c r="T680" s="50"/>
      <c r="U680" s="50"/>
      <c r="V680" s="50"/>
      <c r="W680" s="50"/>
      <c r="X680"/>
      <c r="Y680"/>
      <c r="Z680"/>
      <c r="AA680"/>
      <c r="AB680"/>
      <c r="AC680"/>
      <c r="AD680"/>
      <c r="AE680"/>
      <c r="AF680"/>
      <c r="AG680"/>
      <c r="AH680"/>
      <c r="AI680"/>
    </row>
    <row r="681" spans="1:35" s="48" customFormat="1" x14ac:dyDescent="0.45">
      <c r="A681" s="3"/>
      <c r="H681"/>
      <c r="J681" s="49"/>
      <c r="K681" s="49"/>
      <c r="L681" s="50"/>
      <c r="M681" s="50"/>
      <c r="N681" s="50"/>
      <c r="O681" s="50"/>
      <c r="P681" s="50"/>
      <c r="Q681" s="50"/>
      <c r="R681" s="47"/>
      <c r="S681" s="50"/>
      <c r="T681" s="50"/>
      <c r="U681" s="50"/>
      <c r="V681" s="50"/>
      <c r="W681" s="50"/>
      <c r="X681"/>
      <c r="Y681"/>
      <c r="Z681"/>
      <c r="AA681"/>
      <c r="AB681"/>
      <c r="AC681"/>
      <c r="AD681"/>
      <c r="AE681"/>
      <c r="AF681"/>
      <c r="AG681"/>
      <c r="AH681"/>
      <c r="AI681"/>
    </row>
    <row r="682" spans="1:35" s="48" customFormat="1" x14ac:dyDescent="0.45">
      <c r="A682" s="3"/>
      <c r="H682"/>
      <c r="J682" s="49"/>
      <c r="K682" s="49"/>
      <c r="L682" s="50"/>
      <c r="M682" s="50"/>
      <c r="N682" s="50"/>
      <c r="O682" s="50"/>
      <c r="P682" s="50"/>
      <c r="Q682" s="50"/>
      <c r="R682" s="47"/>
      <c r="S682" s="50"/>
      <c r="T682" s="50"/>
      <c r="U682" s="50"/>
      <c r="V682" s="50"/>
      <c r="W682" s="50"/>
      <c r="X682"/>
      <c r="Y682"/>
      <c r="Z682"/>
      <c r="AA682"/>
      <c r="AB682"/>
      <c r="AC682"/>
      <c r="AD682"/>
      <c r="AE682"/>
      <c r="AF682"/>
      <c r="AG682"/>
      <c r="AH682"/>
      <c r="AI682"/>
    </row>
    <row r="683" spans="1:35" s="48" customFormat="1" x14ac:dyDescent="0.45">
      <c r="A683" s="3"/>
      <c r="H683"/>
      <c r="J683" s="49"/>
      <c r="K683" s="49"/>
      <c r="L683" s="50"/>
      <c r="M683" s="50"/>
      <c r="N683" s="50"/>
      <c r="O683" s="50"/>
      <c r="P683" s="50"/>
      <c r="Q683" s="50"/>
      <c r="R683" s="47"/>
      <c r="S683" s="50"/>
      <c r="T683" s="50"/>
      <c r="U683" s="50"/>
      <c r="V683" s="50"/>
      <c r="W683" s="50"/>
      <c r="X683"/>
      <c r="Y683"/>
      <c r="Z683"/>
      <c r="AA683"/>
      <c r="AB683"/>
      <c r="AC683"/>
      <c r="AD683"/>
      <c r="AE683"/>
      <c r="AF683"/>
      <c r="AG683"/>
      <c r="AH683"/>
      <c r="AI683"/>
    </row>
    <row r="684" spans="1:35" s="48" customFormat="1" x14ac:dyDescent="0.45">
      <c r="A684" s="3"/>
      <c r="H684"/>
      <c r="J684" s="49"/>
      <c r="K684" s="49"/>
      <c r="L684" s="50"/>
      <c r="M684" s="50"/>
      <c r="N684" s="50"/>
      <c r="O684" s="50"/>
      <c r="P684" s="50"/>
      <c r="Q684" s="50"/>
      <c r="R684" s="47"/>
      <c r="S684" s="50"/>
      <c r="T684" s="50"/>
      <c r="U684" s="50"/>
      <c r="V684" s="50"/>
      <c r="W684" s="50"/>
      <c r="X684"/>
      <c r="Y684"/>
      <c r="Z684"/>
      <c r="AA684"/>
      <c r="AB684"/>
      <c r="AC684"/>
      <c r="AD684"/>
      <c r="AE684"/>
      <c r="AF684"/>
      <c r="AG684"/>
      <c r="AH684"/>
      <c r="AI684"/>
    </row>
    <row r="685" spans="1:35" s="48" customFormat="1" x14ac:dyDescent="0.45">
      <c r="A685" s="3"/>
      <c r="H685"/>
      <c r="J685" s="49"/>
      <c r="K685" s="49"/>
      <c r="L685" s="50"/>
      <c r="M685" s="50"/>
      <c r="N685" s="50"/>
      <c r="O685" s="50"/>
      <c r="P685" s="50"/>
      <c r="Q685" s="50"/>
      <c r="R685" s="47"/>
      <c r="S685" s="50"/>
      <c r="T685" s="50"/>
      <c r="U685" s="50"/>
      <c r="V685" s="50"/>
      <c r="W685" s="50"/>
      <c r="X685"/>
      <c r="Y685"/>
      <c r="Z685"/>
      <c r="AA685"/>
      <c r="AB685"/>
      <c r="AC685"/>
      <c r="AD685"/>
      <c r="AE685"/>
      <c r="AF685"/>
      <c r="AG685"/>
      <c r="AH685"/>
      <c r="AI685"/>
    </row>
    <row r="686" spans="1:35" s="48" customFormat="1" x14ac:dyDescent="0.45">
      <c r="A686" s="3"/>
      <c r="H686"/>
      <c r="J686" s="49"/>
      <c r="K686" s="49"/>
      <c r="L686" s="50"/>
      <c r="M686" s="50"/>
      <c r="N686" s="50"/>
      <c r="O686" s="50"/>
      <c r="P686" s="50"/>
      <c r="Q686" s="50"/>
      <c r="R686" s="47"/>
      <c r="S686" s="50"/>
      <c r="T686" s="50"/>
      <c r="U686" s="50"/>
      <c r="V686" s="50"/>
      <c r="W686" s="50"/>
      <c r="X686"/>
      <c r="Y686"/>
      <c r="Z686"/>
      <c r="AA686"/>
      <c r="AB686"/>
      <c r="AC686"/>
      <c r="AD686"/>
      <c r="AE686"/>
      <c r="AF686"/>
      <c r="AG686"/>
      <c r="AH686"/>
      <c r="AI686"/>
    </row>
    <row r="687" spans="1:35" s="48" customFormat="1" x14ac:dyDescent="0.45">
      <c r="A687" s="3"/>
      <c r="H687"/>
      <c r="J687" s="49"/>
      <c r="K687" s="49"/>
      <c r="L687" s="50"/>
      <c r="M687" s="50"/>
      <c r="N687" s="50"/>
      <c r="O687" s="50"/>
      <c r="P687" s="50"/>
      <c r="Q687" s="50"/>
      <c r="R687" s="47"/>
      <c r="S687" s="50"/>
      <c r="T687" s="50"/>
      <c r="U687" s="50"/>
      <c r="V687" s="50"/>
      <c r="W687" s="50"/>
      <c r="X687"/>
      <c r="Y687"/>
      <c r="Z687"/>
      <c r="AA687"/>
      <c r="AB687"/>
      <c r="AC687"/>
      <c r="AD687"/>
      <c r="AE687"/>
      <c r="AF687"/>
      <c r="AG687"/>
      <c r="AH687"/>
      <c r="AI687"/>
    </row>
    <row r="688" spans="1:35" s="48" customFormat="1" x14ac:dyDescent="0.45">
      <c r="A688" s="3"/>
      <c r="H688"/>
      <c r="J688" s="49"/>
      <c r="K688" s="49"/>
      <c r="L688" s="50"/>
      <c r="M688" s="50"/>
      <c r="N688" s="50"/>
      <c r="O688" s="50"/>
      <c r="P688" s="50"/>
      <c r="Q688" s="50"/>
      <c r="R688" s="47"/>
      <c r="S688" s="50"/>
      <c r="T688" s="50"/>
      <c r="U688" s="50"/>
      <c r="V688" s="50"/>
      <c r="W688" s="50"/>
      <c r="X688"/>
      <c r="Y688"/>
      <c r="Z688"/>
      <c r="AA688"/>
      <c r="AB688"/>
      <c r="AC688"/>
      <c r="AD688"/>
      <c r="AE688"/>
      <c r="AF688"/>
      <c r="AG688"/>
      <c r="AH688"/>
      <c r="AI688"/>
    </row>
    <row r="689" spans="1:35" s="48" customFormat="1" x14ac:dyDescent="0.45">
      <c r="A689" s="3"/>
      <c r="H689"/>
      <c r="J689" s="49"/>
      <c r="K689" s="49"/>
      <c r="L689" s="50"/>
      <c r="M689" s="50"/>
      <c r="N689" s="50"/>
      <c r="O689" s="50"/>
      <c r="P689" s="50"/>
      <c r="Q689" s="50"/>
      <c r="R689" s="47"/>
      <c r="S689" s="50"/>
      <c r="T689" s="50"/>
      <c r="U689" s="50"/>
      <c r="V689" s="50"/>
      <c r="W689" s="50"/>
      <c r="X689"/>
      <c r="Y689"/>
      <c r="Z689"/>
      <c r="AA689"/>
      <c r="AB689"/>
      <c r="AC689"/>
      <c r="AD689"/>
      <c r="AE689"/>
      <c r="AF689"/>
      <c r="AG689"/>
      <c r="AH689"/>
      <c r="AI689"/>
    </row>
    <row r="690" spans="1:35" s="48" customFormat="1" x14ac:dyDescent="0.45">
      <c r="A690" s="3"/>
      <c r="H690"/>
      <c r="J690" s="49"/>
      <c r="K690" s="49"/>
      <c r="L690" s="50"/>
      <c r="M690" s="50"/>
      <c r="N690" s="50"/>
      <c r="O690" s="50"/>
      <c r="P690" s="50"/>
      <c r="Q690" s="50"/>
      <c r="R690" s="47"/>
      <c r="S690" s="50"/>
      <c r="T690" s="50"/>
      <c r="U690" s="50"/>
      <c r="V690" s="50"/>
      <c r="W690" s="50"/>
      <c r="X690"/>
      <c r="Y690"/>
      <c r="Z690"/>
      <c r="AA690"/>
      <c r="AB690"/>
      <c r="AC690"/>
      <c r="AD690"/>
      <c r="AE690"/>
      <c r="AF690"/>
      <c r="AG690"/>
      <c r="AH690"/>
      <c r="AI690"/>
    </row>
    <row r="691" spans="1:35" s="48" customFormat="1" x14ac:dyDescent="0.45">
      <c r="A691" s="3"/>
      <c r="H691"/>
      <c r="J691" s="49"/>
      <c r="K691" s="49"/>
      <c r="L691" s="50"/>
      <c r="M691" s="50"/>
      <c r="N691" s="50"/>
      <c r="O691" s="50"/>
      <c r="P691" s="50"/>
      <c r="Q691" s="50"/>
      <c r="R691" s="47"/>
      <c r="S691" s="50"/>
      <c r="T691" s="50"/>
      <c r="U691" s="50"/>
      <c r="V691" s="50"/>
      <c r="W691" s="50"/>
      <c r="X691"/>
      <c r="Y691"/>
      <c r="Z691"/>
      <c r="AA691"/>
      <c r="AB691"/>
      <c r="AC691"/>
      <c r="AD691"/>
      <c r="AE691"/>
      <c r="AF691"/>
      <c r="AG691"/>
      <c r="AH691"/>
      <c r="AI691"/>
    </row>
    <row r="692" spans="1:35" s="48" customFormat="1" x14ac:dyDescent="0.45">
      <c r="A692" s="3"/>
      <c r="H692"/>
      <c r="J692" s="49"/>
      <c r="K692" s="49"/>
      <c r="L692" s="50"/>
      <c r="M692" s="50"/>
      <c r="N692" s="50"/>
      <c r="O692" s="50"/>
      <c r="P692" s="50"/>
      <c r="Q692" s="50"/>
      <c r="R692" s="47"/>
      <c r="S692" s="50"/>
      <c r="T692" s="50"/>
      <c r="U692" s="50"/>
      <c r="V692" s="50"/>
      <c r="W692" s="50"/>
      <c r="X692"/>
      <c r="Y692"/>
      <c r="Z692"/>
      <c r="AA692"/>
      <c r="AB692"/>
      <c r="AC692"/>
      <c r="AD692"/>
      <c r="AE692"/>
      <c r="AF692"/>
      <c r="AG692"/>
      <c r="AH692"/>
      <c r="AI692"/>
    </row>
    <row r="693" spans="1:35" s="48" customFormat="1" x14ac:dyDescent="0.45">
      <c r="A693" s="3"/>
      <c r="H693"/>
      <c r="J693" s="49"/>
      <c r="K693" s="49"/>
      <c r="L693" s="50"/>
      <c r="M693" s="50"/>
      <c r="N693" s="50"/>
      <c r="O693" s="50"/>
      <c r="P693" s="50"/>
      <c r="Q693" s="50"/>
      <c r="R693" s="47"/>
      <c r="S693" s="50"/>
      <c r="T693" s="50"/>
      <c r="U693" s="50"/>
      <c r="V693" s="50"/>
      <c r="W693" s="50"/>
      <c r="X693"/>
      <c r="Y693"/>
      <c r="Z693"/>
      <c r="AA693"/>
      <c r="AB693"/>
      <c r="AC693"/>
      <c r="AD693"/>
      <c r="AE693"/>
      <c r="AF693"/>
      <c r="AG693"/>
      <c r="AH693"/>
      <c r="AI693"/>
    </row>
    <row r="694" spans="1:35" s="48" customFormat="1" x14ac:dyDescent="0.45">
      <c r="A694" s="3"/>
      <c r="H694"/>
      <c r="J694" s="49"/>
      <c r="K694" s="49"/>
      <c r="L694" s="50"/>
      <c r="M694" s="50"/>
      <c r="N694" s="50"/>
      <c r="O694" s="50"/>
      <c r="P694" s="50"/>
      <c r="Q694" s="50"/>
      <c r="R694" s="47"/>
      <c r="S694" s="50"/>
      <c r="T694" s="50"/>
      <c r="U694" s="50"/>
      <c r="V694" s="50"/>
      <c r="W694" s="50"/>
      <c r="X694"/>
      <c r="Y694"/>
      <c r="Z694"/>
      <c r="AA694"/>
      <c r="AB694"/>
      <c r="AC694"/>
      <c r="AD694"/>
      <c r="AE694"/>
      <c r="AF694"/>
      <c r="AG694"/>
      <c r="AH694"/>
      <c r="AI694"/>
    </row>
    <row r="695" spans="1:35" s="48" customFormat="1" x14ac:dyDescent="0.45">
      <c r="A695" s="3"/>
      <c r="H695"/>
      <c r="J695" s="49"/>
      <c r="K695" s="49"/>
      <c r="L695" s="50"/>
      <c r="M695" s="50"/>
      <c r="N695" s="50"/>
      <c r="O695" s="50"/>
      <c r="P695" s="50"/>
      <c r="Q695" s="50"/>
      <c r="R695" s="47"/>
      <c r="S695" s="50"/>
      <c r="T695" s="50"/>
      <c r="U695" s="50"/>
      <c r="V695" s="50"/>
      <c r="W695" s="50"/>
      <c r="X695"/>
      <c r="Y695"/>
      <c r="Z695"/>
      <c r="AA695"/>
      <c r="AB695"/>
      <c r="AC695"/>
      <c r="AD695"/>
      <c r="AE695"/>
      <c r="AF695"/>
      <c r="AG695"/>
      <c r="AH695"/>
      <c r="AI695"/>
    </row>
    <row r="696" spans="1:35" s="48" customFormat="1" x14ac:dyDescent="0.45">
      <c r="A696" s="3"/>
      <c r="H696"/>
      <c r="J696" s="49"/>
      <c r="K696" s="49"/>
      <c r="L696" s="50"/>
      <c r="M696" s="50"/>
      <c r="N696" s="50"/>
      <c r="O696" s="50"/>
      <c r="P696" s="50"/>
      <c r="Q696" s="50"/>
      <c r="R696" s="47"/>
      <c r="S696" s="50"/>
      <c r="T696" s="50"/>
      <c r="U696" s="50"/>
      <c r="V696" s="50"/>
      <c r="W696" s="50"/>
      <c r="X696"/>
      <c r="Y696"/>
      <c r="Z696"/>
      <c r="AA696"/>
      <c r="AB696"/>
      <c r="AC696"/>
      <c r="AD696"/>
      <c r="AE696"/>
      <c r="AF696"/>
      <c r="AG696"/>
      <c r="AH696"/>
      <c r="AI696"/>
    </row>
    <row r="697" spans="1:35" s="48" customFormat="1" x14ac:dyDescent="0.45">
      <c r="A697" s="3"/>
      <c r="H697"/>
      <c r="J697" s="49"/>
      <c r="K697" s="49"/>
      <c r="L697" s="50"/>
      <c r="M697" s="50"/>
      <c r="N697" s="50"/>
      <c r="O697" s="50"/>
      <c r="P697" s="50"/>
      <c r="Q697" s="50"/>
      <c r="R697" s="47"/>
      <c r="S697" s="50"/>
      <c r="T697" s="50"/>
      <c r="U697" s="50"/>
      <c r="V697" s="50"/>
      <c r="W697" s="50"/>
      <c r="X697"/>
      <c r="Y697"/>
      <c r="Z697"/>
      <c r="AA697"/>
      <c r="AB697"/>
      <c r="AC697"/>
      <c r="AD697"/>
      <c r="AE697"/>
      <c r="AF697"/>
      <c r="AG697"/>
      <c r="AH697"/>
      <c r="AI697"/>
    </row>
    <row r="698" spans="1:35" s="48" customFormat="1" x14ac:dyDescent="0.45">
      <c r="A698" s="3"/>
      <c r="H698"/>
      <c r="J698" s="49"/>
      <c r="K698" s="49"/>
      <c r="L698" s="50"/>
      <c r="M698" s="50"/>
      <c r="N698" s="50"/>
      <c r="O698" s="50"/>
      <c r="P698" s="50"/>
      <c r="Q698" s="50"/>
      <c r="R698" s="47"/>
      <c r="S698" s="50"/>
      <c r="T698" s="50"/>
      <c r="U698" s="50"/>
      <c r="V698" s="50"/>
      <c r="W698" s="50"/>
      <c r="X698"/>
      <c r="Y698"/>
      <c r="Z698"/>
      <c r="AA698"/>
      <c r="AB698"/>
      <c r="AC698"/>
      <c r="AD698"/>
      <c r="AE698"/>
      <c r="AF698"/>
      <c r="AG698"/>
      <c r="AH698"/>
      <c r="AI698"/>
    </row>
    <row r="699" spans="1:35" s="48" customFormat="1" x14ac:dyDescent="0.45">
      <c r="A699" s="3"/>
      <c r="H699"/>
      <c r="J699" s="49"/>
      <c r="K699" s="49"/>
      <c r="L699" s="50"/>
      <c r="M699" s="50"/>
      <c r="N699" s="50"/>
      <c r="O699" s="50"/>
      <c r="P699" s="50"/>
      <c r="Q699" s="50"/>
      <c r="R699" s="47"/>
      <c r="S699" s="50"/>
      <c r="T699" s="50"/>
      <c r="U699" s="50"/>
      <c r="V699" s="50"/>
      <c r="W699" s="50"/>
      <c r="X699"/>
      <c r="Y699"/>
      <c r="Z699"/>
      <c r="AA699"/>
      <c r="AB699"/>
      <c r="AC699"/>
      <c r="AD699"/>
      <c r="AE699"/>
      <c r="AF699"/>
      <c r="AG699"/>
      <c r="AH699"/>
      <c r="AI699"/>
    </row>
    <row r="700" spans="1:35" s="48" customFormat="1" x14ac:dyDescent="0.45">
      <c r="A700" s="3"/>
      <c r="H700"/>
      <c r="J700" s="49"/>
      <c r="K700" s="49"/>
      <c r="L700" s="50"/>
      <c r="M700" s="50"/>
      <c r="N700" s="50"/>
      <c r="O700" s="50"/>
      <c r="P700" s="50"/>
      <c r="Q700" s="50"/>
      <c r="R700" s="47"/>
      <c r="S700" s="50"/>
      <c r="T700" s="50"/>
      <c r="U700" s="50"/>
      <c r="V700" s="50"/>
      <c r="W700" s="50"/>
      <c r="X700"/>
      <c r="Y700"/>
      <c r="Z700"/>
      <c r="AA700"/>
      <c r="AB700"/>
      <c r="AC700"/>
      <c r="AD700"/>
      <c r="AE700"/>
      <c r="AF700"/>
      <c r="AG700"/>
      <c r="AH700"/>
      <c r="AI700"/>
    </row>
    <row r="701" spans="1:35" s="48" customFormat="1" x14ac:dyDescent="0.45">
      <c r="A701" s="3"/>
      <c r="H701"/>
      <c r="J701" s="49"/>
      <c r="K701" s="49"/>
      <c r="L701" s="50"/>
      <c r="M701" s="50"/>
      <c r="N701" s="50"/>
      <c r="O701" s="50"/>
      <c r="P701" s="50"/>
      <c r="Q701" s="50"/>
      <c r="R701" s="47"/>
      <c r="S701" s="50"/>
      <c r="T701" s="50"/>
      <c r="U701" s="50"/>
      <c r="V701" s="50"/>
      <c r="W701" s="50"/>
      <c r="X701"/>
      <c r="Y701"/>
      <c r="Z701"/>
      <c r="AA701"/>
      <c r="AB701"/>
      <c r="AC701"/>
      <c r="AD701"/>
      <c r="AE701"/>
      <c r="AF701"/>
      <c r="AG701"/>
      <c r="AH701"/>
      <c r="AI701"/>
    </row>
    <row r="702" spans="1:35" s="48" customFormat="1" x14ac:dyDescent="0.45">
      <c r="A702" s="3"/>
      <c r="H702"/>
      <c r="J702" s="49"/>
      <c r="K702" s="49"/>
      <c r="L702" s="50"/>
      <c r="M702" s="50"/>
      <c r="N702" s="50"/>
      <c r="O702" s="50"/>
      <c r="P702" s="50"/>
      <c r="Q702" s="50"/>
      <c r="R702" s="47"/>
      <c r="S702" s="50"/>
      <c r="T702" s="50"/>
      <c r="U702" s="50"/>
      <c r="V702" s="50"/>
      <c r="W702" s="50"/>
      <c r="X702"/>
      <c r="Y702"/>
      <c r="Z702"/>
      <c r="AA702"/>
      <c r="AB702"/>
      <c r="AC702"/>
      <c r="AD702"/>
      <c r="AE702"/>
      <c r="AF702"/>
      <c r="AG702"/>
      <c r="AH702"/>
      <c r="AI702"/>
    </row>
    <row r="703" spans="1:35" s="48" customFormat="1" x14ac:dyDescent="0.45">
      <c r="A703" s="3"/>
      <c r="H703"/>
      <c r="J703" s="49"/>
      <c r="K703" s="49"/>
      <c r="L703" s="50"/>
      <c r="M703" s="50"/>
      <c r="N703" s="50"/>
      <c r="O703" s="50"/>
      <c r="P703" s="50"/>
      <c r="Q703" s="50"/>
      <c r="R703" s="47"/>
      <c r="S703" s="50"/>
      <c r="T703" s="50"/>
      <c r="U703" s="50"/>
      <c r="V703" s="50"/>
      <c r="W703" s="50"/>
      <c r="X703"/>
      <c r="Y703"/>
      <c r="Z703"/>
      <c r="AA703"/>
      <c r="AB703"/>
      <c r="AC703"/>
      <c r="AD703"/>
      <c r="AE703"/>
      <c r="AF703"/>
      <c r="AG703"/>
      <c r="AH703"/>
      <c r="AI703"/>
    </row>
    <row r="704" spans="1:35" s="48" customFormat="1" x14ac:dyDescent="0.45">
      <c r="A704" s="3"/>
      <c r="H704"/>
      <c r="J704" s="49"/>
      <c r="K704" s="49"/>
      <c r="L704" s="50"/>
      <c r="M704" s="50"/>
      <c r="N704" s="50"/>
      <c r="O704" s="50"/>
      <c r="P704" s="50"/>
      <c r="Q704" s="50"/>
      <c r="R704" s="47"/>
      <c r="S704" s="50"/>
      <c r="T704" s="50"/>
      <c r="U704" s="50"/>
      <c r="V704" s="50"/>
      <c r="W704" s="50"/>
      <c r="X704"/>
      <c r="Y704"/>
      <c r="Z704"/>
      <c r="AA704"/>
      <c r="AB704"/>
      <c r="AC704"/>
      <c r="AD704"/>
      <c r="AE704"/>
      <c r="AF704"/>
      <c r="AG704"/>
      <c r="AH704"/>
      <c r="AI704"/>
    </row>
    <row r="705" spans="1:35" s="48" customFormat="1" x14ac:dyDescent="0.45">
      <c r="A705" s="3"/>
      <c r="H705"/>
      <c r="J705" s="49"/>
      <c r="K705" s="49"/>
      <c r="L705" s="50"/>
      <c r="M705" s="50"/>
      <c r="N705" s="50"/>
      <c r="O705" s="50"/>
      <c r="P705" s="50"/>
      <c r="Q705" s="50"/>
      <c r="R705" s="47"/>
      <c r="S705" s="50"/>
      <c r="T705" s="50"/>
      <c r="U705" s="50"/>
      <c r="V705" s="50"/>
      <c r="W705" s="50"/>
      <c r="X705"/>
      <c r="Y705"/>
      <c r="Z705"/>
      <c r="AA705"/>
      <c r="AB705"/>
      <c r="AC705"/>
      <c r="AD705"/>
      <c r="AE705"/>
      <c r="AF705"/>
      <c r="AG705"/>
      <c r="AH705"/>
      <c r="AI705"/>
    </row>
    <row r="706" spans="1:35" s="48" customFormat="1" x14ac:dyDescent="0.45">
      <c r="A706" s="3"/>
      <c r="H706"/>
      <c r="J706" s="49"/>
      <c r="K706" s="49"/>
      <c r="L706" s="50"/>
      <c r="M706" s="50"/>
      <c r="N706" s="50"/>
      <c r="O706" s="50"/>
      <c r="P706" s="50"/>
      <c r="Q706" s="50"/>
      <c r="R706" s="47"/>
      <c r="S706" s="50"/>
      <c r="T706" s="50"/>
      <c r="U706" s="50"/>
      <c r="V706" s="50"/>
      <c r="W706" s="50"/>
      <c r="X706"/>
      <c r="Y706"/>
      <c r="Z706"/>
      <c r="AA706"/>
      <c r="AB706"/>
      <c r="AC706"/>
      <c r="AD706"/>
      <c r="AE706"/>
      <c r="AF706"/>
      <c r="AG706"/>
      <c r="AH706"/>
      <c r="AI706"/>
    </row>
    <row r="707" spans="1:35" s="48" customFormat="1" x14ac:dyDescent="0.45">
      <c r="A707" s="3"/>
      <c r="H707"/>
      <c r="J707" s="49"/>
      <c r="K707" s="49"/>
      <c r="L707" s="50"/>
      <c r="M707" s="50"/>
      <c r="N707" s="50"/>
      <c r="O707" s="50"/>
      <c r="P707" s="50"/>
      <c r="Q707" s="50"/>
      <c r="R707" s="47"/>
      <c r="S707" s="50"/>
      <c r="T707" s="50"/>
      <c r="U707" s="50"/>
      <c r="V707" s="50"/>
      <c r="W707" s="50"/>
      <c r="X707"/>
      <c r="Y707"/>
      <c r="Z707"/>
      <c r="AA707"/>
      <c r="AB707"/>
      <c r="AC707"/>
      <c r="AD707"/>
      <c r="AE707"/>
      <c r="AF707"/>
      <c r="AG707"/>
      <c r="AH707"/>
      <c r="AI707"/>
    </row>
    <row r="708" spans="1:35" s="48" customFormat="1" x14ac:dyDescent="0.45">
      <c r="A708" s="3"/>
      <c r="H708"/>
      <c r="J708" s="49"/>
      <c r="K708" s="49"/>
      <c r="L708" s="50"/>
      <c r="M708" s="50"/>
      <c r="N708" s="50"/>
      <c r="O708" s="50"/>
      <c r="P708" s="50"/>
      <c r="Q708" s="50"/>
      <c r="R708" s="47"/>
      <c r="S708" s="50"/>
      <c r="T708" s="50"/>
      <c r="U708" s="50"/>
      <c r="V708" s="50"/>
      <c r="W708" s="50"/>
      <c r="X708"/>
      <c r="Y708"/>
      <c r="Z708"/>
      <c r="AA708"/>
      <c r="AB708"/>
      <c r="AC708"/>
      <c r="AD708"/>
      <c r="AE708"/>
      <c r="AF708"/>
      <c r="AG708"/>
      <c r="AH708"/>
      <c r="AI708"/>
    </row>
    <row r="709" spans="1:35" s="48" customFormat="1" x14ac:dyDescent="0.45">
      <c r="A709" s="3"/>
      <c r="H709"/>
      <c r="J709" s="49"/>
      <c r="K709" s="49"/>
      <c r="L709" s="50"/>
      <c r="M709" s="50"/>
      <c r="N709" s="50"/>
      <c r="O709" s="50"/>
      <c r="P709" s="50"/>
      <c r="Q709" s="50"/>
      <c r="R709" s="47"/>
      <c r="S709" s="50"/>
      <c r="T709" s="50"/>
      <c r="U709" s="50"/>
      <c r="V709" s="50"/>
      <c r="W709" s="50"/>
      <c r="X709"/>
      <c r="Y709"/>
      <c r="Z709"/>
      <c r="AA709"/>
      <c r="AB709"/>
      <c r="AC709"/>
      <c r="AD709"/>
      <c r="AE709"/>
      <c r="AF709"/>
      <c r="AG709"/>
      <c r="AH709"/>
      <c r="AI709"/>
    </row>
    <row r="710" spans="1:35" s="48" customFormat="1" x14ac:dyDescent="0.45">
      <c r="A710" s="3"/>
      <c r="H710"/>
      <c r="J710" s="49"/>
      <c r="K710" s="49"/>
      <c r="L710" s="50"/>
      <c r="M710" s="50"/>
      <c r="N710" s="50"/>
      <c r="O710" s="50"/>
      <c r="P710" s="50"/>
      <c r="Q710" s="50"/>
      <c r="R710" s="47"/>
      <c r="S710" s="50"/>
      <c r="T710" s="50"/>
      <c r="U710" s="50"/>
      <c r="V710" s="50"/>
      <c r="W710" s="50"/>
      <c r="X710"/>
      <c r="Y710"/>
      <c r="Z710"/>
      <c r="AA710"/>
      <c r="AB710"/>
      <c r="AC710"/>
      <c r="AD710"/>
      <c r="AE710"/>
      <c r="AF710"/>
      <c r="AG710"/>
      <c r="AH710"/>
      <c r="AI710"/>
    </row>
    <row r="711" spans="1:35" s="48" customFormat="1" x14ac:dyDescent="0.45">
      <c r="A711" s="3"/>
      <c r="H711"/>
      <c r="J711" s="49"/>
      <c r="K711" s="49"/>
      <c r="L711" s="50"/>
      <c r="M711" s="50"/>
      <c r="N711" s="50"/>
      <c r="O711" s="50"/>
      <c r="P711" s="50"/>
      <c r="Q711" s="50"/>
      <c r="R711" s="47"/>
      <c r="S711" s="50"/>
      <c r="T711" s="50"/>
      <c r="U711" s="50"/>
      <c r="V711" s="50"/>
      <c r="W711" s="50"/>
      <c r="X711"/>
      <c r="Y711"/>
      <c r="Z711"/>
      <c r="AA711"/>
      <c r="AB711"/>
      <c r="AC711"/>
      <c r="AD711"/>
      <c r="AE711"/>
      <c r="AF711"/>
      <c r="AG711"/>
      <c r="AH711"/>
      <c r="AI711"/>
    </row>
    <row r="712" spans="1:35" s="48" customFormat="1" x14ac:dyDescent="0.45">
      <c r="A712" s="3"/>
      <c r="H712"/>
      <c r="J712" s="49"/>
      <c r="K712" s="49"/>
      <c r="L712" s="50"/>
      <c r="M712" s="50"/>
      <c r="N712" s="50"/>
      <c r="O712" s="50"/>
      <c r="P712" s="50"/>
      <c r="Q712" s="50"/>
      <c r="R712" s="47"/>
      <c r="S712" s="50"/>
      <c r="T712" s="50"/>
      <c r="U712" s="50"/>
      <c r="V712" s="50"/>
      <c r="W712" s="50"/>
      <c r="X712"/>
      <c r="Y712"/>
      <c r="Z712"/>
      <c r="AA712"/>
      <c r="AB712"/>
      <c r="AC712"/>
      <c r="AD712"/>
      <c r="AE712"/>
      <c r="AF712"/>
      <c r="AG712"/>
      <c r="AH712"/>
      <c r="AI712"/>
    </row>
    <row r="713" spans="1:35" s="48" customFormat="1" x14ac:dyDescent="0.45">
      <c r="A713" s="3"/>
      <c r="H713"/>
      <c r="J713" s="49"/>
      <c r="K713" s="49"/>
      <c r="L713" s="50"/>
      <c r="M713" s="50"/>
      <c r="N713" s="50"/>
      <c r="O713" s="50"/>
      <c r="P713" s="50"/>
      <c r="Q713" s="50"/>
      <c r="R713" s="47"/>
      <c r="S713" s="50"/>
      <c r="T713" s="50"/>
      <c r="U713" s="50"/>
      <c r="V713" s="50"/>
      <c r="W713" s="50"/>
      <c r="X713"/>
      <c r="Y713"/>
      <c r="Z713"/>
      <c r="AA713"/>
      <c r="AB713"/>
      <c r="AC713"/>
      <c r="AD713"/>
      <c r="AE713"/>
      <c r="AF713"/>
      <c r="AG713"/>
      <c r="AH713"/>
      <c r="AI713"/>
    </row>
    <row r="714" spans="1:35" s="48" customFormat="1" x14ac:dyDescent="0.45">
      <c r="A714" s="3"/>
      <c r="H714"/>
      <c r="J714" s="49"/>
      <c r="K714" s="49"/>
      <c r="L714" s="50"/>
      <c r="M714" s="50"/>
      <c r="N714" s="50"/>
      <c r="O714" s="50"/>
      <c r="P714" s="50"/>
      <c r="Q714" s="50"/>
      <c r="R714" s="47"/>
      <c r="S714" s="50"/>
      <c r="T714" s="50"/>
      <c r="U714" s="50"/>
      <c r="V714" s="50"/>
      <c r="W714" s="50"/>
      <c r="X714"/>
      <c r="Y714"/>
      <c r="Z714"/>
      <c r="AA714"/>
      <c r="AB714"/>
      <c r="AC714"/>
      <c r="AD714"/>
      <c r="AE714"/>
      <c r="AF714"/>
      <c r="AG714"/>
      <c r="AH714"/>
      <c r="AI714"/>
    </row>
    <row r="715" spans="1:35" s="48" customFormat="1" x14ac:dyDescent="0.45">
      <c r="A715" s="3"/>
      <c r="H715"/>
      <c r="J715" s="49"/>
      <c r="K715" s="49"/>
      <c r="L715" s="50"/>
      <c r="M715" s="50"/>
      <c r="N715" s="50"/>
      <c r="O715" s="50"/>
      <c r="P715" s="50"/>
      <c r="Q715" s="50"/>
      <c r="R715" s="47"/>
      <c r="S715" s="50"/>
      <c r="T715" s="50"/>
      <c r="U715" s="50"/>
      <c r="V715" s="50"/>
      <c r="W715" s="50"/>
      <c r="X715"/>
      <c r="Y715"/>
      <c r="Z715"/>
      <c r="AA715"/>
      <c r="AB715"/>
      <c r="AC715"/>
      <c r="AD715"/>
      <c r="AE715"/>
      <c r="AF715"/>
      <c r="AG715"/>
      <c r="AH715"/>
      <c r="AI715"/>
    </row>
    <row r="716" spans="1:35" s="48" customFormat="1" x14ac:dyDescent="0.45">
      <c r="A716" s="3"/>
      <c r="H716"/>
      <c r="J716" s="49"/>
      <c r="K716" s="49"/>
      <c r="L716" s="50"/>
      <c r="M716" s="50"/>
      <c r="N716" s="50"/>
      <c r="O716" s="50"/>
      <c r="P716" s="50"/>
      <c r="Q716" s="50"/>
      <c r="R716" s="47"/>
      <c r="S716" s="50"/>
      <c r="T716" s="50"/>
      <c r="U716" s="50"/>
      <c r="V716" s="50"/>
      <c r="W716" s="50"/>
      <c r="X716"/>
      <c r="Y716"/>
      <c r="Z716"/>
      <c r="AA716"/>
      <c r="AB716"/>
      <c r="AC716"/>
      <c r="AD716"/>
      <c r="AE716"/>
      <c r="AF716"/>
      <c r="AG716"/>
      <c r="AH716"/>
      <c r="AI716"/>
    </row>
    <row r="717" spans="1:35" s="48" customFormat="1" x14ac:dyDescent="0.45">
      <c r="A717" s="3"/>
      <c r="H717"/>
      <c r="J717" s="49"/>
      <c r="K717" s="49"/>
      <c r="L717" s="50"/>
      <c r="M717" s="50"/>
      <c r="N717" s="50"/>
      <c r="O717" s="50"/>
      <c r="P717" s="50"/>
      <c r="Q717" s="50"/>
      <c r="R717" s="47"/>
      <c r="S717" s="50"/>
      <c r="T717" s="50"/>
      <c r="U717" s="50"/>
      <c r="V717" s="50"/>
      <c r="W717" s="50"/>
      <c r="X717"/>
      <c r="Y717"/>
      <c r="Z717"/>
      <c r="AA717"/>
      <c r="AB717"/>
      <c r="AC717"/>
      <c r="AD717"/>
      <c r="AE717"/>
      <c r="AF717"/>
      <c r="AG717"/>
      <c r="AH717"/>
      <c r="AI717"/>
    </row>
    <row r="718" spans="1:35" s="48" customFormat="1" x14ac:dyDescent="0.45">
      <c r="A718" s="3"/>
      <c r="H718"/>
      <c r="J718" s="49"/>
      <c r="K718" s="49"/>
      <c r="L718" s="50"/>
      <c r="M718" s="50"/>
      <c r="N718" s="50"/>
      <c r="O718" s="50"/>
      <c r="P718" s="50"/>
      <c r="Q718" s="50"/>
      <c r="R718" s="47"/>
      <c r="S718" s="50"/>
      <c r="T718" s="50"/>
      <c r="U718" s="50"/>
      <c r="V718" s="50"/>
      <c r="W718" s="50"/>
      <c r="X718"/>
      <c r="Y718"/>
      <c r="Z718"/>
      <c r="AA718"/>
      <c r="AB718"/>
      <c r="AC718"/>
      <c r="AD718"/>
      <c r="AE718"/>
      <c r="AF718"/>
      <c r="AG718"/>
      <c r="AH718"/>
      <c r="AI718"/>
    </row>
    <row r="719" spans="1:35" s="48" customFormat="1" x14ac:dyDescent="0.45">
      <c r="A719" s="3"/>
      <c r="H719"/>
      <c r="J719" s="49"/>
      <c r="K719" s="49"/>
      <c r="L719" s="50"/>
      <c r="M719" s="50"/>
      <c r="N719" s="50"/>
      <c r="O719" s="50"/>
      <c r="P719" s="50"/>
      <c r="Q719" s="50"/>
      <c r="R719" s="47"/>
      <c r="S719" s="50"/>
      <c r="T719" s="50"/>
      <c r="U719" s="50"/>
      <c r="V719" s="50"/>
      <c r="W719" s="50"/>
      <c r="X719"/>
      <c r="Y719"/>
      <c r="Z719"/>
      <c r="AA719"/>
      <c r="AB719"/>
      <c r="AC719"/>
      <c r="AD719"/>
      <c r="AE719"/>
      <c r="AF719"/>
      <c r="AG719"/>
      <c r="AH719"/>
      <c r="AI719"/>
    </row>
    <row r="720" spans="1:35" s="48" customFormat="1" x14ac:dyDescent="0.45">
      <c r="A720" s="3"/>
      <c r="H720"/>
      <c r="J720" s="49"/>
      <c r="K720" s="49"/>
      <c r="L720" s="50"/>
      <c r="M720" s="50"/>
      <c r="N720" s="50"/>
      <c r="O720" s="50"/>
      <c r="P720" s="50"/>
      <c r="Q720" s="50"/>
      <c r="R720" s="47"/>
      <c r="S720" s="50"/>
      <c r="T720" s="50"/>
      <c r="U720" s="50"/>
      <c r="V720" s="50"/>
      <c r="W720" s="50"/>
      <c r="X720"/>
      <c r="Y720"/>
      <c r="Z720"/>
      <c r="AA720"/>
      <c r="AB720"/>
      <c r="AC720"/>
      <c r="AD720"/>
      <c r="AE720"/>
      <c r="AF720"/>
      <c r="AG720"/>
      <c r="AH720"/>
      <c r="AI720"/>
    </row>
    <row r="721" spans="1:35" s="48" customFormat="1" x14ac:dyDescent="0.45">
      <c r="A721" s="3"/>
      <c r="H721"/>
      <c r="J721" s="49"/>
      <c r="K721" s="49"/>
      <c r="L721" s="50"/>
      <c r="M721" s="50"/>
      <c r="N721" s="50"/>
      <c r="O721" s="50"/>
      <c r="P721" s="50"/>
      <c r="Q721" s="50"/>
      <c r="R721" s="47"/>
      <c r="S721" s="50"/>
      <c r="T721" s="50"/>
      <c r="U721" s="50"/>
      <c r="V721" s="50"/>
      <c r="W721" s="50"/>
      <c r="X721"/>
      <c r="Y721"/>
      <c r="Z721"/>
      <c r="AA721"/>
      <c r="AB721"/>
      <c r="AC721"/>
      <c r="AD721"/>
      <c r="AE721"/>
      <c r="AF721"/>
      <c r="AG721"/>
      <c r="AH721"/>
      <c r="AI721"/>
    </row>
    <row r="722" spans="1:35" s="48" customFormat="1" x14ac:dyDescent="0.45">
      <c r="A722" s="3"/>
      <c r="H722"/>
      <c r="J722" s="49"/>
      <c r="K722" s="49"/>
      <c r="L722" s="50"/>
      <c r="M722" s="50"/>
      <c r="N722" s="50"/>
      <c r="O722" s="50"/>
      <c r="P722" s="50"/>
      <c r="Q722" s="50"/>
      <c r="R722" s="47"/>
      <c r="S722" s="50"/>
      <c r="T722" s="50"/>
      <c r="U722" s="50"/>
      <c r="V722" s="50"/>
      <c r="W722" s="50"/>
      <c r="X722"/>
      <c r="Y722"/>
      <c r="Z722"/>
      <c r="AA722"/>
      <c r="AB722"/>
      <c r="AC722"/>
      <c r="AD722"/>
      <c r="AE722"/>
      <c r="AF722"/>
      <c r="AG722"/>
      <c r="AH722"/>
      <c r="AI722"/>
    </row>
    <row r="723" spans="1:35" s="48" customFormat="1" x14ac:dyDescent="0.45">
      <c r="A723" s="3"/>
      <c r="H723"/>
      <c r="J723" s="49"/>
      <c r="K723" s="49"/>
      <c r="L723" s="50"/>
      <c r="M723" s="50"/>
      <c r="N723" s="50"/>
      <c r="O723" s="50"/>
      <c r="P723" s="50"/>
      <c r="Q723" s="50"/>
      <c r="R723" s="47"/>
      <c r="S723" s="50"/>
      <c r="T723" s="50"/>
      <c r="U723" s="50"/>
      <c r="V723" s="50"/>
      <c r="W723" s="50"/>
      <c r="X723"/>
      <c r="Y723"/>
      <c r="Z723"/>
      <c r="AA723"/>
      <c r="AB723"/>
      <c r="AC723"/>
      <c r="AD723"/>
      <c r="AE723"/>
      <c r="AF723"/>
      <c r="AG723"/>
      <c r="AH723"/>
      <c r="AI723"/>
    </row>
    <row r="724" spans="1:35" s="48" customFormat="1" x14ac:dyDescent="0.45">
      <c r="A724" s="3"/>
      <c r="H724"/>
      <c r="J724" s="49"/>
      <c r="K724" s="49"/>
      <c r="L724" s="50"/>
      <c r="M724" s="50"/>
      <c r="N724" s="50"/>
      <c r="O724" s="50"/>
      <c r="P724" s="50"/>
      <c r="Q724" s="50"/>
      <c r="R724" s="47"/>
      <c r="S724" s="50"/>
      <c r="T724" s="50"/>
      <c r="U724" s="50"/>
      <c r="V724" s="50"/>
      <c r="W724" s="50"/>
      <c r="X724"/>
      <c r="Y724"/>
      <c r="Z724"/>
      <c r="AA724"/>
      <c r="AB724"/>
      <c r="AC724"/>
      <c r="AD724"/>
      <c r="AE724"/>
      <c r="AF724"/>
      <c r="AG724"/>
      <c r="AH724"/>
      <c r="AI724"/>
    </row>
    <row r="725" spans="1:35" s="48" customFormat="1" x14ac:dyDescent="0.45">
      <c r="A725" s="3"/>
      <c r="H725"/>
      <c r="J725" s="49"/>
      <c r="K725" s="49"/>
      <c r="L725" s="50"/>
      <c r="M725" s="50"/>
      <c r="N725" s="50"/>
      <c r="O725" s="50"/>
      <c r="P725" s="50"/>
      <c r="Q725" s="50"/>
      <c r="R725" s="47"/>
      <c r="S725" s="50"/>
      <c r="T725" s="50"/>
      <c r="U725" s="50"/>
      <c r="V725" s="50"/>
      <c r="W725" s="50"/>
      <c r="X725"/>
      <c r="Y725"/>
      <c r="Z725"/>
      <c r="AA725"/>
      <c r="AB725"/>
      <c r="AC725"/>
      <c r="AD725"/>
      <c r="AE725"/>
      <c r="AF725"/>
      <c r="AG725"/>
      <c r="AH725"/>
      <c r="AI725"/>
    </row>
    <row r="726" spans="1:35" s="48" customFormat="1" x14ac:dyDescent="0.45">
      <c r="A726" s="3"/>
      <c r="H726"/>
      <c r="J726" s="49"/>
      <c r="K726" s="49"/>
      <c r="L726" s="50"/>
      <c r="M726" s="50"/>
      <c r="N726" s="50"/>
      <c r="O726" s="50"/>
      <c r="P726" s="50"/>
      <c r="Q726" s="50"/>
      <c r="R726" s="47"/>
      <c r="S726" s="50"/>
      <c r="T726" s="50"/>
      <c r="U726" s="50"/>
      <c r="V726" s="50"/>
      <c r="W726" s="50"/>
      <c r="X726"/>
      <c r="Y726"/>
      <c r="Z726"/>
      <c r="AA726"/>
      <c r="AB726"/>
      <c r="AC726"/>
      <c r="AD726"/>
      <c r="AE726"/>
      <c r="AF726"/>
      <c r="AG726"/>
      <c r="AH726"/>
      <c r="AI726"/>
    </row>
    <row r="727" spans="1:35" s="48" customFormat="1" x14ac:dyDescent="0.45">
      <c r="A727" s="3"/>
      <c r="H727"/>
      <c r="J727" s="49"/>
      <c r="K727" s="49"/>
      <c r="L727" s="50"/>
      <c r="M727" s="50"/>
      <c r="N727" s="50"/>
      <c r="O727" s="50"/>
      <c r="P727" s="50"/>
      <c r="Q727" s="50"/>
      <c r="R727" s="47"/>
      <c r="S727" s="50"/>
      <c r="T727" s="50"/>
      <c r="U727" s="50"/>
      <c r="V727" s="50"/>
      <c r="W727" s="50"/>
      <c r="X727"/>
      <c r="Y727"/>
      <c r="Z727"/>
      <c r="AA727"/>
      <c r="AB727"/>
      <c r="AC727"/>
      <c r="AD727"/>
      <c r="AE727"/>
      <c r="AF727"/>
      <c r="AG727"/>
      <c r="AH727"/>
      <c r="AI727"/>
    </row>
    <row r="728" spans="1:35" s="48" customFormat="1" x14ac:dyDescent="0.45">
      <c r="A728" s="3"/>
      <c r="H728"/>
      <c r="J728" s="49"/>
      <c r="K728" s="49"/>
      <c r="L728" s="50"/>
      <c r="M728" s="50"/>
      <c r="N728" s="50"/>
      <c r="O728" s="50"/>
      <c r="P728" s="50"/>
      <c r="Q728" s="50"/>
      <c r="R728" s="47"/>
      <c r="S728" s="50"/>
      <c r="T728" s="50"/>
      <c r="U728" s="50"/>
      <c r="V728" s="50"/>
      <c r="W728" s="50"/>
      <c r="X728"/>
      <c r="Y728"/>
      <c r="Z728"/>
      <c r="AA728"/>
      <c r="AB728"/>
      <c r="AC728"/>
      <c r="AD728"/>
      <c r="AE728"/>
      <c r="AF728"/>
      <c r="AG728"/>
      <c r="AH728"/>
      <c r="AI728"/>
    </row>
    <row r="729" spans="1:35" s="48" customFormat="1" x14ac:dyDescent="0.45">
      <c r="A729" s="3"/>
      <c r="H729"/>
      <c r="J729" s="49"/>
      <c r="K729" s="49"/>
      <c r="L729" s="50"/>
      <c r="M729" s="50"/>
      <c r="N729" s="50"/>
      <c r="O729" s="50"/>
      <c r="P729" s="50"/>
      <c r="Q729" s="50"/>
      <c r="R729" s="47"/>
      <c r="S729" s="50"/>
      <c r="T729" s="50"/>
      <c r="U729" s="50"/>
      <c r="V729" s="50"/>
      <c r="W729" s="50"/>
      <c r="X729"/>
      <c r="Y729"/>
      <c r="Z729"/>
      <c r="AA729"/>
      <c r="AB729"/>
      <c r="AC729"/>
      <c r="AD729"/>
      <c r="AE729"/>
      <c r="AF729"/>
      <c r="AG729"/>
      <c r="AH729"/>
      <c r="AI729"/>
    </row>
    <row r="730" spans="1:35" s="48" customFormat="1" x14ac:dyDescent="0.45">
      <c r="A730" s="3"/>
      <c r="H730"/>
      <c r="J730" s="49"/>
      <c r="K730" s="49"/>
      <c r="L730" s="50"/>
      <c r="M730" s="50"/>
      <c r="N730" s="50"/>
      <c r="O730" s="50"/>
      <c r="P730" s="50"/>
      <c r="Q730" s="50"/>
      <c r="R730" s="47"/>
      <c r="S730" s="50"/>
      <c r="T730" s="50"/>
      <c r="U730" s="50"/>
      <c r="V730" s="50"/>
      <c r="W730" s="50"/>
      <c r="X730"/>
      <c r="Y730"/>
      <c r="Z730"/>
      <c r="AA730"/>
      <c r="AB730"/>
      <c r="AC730"/>
      <c r="AD730"/>
      <c r="AE730"/>
      <c r="AF730"/>
      <c r="AG730"/>
      <c r="AH730"/>
      <c r="AI730"/>
    </row>
    <row r="731" spans="1:35" s="48" customFormat="1" x14ac:dyDescent="0.45">
      <c r="A731" s="3"/>
      <c r="H731"/>
      <c r="J731" s="49"/>
      <c r="K731" s="49"/>
      <c r="L731" s="50"/>
      <c r="M731" s="50"/>
      <c r="N731" s="50"/>
      <c r="O731" s="50"/>
      <c r="P731" s="50"/>
      <c r="Q731" s="50"/>
      <c r="R731" s="47"/>
      <c r="S731" s="50"/>
      <c r="T731" s="50"/>
      <c r="U731" s="50"/>
      <c r="V731" s="50"/>
      <c r="W731" s="50"/>
      <c r="X731"/>
      <c r="Y731"/>
      <c r="Z731"/>
      <c r="AA731"/>
      <c r="AB731"/>
      <c r="AC731"/>
      <c r="AD731"/>
      <c r="AE731"/>
      <c r="AF731"/>
      <c r="AG731"/>
      <c r="AH731"/>
      <c r="AI731"/>
    </row>
    <row r="732" spans="1:35" s="48" customFormat="1" x14ac:dyDescent="0.45">
      <c r="A732" s="3"/>
      <c r="H732"/>
      <c r="J732" s="49"/>
      <c r="K732" s="49"/>
      <c r="L732" s="50"/>
      <c r="M732" s="50"/>
      <c r="N732" s="50"/>
      <c r="O732" s="50"/>
      <c r="P732" s="50"/>
      <c r="Q732" s="50"/>
      <c r="R732" s="47"/>
      <c r="S732" s="50"/>
      <c r="T732" s="50"/>
      <c r="U732" s="50"/>
      <c r="V732" s="50"/>
      <c r="W732" s="50"/>
      <c r="X732"/>
      <c r="Y732"/>
      <c r="Z732"/>
      <c r="AA732"/>
      <c r="AB732"/>
      <c r="AC732"/>
      <c r="AD732"/>
      <c r="AE732"/>
      <c r="AF732"/>
      <c r="AG732"/>
      <c r="AH732"/>
      <c r="AI732"/>
    </row>
    <row r="733" spans="1:35" s="48" customFormat="1" x14ac:dyDescent="0.45">
      <c r="A733" s="3"/>
      <c r="H733"/>
      <c r="J733" s="49"/>
      <c r="K733" s="49"/>
      <c r="L733" s="50"/>
      <c r="M733" s="50"/>
      <c r="N733" s="50"/>
      <c r="O733" s="50"/>
      <c r="P733" s="50"/>
      <c r="Q733" s="50"/>
      <c r="R733" s="47"/>
      <c r="S733" s="50"/>
      <c r="T733" s="50"/>
      <c r="U733" s="50"/>
      <c r="V733" s="50"/>
      <c r="W733" s="50"/>
      <c r="X733"/>
      <c r="Y733"/>
      <c r="Z733"/>
      <c r="AA733"/>
      <c r="AB733"/>
      <c r="AC733"/>
      <c r="AD733"/>
      <c r="AE733"/>
      <c r="AF733"/>
      <c r="AG733"/>
      <c r="AH733"/>
      <c r="AI733"/>
    </row>
    <row r="734" spans="1:35" s="48" customFormat="1" x14ac:dyDescent="0.45">
      <c r="A734" s="3"/>
      <c r="H734"/>
      <c r="J734" s="49"/>
      <c r="K734" s="49"/>
      <c r="L734" s="50"/>
      <c r="M734" s="50"/>
      <c r="N734" s="50"/>
      <c r="O734" s="50"/>
      <c r="P734" s="50"/>
      <c r="Q734" s="50"/>
      <c r="R734" s="47"/>
      <c r="S734" s="50"/>
      <c r="T734" s="50"/>
      <c r="U734" s="50"/>
      <c r="V734" s="50"/>
      <c r="W734" s="50"/>
      <c r="X734"/>
      <c r="Y734"/>
      <c r="Z734"/>
      <c r="AA734"/>
      <c r="AB734"/>
      <c r="AC734"/>
      <c r="AD734"/>
      <c r="AE734"/>
      <c r="AF734"/>
      <c r="AG734"/>
      <c r="AH734"/>
      <c r="AI734"/>
    </row>
    <row r="735" spans="1:35" s="48" customFormat="1" x14ac:dyDescent="0.45">
      <c r="A735" s="3"/>
      <c r="H735"/>
      <c r="J735" s="49"/>
      <c r="K735" s="49"/>
      <c r="L735" s="50"/>
      <c r="M735" s="50"/>
      <c r="N735" s="50"/>
      <c r="O735" s="50"/>
      <c r="P735" s="50"/>
      <c r="Q735" s="50"/>
      <c r="R735" s="47"/>
      <c r="S735" s="50"/>
      <c r="T735" s="50"/>
      <c r="U735" s="50"/>
      <c r="V735" s="50"/>
      <c r="W735" s="50"/>
      <c r="X735"/>
      <c r="Y735"/>
      <c r="Z735"/>
      <c r="AA735"/>
      <c r="AB735"/>
      <c r="AC735"/>
      <c r="AD735"/>
      <c r="AE735"/>
      <c r="AF735"/>
      <c r="AG735"/>
      <c r="AH735"/>
      <c r="AI735"/>
    </row>
    <row r="736" spans="1:35" s="48" customFormat="1" x14ac:dyDescent="0.45">
      <c r="A736" s="3"/>
      <c r="H736"/>
      <c r="J736" s="49"/>
      <c r="K736" s="49"/>
      <c r="L736" s="50"/>
      <c r="M736" s="50"/>
      <c r="N736" s="50"/>
      <c r="O736" s="50"/>
      <c r="P736" s="50"/>
      <c r="Q736" s="50"/>
      <c r="R736" s="47"/>
      <c r="S736" s="50"/>
      <c r="T736" s="50"/>
      <c r="U736" s="50"/>
      <c r="V736" s="50"/>
      <c r="W736" s="50"/>
      <c r="X736"/>
      <c r="Y736"/>
      <c r="Z736"/>
      <c r="AA736"/>
      <c r="AB736"/>
      <c r="AC736"/>
      <c r="AD736"/>
      <c r="AE736"/>
      <c r="AF736"/>
      <c r="AG736"/>
      <c r="AH736"/>
      <c r="AI736"/>
    </row>
    <row r="737" spans="1:35" s="48" customFormat="1" x14ac:dyDescent="0.45">
      <c r="A737" s="3"/>
      <c r="H737"/>
      <c r="J737" s="49"/>
      <c r="K737" s="49"/>
      <c r="L737" s="50"/>
      <c r="M737" s="50"/>
      <c r="N737" s="50"/>
      <c r="O737" s="50"/>
      <c r="P737" s="50"/>
      <c r="Q737" s="50"/>
      <c r="R737" s="47"/>
      <c r="S737" s="50"/>
      <c r="T737" s="50"/>
      <c r="U737" s="50"/>
      <c r="V737" s="50"/>
      <c r="W737" s="50"/>
      <c r="X737"/>
      <c r="Y737"/>
      <c r="Z737"/>
      <c r="AA737"/>
      <c r="AB737"/>
      <c r="AC737"/>
      <c r="AD737"/>
      <c r="AE737"/>
      <c r="AF737"/>
      <c r="AG737"/>
      <c r="AH737"/>
      <c r="AI737"/>
    </row>
    <row r="738" spans="1:35" s="48" customFormat="1" x14ac:dyDescent="0.45">
      <c r="A738" s="3"/>
      <c r="H738"/>
      <c r="J738" s="49"/>
      <c r="K738" s="49"/>
      <c r="L738" s="50"/>
      <c r="M738" s="50"/>
      <c r="N738" s="50"/>
      <c r="O738" s="50"/>
      <c r="P738" s="50"/>
      <c r="Q738" s="50"/>
      <c r="R738" s="47"/>
      <c r="S738" s="50"/>
      <c r="T738" s="50"/>
      <c r="U738" s="50"/>
      <c r="V738" s="50"/>
      <c r="W738" s="50"/>
      <c r="X738"/>
      <c r="Y738"/>
      <c r="Z738"/>
      <c r="AA738"/>
      <c r="AB738"/>
      <c r="AC738"/>
      <c r="AD738"/>
      <c r="AE738"/>
      <c r="AF738"/>
      <c r="AG738"/>
      <c r="AH738"/>
      <c r="AI738"/>
    </row>
    <row r="739" spans="1:35" s="48" customFormat="1" x14ac:dyDescent="0.45">
      <c r="A739" s="3"/>
      <c r="H739"/>
      <c r="J739" s="49"/>
      <c r="K739" s="49"/>
      <c r="L739" s="50"/>
      <c r="M739" s="50"/>
      <c r="N739" s="50"/>
      <c r="O739" s="50"/>
      <c r="P739" s="50"/>
      <c r="Q739" s="50"/>
      <c r="R739" s="47"/>
      <c r="S739" s="50"/>
      <c r="T739" s="50"/>
      <c r="U739" s="50"/>
      <c r="V739" s="50"/>
      <c r="W739" s="50"/>
      <c r="X739"/>
      <c r="Y739"/>
      <c r="Z739"/>
      <c r="AA739"/>
      <c r="AB739"/>
      <c r="AC739"/>
      <c r="AD739"/>
      <c r="AE739"/>
      <c r="AF739"/>
      <c r="AG739"/>
      <c r="AH739"/>
      <c r="AI739"/>
    </row>
    <row r="740" spans="1:35" s="48" customFormat="1" x14ac:dyDescent="0.45">
      <c r="A740" s="3"/>
      <c r="H740"/>
      <c r="J740" s="49"/>
      <c r="K740" s="49"/>
      <c r="L740" s="50"/>
      <c r="M740" s="50"/>
      <c r="N740" s="50"/>
      <c r="O740" s="50"/>
      <c r="P740" s="50"/>
      <c r="Q740" s="50"/>
      <c r="R740" s="47"/>
      <c r="S740" s="50"/>
      <c r="T740" s="50"/>
      <c r="U740" s="50"/>
      <c r="V740" s="50"/>
      <c r="W740" s="50"/>
      <c r="X740"/>
      <c r="Y740"/>
      <c r="Z740"/>
      <c r="AA740"/>
      <c r="AB740"/>
      <c r="AC740"/>
      <c r="AD740"/>
      <c r="AE740"/>
      <c r="AF740"/>
      <c r="AG740"/>
      <c r="AH740"/>
      <c r="AI740"/>
    </row>
    <row r="741" spans="1:35" s="48" customFormat="1" x14ac:dyDescent="0.45">
      <c r="A741" s="3"/>
      <c r="H741"/>
      <c r="J741" s="49"/>
      <c r="K741" s="49"/>
      <c r="L741" s="50"/>
      <c r="M741" s="50"/>
      <c r="N741" s="50"/>
      <c r="O741" s="50"/>
      <c r="P741" s="50"/>
      <c r="Q741" s="50"/>
      <c r="R741" s="47"/>
      <c r="S741" s="50"/>
      <c r="T741" s="50"/>
      <c r="U741" s="50"/>
      <c r="V741" s="50"/>
      <c r="W741" s="50"/>
      <c r="X741"/>
      <c r="Y741"/>
      <c r="Z741"/>
      <c r="AA741"/>
      <c r="AB741"/>
      <c r="AC741"/>
      <c r="AD741"/>
      <c r="AE741"/>
      <c r="AF741"/>
      <c r="AG741"/>
      <c r="AH741"/>
      <c r="AI741"/>
    </row>
    <row r="742" spans="1:35" s="48" customFormat="1" x14ac:dyDescent="0.45">
      <c r="A742" s="3"/>
      <c r="H742"/>
      <c r="J742" s="49"/>
      <c r="K742" s="49"/>
      <c r="L742" s="50"/>
      <c r="M742" s="50"/>
      <c r="N742" s="50"/>
      <c r="O742" s="50"/>
      <c r="P742" s="50"/>
      <c r="Q742" s="50"/>
      <c r="R742" s="47"/>
      <c r="S742" s="50"/>
      <c r="T742" s="50"/>
      <c r="U742" s="50"/>
      <c r="V742" s="50"/>
      <c r="W742" s="50"/>
      <c r="X742"/>
      <c r="Y742"/>
      <c r="Z742"/>
      <c r="AA742"/>
      <c r="AB742"/>
      <c r="AC742"/>
      <c r="AD742"/>
      <c r="AE742"/>
      <c r="AF742"/>
      <c r="AG742"/>
      <c r="AH742"/>
      <c r="AI742"/>
    </row>
    <row r="743" spans="1:35" s="48" customFormat="1" x14ac:dyDescent="0.45">
      <c r="A743" s="3"/>
      <c r="H743"/>
      <c r="J743" s="49"/>
      <c r="K743" s="49"/>
      <c r="L743" s="50"/>
      <c r="M743" s="50"/>
      <c r="N743" s="50"/>
      <c r="O743" s="50"/>
      <c r="P743" s="50"/>
      <c r="Q743" s="50"/>
      <c r="R743" s="47"/>
      <c r="S743" s="50"/>
      <c r="T743" s="50"/>
      <c r="U743" s="50"/>
      <c r="V743" s="50"/>
      <c r="W743" s="50"/>
      <c r="X743"/>
      <c r="Y743"/>
      <c r="Z743"/>
      <c r="AA743"/>
      <c r="AB743"/>
      <c r="AC743"/>
      <c r="AD743"/>
      <c r="AE743"/>
      <c r="AF743"/>
      <c r="AG743"/>
      <c r="AH743"/>
      <c r="AI743"/>
    </row>
    <row r="744" spans="1:35" s="48" customFormat="1" x14ac:dyDescent="0.45">
      <c r="A744" s="3"/>
      <c r="H744"/>
      <c r="J744" s="49"/>
      <c r="K744" s="49"/>
      <c r="L744" s="50"/>
      <c r="M744" s="50"/>
      <c r="N744" s="50"/>
      <c r="O744" s="50"/>
      <c r="P744" s="50"/>
      <c r="Q744" s="50"/>
      <c r="R744" s="47"/>
      <c r="S744" s="50"/>
      <c r="T744" s="50"/>
      <c r="U744" s="50"/>
      <c r="V744" s="50"/>
      <c r="W744" s="50"/>
      <c r="X744"/>
      <c r="Y744"/>
      <c r="Z744"/>
      <c r="AA744"/>
      <c r="AB744"/>
      <c r="AC744"/>
      <c r="AD744"/>
      <c r="AE744"/>
      <c r="AF744"/>
      <c r="AG744"/>
      <c r="AH744"/>
      <c r="AI744"/>
    </row>
    <row r="745" spans="1:35" s="48" customFormat="1" x14ac:dyDescent="0.45">
      <c r="A745" s="3"/>
      <c r="H745"/>
      <c r="J745" s="49"/>
      <c r="K745" s="49"/>
      <c r="L745" s="50"/>
      <c r="M745" s="50"/>
      <c r="N745" s="50"/>
      <c r="O745" s="50"/>
      <c r="P745" s="50"/>
      <c r="Q745" s="50"/>
      <c r="R745" s="47"/>
      <c r="S745" s="50"/>
      <c r="T745" s="50"/>
      <c r="U745" s="50"/>
      <c r="V745" s="50"/>
      <c r="W745" s="50"/>
      <c r="X745"/>
      <c r="Y745"/>
      <c r="Z745"/>
      <c r="AA745"/>
      <c r="AB745"/>
      <c r="AC745"/>
      <c r="AD745"/>
      <c r="AE745"/>
      <c r="AF745"/>
      <c r="AG745"/>
      <c r="AH745"/>
      <c r="AI745"/>
    </row>
    <row r="746" spans="1:35" s="48" customFormat="1" x14ac:dyDescent="0.45">
      <c r="A746" s="3"/>
      <c r="H746"/>
      <c r="J746" s="49"/>
      <c r="K746" s="49"/>
      <c r="L746" s="50"/>
      <c r="M746" s="50"/>
      <c r="N746" s="50"/>
      <c r="O746" s="50"/>
      <c r="P746" s="50"/>
      <c r="Q746" s="50"/>
      <c r="R746" s="47"/>
      <c r="S746" s="50"/>
      <c r="T746" s="50"/>
      <c r="U746" s="50"/>
      <c r="V746" s="50"/>
      <c r="W746" s="50"/>
      <c r="X746"/>
      <c r="Y746"/>
      <c r="Z746"/>
      <c r="AA746"/>
      <c r="AB746"/>
      <c r="AC746"/>
      <c r="AD746"/>
      <c r="AE746"/>
      <c r="AF746"/>
      <c r="AG746"/>
      <c r="AH746"/>
      <c r="AI746"/>
    </row>
    <row r="747" spans="1:35" s="48" customFormat="1" x14ac:dyDescent="0.45">
      <c r="A747" s="3"/>
      <c r="H747"/>
      <c r="J747" s="49"/>
      <c r="K747" s="49"/>
      <c r="L747" s="50"/>
      <c r="M747" s="50"/>
      <c r="N747" s="50"/>
      <c r="O747" s="50"/>
      <c r="P747" s="50"/>
      <c r="Q747" s="50"/>
      <c r="R747" s="47"/>
      <c r="S747" s="50"/>
      <c r="T747" s="50"/>
      <c r="U747" s="50"/>
      <c r="V747" s="50"/>
      <c r="W747" s="50"/>
      <c r="X747"/>
      <c r="Y747"/>
      <c r="Z747"/>
      <c r="AA747"/>
      <c r="AB747"/>
      <c r="AC747"/>
      <c r="AD747"/>
      <c r="AE747"/>
      <c r="AF747"/>
      <c r="AG747"/>
      <c r="AH747"/>
      <c r="AI747"/>
    </row>
    <row r="748" spans="1:35" s="48" customFormat="1" x14ac:dyDescent="0.45">
      <c r="A748" s="3"/>
      <c r="H748"/>
      <c r="J748" s="49"/>
      <c r="K748" s="49"/>
      <c r="L748" s="50"/>
      <c r="M748" s="50"/>
      <c r="N748" s="50"/>
      <c r="O748" s="50"/>
      <c r="P748" s="50"/>
      <c r="Q748" s="50"/>
      <c r="R748" s="47"/>
      <c r="S748" s="50"/>
      <c r="T748" s="50"/>
      <c r="U748" s="50"/>
      <c r="V748" s="50"/>
      <c r="W748" s="50"/>
      <c r="X748"/>
      <c r="Y748"/>
      <c r="Z748"/>
      <c r="AA748"/>
      <c r="AB748"/>
      <c r="AC748"/>
      <c r="AD748"/>
      <c r="AE748"/>
      <c r="AF748"/>
      <c r="AG748"/>
      <c r="AH748"/>
      <c r="AI748"/>
    </row>
    <row r="749" spans="1:35" s="48" customFormat="1" x14ac:dyDescent="0.45">
      <c r="A749" s="3"/>
      <c r="H749"/>
      <c r="J749" s="49"/>
      <c r="K749" s="49"/>
      <c r="L749" s="50"/>
      <c r="M749" s="50"/>
      <c r="N749" s="50"/>
      <c r="O749" s="50"/>
      <c r="P749" s="50"/>
      <c r="Q749" s="50"/>
      <c r="R749" s="47"/>
      <c r="S749" s="50"/>
      <c r="T749" s="50"/>
      <c r="U749" s="50"/>
      <c r="V749" s="50"/>
      <c r="W749" s="50"/>
      <c r="X749"/>
      <c r="Y749"/>
      <c r="Z749"/>
      <c r="AA749"/>
      <c r="AB749"/>
      <c r="AC749"/>
      <c r="AD749"/>
      <c r="AE749"/>
      <c r="AF749"/>
      <c r="AG749"/>
      <c r="AH749"/>
      <c r="AI749"/>
    </row>
    <row r="750" spans="1:35" s="48" customFormat="1" x14ac:dyDescent="0.45">
      <c r="A750" s="3"/>
      <c r="H750"/>
      <c r="J750" s="49"/>
      <c r="K750" s="49"/>
      <c r="L750" s="50"/>
      <c r="M750" s="50"/>
      <c r="N750" s="50"/>
      <c r="O750" s="50"/>
      <c r="P750" s="50"/>
      <c r="Q750" s="50"/>
      <c r="R750" s="47"/>
      <c r="S750" s="50"/>
      <c r="T750" s="50"/>
      <c r="U750" s="50"/>
      <c r="V750" s="50"/>
      <c r="W750" s="50"/>
      <c r="X750"/>
      <c r="Y750"/>
      <c r="Z750"/>
      <c r="AA750"/>
      <c r="AB750"/>
      <c r="AC750"/>
      <c r="AD750"/>
      <c r="AE750"/>
      <c r="AF750"/>
      <c r="AG750"/>
      <c r="AH750"/>
      <c r="AI750"/>
    </row>
    <row r="751" spans="1:35" s="48" customFormat="1" x14ac:dyDescent="0.45">
      <c r="A751" s="3"/>
      <c r="H751"/>
      <c r="J751" s="49"/>
      <c r="K751" s="49"/>
      <c r="L751" s="50"/>
      <c r="M751" s="50"/>
      <c r="N751" s="50"/>
      <c r="O751" s="50"/>
      <c r="P751" s="50"/>
      <c r="Q751" s="50"/>
      <c r="R751" s="47"/>
      <c r="S751" s="50"/>
      <c r="T751" s="50"/>
      <c r="U751" s="50"/>
      <c r="V751" s="50"/>
      <c r="W751" s="50"/>
      <c r="X751"/>
      <c r="Y751"/>
      <c r="Z751"/>
      <c r="AA751"/>
      <c r="AB751"/>
      <c r="AC751"/>
      <c r="AD751"/>
      <c r="AE751"/>
      <c r="AF751"/>
      <c r="AG751"/>
      <c r="AH751"/>
      <c r="AI751"/>
    </row>
    <row r="752" spans="1:35" s="48" customFormat="1" x14ac:dyDescent="0.45">
      <c r="A752" s="3"/>
      <c r="H752"/>
      <c r="J752" s="49"/>
      <c r="K752" s="49"/>
      <c r="L752" s="50"/>
      <c r="M752" s="50"/>
      <c r="N752" s="50"/>
      <c r="O752" s="50"/>
      <c r="P752" s="50"/>
      <c r="Q752" s="50"/>
      <c r="R752" s="47"/>
      <c r="S752" s="50"/>
      <c r="T752" s="50"/>
      <c r="U752" s="50"/>
      <c r="V752" s="50"/>
      <c r="W752" s="50"/>
      <c r="X752"/>
      <c r="Y752"/>
      <c r="Z752"/>
      <c r="AA752"/>
      <c r="AB752"/>
      <c r="AC752"/>
      <c r="AD752"/>
      <c r="AE752"/>
      <c r="AF752"/>
      <c r="AG752"/>
      <c r="AH752"/>
      <c r="AI752"/>
    </row>
    <row r="753" spans="1:35" s="48" customFormat="1" x14ac:dyDescent="0.45">
      <c r="A753" s="3"/>
      <c r="H753"/>
      <c r="J753" s="49"/>
      <c r="K753" s="49"/>
      <c r="L753" s="50"/>
      <c r="M753" s="50"/>
      <c r="N753" s="50"/>
      <c r="O753" s="50"/>
      <c r="P753" s="50"/>
      <c r="Q753" s="50"/>
      <c r="R753" s="47"/>
      <c r="S753" s="50"/>
      <c r="T753" s="50"/>
      <c r="U753" s="50"/>
      <c r="V753" s="50"/>
      <c r="W753" s="50"/>
      <c r="X753"/>
      <c r="Y753"/>
      <c r="Z753"/>
      <c r="AA753"/>
      <c r="AB753"/>
      <c r="AC753"/>
      <c r="AD753"/>
      <c r="AE753"/>
      <c r="AF753"/>
      <c r="AG753"/>
      <c r="AH753"/>
      <c r="AI753"/>
    </row>
    <row r="754" spans="1:35" s="48" customFormat="1" x14ac:dyDescent="0.45">
      <c r="A754" s="3"/>
      <c r="H754"/>
      <c r="J754" s="49"/>
      <c r="K754" s="49"/>
      <c r="L754" s="50"/>
      <c r="M754" s="50"/>
      <c r="N754" s="50"/>
      <c r="O754" s="50"/>
      <c r="P754" s="50"/>
      <c r="Q754" s="50"/>
      <c r="R754" s="47"/>
      <c r="S754" s="50"/>
      <c r="T754" s="50"/>
      <c r="U754" s="50"/>
      <c r="V754" s="50"/>
      <c r="W754" s="50"/>
      <c r="X754"/>
      <c r="Y754"/>
      <c r="Z754"/>
      <c r="AA754"/>
      <c r="AB754"/>
      <c r="AC754"/>
      <c r="AD754"/>
      <c r="AE754"/>
      <c r="AF754"/>
      <c r="AG754"/>
      <c r="AH754"/>
      <c r="AI754"/>
    </row>
    <row r="755" spans="1:35" s="48" customFormat="1" x14ac:dyDescent="0.45">
      <c r="A755" s="3"/>
      <c r="H755"/>
      <c r="J755" s="49"/>
      <c r="K755" s="49"/>
      <c r="L755" s="50"/>
      <c r="M755" s="50"/>
      <c r="N755" s="50"/>
      <c r="O755" s="50"/>
      <c r="P755" s="50"/>
      <c r="Q755" s="50"/>
      <c r="R755" s="47"/>
      <c r="S755" s="50"/>
      <c r="T755" s="50"/>
      <c r="U755" s="50"/>
      <c r="V755" s="50"/>
      <c r="W755" s="50"/>
      <c r="X755"/>
      <c r="Y755"/>
      <c r="Z755"/>
      <c r="AA755"/>
      <c r="AB755"/>
      <c r="AC755"/>
      <c r="AD755"/>
      <c r="AE755"/>
      <c r="AF755"/>
      <c r="AG755"/>
      <c r="AH755"/>
      <c r="AI755"/>
    </row>
    <row r="756" spans="1:35" s="48" customFormat="1" x14ac:dyDescent="0.45">
      <c r="A756" s="3"/>
      <c r="H756"/>
      <c r="J756" s="49"/>
      <c r="K756" s="49"/>
      <c r="L756" s="50"/>
      <c r="M756" s="50"/>
      <c r="N756" s="50"/>
      <c r="O756" s="50"/>
      <c r="P756" s="50"/>
      <c r="Q756" s="50"/>
      <c r="R756" s="47"/>
      <c r="S756" s="50"/>
      <c r="T756" s="50"/>
      <c r="U756" s="50"/>
      <c r="V756" s="50"/>
      <c r="W756" s="50"/>
      <c r="X756"/>
      <c r="Y756"/>
      <c r="Z756"/>
      <c r="AA756"/>
      <c r="AB756"/>
      <c r="AC756"/>
      <c r="AD756"/>
      <c r="AE756"/>
      <c r="AF756"/>
      <c r="AG756"/>
      <c r="AH756"/>
      <c r="AI756"/>
    </row>
    <row r="757" spans="1:35" s="48" customFormat="1" x14ac:dyDescent="0.45">
      <c r="A757" s="3"/>
      <c r="H757"/>
      <c r="J757" s="49"/>
      <c r="K757" s="49"/>
      <c r="L757" s="50"/>
      <c r="M757" s="50"/>
      <c r="N757" s="50"/>
      <c r="O757" s="50"/>
      <c r="P757" s="50"/>
      <c r="Q757" s="50"/>
      <c r="R757" s="47"/>
      <c r="S757" s="50"/>
      <c r="T757" s="50"/>
      <c r="U757" s="50"/>
      <c r="V757" s="50"/>
      <c r="W757" s="50"/>
      <c r="X757"/>
      <c r="Y757"/>
      <c r="Z757"/>
      <c r="AA757"/>
      <c r="AB757"/>
      <c r="AC757"/>
      <c r="AD757"/>
      <c r="AE757"/>
      <c r="AF757"/>
      <c r="AG757"/>
      <c r="AH757"/>
      <c r="AI757"/>
    </row>
    <row r="758" spans="1:35" s="48" customFormat="1" x14ac:dyDescent="0.45">
      <c r="A758" s="3"/>
      <c r="H758"/>
      <c r="J758" s="49"/>
      <c r="K758" s="49"/>
      <c r="L758" s="50"/>
      <c r="M758" s="50"/>
      <c r="N758" s="50"/>
      <c r="O758" s="50"/>
      <c r="P758" s="50"/>
      <c r="Q758" s="50"/>
      <c r="R758" s="47"/>
      <c r="S758" s="50"/>
      <c r="T758" s="50"/>
      <c r="U758" s="50"/>
      <c r="V758" s="50"/>
      <c r="W758" s="50"/>
      <c r="X758"/>
      <c r="Y758"/>
      <c r="Z758"/>
      <c r="AA758"/>
      <c r="AB758"/>
      <c r="AC758"/>
      <c r="AD758"/>
      <c r="AE758"/>
      <c r="AF758"/>
      <c r="AG758"/>
      <c r="AH758"/>
      <c r="AI758"/>
    </row>
    <row r="759" spans="1:35" s="48" customFormat="1" x14ac:dyDescent="0.45">
      <c r="A759" s="3"/>
      <c r="H759"/>
      <c r="J759" s="49"/>
      <c r="K759" s="49"/>
      <c r="L759" s="50"/>
      <c r="M759" s="50"/>
      <c r="N759" s="50"/>
      <c r="O759" s="50"/>
      <c r="P759" s="50"/>
      <c r="Q759" s="50"/>
      <c r="R759" s="47"/>
      <c r="S759" s="50"/>
      <c r="T759" s="50"/>
      <c r="U759" s="50"/>
      <c r="V759" s="50"/>
      <c r="W759" s="50"/>
      <c r="X759"/>
      <c r="Y759"/>
      <c r="Z759"/>
      <c r="AA759"/>
      <c r="AB759"/>
      <c r="AC759"/>
      <c r="AD759"/>
      <c r="AE759"/>
      <c r="AF759"/>
      <c r="AG759"/>
      <c r="AH759"/>
      <c r="AI759"/>
    </row>
    <row r="760" spans="1:35" s="48" customFormat="1" x14ac:dyDescent="0.45">
      <c r="A760" s="3"/>
      <c r="H760"/>
      <c r="J760" s="49"/>
      <c r="K760" s="49"/>
      <c r="L760" s="50"/>
      <c r="M760" s="50"/>
      <c r="N760" s="50"/>
      <c r="O760" s="50"/>
      <c r="P760" s="50"/>
      <c r="Q760" s="50"/>
      <c r="R760" s="47"/>
      <c r="S760" s="50"/>
      <c r="T760" s="50"/>
      <c r="U760" s="50"/>
      <c r="V760" s="50"/>
      <c r="W760" s="50"/>
      <c r="X760"/>
      <c r="Y760"/>
      <c r="Z760"/>
      <c r="AA760"/>
      <c r="AB760"/>
      <c r="AC760"/>
      <c r="AD760"/>
      <c r="AE760"/>
      <c r="AF760"/>
      <c r="AG760"/>
      <c r="AH760"/>
      <c r="AI760"/>
    </row>
    <row r="761" spans="1:35" s="48" customFormat="1" x14ac:dyDescent="0.45">
      <c r="A761" s="3"/>
      <c r="H761"/>
      <c r="J761" s="49"/>
      <c r="K761" s="49"/>
      <c r="L761" s="50"/>
      <c r="M761" s="50"/>
      <c r="N761" s="50"/>
      <c r="O761" s="50"/>
      <c r="P761" s="50"/>
      <c r="Q761" s="50"/>
      <c r="R761" s="47"/>
      <c r="S761" s="50"/>
      <c r="T761" s="50"/>
      <c r="U761" s="50"/>
      <c r="V761" s="50"/>
      <c r="W761" s="50"/>
      <c r="X761"/>
      <c r="Y761"/>
      <c r="Z761"/>
      <c r="AA761"/>
      <c r="AB761"/>
      <c r="AC761"/>
      <c r="AD761"/>
      <c r="AE761"/>
      <c r="AF761"/>
      <c r="AG761"/>
      <c r="AH761"/>
      <c r="AI761"/>
    </row>
    <row r="762" spans="1:35" s="48" customFormat="1" x14ac:dyDescent="0.45">
      <c r="A762" s="3"/>
      <c r="H762"/>
      <c r="J762" s="49"/>
      <c r="K762" s="49"/>
      <c r="L762" s="50"/>
      <c r="M762" s="50"/>
      <c r="N762" s="50"/>
      <c r="O762" s="50"/>
      <c r="P762" s="50"/>
      <c r="Q762" s="50"/>
      <c r="R762" s="47"/>
      <c r="S762" s="50"/>
      <c r="T762" s="50"/>
      <c r="U762" s="50"/>
      <c r="V762" s="50"/>
      <c r="W762" s="50"/>
      <c r="X762"/>
      <c r="Y762"/>
      <c r="Z762"/>
      <c r="AA762"/>
      <c r="AB762"/>
      <c r="AC762"/>
      <c r="AD762"/>
      <c r="AE762"/>
      <c r="AF762"/>
      <c r="AG762"/>
      <c r="AH762"/>
      <c r="AI762"/>
    </row>
    <row r="763" spans="1:35" s="48" customFormat="1" x14ac:dyDescent="0.45">
      <c r="A763" s="3"/>
      <c r="H763"/>
      <c r="J763" s="49"/>
      <c r="K763" s="49"/>
      <c r="L763" s="50"/>
      <c r="M763" s="50"/>
      <c r="N763" s="50"/>
      <c r="O763" s="50"/>
      <c r="P763" s="50"/>
      <c r="Q763" s="50"/>
      <c r="R763" s="47"/>
      <c r="S763" s="50"/>
      <c r="T763" s="50"/>
      <c r="U763" s="50"/>
      <c r="V763" s="50"/>
      <c r="W763" s="50"/>
      <c r="X763"/>
      <c r="Y763"/>
      <c r="Z763"/>
      <c r="AA763"/>
      <c r="AB763"/>
      <c r="AC763"/>
      <c r="AD763"/>
      <c r="AE763"/>
      <c r="AF763"/>
      <c r="AG763"/>
      <c r="AH763"/>
      <c r="AI763"/>
    </row>
    <row r="764" spans="1:35" s="48" customFormat="1" x14ac:dyDescent="0.45">
      <c r="A764" s="3"/>
      <c r="H764"/>
      <c r="J764" s="49"/>
      <c r="K764" s="49"/>
      <c r="L764" s="50"/>
      <c r="M764" s="50"/>
      <c r="N764" s="50"/>
      <c r="O764" s="50"/>
      <c r="P764" s="50"/>
      <c r="Q764" s="50"/>
      <c r="R764" s="47"/>
      <c r="S764" s="50"/>
      <c r="T764" s="50"/>
      <c r="U764" s="50"/>
      <c r="V764" s="50"/>
      <c r="W764" s="50"/>
      <c r="X764"/>
      <c r="Y764"/>
      <c r="Z764"/>
      <c r="AA764"/>
      <c r="AB764"/>
      <c r="AC764"/>
      <c r="AD764"/>
      <c r="AE764"/>
      <c r="AF764"/>
      <c r="AG764"/>
      <c r="AH764"/>
      <c r="AI764"/>
    </row>
    <row r="765" spans="1:35" s="48" customFormat="1" x14ac:dyDescent="0.45">
      <c r="A765" s="3"/>
      <c r="H765"/>
      <c r="J765" s="49"/>
      <c r="K765" s="49"/>
      <c r="L765" s="50"/>
      <c r="M765" s="50"/>
      <c r="N765" s="50"/>
      <c r="O765" s="50"/>
      <c r="P765" s="50"/>
      <c r="Q765" s="50"/>
      <c r="R765" s="47"/>
      <c r="S765" s="50"/>
      <c r="T765" s="50"/>
      <c r="U765" s="50"/>
      <c r="V765" s="50"/>
      <c r="W765" s="50"/>
      <c r="X765"/>
      <c r="Y765"/>
      <c r="Z765"/>
      <c r="AA765"/>
      <c r="AB765"/>
      <c r="AC765"/>
      <c r="AD765"/>
      <c r="AE765"/>
      <c r="AF765"/>
      <c r="AG765"/>
      <c r="AH765"/>
      <c r="AI765"/>
    </row>
    <row r="766" spans="1:35" s="48" customFormat="1" x14ac:dyDescent="0.45">
      <c r="A766" s="3"/>
      <c r="H766"/>
      <c r="J766" s="49"/>
      <c r="K766" s="49"/>
      <c r="L766" s="50"/>
      <c r="M766" s="50"/>
      <c r="N766" s="50"/>
      <c r="O766" s="50"/>
      <c r="P766" s="50"/>
      <c r="Q766" s="50"/>
      <c r="R766" s="47"/>
      <c r="S766" s="50"/>
      <c r="T766" s="50"/>
      <c r="U766" s="50"/>
      <c r="V766" s="50"/>
      <c r="W766" s="50"/>
      <c r="X766"/>
      <c r="Y766"/>
      <c r="Z766"/>
      <c r="AA766"/>
      <c r="AB766"/>
      <c r="AC766"/>
      <c r="AD766"/>
      <c r="AE766"/>
      <c r="AF766"/>
      <c r="AG766"/>
      <c r="AH766"/>
      <c r="AI766"/>
    </row>
    <row r="767" spans="1:35" s="48" customFormat="1" x14ac:dyDescent="0.45">
      <c r="A767" s="3"/>
      <c r="H767"/>
      <c r="J767" s="49"/>
      <c r="K767" s="49"/>
      <c r="L767" s="50"/>
      <c r="M767" s="50"/>
      <c r="N767" s="50"/>
      <c r="O767" s="50"/>
      <c r="P767" s="50"/>
      <c r="Q767" s="50"/>
      <c r="R767" s="47"/>
      <c r="S767" s="50"/>
      <c r="T767" s="50"/>
      <c r="U767" s="50"/>
      <c r="V767" s="50"/>
      <c r="W767" s="50"/>
      <c r="X767"/>
      <c r="Y767"/>
      <c r="Z767"/>
      <c r="AA767"/>
      <c r="AB767"/>
      <c r="AC767"/>
      <c r="AD767"/>
      <c r="AE767"/>
      <c r="AF767"/>
      <c r="AG767"/>
      <c r="AH767"/>
      <c r="AI767"/>
    </row>
    <row r="768" spans="1:35" s="48" customFormat="1" x14ac:dyDescent="0.45">
      <c r="A768" s="3"/>
      <c r="H768"/>
      <c r="J768" s="49"/>
      <c r="K768" s="49"/>
      <c r="L768" s="50"/>
      <c r="M768" s="50"/>
      <c r="N768" s="50"/>
      <c r="O768" s="50"/>
      <c r="P768" s="50"/>
      <c r="Q768" s="50"/>
      <c r="R768" s="47"/>
      <c r="S768" s="50"/>
      <c r="T768" s="50"/>
      <c r="U768" s="50"/>
      <c r="V768" s="50"/>
      <c r="W768" s="50"/>
      <c r="X768"/>
      <c r="Y768"/>
      <c r="Z768"/>
      <c r="AA768"/>
      <c r="AB768"/>
      <c r="AC768"/>
      <c r="AD768"/>
      <c r="AE768"/>
      <c r="AF768"/>
      <c r="AG768"/>
      <c r="AH768"/>
      <c r="AI768"/>
    </row>
    <row r="769" spans="1:35" s="48" customFormat="1" x14ac:dyDescent="0.45">
      <c r="A769" s="3"/>
      <c r="H769"/>
      <c r="J769" s="49"/>
      <c r="K769" s="49"/>
      <c r="L769" s="50"/>
      <c r="M769" s="50"/>
      <c r="N769" s="50"/>
      <c r="O769" s="50"/>
      <c r="P769" s="50"/>
      <c r="Q769" s="50"/>
      <c r="R769" s="47"/>
      <c r="S769" s="50"/>
      <c r="T769" s="50"/>
      <c r="U769" s="50"/>
      <c r="V769" s="50"/>
      <c r="W769" s="50"/>
      <c r="X769"/>
      <c r="Y769"/>
      <c r="Z769"/>
      <c r="AA769"/>
      <c r="AB769"/>
      <c r="AC769"/>
      <c r="AD769"/>
      <c r="AE769"/>
      <c r="AF769"/>
      <c r="AG769"/>
      <c r="AH769"/>
      <c r="AI769"/>
    </row>
    <row r="770" spans="1:35" s="48" customFormat="1" x14ac:dyDescent="0.45">
      <c r="A770" s="3"/>
      <c r="H770"/>
      <c r="J770" s="49"/>
      <c r="K770" s="49"/>
      <c r="L770" s="50"/>
      <c r="M770" s="50"/>
      <c r="N770" s="50"/>
      <c r="O770" s="50"/>
      <c r="P770" s="50"/>
      <c r="Q770" s="50"/>
      <c r="R770" s="47"/>
      <c r="S770" s="50"/>
      <c r="T770" s="50"/>
      <c r="U770" s="50"/>
      <c r="V770" s="50"/>
      <c r="W770" s="50"/>
      <c r="X770"/>
      <c r="Y770"/>
      <c r="Z770"/>
      <c r="AA770"/>
      <c r="AB770"/>
      <c r="AC770"/>
      <c r="AD770"/>
      <c r="AE770"/>
      <c r="AF770"/>
      <c r="AG770"/>
      <c r="AH770"/>
      <c r="AI770"/>
    </row>
    <row r="771" spans="1:35" s="48" customFormat="1" x14ac:dyDescent="0.45">
      <c r="A771" s="3"/>
      <c r="H771"/>
      <c r="J771" s="49"/>
      <c r="K771" s="49"/>
      <c r="L771" s="50"/>
      <c r="M771" s="50"/>
      <c r="N771" s="50"/>
      <c r="O771" s="50"/>
      <c r="P771" s="50"/>
      <c r="Q771" s="50"/>
      <c r="R771" s="47"/>
      <c r="S771" s="50"/>
      <c r="T771" s="50"/>
      <c r="U771" s="50"/>
      <c r="V771" s="50"/>
      <c r="W771" s="50"/>
      <c r="X771"/>
      <c r="Y771"/>
      <c r="Z771"/>
      <c r="AA771"/>
      <c r="AB771"/>
      <c r="AC771"/>
      <c r="AD771"/>
      <c r="AE771"/>
      <c r="AF771"/>
      <c r="AG771"/>
      <c r="AH771"/>
      <c r="AI771"/>
    </row>
    <row r="772" spans="1:35" s="48" customFormat="1" x14ac:dyDescent="0.45">
      <c r="A772" s="3"/>
      <c r="H772"/>
      <c r="J772" s="49"/>
      <c r="K772" s="49"/>
      <c r="L772" s="50"/>
      <c r="M772" s="50"/>
      <c r="N772" s="50"/>
      <c r="O772" s="50"/>
      <c r="P772" s="50"/>
      <c r="Q772" s="50"/>
      <c r="R772" s="47"/>
      <c r="S772" s="50"/>
      <c r="T772" s="50"/>
      <c r="U772" s="50"/>
      <c r="V772" s="50"/>
      <c r="W772" s="50"/>
      <c r="X772"/>
      <c r="Y772"/>
      <c r="Z772"/>
      <c r="AA772"/>
      <c r="AB772"/>
      <c r="AC772"/>
      <c r="AD772"/>
      <c r="AE772"/>
      <c r="AF772"/>
      <c r="AG772"/>
      <c r="AH772"/>
      <c r="AI772"/>
    </row>
    <row r="773" spans="1:35" s="48" customFormat="1" x14ac:dyDescent="0.45">
      <c r="A773" s="3"/>
      <c r="H773"/>
      <c r="J773" s="49"/>
      <c r="K773" s="49"/>
      <c r="L773" s="50"/>
      <c r="M773" s="50"/>
      <c r="N773" s="50"/>
      <c r="O773" s="50"/>
      <c r="P773" s="50"/>
      <c r="Q773" s="50"/>
      <c r="R773" s="47"/>
      <c r="S773" s="50"/>
      <c r="T773" s="50"/>
      <c r="U773" s="50"/>
      <c r="V773" s="50"/>
      <c r="W773" s="50"/>
      <c r="X773"/>
      <c r="Y773"/>
      <c r="Z773"/>
      <c r="AA773"/>
      <c r="AB773"/>
      <c r="AC773"/>
      <c r="AD773"/>
      <c r="AE773"/>
      <c r="AF773"/>
      <c r="AG773"/>
      <c r="AH773"/>
      <c r="AI773"/>
    </row>
    <row r="774" spans="1:35" s="48" customFormat="1" x14ac:dyDescent="0.45">
      <c r="A774" s="3"/>
      <c r="H774"/>
      <c r="J774" s="49"/>
      <c r="K774" s="49"/>
      <c r="L774" s="50"/>
      <c r="M774" s="50"/>
      <c r="N774" s="50"/>
      <c r="O774" s="50"/>
      <c r="P774" s="50"/>
      <c r="Q774" s="50"/>
      <c r="R774" s="47"/>
      <c r="S774" s="50"/>
      <c r="T774" s="50"/>
      <c r="U774" s="50"/>
      <c r="V774" s="50"/>
      <c r="W774" s="50"/>
      <c r="X774"/>
      <c r="Y774"/>
      <c r="Z774"/>
      <c r="AA774"/>
      <c r="AB774"/>
      <c r="AC774"/>
      <c r="AD774"/>
      <c r="AE774"/>
      <c r="AF774"/>
      <c r="AG774"/>
      <c r="AH774"/>
      <c r="AI774"/>
    </row>
    <row r="775" spans="1:35" s="48" customFormat="1" x14ac:dyDescent="0.45">
      <c r="A775" s="3"/>
      <c r="H775"/>
      <c r="J775" s="49"/>
      <c r="K775" s="49"/>
      <c r="L775" s="50"/>
      <c r="M775" s="50"/>
      <c r="N775" s="50"/>
      <c r="O775" s="50"/>
      <c r="P775" s="50"/>
      <c r="Q775" s="50"/>
      <c r="R775" s="47"/>
      <c r="S775" s="50"/>
      <c r="T775" s="50"/>
      <c r="U775" s="50"/>
      <c r="V775" s="50"/>
      <c r="W775" s="50"/>
      <c r="X775"/>
      <c r="Y775"/>
      <c r="Z775"/>
      <c r="AA775"/>
      <c r="AB775"/>
      <c r="AC775"/>
      <c r="AD775"/>
      <c r="AE775"/>
      <c r="AF775"/>
      <c r="AG775"/>
      <c r="AH775"/>
      <c r="AI775"/>
    </row>
    <row r="776" spans="1:35" s="48" customFormat="1" x14ac:dyDescent="0.45">
      <c r="A776" s="3"/>
      <c r="H776"/>
      <c r="J776" s="49"/>
      <c r="K776" s="49"/>
      <c r="L776" s="50"/>
      <c r="M776" s="50"/>
      <c r="N776" s="50"/>
      <c r="O776" s="50"/>
      <c r="P776" s="50"/>
      <c r="Q776" s="50"/>
      <c r="R776" s="47"/>
      <c r="S776" s="50"/>
      <c r="T776" s="50"/>
      <c r="U776" s="50"/>
      <c r="V776" s="50"/>
      <c r="W776" s="50"/>
      <c r="X776"/>
      <c r="Y776"/>
      <c r="Z776"/>
      <c r="AA776"/>
      <c r="AB776"/>
      <c r="AC776"/>
      <c r="AD776"/>
      <c r="AE776"/>
      <c r="AF776"/>
      <c r="AG776"/>
      <c r="AH776"/>
      <c r="AI776"/>
    </row>
    <row r="777" spans="1:35" s="48" customFormat="1" x14ac:dyDescent="0.45">
      <c r="A777" s="3"/>
      <c r="H777"/>
      <c r="J777" s="49"/>
      <c r="K777" s="49"/>
      <c r="L777" s="50"/>
      <c r="M777" s="50"/>
      <c r="N777" s="50"/>
      <c r="O777" s="50"/>
      <c r="P777" s="50"/>
      <c r="Q777" s="50"/>
      <c r="R777" s="47"/>
      <c r="S777" s="50"/>
      <c r="T777" s="50"/>
      <c r="U777" s="50"/>
      <c r="V777" s="50"/>
      <c r="W777" s="50"/>
      <c r="X777"/>
      <c r="Y777"/>
      <c r="Z777"/>
      <c r="AA777"/>
      <c r="AB777"/>
      <c r="AC777"/>
      <c r="AD777"/>
      <c r="AE777"/>
      <c r="AF777"/>
      <c r="AG777"/>
      <c r="AH777"/>
      <c r="AI777"/>
    </row>
    <row r="778" spans="1:35" s="48" customFormat="1" x14ac:dyDescent="0.45">
      <c r="A778" s="3"/>
      <c r="H778"/>
      <c r="J778" s="49"/>
      <c r="K778" s="49"/>
      <c r="L778" s="50"/>
      <c r="M778" s="50"/>
      <c r="N778" s="50"/>
      <c r="O778" s="50"/>
      <c r="P778" s="50"/>
      <c r="Q778" s="50"/>
      <c r="R778" s="47"/>
      <c r="S778" s="50"/>
      <c r="T778" s="50"/>
      <c r="U778" s="50"/>
      <c r="V778" s="50"/>
      <c r="W778" s="50"/>
      <c r="X778"/>
      <c r="Y778"/>
      <c r="Z778"/>
      <c r="AA778"/>
      <c r="AB778"/>
      <c r="AC778"/>
      <c r="AD778"/>
      <c r="AE778"/>
      <c r="AF778"/>
      <c r="AG778"/>
      <c r="AH778"/>
      <c r="AI778"/>
    </row>
    <row r="779" spans="1:35" s="48" customFormat="1" x14ac:dyDescent="0.45">
      <c r="A779" s="3"/>
      <c r="H779"/>
      <c r="J779" s="49"/>
      <c r="K779" s="49"/>
      <c r="L779" s="50"/>
      <c r="M779" s="50"/>
      <c r="N779" s="50"/>
      <c r="O779" s="50"/>
      <c r="P779" s="50"/>
      <c r="Q779" s="50"/>
      <c r="R779" s="47"/>
      <c r="S779" s="50"/>
      <c r="T779" s="50"/>
      <c r="U779" s="50"/>
      <c r="V779" s="50"/>
      <c r="W779" s="50"/>
      <c r="X779"/>
      <c r="Y779"/>
      <c r="Z779"/>
      <c r="AA779"/>
      <c r="AB779"/>
      <c r="AC779"/>
      <c r="AD779"/>
      <c r="AE779"/>
      <c r="AF779"/>
      <c r="AG779"/>
      <c r="AH779"/>
      <c r="AI779"/>
    </row>
    <row r="780" spans="1:35" s="48" customFormat="1" x14ac:dyDescent="0.45">
      <c r="A780" s="3"/>
      <c r="H780"/>
      <c r="J780" s="49"/>
      <c r="K780" s="49"/>
      <c r="L780" s="50"/>
      <c r="M780" s="50"/>
      <c r="N780" s="50"/>
      <c r="O780" s="50"/>
      <c r="P780" s="50"/>
      <c r="Q780" s="50"/>
      <c r="R780" s="47"/>
      <c r="S780" s="50"/>
      <c r="T780" s="50"/>
      <c r="U780" s="50"/>
      <c r="V780" s="50"/>
      <c r="W780" s="50"/>
      <c r="X780"/>
      <c r="Y780"/>
      <c r="Z780"/>
      <c r="AA780"/>
      <c r="AB780"/>
      <c r="AC780"/>
      <c r="AD780"/>
      <c r="AE780"/>
      <c r="AF780"/>
      <c r="AG780"/>
      <c r="AH780"/>
      <c r="AI780"/>
    </row>
    <row r="781" spans="1:35" s="48" customFormat="1" x14ac:dyDescent="0.45">
      <c r="A781" s="3"/>
      <c r="H781"/>
      <c r="J781" s="49"/>
      <c r="K781" s="49"/>
      <c r="L781" s="50"/>
      <c r="M781" s="50"/>
      <c r="N781" s="50"/>
      <c r="O781" s="50"/>
      <c r="P781" s="50"/>
      <c r="Q781" s="50"/>
      <c r="R781" s="47"/>
      <c r="S781" s="50"/>
      <c r="T781" s="50"/>
      <c r="U781" s="50"/>
      <c r="V781" s="50"/>
      <c r="W781" s="50"/>
      <c r="X781"/>
      <c r="Y781"/>
      <c r="Z781"/>
      <c r="AA781"/>
      <c r="AB781"/>
      <c r="AC781"/>
      <c r="AD781"/>
      <c r="AE781"/>
      <c r="AF781"/>
      <c r="AG781"/>
      <c r="AH781"/>
      <c r="AI781"/>
    </row>
    <row r="782" spans="1:35" s="48" customFormat="1" x14ac:dyDescent="0.45">
      <c r="A782" s="3"/>
      <c r="H782"/>
      <c r="J782" s="49"/>
      <c r="K782" s="49"/>
      <c r="L782" s="50"/>
      <c r="M782" s="50"/>
      <c r="N782" s="50"/>
      <c r="O782" s="50"/>
      <c r="P782" s="50"/>
      <c r="Q782" s="50"/>
      <c r="R782" s="47"/>
      <c r="S782" s="50"/>
      <c r="T782" s="50"/>
      <c r="U782" s="50"/>
      <c r="V782" s="50"/>
      <c r="W782" s="50"/>
      <c r="X782"/>
      <c r="Y782"/>
      <c r="Z782"/>
      <c r="AA782"/>
      <c r="AB782"/>
      <c r="AC782"/>
      <c r="AD782"/>
      <c r="AE782"/>
      <c r="AF782"/>
      <c r="AG782"/>
      <c r="AH782"/>
      <c r="AI782"/>
    </row>
    <row r="783" spans="1:35" s="48" customFormat="1" x14ac:dyDescent="0.45">
      <c r="A783" s="3"/>
      <c r="H783"/>
      <c r="J783" s="49"/>
      <c r="K783" s="49"/>
      <c r="L783" s="50"/>
      <c r="M783" s="50"/>
      <c r="N783" s="50"/>
      <c r="O783" s="50"/>
      <c r="P783" s="50"/>
      <c r="Q783" s="50"/>
      <c r="R783" s="47"/>
      <c r="S783" s="50"/>
      <c r="T783" s="50"/>
      <c r="U783" s="50"/>
      <c r="V783" s="50"/>
      <c r="W783" s="50"/>
      <c r="X783"/>
      <c r="Y783"/>
      <c r="Z783"/>
      <c r="AA783"/>
      <c r="AB783"/>
      <c r="AC783"/>
      <c r="AD783"/>
      <c r="AE783"/>
      <c r="AF783"/>
      <c r="AG783"/>
      <c r="AH783"/>
      <c r="AI783"/>
    </row>
    <row r="784" spans="1:35" s="48" customFormat="1" x14ac:dyDescent="0.45">
      <c r="A784" s="3"/>
      <c r="H784"/>
      <c r="J784" s="49"/>
      <c r="K784" s="49"/>
      <c r="L784" s="50"/>
      <c r="M784" s="50"/>
      <c r="N784" s="50"/>
      <c r="O784" s="50"/>
      <c r="P784" s="50"/>
      <c r="Q784" s="50"/>
      <c r="R784" s="47"/>
      <c r="S784" s="50"/>
      <c r="T784" s="50"/>
      <c r="U784" s="50"/>
      <c r="V784" s="50"/>
      <c r="W784" s="50"/>
      <c r="X784"/>
      <c r="Y784"/>
      <c r="Z784"/>
      <c r="AA784"/>
      <c r="AB784"/>
      <c r="AC784"/>
      <c r="AD784"/>
      <c r="AE784"/>
      <c r="AF784"/>
      <c r="AG784"/>
      <c r="AH784"/>
      <c r="AI784"/>
    </row>
    <row r="785" spans="1:35" s="48" customFormat="1" x14ac:dyDescent="0.45">
      <c r="A785" s="3"/>
      <c r="H785"/>
      <c r="J785" s="49"/>
      <c r="K785" s="49"/>
      <c r="L785" s="50"/>
      <c r="M785" s="50"/>
      <c r="N785" s="50"/>
      <c r="O785" s="50"/>
      <c r="P785" s="50"/>
      <c r="Q785" s="50"/>
      <c r="R785" s="47"/>
      <c r="S785" s="50"/>
      <c r="T785" s="50"/>
      <c r="U785" s="50"/>
      <c r="V785" s="50"/>
      <c r="W785" s="50"/>
      <c r="X785"/>
      <c r="Y785"/>
      <c r="Z785"/>
      <c r="AA785"/>
      <c r="AB785"/>
      <c r="AC785"/>
      <c r="AD785"/>
      <c r="AE785"/>
      <c r="AF785"/>
      <c r="AG785"/>
      <c r="AH785"/>
      <c r="AI785"/>
    </row>
    <row r="786" spans="1:35" s="48" customFormat="1" x14ac:dyDescent="0.45">
      <c r="A786" s="3"/>
      <c r="H786"/>
      <c r="J786" s="49"/>
      <c r="K786" s="49"/>
      <c r="L786" s="50"/>
      <c r="M786" s="50"/>
      <c r="N786" s="50"/>
      <c r="O786" s="50"/>
      <c r="P786" s="50"/>
      <c r="Q786" s="50"/>
      <c r="R786" s="47"/>
      <c r="S786" s="50"/>
      <c r="T786" s="50"/>
      <c r="U786" s="50"/>
      <c r="V786" s="50"/>
      <c r="W786" s="50"/>
      <c r="X786"/>
      <c r="Y786"/>
      <c r="Z786"/>
      <c r="AA786"/>
      <c r="AB786"/>
      <c r="AC786"/>
      <c r="AD786"/>
      <c r="AE786"/>
      <c r="AF786"/>
      <c r="AG786"/>
      <c r="AH786"/>
      <c r="AI786"/>
    </row>
    <row r="787" spans="1:35" s="48" customFormat="1" x14ac:dyDescent="0.45">
      <c r="A787" s="3"/>
      <c r="H787"/>
      <c r="J787" s="49"/>
      <c r="K787" s="49"/>
      <c r="L787" s="50"/>
      <c r="M787" s="50"/>
      <c r="N787" s="50"/>
      <c r="O787" s="50"/>
      <c r="P787" s="50"/>
      <c r="Q787" s="50"/>
      <c r="R787" s="47"/>
      <c r="S787" s="50"/>
      <c r="T787" s="50"/>
      <c r="U787" s="50"/>
      <c r="V787" s="50"/>
      <c r="W787" s="50"/>
      <c r="X787"/>
      <c r="Y787"/>
      <c r="Z787"/>
      <c r="AA787"/>
      <c r="AB787"/>
      <c r="AC787"/>
      <c r="AD787"/>
      <c r="AE787"/>
      <c r="AF787"/>
      <c r="AG787"/>
      <c r="AH787"/>
      <c r="AI787"/>
    </row>
    <row r="788" spans="1:35" s="48" customFormat="1" x14ac:dyDescent="0.45">
      <c r="A788" s="3"/>
      <c r="H788"/>
      <c r="J788" s="49"/>
      <c r="K788" s="49"/>
      <c r="L788" s="50"/>
      <c r="M788" s="50"/>
      <c r="N788" s="50"/>
      <c r="O788" s="50"/>
      <c r="P788" s="50"/>
      <c r="Q788" s="50"/>
      <c r="R788" s="47"/>
      <c r="S788" s="50"/>
      <c r="T788" s="50"/>
      <c r="U788" s="50"/>
      <c r="V788" s="50"/>
      <c r="W788" s="50"/>
      <c r="X788"/>
      <c r="Y788"/>
      <c r="Z788"/>
      <c r="AA788"/>
      <c r="AB788"/>
      <c r="AC788"/>
      <c r="AD788"/>
      <c r="AE788"/>
      <c r="AF788"/>
      <c r="AG788"/>
      <c r="AH788"/>
      <c r="AI788"/>
    </row>
    <row r="789" spans="1:35" s="48" customFormat="1" x14ac:dyDescent="0.45">
      <c r="A789" s="3"/>
      <c r="H789"/>
      <c r="J789" s="49"/>
      <c r="K789" s="49"/>
      <c r="L789" s="50"/>
      <c r="M789" s="50"/>
      <c r="N789" s="50"/>
      <c r="O789" s="50"/>
      <c r="P789" s="50"/>
      <c r="Q789" s="50"/>
      <c r="R789" s="47"/>
      <c r="S789" s="50"/>
      <c r="T789" s="50"/>
      <c r="U789" s="50"/>
      <c r="V789" s="50"/>
      <c r="W789" s="50"/>
      <c r="X789"/>
      <c r="Y789"/>
      <c r="Z789"/>
      <c r="AA789"/>
      <c r="AB789"/>
      <c r="AC789"/>
      <c r="AD789"/>
      <c r="AE789"/>
      <c r="AF789"/>
      <c r="AG789"/>
      <c r="AH789"/>
      <c r="AI789"/>
    </row>
    <row r="790" spans="1:35" s="48" customFormat="1" x14ac:dyDescent="0.45">
      <c r="A790" s="3"/>
      <c r="H790"/>
      <c r="J790" s="49"/>
      <c r="K790" s="49"/>
      <c r="L790" s="50"/>
      <c r="M790" s="50"/>
      <c r="N790" s="50"/>
      <c r="O790" s="50"/>
      <c r="P790" s="50"/>
      <c r="Q790" s="50"/>
      <c r="R790" s="47"/>
      <c r="S790" s="50"/>
      <c r="T790" s="50"/>
      <c r="U790" s="50"/>
      <c r="V790" s="50"/>
      <c r="W790" s="50"/>
      <c r="X790"/>
      <c r="Y790"/>
      <c r="Z790"/>
      <c r="AA790"/>
      <c r="AB790"/>
      <c r="AC790"/>
      <c r="AD790"/>
      <c r="AE790"/>
      <c r="AF790"/>
      <c r="AG790"/>
      <c r="AH790"/>
      <c r="AI790"/>
    </row>
    <row r="791" spans="1:35" s="48" customFormat="1" x14ac:dyDescent="0.45">
      <c r="A791" s="3"/>
      <c r="H791"/>
      <c r="J791" s="49"/>
      <c r="K791" s="49"/>
      <c r="L791" s="50"/>
      <c r="M791" s="50"/>
      <c r="N791" s="50"/>
      <c r="O791" s="50"/>
      <c r="P791" s="50"/>
      <c r="Q791" s="50"/>
      <c r="R791" s="47"/>
      <c r="S791" s="50"/>
      <c r="T791" s="50"/>
      <c r="U791" s="50"/>
      <c r="V791" s="50"/>
      <c r="W791" s="50"/>
      <c r="X791"/>
      <c r="Y791"/>
      <c r="Z791"/>
      <c r="AA791"/>
      <c r="AB791"/>
      <c r="AC791"/>
      <c r="AD791"/>
      <c r="AE791"/>
      <c r="AF791"/>
      <c r="AG791"/>
      <c r="AH791"/>
      <c r="AI791"/>
    </row>
    <row r="792" spans="1:35" s="48" customFormat="1" x14ac:dyDescent="0.45">
      <c r="A792" s="3"/>
      <c r="H792"/>
      <c r="J792" s="49"/>
      <c r="K792" s="49"/>
      <c r="L792" s="50"/>
      <c r="M792" s="50"/>
      <c r="N792" s="50"/>
      <c r="O792" s="50"/>
      <c r="P792" s="50"/>
      <c r="Q792" s="50"/>
      <c r="R792" s="47"/>
      <c r="S792" s="50"/>
      <c r="T792" s="50"/>
      <c r="U792" s="50"/>
      <c r="V792" s="50"/>
      <c r="W792" s="50"/>
      <c r="X792"/>
      <c r="Y792"/>
      <c r="Z792"/>
      <c r="AA792"/>
      <c r="AB792"/>
      <c r="AC792"/>
      <c r="AD792"/>
      <c r="AE792"/>
      <c r="AF792"/>
      <c r="AG792"/>
      <c r="AH792"/>
      <c r="AI792"/>
    </row>
    <row r="793" spans="1:35" s="48" customFormat="1" x14ac:dyDescent="0.45">
      <c r="A793" s="3"/>
      <c r="H793"/>
      <c r="J793" s="49"/>
      <c r="K793" s="49"/>
      <c r="L793" s="50"/>
      <c r="M793" s="50"/>
      <c r="N793" s="50"/>
      <c r="O793" s="50"/>
      <c r="P793" s="50"/>
      <c r="Q793" s="50"/>
      <c r="R793" s="47"/>
      <c r="S793" s="50"/>
      <c r="T793" s="50"/>
      <c r="U793" s="50"/>
      <c r="V793" s="50"/>
      <c r="W793" s="50"/>
      <c r="X793"/>
      <c r="Y793"/>
      <c r="Z793"/>
      <c r="AA793"/>
      <c r="AB793"/>
      <c r="AC793"/>
      <c r="AD793"/>
      <c r="AE793"/>
      <c r="AF793"/>
      <c r="AG793"/>
      <c r="AH793"/>
      <c r="AI793"/>
    </row>
    <row r="794" spans="1:35" s="48" customFormat="1" x14ac:dyDescent="0.45">
      <c r="A794" s="3"/>
      <c r="H794"/>
      <c r="J794" s="49"/>
      <c r="K794" s="49"/>
      <c r="L794" s="50"/>
      <c r="M794" s="50"/>
      <c r="N794" s="50"/>
      <c r="O794" s="50"/>
      <c r="P794" s="50"/>
      <c r="Q794" s="50"/>
      <c r="R794" s="47"/>
      <c r="S794" s="50"/>
      <c r="T794" s="50"/>
      <c r="U794" s="50"/>
      <c r="V794" s="50"/>
      <c r="W794" s="50"/>
      <c r="X794"/>
      <c r="Y794"/>
      <c r="Z794"/>
      <c r="AA794"/>
      <c r="AB794"/>
      <c r="AC794"/>
      <c r="AD794"/>
      <c r="AE794"/>
      <c r="AF794"/>
      <c r="AG794"/>
      <c r="AH794"/>
      <c r="AI794"/>
    </row>
    <row r="795" spans="1:35" s="48" customFormat="1" x14ac:dyDescent="0.45">
      <c r="A795" s="3"/>
      <c r="H795"/>
      <c r="J795" s="49"/>
      <c r="K795" s="49"/>
      <c r="L795" s="50"/>
      <c r="M795" s="50"/>
      <c r="N795" s="50"/>
      <c r="O795" s="50"/>
      <c r="P795" s="50"/>
      <c r="Q795" s="50"/>
      <c r="R795" s="47"/>
      <c r="S795" s="50"/>
      <c r="T795" s="50"/>
      <c r="U795" s="50"/>
      <c r="V795" s="50"/>
      <c r="W795" s="50"/>
      <c r="X795"/>
      <c r="Y795"/>
      <c r="Z795"/>
      <c r="AA795"/>
      <c r="AB795"/>
      <c r="AC795"/>
      <c r="AD795"/>
      <c r="AE795"/>
      <c r="AF795"/>
      <c r="AG795"/>
      <c r="AH795"/>
      <c r="AI795"/>
    </row>
    <row r="796" spans="1:35" s="48" customFormat="1" x14ac:dyDescent="0.45">
      <c r="A796" s="3"/>
      <c r="H796"/>
      <c r="J796" s="49"/>
      <c r="K796" s="49"/>
      <c r="L796" s="50"/>
      <c r="M796" s="50"/>
      <c r="N796" s="50"/>
      <c r="O796" s="50"/>
      <c r="P796" s="50"/>
      <c r="Q796" s="50"/>
      <c r="R796" s="47"/>
      <c r="S796" s="50"/>
      <c r="T796" s="50"/>
      <c r="U796" s="50"/>
      <c r="V796" s="50"/>
      <c r="W796" s="50"/>
      <c r="X796"/>
      <c r="Y796"/>
      <c r="Z796"/>
      <c r="AA796"/>
      <c r="AB796"/>
      <c r="AC796"/>
      <c r="AD796"/>
      <c r="AE796"/>
      <c r="AF796"/>
      <c r="AG796"/>
      <c r="AH796"/>
      <c r="AI796"/>
    </row>
    <row r="797" spans="1:35" s="48" customFormat="1" x14ac:dyDescent="0.45">
      <c r="A797" s="3"/>
      <c r="H797"/>
      <c r="J797" s="49"/>
      <c r="K797" s="49"/>
      <c r="L797" s="50"/>
      <c r="M797" s="50"/>
      <c r="N797" s="50"/>
      <c r="O797" s="50"/>
      <c r="P797" s="50"/>
      <c r="Q797" s="50"/>
      <c r="R797" s="47"/>
      <c r="S797" s="50"/>
      <c r="T797" s="50"/>
      <c r="U797" s="50"/>
      <c r="V797" s="50"/>
      <c r="W797" s="50"/>
      <c r="X797"/>
      <c r="Y797"/>
      <c r="Z797"/>
      <c r="AA797"/>
      <c r="AB797"/>
      <c r="AC797"/>
      <c r="AD797"/>
      <c r="AE797"/>
      <c r="AF797"/>
      <c r="AG797"/>
      <c r="AH797"/>
      <c r="AI797"/>
    </row>
    <row r="798" spans="1:35" s="48" customFormat="1" x14ac:dyDescent="0.45">
      <c r="A798" s="3"/>
      <c r="H798"/>
      <c r="J798" s="49"/>
      <c r="K798" s="49"/>
      <c r="L798" s="50"/>
      <c r="M798" s="50"/>
      <c r="N798" s="50"/>
      <c r="O798" s="50"/>
      <c r="P798" s="50"/>
      <c r="Q798" s="50"/>
      <c r="R798" s="47"/>
      <c r="S798" s="50"/>
      <c r="T798" s="50"/>
      <c r="U798" s="50"/>
      <c r="V798" s="50"/>
      <c r="W798" s="50"/>
      <c r="X798"/>
      <c r="Y798"/>
      <c r="Z798"/>
      <c r="AA798"/>
      <c r="AB798"/>
      <c r="AC798"/>
      <c r="AD798"/>
      <c r="AE798"/>
      <c r="AF798"/>
      <c r="AG798"/>
      <c r="AH798"/>
      <c r="AI798"/>
    </row>
    <row r="799" spans="1:35" s="48" customFormat="1" x14ac:dyDescent="0.45">
      <c r="A799" s="3"/>
      <c r="H799"/>
      <c r="J799" s="49"/>
      <c r="K799" s="49"/>
      <c r="L799" s="50"/>
      <c r="M799" s="50"/>
      <c r="N799" s="50"/>
      <c r="O799" s="50"/>
      <c r="P799" s="50"/>
      <c r="Q799" s="50"/>
      <c r="R799" s="47"/>
      <c r="S799" s="50"/>
      <c r="T799" s="50"/>
      <c r="U799" s="50"/>
      <c r="V799" s="50"/>
      <c r="W799" s="50"/>
      <c r="X799"/>
      <c r="Y799"/>
      <c r="Z799"/>
      <c r="AA799"/>
      <c r="AB799"/>
      <c r="AC799"/>
      <c r="AD799"/>
      <c r="AE799"/>
      <c r="AF799"/>
      <c r="AG799"/>
      <c r="AH799"/>
      <c r="AI799"/>
    </row>
    <row r="800" spans="1:35" s="48" customFormat="1" x14ac:dyDescent="0.45">
      <c r="A800" s="3"/>
      <c r="H800"/>
      <c r="J800" s="49"/>
      <c r="K800" s="49"/>
      <c r="L800" s="50"/>
      <c r="M800" s="50"/>
      <c r="N800" s="50"/>
      <c r="O800" s="50"/>
      <c r="P800" s="50"/>
      <c r="Q800" s="50"/>
      <c r="R800" s="47"/>
      <c r="S800" s="50"/>
      <c r="T800" s="50"/>
      <c r="U800" s="50"/>
      <c r="V800" s="50"/>
      <c r="W800" s="50"/>
      <c r="X800"/>
      <c r="Y800"/>
      <c r="Z800"/>
      <c r="AA800"/>
      <c r="AB800"/>
      <c r="AC800"/>
      <c r="AD800"/>
      <c r="AE800"/>
      <c r="AF800"/>
      <c r="AG800"/>
      <c r="AH800"/>
      <c r="AI800"/>
    </row>
    <row r="801" spans="1:35" s="48" customFormat="1" x14ac:dyDescent="0.45">
      <c r="A801" s="3"/>
      <c r="H801"/>
      <c r="J801" s="49"/>
      <c r="K801" s="49"/>
      <c r="L801" s="50"/>
      <c r="M801" s="50"/>
      <c r="N801" s="50"/>
      <c r="O801" s="50"/>
      <c r="P801" s="50"/>
      <c r="Q801" s="50"/>
      <c r="R801" s="47"/>
      <c r="S801" s="50"/>
      <c r="T801" s="50"/>
      <c r="U801" s="50"/>
      <c r="V801" s="50"/>
      <c r="W801" s="50"/>
      <c r="X801"/>
      <c r="Y801"/>
      <c r="Z801"/>
      <c r="AA801"/>
      <c r="AB801"/>
      <c r="AC801"/>
      <c r="AD801"/>
      <c r="AE801"/>
      <c r="AF801"/>
      <c r="AG801"/>
      <c r="AH801"/>
      <c r="AI801"/>
    </row>
    <row r="802" spans="1:35" s="48" customFormat="1" x14ac:dyDescent="0.45">
      <c r="A802" s="3"/>
      <c r="H802"/>
      <c r="J802" s="49"/>
      <c r="K802" s="49"/>
      <c r="L802" s="50"/>
      <c r="M802" s="50"/>
      <c r="N802" s="50"/>
      <c r="O802" s="50"/>
      <c r="P802" s="50"/>
      <c r="Q802" s="50"/>
      <c r="R802" s="47"/>
      <c r="S802" s="50"/>
      <c r="T802" s="50"/>
      <c r="U802" s="50"/>
      <c r="V802" s="50"/>
      <c r="W802" s="50"/>
      <c r="X802"/>
      <c r="Y802"/>
      <c r="Z802"/>
      <c r="AA802"/>
      <c r="AB802"/>
      <c r="AC802"/>
      <c r="AD802"/>
      <c r="AE802"/>
      <c r="AF802"/>
      <c r="AG802"/>
      <c r="AH802"/>
      <c r="AI802"/>
    </row>
    <row r="803" spans="1:35" s="48" customFormat="1" x14ac:dyDescent="0.45">
      <c r="A803" s="3"/>
      <c r="H803"/>
      <c r="J803" s="49"/>
      <c r="K803" s="49"/>
      <c r="L803" s="50"/>
      <c r="M803" s="50"/>
      <c r="N803" s="50"/>
      <c r="O803" s="50"/>
      <c r="P803" s="50"/>
      <c r="Q803" s="50"/>
      <c r="R803" s="47"/>
      <c r="S803" s="50"/>
      <c r="T803" s="50"/>
      <c r="U803" s="50"/>
      <c r="V803" s="50"/>
      <c r="W803" s="50"/>
      <c r="X803"/>
      <c r="Y803"/>
      <c r="Z803"/>
      <c r="AA803"/>
      <c r="AB803"/>
      <c r="AC803"/>
      <c r="AD803"/>
      <c r="AE803"/>
      <c r="AF803"/>
      <c r="AG803"/>
      <c r="AH803"/>
      <c r="AI803"/>
    </row>
    <row r="804" spans="1:35" s="48" customFormat="1" x14ac:dyDescent="0.45">
      <c r="A804" s="3"/>
      <c r="H804"/>
      <c r="J804" s="49"/>
      <c r="K804" s="49"/>
      <c r="L804" s="50"/>
      <c r="M804" s="50"/>
      <c r="N804" s="50"/>
      <c r="O804" s="50"/>
      <c r="P804" s="50"/>
      <c r="Q804" s="50"/>
      <c r="R804" s="47"/>
      <c r="S804" s="50"/>
      <c r="T804" s="50"/>
      <c r="U804" s="50"/>
      <c r="V804" s="50"/>
      <c r="W804" s="50"/>
      <c r="X804"/>
      <c r="Y804"/>
      <c r="Z804"/>
      <c r="AA804"/>
      <c r="AB804"/>
      <c r="AC804"/>
      <c r="AD804"/>
      <c r="AE804"/>
      <c r="AF804"/>
      <c r="AG804"/>
      <c r="AH804"/>
      <c r="AI804"/>
    </row>
    <row r="805" spans="1:35" s="48" customFormat="1" x14ac:dyDescent="0.45">
      <c r="A805" s="3"/>
      <c r="H805"/>
      <c r="J805" s="49"/>
      <c r="K805" s="49"/>
      <c r="L805" s="50"/>
      <c r="M805" s="50"/>
      <c r="N805" s="50"/>
      <c r="O805" s="50"/>
      <c r="P805" s="50"/>
      <c r="Q805" s="50"/>
      <c r="R805" s="47"/>
      <c r="S805" s="50"/>
      <c r="T805" s="50"/>
      <c r="U805" s="50"/>
      <c r="V805" s="50"/>
      <c r="W805" s="50"/>
      <c r="X805"/>
      <c r="Y805"/>
      <c r="Z805"/>
      <c r="AA805"/>
      <c r="AB805"/>
      <c r="AC805"/>
      <c r="AD805"/>
      <c r="AE805"/>
      <c r="AF805"/>
      <c r="AG805"/>
      <c r="AH805"/>
      <c r="AI805"/>
    </row>
    <row r="806" spans="1:35" s="48" customFormat="1" x14ac:dyDescent="0.45">
      <c r="A806" s="3"/>
      <c r="H806"/>
      <c r="J806" s="49"/>
      <c r="K806" s="49"/>
      <c r="L806" s="50"/>
      <c r="M806" s="50"/>
      <c r="N806" s="50"/>
      <c r="O806" s="50"/>
      <c r="P806" s="50"/>
      <c r="Q806" s="50"/>
      <c r="R806" s="47"/>
      <c r="S806" s="50"/>
      <c r="T806" s="50"/>
      <c r="U806" s="50"/>
      <c r="V806" s="50"/>
      <c r="W806" s="50"/>
      <c r="X806"/>
      <c r="Y806"/>
      <c r="Z806"/>
      <c r="AA806"/>
      <c r="AB806"/>
      <c r="AC806"/>
      <c r="AD806"/>
      <c r="AE806"/>
      <c r="AF806"/>
      <c r="AG806"/>
      <c r="AH806"/>
      <c r="AI806"/>
    </row>
    <row r="807" spans="1:35" s="48" customFormat="1" x14ac:dyDescent="0.45">
      <c r="A807" s="3"/>
      <c r="H807"/>
      <c r="J807" s="49"/>
      <c r="K807" s="49"/>
      <c r="L807" s="50"/>
      <c r="M807" s="50"/>
      <c r="N807" s="50"/>
      <c r="O807" s="50"/>
      <c r="P807" s="50"/>
      <c r="Q807" s="50"/>
      <c r="R807" s="47"/>
      <c r="S807" s="50"/>
      <c r="T807" s="50"/>
      <c r="U807" s="50"/>
      <c r="V807" s="50"/>
      <c r="W807" s="50"/>
      <c r="X807"/>
      <c r="Y807"/>
      <c r="Z807"/>
      <c r="AA807"/>
      <c r="AB807"/>
      <c r="AC807"/>
      <c r="AD807"/>
      <c r="AE807"/>
      <c r="AF807"/>
      <c r="AG807"/>
      <c r="AH807"/>
      <c r="AI807"/>
    </row>
    <row r="808" spans="1:35" s="48" customFormat="1" x14ac:dyDescent="0.45">
      <c r="A808" s="3"/>
      <c r="H808"/>
      <c r="J808" s="49"/>
      <c r="K808" s="49"/>
      <c r="L808" s="50"/>
      <c r="M808" s="50"/>
      <c r="N808" s="50"/>
      <c r="O808" s="50"/>
      <c r="P808" s="50"/>
      <c r="Q808" s="50"/>
      <c r="R808" s="47"/>
      <c r="S808" s="50"/>
      <c r="T808" s="50"/>
      <c r="U808" s="50"/>
      <c r="V808" s="50"/>
      <c r="W808" s="50"/>
      <c r="X808"/>
      <c r="Y808"/>
      <c r="Z808"/>
      <c r="AA808"/>
      <c r="AB808"/>
      <c r="AC808"/>
      <c r="AD808"/>
      <c r="AE808"/>
      <c r="AF808"/>
      <c r="AG808"/>
      <c r="AH808"/>
      <c r="AI808"/>
    </row>
    <row r="809" spans="1:35" s="48" customFormat="1" x14ac:dyDescent="0.45">
      <c r="A809" s="3"/>
      <c r="H809"/>
      <c r="J809" s="49"/>
      <c r="K809" s="49"/>
      <c r="L809" s="50"/>
      <c r="M809" s="50"/>
      <c r="N809" s="50"/>
      <c r="O809" s="50"/>
      <c r="P809" s="50"/>
      <c r="Q809" s="50"/>
      <c r="R809" s="47"/>
      <c r="S809" s="50"/>
      <c r="T809" s="50"/>
      <c r="U809" s="50"/>
      <c r="V809" s="50"/>
      <c r="W809" s="50"/>
      <c r="X809"/>
      <c r="Y809"/>
      <c r="Z809"/>
      <c r="AA809"/>
      <c r="AB809"/>
      <c r="AC809"/>
      <c r="AD809"/>
      <c r="AE809"/>
      <c r="AF809"/>
      <c r="AG809"/>
      <c r="AH809"/>
      <c r="AI809"/>
    </row>
    <row r="810" spans="1:35" s="48" customFormat="1" x14ac:dyDescent="0.45">
      <c r="A810" s="3"/>
      <c r="H810"/>
      <c r="J810" s="49"/>
      <c r="K810" s="49"/>
      <c r="L810" s="50"/>
      <c r="M810" s="50"/>
      <c r="N810" s="50"/>
      <c r="O810" s="50"/>
      <c r="P810" s="50"/>
      <c r="Q810" s="50"/>
      <c r="R810" s="47"/>
      <c r="S810" s="50"/>
      <c r="T810" s="50"/>
      <c r="U810" s="50"/>
      <c r="V810" s="50"/>
      <c r="W810" s="50"/>
      <c r="X810"/>
      <c r="Y810"/>
      <c r="Z810"/>
      <c r="AA810"/>
      <c r="AB810"/>
      <c r="AC810"/>
      <c r="AD810"/>
      <c r="AE810"/>
      <c r="AF810"/>
      <c r="AG810"/>
      <c r="AH810"/>
      <c r="AI810"/>
    </row>
    <row r="811" spans="1:35" s="48" customFormat="1" x14ac:dyDescent="0.45">
      <c r="A811" s="3"/>
      <c r="H811"/>
      <c r="J811" s="49"/>
      <c r="K811" s="49"/>
      <c r="L811" s="50"/>
      <c r="M811" s="50"/>
      <c r="N811" s="50"/>
      <c r="O811" s="50"/>
      <c r="P811" s="50"/>
      <c r="Q811" s="50"/>
      <c r="R811" s="47"/>
      <c r="S811" s="50"/>
      <c r="T811" s="50"/>
      <c r="U811" s="50"/>
      <c r="V811" s="50"/>
      <c r="W811" s="50"/>
      <c r="X811"/>
      <c r="Y811"/>
      <c r="Z811"/>
      <c r="AA811"/>
      <c r="AB811"/>
      <c r="AC811"/>
      <c r="AD811"/>
      <c r="AE811"/>
      <c r="AF811"/>
      <c r="AG811"/>
      <c r="AH811"/>
      <c r="AI811"/>
    </row>
    <row r="812" spans="1:35" s="48" customFormat="1" x14ac:dyDescent="0.45">
      <c r="A812" s="3"/>
      <c r="H812"/>
      <c r="J812" s="49"/>
      <c r="K812" s="49"/>
      <c r="L812" s="50"/>
      <c r="M812" s="50"/>
      <c r="N812" s="50"/>
      <c r="O812" s="50"/>
      <c r="P812" s="50"/>
      <c r="Q812" s="50"/>
      <c r="R812" s="47"/>
      <c r="S812" s="50"/>
      <c r="T812" s="50"/>
      <c r="U812" s="50"/>
      <c r="V812" s="50"/>
      <c r="W812" s="50"/>
      <c r="X812"/>
      <c r="Y812"/>
      <c r="Z812"/>
      <c r="AA812"/>
      <c r="AB812"/>
      <c r="AC812"/>
      <c r="AD812"/>
      <c r="AE812"/>
      <c r="AF812"/>
      <c r="AG812"/>
      <c r="AH812"/>
      <c r="AI812"/>
    </row>
    <row r="813" spans="1:35" s="48" customFormat="1" x14ac:dyDescent="0.45">
      <c r="A813" s="3"/>
      <c r="H813"/>
      <c r="J813" s="49"/>
      <c r="K813" s="49"/>
      <c r="L813" s="50"/>
      <c r="M813" s="50"/>
      <c r="N813" s="50"/>
      <c r="O813" s="50"/>
      <c r="P813" s="50"/>
      <c r="Q813" s="50"/>
      <c r="R813" s="47"/>
      <c r="S813" s="50"/>
      <c r="T813" s="50"/>
      <c r="U813" s="50"/>
      <c r="V813" s="50"/>
      <c r="W813" s="50"/>
      <c r="X813"/>
      <c r="Y813"/>
      <c r="Z813"/>
      <c r="AA813"/>
      <c r="AB813"/>
      <c r="AC813"/>
      <c r="AD813"/>
      <c r="AE813"/>
      <c r="AF813"/>
      <c r="AG813"/>
      <c r="AH813"/>
      <c r="AI813"/>
    </row>
    <row r="814" spans="1:35" s="48" customFormat="1" x14ac:dyDescent="0.45">
      <c r="A814" s="3"/>
      <c r="H814"/>
      <c r="J814" s="49"/>
      <c r="K814" s="49"/>
      <c r="L814" s="50"/>
      <c r="M814" s="50"/>
      <c r="N814" s="50"/>
      <c r="O814" s="50"/>
      <c r="P814" s="50"/>
      <c r="Q814" s="50"/>
      <c r="R814" s="47"/>
      <c r="S814" s="50"/>
      <c r="T814" s="50"/>
      <c r="U814" s="50"/>
      <c r="V814" s="50"/>
      <c r="W814" s="50"/>
      <c r="X814"/>
      <c r="Y814"/>
      <c r="Z814"/>
      <c r="AA814"/>
      <c r="AB814"/>
      <c r="AC814"/>
      <c r="AD814"/>
      <c r="AE814"/>
      <c r="AF814"/>
      <c r="AG814"/>
      <c r="AH814"/>
      <c r="AI814"/>
    </row>
    <row r="815" spans="1:35" s="48" customFormat="1" x14ac:dyDescent="0.45">
      <c r="A815" s="3"/>
      <c r="H815"/>
      <c r="J815" s="49"/>
      <c r="K815" s="49"/>
      <c r="L815" s="50"/>
      <c r="M815" s="50"/>
      <c r="N815" s="50"/>
      <c r="O815" s="50"/>
      <c r="P815" s="50"/>
      <c r="Q815" s="50"/>
      <c r="R815" s="47"/>
      <c r="S815" s="50"/>
      <c r="T815" s="50"/>
      <c r="U815" s="50"/>
      <c r="V815" s="50"/>
      <c r="W815" s="50"/>
      <c r="X815"/>
      <c r="Y815"/>
      <c r="Z815"/>
      <c r="AA815"/>
      <c r="AB815"/>
      <c r="AC815"/>
      <c r="AD815"/>
      <c r="AE815"/>
      <c r="AF815"/>
      <c r="AG815"/>
      <c r="AH815"/>
      <c r="AI815"/>
    </row>
    <row r="816" spans="1:35" s="48" customFormat="1" x14ac:dyDescent="0.45">
      <c r="A816" s="3"/>
      <c r="H816"/>
      <c r="J816" s="49"/>
      <c r="K816" s="49"/>
      <c r="L816" s="50"/>
      <c r="M816" s="50"/>
      <c r="N816" s="50"/>
      <c r="O816" s="50"/>
      <c r="P816" s="50"/>
      <c r="Q816" s="50"/>
      <c r="R816" s="47"/>
      <c r="S816" s="50"/>
      <c r="T816" s="50"/>
      <c r="U816" s="50"/>
      <c r="V816" s="50"/>
      <c r="W816" s="50"/>
      <c r="X816"/>
      <c r="Y816"/>
      <c r="Z816"/>
      <c r="AA816"/>
      <c r="AB816"/>
      <c r="AC816"/>
      <c r="AD816"/>
      <c r="AE816"/>
      <c r="AF816"/>
      <c r="AG816"/>
      <c r="AH816"/>
      <c r="AI816"/>
    </row>
    <row r="817" spans="1:35" s="48" customFormat="1" x14ac:dyDescent="0.45">
      <c r="A817" s="3"/>
      <c r="H817"/>
      <c r="J817" s="49"/>
      <c r="K817" s="49"/>
      <c r="L817" s="50"/>
      <c r="M817" s="50"/>
      <c r="N817" s="50"/>
      <c r="O817" s="50"/>
      <c r="P817" s="50"/>
      <c r="Q817" s="50"/>
      <c r="R817" s="47"/>
      <c r="S817" s="50"/>
      <c r="T817" s="50"/>
      <c r="U817" s="50"/>
      <c r="V817" s="50"/>
      <c r="W817" s="50"/>
      <c r="X817"/>
      <c r="Y817"/>
      <c r="Z817"/>
      <c r="AA817"/>
      <c r="AB817"/>
      <c r="AC817"/>
      <c r="AD817"/>
      <c r="AE817"/>
      <c r="AF817"/>
      <c r="AG817"/>
      <c r="AH817"/>
      <c r="AI817"/>
    </row>
    <row r="818" spans="1:35" s="48" customFormat="1" x14ac:dyDescent="0.45">
      <c r="A818" s="3"/>
      <c r="H818"/>
      <c r="J818" s="49"/>
      <c r="K818" s="49"/>
      <c r="L818" s="50"/>
      <c r="M818" s="50"/>
      <c r="N818" s="50"/>
      <c r="O818" s="50"/>
      <c r="P818" s="50"/>
      <c r="Q818" s="50"/>
      <c r="R818" s="47"/>
      <c r="S818" s="50"/>
      <c r="T818" s="50"/>
      <c r="U818" s="50"/>
      <c r="V818" s="50"/>
      <c r="W818" s="50"/>
      <c r="X818"/>
      <c r="Y818"/>
      <c r="Z818"/>
      <c r="AA818"/>
      <c r="AB818"/>
      <c r="AC818"/>
      <c r="AD818"/>
      <c r="AE818"/>
      <c r="AF818"/>
      <c r="AG818"/>
      <c r="AH818"/>
      <c r="AI818"/>
    </row>
    <row r="819" spans="1:35" s="48" customFormat="1" x14ac:dyDescent="0.45">
      <c r="A819" s="3"/>
      <c r="H819"/>
      <c r="J819" s="49"/>
      <c r="K819" s="49"/>
      <c r="L819" s="50"/>
      <c r="M819" s="50"/>
      <c r="N819" s="50"/>
      <c r="O819" s="50"/>
      <c r="P819" s="50"/>
      <c r="Q819" s="50"/>
      <c r="R819" s="47"/>
      <c r="S819" s="50"/>
      <c r="T819" s="50"/>
      <c r="U819" s="50"/>
      <c r="V819" s="50"/>
      <c r="W819" s="50"/>
      <c r="X819"/>
      <c r="Y819"/>
      <c r="Z819"/>
      <c r="AA819"/>
      <c r="AB819"/>
      <c r="AC819"/>
      <c r="AD819"/>
      <c r="AE819"/>
      <c r="AF819"/>
      <c r="AG819"/>
      <c r="AH819"/>
      <c r="AI819"/>
    </row>
    <row r="820" spans="1:35" s="48" customFormat="1" x14ac:dyDescent="0.45">
      <c r="A820" s="3"/>
      <c r="H820"/>
      <c r="J820" s="49"/>
      <c r="K820" s="49"/>
      <c r="L820" s="50"/>
      <c r="M820" s="50"/>
      <c r="N820" s="50"/>
      <c r="O820" s="50"/>
      <c r="P820" s="50"/>
      <c r="Q820" s="50"/>
      <c r="R820" s="47"/>
      <c r="S820" s="50"/>
      <c r="T820" s="50"/>
      <c r="U820" s="50"/>
      <c r="V820" s="50"/>
      <c r="W820" s="50"/>
      <c r="X820"/>
      <c r="Y820"/>
      <c r="Z820"/>
      <c r="AA820"/>
      <c r="AB820"/>
      <c r="AC820"/>
      <c r="AD820"/>
      <c r="AE820"/>
      <c r="AF820"/>
      <c r="AG820"/>
      <c r="AH820"/>
      <c r="AI820"/>
    </row>
    <row r="821" spans="1:35" s="48" customFormat="1" x14ac:dyDescent="0.45">
      <c r="A821" s="3"/>
      <c r="H821"/>
      <c r="J821" s="49"/>
      <c r="K821" s="49"/>
      <c r="L821" s="50"/>
      <c r="M821" s="50"/>
      <c r="N821" s="50"/>
      <c r="O821" s="50"/>
      <c r="P821" s="50"/>
      <c r="Q821" s="50"/>
      <c r="R821" s="47"/>
      <c r="S821" s="50"/>
      <c r="T821" s="50"/>
      <c r="U821" s="50"/>
      <c r="V821" s="50"/>
      <c r="W821" s="50"/>
      <c r="X821"/>
      <c r="Y821"/>
      <c r="Z821"/>
      <c r="AA821"/>
      <c r="AB821"/>
      <c r="AC821"/>
      <c r="AD821"/>
      <c r="AE821"/>
      <c r="AF821"/>
      <c r="AG821"/>
      <c r="AH821"/>
      <c r="AI821"/>
    </row>
    <row r="822" spans="1:35" s="48" customFormat="1" x14ac:dyDescent="0.45">
      <c r="A822" s="3"/>
      <c r="H822"/>
      <c r="J822" s="49"/>
      <c r="K822" s="49"/>
      <c r="L822" s="50"/>
      <c r="M822" s="50"/>
      <c r="N822" s="50"/>
      <c r="O822" s="50"/>
      <c r="P822" s="50"/>
      <c r="Q822" s="50"/>
      <c r="R822" s="47"/>
      <c r="S822" s="50"/>
      <c r="T822" s="50"/>
      <c r="U822" s="50"/>
      <c r="V822" s="50"/>
      <c r="W822" s="50"/>
      <c r="X822"/>
      <c r="Y822"/>
      <c r="Z822"/>
      <c r="AA822"/>
      <c r="AB822"/>
      <c r="AC822"/>
      <c r="AD822"/>
      <c r="AE822"/>
      <c r="AF822"/>
      <c r="AG822"/>
      <c r="AH822"/>
      <c r="AI822"/>
    </row>
    <row r="823" spans="1:35" s="48" customFormat="1" x14ac:dyDescent="0.45">
      <c r="A823" s="3"/>
      <c r="H823"/>
      <c r="J823" s="49"/>
      <c r="K823" s="49"/>
      <c r="L823" s="50"/>
      <c r="M823" s="50"/>
      <c r="N823" s="50"/>
      <c r="O823" s="50"/>
      <c r="P823" s="50"/>
      <c r="Q823" s="50"/>
      <c r="R823" s="47"/>
      <c r="S823" s="50"/>
      <c r="T823" s="50"/>
      <c r="U823" s="50"/>
      <c r="V823" s="50"/>
      <c r="W823" s="50"/>
      <c r="X823"/>
      <c r="Y823"/>
      <c r="Z823"/>
      <c r="AA823"/>
      <c r="AB823"/>
      <c r="AC823"/>
      <c r="AD823"/>
      <c r="AE823"/>
      <c r="AF823"/>
      <c r="AG823"/>
      <c r="AH823"/>
      <c r="AI823"/>
    </row>
    <row r="824" spans="1:35" s="48" customFormat="1" x14ac:dyDescent="0.45">
      <c r="A824" s="3"/>
      <c r="H824"/>
      <c r="J824" s="49"/>
      <c r="K824" s="49"/>
      <c r="L824" s="50"/>
      <c r="M824" s="50"/>
      <c r="N824" s="50"/>
      <c r="O824" s="50"/>
      <c r="P824" s="50"/>
      <c r="Q824" s="50"/>
      <c r="R824" s="47"/>
      <c r="S824" s="50"/>
      <c r="T824" s="50"/>
      <c r="U824" s="50"/>
      <c r="V824" s="50"/>
      <c r="W824" s="50"/>
      <c r="X824"/>
      <c r="Y824"/>
      <c r="Z824"/>
      <c r="AA824"/>
      <c r="AB824"/>
      <c r="AC824"/>
      <c r="AD824"/>
      <c r="AE824"/>
      <c r="AF824"/>
      <c r="AG824"/>
      <c r="AH824"/>
      <c r="AI824"/>
    </row>
    <row r="825" spans="1:35" s="48" customFormat="1" x14ac:dyDescent="0.45">
      <c r="A825" s="3"/>
      <c r="H825"/>
      <c r="J825" s="49"/>
      <c r="K825" s="49"/>
      <c r="L825" s="50"/>
      <c r="M825" s="50"/>
      <c r="N825" s="50"/>
      <c r="O825" s="50"/>
      <c r="P825" s="50"/>
      <c r="Q825" s="50"/>
      <c r="R825" s="47"/>
      <c r="S825" s="50"/>
      <c r="T825" s="50"/>
      <c r="U825" s="50"/>
      <c r="V825" s="50"/>
      <c r="W825" s="50"/>
      <c r="X825"/>
      <c r="Y825"/>
      <c r="Z825"/>
      <c r="AA825"/>
      <c r="AB825"/>
      <c r="AC825"/>
      <c r="AD825"/>
      <c r="AE825"/>
      <c r="AF825"/>
      <c r="AG825"/>
      <c r="AH825"/>
      <c r="AI825"/>
    </row>
    <row r="826" spans="1:35" s="48" customFormat="1" x14ac:dyDescent="0.45">
      <c r="A826" s="3"/>
      <c r="H826"/>
      <c r="J826" s="49"/>
      <c r="K826" s="49"/>
      <c r="L826" s="50"/>
      <c r="M826" s="50"/>
      <c r="N826" s="50"/>
      <c r="O826" s="50"/>
      <c r="P826" s="50"/>
      <c r="Q826" s="50"/>
      <c r="R826" s="47"/>
      <c r="S826" s="50"/>
      <c r="T826" s="50"/>
      <c r="U826" s="50"/>
      <c r="V826" s="50"/>
      <c r="W826" s="50"/>
      <c r="X826"/>
      <c r="Y826"/>
      <c r="Z826"/>
      <c r="AA826"/>
      <c r="AB826"/>
      <c r="AC826"/>
      <c r="AD826"/>
      <c r="AE826"/>
      <c r="AF826"/>
      <c r="AG826"/>
      <c r="AH826"/>
      <c r="AI826"/>
    </row>
    <row r="827" spans="1:35" s="48" customFormat="1" x14ac:dyDescent="0.45">
      <c r="A827" s="3"/>
      <c r="H827"/>
      <c r="J827" s="49"/>
      <c r="K827" s="49"/>
      <c r="L827" s="50"/>
      <c r="M827" s="50"/>
      <c r="N827" s="50"/>
      <c r="O827" s="50"/>
      <c r="P827" s="50"/>
      <c r="Q827" s="50"/>
      <c r="R827" s="47"/>
      <c r="S827" s="50"/>
      <c r="T827" s="50"/>
      <c r="U827" s="50"/>
      <c r="V827" s="50"/>
      <c r="W827" s="50"/>
      <c r="X827"/>
      <c r="Y827"/>
      <c r="Z827"/>
      <c r="AA827"/>
      <c r="AB827"/>
      <c r="AC827"/>
      <c r="AD827"/>
      <c r="AE827"/>
      <c r="AF827"/>
      <c r="AG827"/>
      <c r="AH827"/>
      <c r="AI827"/>
    </row>
    <row r="828" spans="1:35" s="48" customFormat="1" x14ac:dyDescent="0.45">
      <c r="A828" s="3"/>
      <c r="H828"/>
      <c r="J828" s="49"/>
      <c r="K828" s="49"/>
      <c r="L828" s="50"/>
      <c r="M828" s="50"/>
      <c r="N828" s="50"/>
      <c r="O828" s="50"/>
      <c r="P828" s="50"/>
      <c r="Q828" s="50"/>
      <c r="R828" s="47"/>
      <c r="S828" s="50"/>
      <c r="T828" s="50"/>
      <c r="U828" s="50"/>
      <c r="V828" s="50"/>
      <c r="W828" s="50"/>
      <c r="X828"/>
      <c r="Y828"/>
      <c r="Z828"/>
      <c r="AA828"/>
      <c r="AB828"/>
      <c r="AC828"/>
      <c r="AD828"/>
      <c r="AE828"/>
      <c r="AF828"/>
      <c r="AG828"/>
      <c r="AH828"/>
      <c r="AI828"/>
    </row>
    <row r="829" spans="1:35" s="48" customFormat="1" x14ac:dyDescent="0.45">
      <c r="A829" s="3"/>
      <c r="H829"/>
      <c r="J829" s="49"/>
      <c r="K829" s="49"/>
      <c r="L829" s="50"/>
      <c r="M829" s="50"/>
      <c r="N829" s="50"/>
      <c r="O829" s="50"/>
      <c r="P829" s="50"/>
      <c r="Q829" s="50"/>
      <c r="R829" s="47"/>
      <c r="S829" s="50"/>
      <c r="T829" s="50"/>
      <c r="U829" s="50"/>
      <c r="V829" s="50"/>
      <c r="W829" s="50"/>
      <c r="X829"/>
      <c r="Y829"/>
      <c r="Z829"/>
      <c r="AA829"/>
      <c r="AB829"/>
      <c r="AC829"/>
      <c r="AD829"/>
      <c r="AE829"/>
      <c r="AF829"/>
      <c r="AG829"/>
      <c r="AH829"/>
      <c r="AI829"/>
    </row>
    <row r="830" spans="1:35" s="48" customFormat="1" x14ac:dyDescent="0.45">
      <c r="A830" s="3"/>
      <c r="H830"/>
      <c r="J830" s="49"/>
      <c r="K830" s="49"/>
      <c r="L830" s="50"/>
      <c r="M830" s="50"/>
      <c r="N830" s="50"/>
      <c r="O830" s="50"/>
      <c r="P830" s="50"/>
      <c r="Q830" s="50"/>
      <c r="R830" s="47"/>
      <c r="S830" s="50"/>
      <c r="T830" s="50"/>
      <c r="U830" s="50"/>
      <c r="V830" s="50"/>
      <c r="W830" s="50"/>
      <c r="X830"/>
      <c r="Y830"/>
      <c r="Z830"/>
      <c r="AA830"/>
      <c r="AB830"/>
      <c r="AC830"/>
      <c r="AD830"/>
      <c r="AE830"/>
      <c r="AF830"/>
      <c r="AG830"/>
      <c r="AH830"/>
      <c r="AI830"/>
    </row>
    <row r="831" spans="1:35" s="48" customFormat="1" x14ac:dyDescent="0.45">
      <c r="A831" s="3"/>
      <c r="H831"/>
      <c r="J831" s="49"/>
      <c r="K831" s="49"/>
      <c r="L831" s="50"/>
      <c r="M831" s="50"/>
      <c r="N831" s="50"/>
      <c r="O831" s="50"/>
      <c r="P831" s="50"/>
      <c r="Q831" s="50"/>
      <c r="R831" s="47"/>
      <c r="S831" s="50"/>
      <c r="T831" s="50"/>
      <c r="U831" s="50"/>
      <c r="V831" s="50"/>
      <c r="W831" s="50"/>
      <c r="X831"/>
      <c r="Y831"/>
      <c r="Z831"/>
      <c r="AA831"/>
      <c r="AB831"/>
      <c r="AC831"/>
      <c r="AD831"/>
      <c r="AE831"/>
      <c r="AF831"/>
      <c r="AG831"/>
      <c r="AH831"/>
      <c r="AI831"/>
    </row>
    <row r="832" spans="1:35" s="48" customFormat="1" x14ac:dyDescent="0.45">
      <c r="A832" s="3"/>
      <c r="H832"/>
      <c r="J832" s="49"/>
      <c r="K832" s="49"/>
      <c r="L832" s="50"/>
      <c r="M832" s="50"/>
      <c r="N832" s="50"/>
      <c r="O832" s="50"/>
      <c r="P832" s="50"/>
      <c r="Q832" s="50"/>
      <c r="R832" s="47"/>
      <c r="S832" s="50"/>
      <c r="T832" s="50"/>
      <c r="U832" s="50"/>
      <c r="V832" s="50"/>
      <c r="W832" s="50"/>
      <c r="X832"/>
      <c r="Y832"/>
      <c r="Z832"/>
      <c r="AA832"/>
      <c r="AB832"/>
      <c r="AC832"/>
      <c r="AD832"/>
      <c r="AE832"/>
      <c r="AF832"/>
      <c r="AG832"/>
      <c r="AH832"/>
      <c r="AI832"/>
    </row>
    <row r="833" spans="1:35" s="48" customFormat="1" x14ac:dyDescent="0.45">
      <c r="A833" s="3"/>
      <c r="H833"/>
      <c r="J833" s="49"/>
      <c r="K833" s="49"/>
      <c r="L833" s="50"/>
      <c r="M833" s="50"/>
      <c r="N833" s="50"/>
      <c r="O833" s="50"/>
      <c r="P833" s="50"/>
      <c r="Q833" s="50"/>
      <c r="R833" s="47"/>
      <c r="S833" s="50"/>
      <c r="T833" s="50"/>
      <c r="U833" s="50"/>
      <c r="V833" s="50"/>
      <c r="W833" s="50"/>
      <c r="X833"/>
      <c r="Y833"/>
      <c r="Z833"/>
      <c r="AA833"/>
      <c r="AB833"/>
      <c r="AC833"/>
      <c r="AD833"/>
      <c r="AE833"/>
      <c r="AF833"/>
      <c r="AG833"/>
      <c r="AH833"/>
      <c r="AI833"/>
    </row>
    <row r="834" spans="1:35" s="48" customFormat="1" x14ac:dyDescent="0.45">
      <c r="A834" s="3"/>
      <c r="H834"/>
      <c r="J834" s="49"/>
      <c r="K834" s="49"/>
      <c r="L834" s="50"/>
      <c r="M834" s="50"/>
      <c r="N834" s="50"/>
      <c r="O834" s="50"/>
      <c r="P834" s="50"/>
      <c r="Q834" s="50"/>
      <c r="R834" s="47"/>
      <c r="S834" s="50"/>
      <c r="T834" s="50"/>
      <c r="U834" s="50"/>
      <c r="V834" s="50"/>
      <c r="W834" s="50"/>
      <c r="X834"/>
      <c r="Y834"/>
      <c r="Z834"/>
      <c r="AA834"/>
      <c r="AB834"/>
      <c r="AC834"/>
      <c r="AD834"/>
      <c r="AE834"/>
      <c r="AF834"/>
      <c r="AG834"/>
      <c r="AH834"/>
      <c r="AI834"/>
    </row>
    <row r="835" spans="1:35" s="48" customFormat="1" x14ac:dyDescent="0.45">
      <c r="A835" s="3"/>
      <c r="H835"/>
      <c r="J835" s="49"/>
      <c r="K835" s="49"/>
      <c r="L835" s="50"/>
      <c r="M835" s="50"/>
      <c r="N835" s="50"/>
      <c r="O835" s="50"/>
      <c r="P835" s="50"/>
      <c r="Q835" s="50"/>
      <c r="R835" s="47"/>
      <c r="S835" s="50"/>
      <c r="T835" s="50"/>
      <c r="U835" s="50"/>
      <c r="V835" s="50"/>
      <c r="W835" s="50"/>
      <c r="X835"/>
      <c r="Y835"/>
      <c r="Z835"/>
      <c r="AA835"/>
      <c r="AB835"/>
      <c r="AC835"/>
      <c r="AD835"/>
      <c r="AE835"/>
      <c r="AF835"/>
      <c r="AG835"/>
      <c r="AH835"/>
      <c r="AI835"/>
    </row>
    <row r="836" spans="1:35" s="48" customFormat="1" x14ac:dyDescent="0.45">
      <c r="A836" s="3"/>
      <c r="H836"/>
      <c r="J836" s="49"/>
      <c r="K836" s="49"/>
      <c r="L836" s="50"/>
      <c r="M836" s="50"/>
      <c r="N836" s="50"/>
      <c r="O836" s="50"/>
      <c r="P836" s="50"/>
      <c r="Q836" s="50"/>
      <c r="R836" s="47"/>
      <c r="S836" s="50"/>
      <c r="T836" s="50"/>
      <c r="U836" s="50"/>
      <c r="V836" s="50"/>
      <c r="W836" s="50"/>
      <c r="X836"/>
      <c r="Y836"/>
      <c r="Z836"/>
      <c r="AA836"/>
      <c r="AB836"/>
      <c r="AC836"/>
      <c r="AD836"/>
      <c r="AE836"/>
      <c r="AF836"/>
      <c r="AG836"/>
      <c r="AH836"/>
      <c r="AI836"/>
    </row>
    <row r="837" spans="1:35" s="48" customFormat="1" x14ac:dyDescent="0.45">
      <c r="A837" s="3"/>
      <c r="H837"/>
      <c r="J837" s="49"/>
      <c r="K837" s="49"/>
      <c r="L837" s="50"/>
      <c r="M837" s="50"/>
      <c r="N837" s="50"/>
      <c r="O837" s="50"/>
      <c r="P837" s="50"/>
      <c r="Q837" s="50"/>
      <c r="R837" s="47"/>
      <c r="S837" s="50"/>
      <c r="T837" s="50"/>
      <c r="U837" s="50"/>
      <c r="V837" s="50"/>
      <c r="W837" s="50"/>
      <c r="X837"/>
      <c r="Y837"/>
      <c r="Z837"/>
      <c r="AA837"/>
      <c r="AB837"/>
      <c r="AC837"/>
      <c r="AD837"/>
      <c r="AE837"/>
      <c r="AF837"/>
      <c r="AG837"/>
      <c r="AH837"/>
      <c r="AI837"/>
    </row>
    <row r="838" spans="1:35" s="48" customFormat="1" x14ac:dyDescent="0.45">
      <c r="A838" s="3"/>
      <c r="H838"/>
      <c r="J838" s="49"/>
      <c r="K838" s="49"/>
      <c r="L838" s="50"/>
      <c r="M838" s="50"/>
      <c r="N838" s="50"/>
      <c r="O838" s="50"/>
      <c r="P838" s="50"/>
      <c r="Q838" s="50"/>
      <c r="R838" s="47"/>
      <c r="S838" s="50"/>
      <c r="T838" s="50"/>
      <c r="U838" s="50"/>
      <c r="V838" s="50"/>
      <c r="W838" s="50"/>
      <c r="X838"/>
      <c r="Y838"/>
      <c r="Z838"/>
      <c r="AA838"/>
      <c r="AB838"/>
      <c r="AC838"/>
      <c r="AD838"/>
      <c r="AE838"/>
      <c r="AF838"/>
      <c r="AG838"/>
      <c r="AH838"/>
      <c r="AI838"/>
    </row>
    <row r="839" spans="1:35" s="48" customFormat="1" x14ac:dyDescent="0.45">
      <c r="A839" s="3"/>
      <c r="H839"/>
      <c r="J839" s="49"/>
      <c r="K839" s="49"/>
      <c r="L839" s="50"/>
      <c r="M839" s="50"/>
      <c r="N839" s="50"/>
      <c r="O839" s="50"/>
      <c r="P839" s="50"/>
      <c r="Q839" s="50"/>
      <c r="R839" s="47"/>
      <c r="S839" s="50"/>
      <c r="T839" s="50"/>
      <c r="U839" s="50"/>
      <c r="V839" s="50"/>
      <c r="W839" s="50"/>
      <c r="X839"/>
      <c r="Y839"/>
      <c r="Z839"/>
      <c r="AA839"/>
      <c r="AB839"/>
      <c r="AC839"/>
      <c r="AD839"/>
      <c r="AE839"/>
      <c r="AF839"/>
      <c r="AG839"/>
      <c r="AH839"/>
      <c r="AI839"/>
    </row>
    <row r="840" spans="1:35" s="48" customFormat="1" x14ac:dyDescent="0.45">
      <c r="A840" s="3"/>
      <c r="H840"/>
      <c r="J840" s="49"/>
      <c r="K840" s="49"/>
      <c r="L840" s="50"/>
      <c r="M840" s="50"/>
      <c r="N840" s="50"/>
      <c r="O840" s="50"/>
      <c r="P840" s="50"/>
      <c r="Q840" s="50"/>
      <c r="R840" s="47"/>
      <c r="S840" s="50"/>
      <c r="T840" s="50"/>
      <c r="U840" s="50"/>
      <c r="V840" s="50"/>
      <c r="W840" s="50"/>
      <c r="X840"/>
      <c r="Y840"/>
      <c r="Z840"/>
      <c r="AA840"/>
      <c r="AB840"/>
      <c r="AC840"/>
      <c r="AD840"/>
      <c r="AE840"/>
      <c r="AF840"/>
      <c r="AG840"/>
      <c r="AH840"/>
      <c r="AI840"/>
    </row>
    <row r="841" spans="1:35" s="48" customFormat="1" x14ac:dyDescent="0.45">
      <c r="A841" s="3"/>
      <c r="H841"/>
      <c r="J841" s="49"/>
      <c r="K841" s="49"/>
      <c r="L841" s="50"/>
      <c r="M841" s="50"/>
      <c r="N841" s="50"/>
      <c r="O841" s="50"/>
      <c r="P841" s="50"/>
      <c r="Q841" s="50"/>
      <c r="R841" s="47"/>
      <c r="S841" s="50"/>
      <c r="T841" s="50"/>
      <c r="U841" s="50"/>
      <c r="V841" s="50"/>
      <c r="W841" s="50"/>
      <c r="X841"/>
      <c r="Y841"/>
      <c r="Z841"/>
      <c r="AA841"/>
      <c r="AB841"/>
      <c r="AC841"/>
      <c r="AD841"/>
      <c r="AE841"/>
      <c r="AF841"/>
      <c r="AG841"/>
      <c r="AH841"/>
      <c r="AI841"/>
    </row>
    <row r="842" spans="1:35" s="48" customFormat="1" x14ac:dyDescent="0.45">
      <c r="A842" s="3"/>
      <c r="H842"/>
      <c r="J842" s="49"/>
      <c r="K842" s="49"/>
      <c r="L842" s="50"/>
      <c r="M842" s="50"/>
      <c r="N842" s="50"/>
      <c r="O842" s="50"/>
      <c r="P842" s="50"/>
      <c r="Q842" s="50"/>
      <c r="R842" s="47"/>
      <c r="S842" s="50"/>
      <c r="T842" s="50"/>
      <c r="U842" s="50"/>
      <c r="V842" s="50"/>
      <c r="W842" s="50"/>
      <c r="X842"/>
      <c r="Y842"/>
      <c r="Z842"/>
      <c r="AA842"/>
      <c r="AB842"/>
      <c r="AC842"/>
      <c r="AD842"/>
      <c r="AE842"/>
      <c r="AF842"/>
      <c r="AG842"/>
      <c r="AH842"/>
      <c r="AI842"/>
    </row>
    <row r="843" spans="1:35" s="48" customFormat="1" x14ac:dyDescent="0.45">
      <c r="A843" s="3"/>
      <c r="H843"/>
      <c r="J843" s="49"/>
      <c r="K843" s="49"/>
      <c r="L843" s="50"/>
      <c r="M843" s="50"/>
      <c r="N843" s="50"/>
      <c r="O843" s="50"/>
      <c r="P843" s="50"/>
      <c r="Q843" s="50"/>
      <c r="R843" s="47"/>
      <c r="S843" s="50"/>
      <c r="T843" s="50"/>
      <c r="U843" s="50"/>
      <c r="V843" s="50"/>
      <c r="W843" s="50"/>
      <c r="X843"/>
      <c r="Y843"/>
      <c r="Z843"/>
      <c r="AA843"/>
      <c r="AB843"/>
      <c r="AC843"/>
      <c r="AD843"/>
      <c r="AE843"/>
      <c r="AF843"/>
      <c r="AG843"/>
      <c r="AH843"/>
      <c r="AI843"/>
    </row>
    <row r="844" spans="1:35" s="48" customFormat="1" x14ac:dyDescent="0.45">
      <c r="A844" s="3"/>
      <c r="H844"/>
      <c r="J844" s="49"/>
      <c r="K844" s="49"/>
      <c r="L844" s="50"/>
      <c r="M844" s="50"/>
      <c r="N844" s="50"/>
      <c r="O844" s="50"/>
      <c r="P844" s="50"/>
      <c r="Q844" s="50"/>
      <c r="R844" s="47"/>
      <c r="S844" s="50"/>
      <c r="T844" s="50"/>
      <c r="U844" s="50"/>
      <c r="V844" s="50"/>
      <c r="W844" s="50"/>
      <c r="X844"/>
      <c r="Y844"/>
      <c r="Z844"/>
      <c r="AA844"/>
      <c r="AB844"/>
      <c r="AC844"/>
      <c r="AD844"/>
      <c r="AE844"/>
      <c r="AF844"/>
      <c r="AG844"/>
      <c r="AH844"/>
      <c r="AI844"/>
    </row>
    <row r="845" spans="1:35" s="48" customFormat="1" x14ac:dyDescent="0.45">
      <c r="A845" s="3"/>
      <c r="H845"/>
      <c r="J845" s="49"/>
      <c r="K845" s="49"/>
      <c r="L845" s="50"/>
      <c r="M845" s="50"/>
      <c r="N845" s="50"/>
      <c r="O845" s="50"/>
      <c r="P845" s="50"/>
      <c r="Q845" s="50"/>
      <c r="R845" s="47"/>
      <c r="S845" s="50"/>
      <c r="T845" s="50"/>
      <c r="U845" s="50"/>
      <c r="V845" s="50"/>
      <c r="W845" s="50"/>
      <c r="X845"/>
      <c r="Y845"/>
      <c r="Z845"/>
      <c r="AA845"/>
      <c r="AB845"/>
      <c r="AC845"/>
      <c r="AD845"/>
      <c r="AE845"/>
      <c r="AF845"/>
      <c r="AG845"/>
      <c r="AH845"/>
      <c r="AI845"/>
    </row>
    <row r="846" spans="1:35" s="48" customFormat="1" x14ac:dyDescent="0.45">
      <c r="A846" s="3"/>
      <c r="H846"/>
      <c r="J846" s="49"/>
      <c r="K846" s="49"/>
      <c r="L846" s="50"/>
      <c r="M846" s="50"/>
      <c r="N846" s="50"/>
      <c r="O846" s="50"/>
      <c r="P846" s="50"/>
      <c r="Q846" s="50"/>
      <c r="R846" s="47"/>
      <c r="S846" s="50"/>
      <c r="T846" s="50"/>
      <c r="U846" s="50"/>
      <c r="V846" s="50"/>
      <c r="W846" s="50"/>
      <c r="X846"/>
      <c r="Y846"/>
      <c r="Z846"/>
      <c r="AA846"/>
      <c r="AB846"/>
      <c r="AC846"/>
      <c r="AD846"/>
      <c r="AE846"/>
      <c r="AF846"/>
      <c r="AG846"/>
      <c r="AH846"/>
      <c r="AI846"/>
    </row>
    <row r="847" spans="1:35" s="48" customFormat="1" x14ac:dyDescent="0.45">
      <c r="A847" s="3"/>
      <c r="H847"/>
      <c r="J847" s="49"/>
      <c r="K847" s="49"/>
      <c r="L847" s="50"/>
      <c r="M847" s="50"/>
      <c r="N847" s="50"/>
      <c r="O847" s="50"/>
      <c r="P847" s="50"/>
      <c r="Q847" s="50"/>
      <c r="R847" s="47"/>
      <c r="S847" s="50"/>
      <c r="T847" s="50"/>
      <c r="U847" s="50"/>
      <c r="V847" s="50"/>
      <c r="W847" s="50"/>
      <c r="X847"/>
      <c r="Y847"/>
      <c r="Z847"/>
      <c r="AA847"/>
      <c r="AB847"/>
      <c r="AC847"/>
      <c r="AD847"/>
      <c r="AE847"/>
      <c r="AF847"/>
      <c r="AG847"/>
      <c r="AH847"/>
      <c r="AI847"/>
    </row>
    <row r="848" spans="1:35" s="48" customFormat="1" x14ac:dyDescent="0.45">
      <c r="A848" s="3"/>
      <c r="H848"/>
      <c r="J848" s="49"/>
      <c r="K848" s="49"/>
      <c r="L848" s="50"/>
      <c r="M848" s="50"/>
      <c r="N848" s="50"/>
      <c r="O848" s="50"/>
      <c r="P848" s="50"/>
      <c r="Q848" s="50"/>
      <c r="R848" s="47"/>
      <c r="S848" s="50"/>
      <c r="T848" s="50"/>
      <c r="U848" s="50"/>
      <c r="V848" s="50"/>
      <c r="W848" s="50"/>
      <c r="X848"/>
      <c r="Y848"/>
      <c r="Z848"/>
      <c r="AA848"/>
      <c r="AB848"/>
      <c r="AC848"/>
      <c r="AD848"/>
      <c r="AE848"/>
      <c r="AF848"/>
      <c r="AG848"/>
      <c r="AH848"/>
      <c r="AI848"/>
    </row>
    <row r="849" spans="1:35" s="48" customFormat="1" x14ac:dyDescent="0.45">
      <c r="A849" s="3"/>
      <c r="H849"/>
      <c r="J849" s="49"/>
      <c r="K849" s="49"/>
      <c r="L849" s="50"/>
      <c r="M849" s="50"/>
      <c r="N849" s="50"/>
      <c r="O849" s="50"/>
      <c r="P849" s="50"/>
      <c r="Q849" s="50"/>
      <c r="R849" s="47"/>
      <c r="S849" s="50"/>
      <c r="T849" s="50"/>
      <c r="U849" s="50"/>
      <c r="V849" s="50"/>
      <c r="W849" s="50"/>
      <c r="X849"/>
      <c r="Y849"/>
      <c r="Z849"/>
      <c r="AA849"/>
      <c r="AB849"/>
      <c r="AC849"/>
      <c r="AD849"/>
      <c r="AE849"/>
      <c r="AF849"/>
      <c r="AG849"/>
      <c r="AH849"/>
      <c r="AI849"/>
    </row>
    <row r="850" spans="1:35" s="48" customFormat="1" x14ac:dyDescent="0.45">
      <c r="A850" s="3"/>
      <c r="H850"/>
      <c r="J850" s="49"/>
      <c r="K850" s="49"/>
      <c r="L850" s="50"/>
      <c r="M850" s="50"/>
      <c r="N850" s="50"/>
      <c r="O850" s="50"/>
      <c r="P850" s="50"/>
      <c r="Q850" s="50"/>
      <c r="R850" s="47"/>
      <c r="S850" s="50"/>
      <c r="T850" s="50"/>
      <c r="U850" s="50"/>
      <c r="V850" s="50"/>
      <c r="W850" s="50"/>
      <c r="X850"/>
      <c r="Y850"/>
      <c r="Z850"/>
      <c r="AA850"/>
      <c r="AB850"/>
      <c r="AC850"/>
      <c r="AD850"/>
      <c r="AE850"/>
      <c r="AF850"/>
      <c r="AG850"/>
      <c r="AH850"/>
      <c r="AI850"/>
    </row>
    <row r="851" spans="1:35" s="48" customFormat="1" x14ac:dyDescent="0.45">
      <c r="A851" s="3"/>
      <c r="H851"/>
      <c r="J851" s="49"/>
      <c r="K851" s="49"/>
      <c r="L851" s="50"/>
      <c r="M851" s="50"/>
      <c r="N851" s="50"/>
      <c r="O851" s="50"/>
      <c r="P851" s="50"/>
      <c r="Q851" s="50"/>
      <c r="R851" s="47"/>
      <c r="S851" s="50"/>
      <c r="T851" s="50"/>
      <c r="U851" s="50"/>
      <c r="V851" s="50"/>
      <c r="W851" s="50"/>
      <c r="X851"/>
      <c r="Y851"/>
      <c r="Z851"/>
      <c r="AA851"/>
      <c r="AB851"/>
      <c r="AC851"/>
      <c r="AD851"/>
      <c r="AE851"/>
      <c r="AF851"/>
      <c r="AG851"/>
      <c r="AH851"/>
      <c r="AI851"/>
    </row>
    <row r="852" spans="1:35" s="48" customFormat="1" x14ac:dyDescent="0.45">
      <c r="A852" s="3"/>
      <c r="H852"/>
      <c r="J852" s="49"/>
      <c r="K852" s="49"/>
      <c r="L852" s="50"/>
      <c r="M852" s="50"/>
      <c r="N852" s="50"/>
      <c r="O852" s="50"/>
      <c r="P852" s="50"/>
      <c r="Q852" s="50"/>
      <c r="R852" s="47"/>
      <c r="S852" s="50"/>
      <c r="T852" s="50"/>
      <c r="U852" s="50"/>
      <c r="V852" s="50"/>
      <c r="W852" s="50"/>
      <c r="X852"/>
      <c r="Y852"/>
      <c r="Z852"/>
      <c r="AA852"/>
      <c r="AB852"/>
      <c r="AC852"/>
      <c r="AD852"/>
      <c r="AE852"/>
      <c r="AF852"/>
      <c r="AG852"/>
      <c r="AH852"/>
      <c r="AI852"/>
    </row>
    <row r="853" spans="1:35" s="48" customFormat="1" x14ac:dyDescent="0.45">
      <c r="A853" s="3"/>
      <c r="H853"/>
      <c r="J853" s="49"/>
      <c r="K853" s="49"/>
      <c r="L853" s="50"/>
      <c r="M853" s="50"/>
      <c r="N853" s="50"/>
      <c r="O853" s="50"/>
      <c r="P853" s="50"/>
      <c r="Q853" s="50"/>
      <c r="R853" s="47"/>
      <c r="S853" s="50"/>
      <c r="T853" s="50"/>
      <c r="U853" s="50"/>
      <c r="V853" s="50"/>
      <c r="W853" s="50"/>
      <c r="X853"/>
      <c r="Y853"/>
      <c r="Z853"/>
      <c r="AA853"/>
      <c r="AB853"/>
      <c r="AC853"/>
      <c r="AD853"/>
      <c r="AE853"/>
      <c r="AF853"/>
      <c r="AG853"/>
      <c r="AH853"/>
      <c r="AI853"/>
    </row>
    <row r="854" spans="1:35" s="48" customFormat="1" x14ac:dyDescent="0.45">
      <c r="A854" s="3"/>
      <c r="H854"/>
      <c r="J854" s="49"/>
      <c r="K854" s="49"/>
      <c r="L854" s="50"/>
      <c r="M854" s="50"/>
      <c r="N854" s="50"/>
      <c r="O854" s="50"/>
      <c r="P854" s="50"/>
      <c r="Q854" s="50"/>
      <c r="R854" s="47"/>
      <c r="S854" s="50"/>
      <c r="T854" s="50"/>
      <c r="U854" s="50"/>
      <c r="V854" s="50"/>
      <c r="W854" s="50"/>
      <c r="X854"/>
      <c r="Y854"/>
      <c r="Z854"/>
      <c r="AA854"/>
      <c r="AB854"/>
      <c r="AC854"/>
      <c r="AD854"/>
      <c r="AE854"/>
      <c r="AF854"/>
      <c r="AG854"/>
      <c r="AH854"/>
      <c r="AI854"/>
    </row>
    <row r="855" spans="1:35" s="48" customFormat="1" x14ac:dyDescent="0.45">
      <c r="A855" s="3"/>
      <c r="H855"/>
      <c r="J855" s="49"/>
      <c r="K855" s="49"/>
      <c r="L855" s="50"/>
      <c r="M855" s="50"/>
      <c r="N855" s="50"/>
      <c r="O855" s="50"/>
      <c r="P855" s="50"/>
      <c r="Q855" s="50"/>
      <c r="R855" s="47"/>
      <c r="S855" s="50"/>
      <c r="T855" s="50"/>
      <c r="U855" s="50"/>
      <c r="V855" s="50"/>
      <c r="W855" s="50"/>
      <c r="X855"/>
      <c r="Y855"/>
      <c r="Z855"/>
      <c r="AA855"/>
      <c r="AB855"/>
      <c r="AC855"/>
      <c r="AD855"/>
      <c r="AE855"/>
      <c r="AF855"/>
      <c r="AG855"/>
      <c r="AH855"/>
      <c r="AI855"/>
    </row>
    <row r="856" spans="1:35" s="48" customFormat="1" x14ac:dyDescent="0.45">
      <c r="A856" s="3"/>
      <c r="H856"/>
      <c r="J856" s="49"/>
      <c r="K856" s="49"/>
      <c r="L856" s="50"/>
      <c r="M856" s="50"/>
      <c r="N856" s="50"/>
      <c r="O856" s="50"/>
      <c r="P856" s="50"/>
      <c r="Q856" s="50"/>
      <c r="R856" s="47"/>
      <c r="S856" s="50"/>
      <c r="T856" s="50"/>
      <c r="U856" s="50"/>
      <c r="V856" s="50"/>
      <c r="W856" s="50"/>
      <c r="X856"/>
      <c r="Y856"/>
      <c r="Z856"/>
      <c r="AA856"/>
      <c r="AB856"/>
      <c r="AC856"/>
      <c r="AD856"/>
      <c r="AE856"/>
      <c r="AF856"/>
      <c r="AG856"/>
      <c r="AH856"/>
      <c r="AI856"/>
    </row>
    <row r="857" spans="1:35" s="48" customFormat="1" x14ac:dyDescent="0.45">
      <c r="A857" s="3"/>
      <c r="H857"/>
      <c r="J857" s="49"/>
      <c r="K857" s="49"/>
      <c r="L857" s="50"/>
      <c r="M857" s="50"/>
      <c r="N857" s="50"/>
      <c r="O857" s="50"/>
      <c r="P857" s="50"/>
      <c r="Q857" s="50"/>
      <c r="R857" s="47"/>
      <c r="S857" s="50"/>
      <c r="T857" s="50"/>
      <c r="U857" s="50"/>
      <c r="V857" s="50"/>
      <c r="W857" s="50"/>
      <c r="X857"/>
      <c r="Y857"/>
      <c r="Z857"/>
      <c r="AA857"/>
      <c r="AB857"/>
      <c r="AC857"/>
      <c r="AD857"/>
      <c r="AE857"/>
      <c r="AF857"/>
      <c r="AG857"/>
      <c r="AH857"/>
      <c r="AI857"/>
    </row>
    <row r="858" spans="1:35" s="48" customFormat="1" x14ac:dyDescent="0.45">
      <c r="A858" s="3"/>
      <c r="H858"/>
      <c r="J858" s="49"/>
      <c r="K858" s="49"/>
      <c r="L858" s="50"/>
      <c r="M858" s="50"/>
      <c r="N858" s="50"/>
      <c r="O858" s="50"/>
      <c r="P858" s="50"/>
      <c r="Q858" s="50"/>
      <c r="R858" s="47"/>
      <c r="S858" s="50"/>
      <c r="T858" s="50"/>
      <c r="U858" s="50"/>
      <c r="V858" s="50"/>
      <c r="W858" s="50"/>
      <c r="X858"/>
      <c r="Y858"/>
      <c r="Z858"/>
      <c r="AA858"/>
      <c r="AB858"/>
      <c r="AC858"/>
      <c r="AD858"/>
      <c r="AE858"/>
      <c r="AF858"/>
      <c r="AG858"/>
      <c r="AH858"/>
      <c r="AI858"/>
    </row>
    <row r="859" spans="1:35" s="48" customFormat="1" x14ac:dyDescent="0.45">
      <c r="A859" s="3"/>
      <c r="H859"/>
      <c r="J859" s="49"/>
      <c r="K859" s="49"/>
      <c r="L859" s="50"/>
      <c r="M859" s="50"/>
      <c r="N859" s="50"/>
      <c r="O859" s="50"/>
      <c r="P859" s="50"/>
      <c r="Q859" s="50"/>
      <c r="R859" s="47"/>
      <c r="S859" s="50"/>
      <c r="T859" s="50"/>
      <c r="U859" s="50"/>
      <c r="V859" s="50"/>
      <c r="W859" s="50"/>
      <c r="X859"/>
      <c r="Y859"/>
      <c r="Z859"/>
      <c r="AA859"/>
      <c r="AB859"/>
      <c r="AC859"/>
      <c r="AD859"/>
      <c r="AE859"/>
      <c r="AF859"/>
      <c r="AG859"/>
      <c r="AH859"/>
      <c r="AI859"/>
    </row>
    <row r="860" spans="1:35" s="48" customFormat="1" x14ac:dyDescent="0.45">
      <c r="A860" s="3"/>
      <c r="H860"/>
      <c r="J860" s="49"/>
      <c r="K860" s="49"/>
      <c r="L860" s="50"/>
      <c r="M860" s="50"/>
      <c r="N860" s="50"/>
      <c r="O860" s="50"/>
      <c r="P860" s="50"/>
      <c r="Q860" s="50"/>
      <c r="R860" s="47"/>
      <c r="S860" s="50"/>
      <c r="T860" s="50"/>
      <c r="U860" s="50"/>
      <c r="V860" s="50"/>
      <c r="W860" s="50"/>
      <c r="X860"/>
      <c r="Y860"/>
      <c r="Z860"/>
      <c r="AA860"/>
      <c r="AB860"/>
      <c r="AC860"/>
      <c r="AD860"/>
      <c r="AE860"/>
      <c r="AF860"/>
      <c r="AG860"/>
      <c r="AH860"/>
      <c r="AI860"/>
    </row>
    <row r="861" spans="1:35" s="48" customFormat="1" x14ac:dyDescent="0.45">
      <c r="A861" s="3"/>
      <c r="H861"/>
      <c r="J861" s="49"/>
      <c r="K861" s="49"/>
      <c r="L861" s="50"/>
      <c r="M861" s="50"/>
      <c r="N861" s="50"/>
      <c r="O861" s="50"/>
      <c r="P861" s="50"/>
      <c r="Q861" s="50"/>
      <c r="R861" s="47"/>
      <c r="S861" s="50"/>
      <c r="T861" s="50"/>
      <c r="U861" s="50"/>
      <c r="V861" s="50"/>
      <c r="W861" s="50"/>
      <c r="X861"/>
      <c r="Y861"/>
      <c r="Z861"/>
      <c r="AA861"/>
      <c r="AB861"/>
      <c r="AC861"/>
      <c r="AD861"/>
      <c r="AE861"/>
      <c r="AF861"/>
      <c r="AG861"/>
      <c r="AH861"/>
      <c r="AI861"/>
    </row>
    <row r="862" spans="1:35" s="48" customFormat="1" x14ac:dyDescent="0.45">
      <c r="A862" s="3"/>
      <c r="H862"/>
      <c r="J862" s="49"/>
      <c r="K862" s="49"/>
      <c r="L862" s="50"/>
      <c r="M862" s="50"/>
      <c r="N862" s="50"/>
      <c r="O862" s="50"/>
      <c r="P862" s="50"/>
      <c r="Q862" s="50"/>
      <c r="R862" s="47"/>
      <c r="S862" s="50"/>
      <c r="T862" s="50"/>
      <c r="U862" s="50"/>
      <c r="V862" s="50"/>
      <c r="W862" s="50"/>
      <c r="X862"/>
      <c r="Y862"/>
      <c r="Z862"/>
      <c r="AA862"/>
      <c r="AB862"/>
      <c r="AC862"/>
      <c r="AD862"/>
      <c r="AE862"/>
      <c r="AF862"/>
      <c r="AG862"/>
      <c r="AH862"/>
      <c r="AI862"/>
    </row>
    <row r="863" spans="1:35" s="48" customFormat="1" x14ac:dyDescent="0.45">
      <c r="A863" s="3"/>
      <c r="H863"/>
      <c r="J863" s="49"/>
      <c r="K863" s="49"/>
      <c r="L863" s="50"/>
      <c r="M863" s="50"/>
      <c r="N863" s="50"/>
      <c r="O863" s="50"/>
      <c r="P863" s="50"/>
      <c r="Q863" s="50"/>
      <c r="R863" s="47"/>
      <c r="S863" s="50"/>
      <c r="T863" s="50"/>
      <c r="U863" s="50"/>
      <c r="V863" s="50"/>
      <c r="W863" s="50"/>
      <c r="X863"/>
      <c r="Y863"/>
      <c r="Z863"/>
      <c r="AA863"/>
      <c r="AB863"/>
      <c r="AC863"/>
      <c r="AD863"/>
      <c r="AE863"/>
      <c r="AF863"/>
      <c r="AG863"/>
      <c r="AH863"/>
      <c r="AI863"/>
    </row>
    <row r="864" spans="1:35" s="48" customFormat="1" x14ac:dyDescent="0.45">
      <c r="A864" s="3"/>
      <c r="H864"/>
      <c r="J864" s="49"/>
      <c r="K864" s="49"/>
      <c r="L864" s="50"/>
      <c r="M864" s="50"/>
      <c r="N864" s="50"/>
      <c r="O864" s="50"/>
      <c r="P864" s="50"/>
      <c r="Q864" s="50"/>
      <c r="R864" s="47"/>
      <c r="S864" s="50"/>
      <c r="T864" s="50"/>
      <c r="U864" s="50"/>
      <c r="V864" s="50"/>
      <c r="W864" s="50"/>
      <c r="X864"/>
      <c r="Y864"/>
      <c r="Z864"/>
      <c r="AA864"/>
      <c r="AB864"/>
      <c r="AC864"/>
      <c r="AD864"/>
      <c r="AE864"/>
      <c r="AF864"/>
      <c r="AG864"/>
      <c r="AH864"/>
      <c r="AI864"/>
    </row>
    <row r="865" spans="1:35" s="48" customFormat="1" x14ac:dyDescent="0.45">
      <c r="A865" s="3"/>
      <c r="H865"/>
      <c r="J865" s="49"/>
      <c r="K865" s="49"/>
      <c r="L865" s="50"/>
      <c r="M865" s="50"/>
      <c r="N865" s="50"/>
      <c r="O865" s="50"/>
      <c r="P865" s="50"/>
      <c r="Q865" s="50"/>
      <c r="R865" s="47"/>
      <c r="S865" s="50"/>
      <c r="T865" s="50"/>
      <c r="U865" s="50"/>
      <c r="V865" s="50"/>
      <c r="W865" s="50"/>
      <c r="X865"/>
      <c r="Y865"/>
      <c r="Z865"/>
      <c r="AA865"/>
      <c r="AB865"/>
      <c r="AC865"/>
      <c r="AD865"/>
      <c r="AE865"/>
      <c r="AF865"/>
      <c r="AG865"/>
      <c r="AH865"/>
      <c r="AI865"/>
    </row>
    <row r="866" spans="1:35" s="48" customFormat="1" x14ac:dyDescent="0.45">
      <c r="A866" s="3"/>
      <c r="H866"/>
      <c r="J866" s="49"/>
      <c r="K866" s="49"/>
      <c r="L866" s="50"/>
      <c r="M866" s="50"/>
      <c r="N866" s="50"/>
      <c r="O866" s="50"/>
      <c r="P866" s="50"/>
      <c r="Q866" s="50"/>
      <c r="R866" s="47"/>
      <c r="S866" s="50"/>
      <c r="T866" s="50"/>
      <c r="U866" s="50"/>
      <c r="V866" s="50"/>
      <c r="W866" s="50"/>
      <c r="X866"/>
      <c r="Y866"/>
      <c r="Z866"/>
      <c r="AA866"/>
      <c r="AB866"/>
      <c r="AC866"/>
      <c r="AD866"/>
      <c r="AE866"/>
      <c r="AF866"/>
      <c r="AG866"/>
      <c r="AH866"/>
      <c r="AI866"/>
    </row>
    <row r="867" spans="1:35" s="48" customFormat="1" x14ac:dyDescent="0.45">
      <c r="A867" s="3"/>
      <c r="H867"/>
      <c r="J867" s="49"/>
      <c r="K867" s="49"/>
      <c r="L867" s="50"/>
      <c r="M867" s="50"/>
      <c r="N867" s="50"/>
      <c r="O867" s="50"/>
      <c r="P867" s="50"/>
      <c r="Q867" s="50"/>
      <c r="R867" s="47"/>
      <c r="S867" s="50"/>
      <c r="T867" s="50"/>
      <c r="U867" s="50"/>
      <c r="V867" s="50"/>
      <c r="W867" s="50"/>
      <c r="X867"/>
      <c r="Y867"/>
      <c r="Z867"/>
      <c r="AA867"/>
      <c r="AB867"/>
      <c r="AC867"/>
      <c r="AD867"/>
      <c r="AE867"/>
      <c r="AF867"/>
      <c r="AG867"/>
      <c r="AH867"/>
      <c r="AI867"/>
    </row>
    <row r="868" spans="1:35" s="48" customFormat="1" x14ac:dyDescent="0.45">
      <c r="A868" s="3"/>
      <c r="H868"/>
      <c r="J868" s="49"/>
      <c r="K868" s="49"/>
      <c r="L868" s="50"/>
      <c r="M868" s="50"/>
      <c r="N868" s="50"/>
      <c r="O868" s="50"/>
      <c r="P868" s="50"/>
      <c r="Q868" s="50"/>
      <c r="R868" s="47"/>
      <c r="S868" s="50"/>
      <c r="T868" s="50"/>
      <c r="U868" s="50"/>
      <c r="V868" s="50"/>
      <c r="W868" s="50"/>
      <c r="X868"/>
      <c r="Y868"/>
      <c r="Z868"/>
      <c r="AA868"/>
      <c r="AB868"/>
      <c r="AC868"/>
      <c r="AD868"/>
      <c r="AE868"/>
      <c r="AF868"/>
      <c r="AG868"/>
      <c r="AH868"/>
      <c r="AI868"/>
    </row>
    <row r="869" spans="1:35" s="48" customFormat="1" x14ac:dyDescent="0.45">
      <c r="A869" s="3"/>
      <c r="H869"/>
      <c r="J869" s="49"/>
      <c r="K869" s="49"/>
      <c r="L869" s="50"/>
      <c r="M869" s="50"/>
      <c r="N869" s="50"/>
      <c r="O869" s="50"/>
      <c r="P869" s="50"/>
      <c r="Q869" s="50"/>
      <c r="R869" s="47"/>
      <c r="S869" s="50"/>
      <c r="T869" s="50"/>
      <c r="U869" s="50"/>
      <c r="V869" s="50"/>
      <c r="W869" s="50"/>
      <c r="X869"/>
      <c r="Y869"/>
      <c r="Z869"/>
      <c r="AA869"/>
      <c r="AB869"/>
      <c r="AC869"/>
      <c r="AD869"/>
      <c r="AE869"/>
      <c r="AF869"/>
      <c r="AG869"/>
      <c r="AH869"/>
      <c r="AI869"/>
    </row>
    <row r="870" spans="1:35" s="48" customFormat="1" x14ac:dyDescent="0.45">
      <c r="A870" s="3"/>
      <c r="H870"/>
      <c r="J870" s="49"/>
      <c r="K870" s="49"/>
      <c r="L870" s="50"/>
      <c r="M870" s="50"/>
      <c r="N870" s="50"/>
      <c r="O870" s="50"/>
      <c r="P870" s="50"/>
      <c r="Q870" s="50"/>
      <c r="R870" s="47"/>
      <c r="S870" s="50"/>
      <c r="T870" s="50"/>
      <c r="U870" s="50"/>
      <c r="V870" s="50"/>
      <c r="W870" s="50"/>
      <c r="X870"/>
      <c r="Y870"/>
      <c r="Z870"/>
      <c r="AA870"/>
      <c r="AB870"/>
      <c r="AC870"/>
      <c r="AD870"/>
      <c r="AE870"/>
      <c r="AF870"/>
      <c r="AG870"/>
      <c r="AH870"/>
      <c r="AI870"/>
    </row>
    <row r="871" spans="1:35" s="48" customFormat="1" x14ac:dyDescent="0.45">
      <c r="A871" s="3"/>
      <c r="H871"/>
      <c r="J871" s="49"/>
      <c r="K871" s="49"/>
      <c r="L871" s="50"/>
      <c r="M871" s="50"/>
      <c r="N871" s="50"/>
      <c r="O871" s="50"/>
      <c r="P871" s="50"/>
      <c r="Q871" s="50"/>
      <c r="R871" s="47"/>
      <c r="S871" s="50"/>
      <c r="T871" s="50"/>
      <c r="U871" s="50"/>
      <c r="V871" s="50"/>
      <c r="W871" s="50"/>
      <c r="X871"/>
      <c r="Y871"/>
      <c r="Z871"/>
      <c r="AA871"/>
      <c r="AB871"/>
      <c r="AC871"/>
      <c r="AD871"/>
      <c r="AE871"/>
      <c r="AF871"/>
      <c r="AG871"/>
      <c r="AH871"/>
      <c r="AI871"/>
    </row>
    <row r="872" spans="1:35" s="48" customFormat="1" x14ac:dyDescent="0.45">
      <c r="A872" s="3"/>
      <c r="H872"/>
      <c r="J872" s="49"/>
      <c r="K872" s="49"/>
      <c r="L872" s="50"/>
      <c r="M872" s="50"/>
      <c r="N872" s="50"/>
      <c r="O872" s="50"/>
      <c r="P872" s="50"/>
      <c r="Q872" s="50"/>
      <c r="R872" s="47"/>
      <c r="S872" s="50"/>
      <c r="T872" s="50"/>
      <c r="U872" s="50"/>
      <c r="V872" s="50"/>
      <c r="W872" s="50"/>
      <c r="X872"/>
      <c r="Y872"/>
      <c r="Z872"/>
      <c r="AA872"/>
      <c r="AB872"/>
      <c r="AC872"/>
      <c r="AD872"/>
      <c r="AE872"/>
      <c r="AF872"/>
      <c r="AG872"/>
      <c r="AH872"/>
      <c r="AI872"/>
    </row>
    <row r="873" spans="1:35" s="48" customFormat="1" x14ac:dyDescent="0.45">
      <c r="A873" s="3"/>
      <c r="H873"/>
      <c r="J873" s="49"/>
      <c r="K873" s="49"/>
      <c r="L873" s="50"/>
      <c r="M873" s="50"/>
      <c r="N873" s="50"/>
      <c r="O873" s="50"/>
      <c r="P873" s="50"/>
      <c r="Q873" s="50"/>
      <c r="R873" s="47"/>
      <c r="S873" s="50"/>
      <c r="T873" s="50"/>
      <c r="U873" s="50"/>
      <c r="V873" s="50"/>
      <c r="W873" s="50"/>
      <c r="X873"/>
      <c r="Y873"/>
      <c r="Z873"/>
      <c r="AA873"/>
      <c r="AB873"/>
      <c r="AC873"/>
      <c r="AD873"/>
      <c r="AE873"/>
      <c r="AF873"/>
      <c r="AG873"/>
      <c r="AH873"/>
      <c r="AI873"/>
    </row>
    <row r="874" spans="1:35" s="48" customFormat="1" x14ac:dyDescent="0.45">
      <c r="A874" s="3"/>
      <c r="H874"/>
      <c r="J874" s="49"/>
      <c r="K874" s="49"/>
      <c r="L874" s="50"/>
      <c r="M874" s="50"/>
      <c r="N874" s="50"/>
      <c r="O874" s="50"/>
      <c r="P874" s="50"/>
      <c r="Q874" s="50"/>
      <c r="R874" s="47"/>
      <c r="S874" s="50"/>
      <c r="T874" s="50"/>
      <c r="U874" s="50"/>
      <c r="V874" s="50"/>
      <c r="W874" s="50"/>
      <c r="X874"/>
      <c r="Y874"/>
      <c r="Z874"/>
      <c r="AA874"/>
      <c r="AB874"/>
      <c r="AC874"/>
      <c r="AD874"/>
      <c r="AE874"/>
      <c r="AF874"/>
      <c r="AG874"/>
      <c r="AH874"/>
      <c r="AI874"/>
    </row>
    <row r="875" spans="1:35" s="48" customFormat="1" x14ac:dyDescent="0.45">
      <c r="A875" s="3"/>
      <c r="H875"/>
      <c r="J875" s="49"/>
      <c r="K875" s="49"/>
      <c r="L875" s="50"/>
      <c r="M875" s="50"/>
      <c r="N875" s="50"/>
      <c r="O875" s="50"/>
      <c r="P875" s="50"/>
      <c r="Q875" s="50"/>
      <c r="R875" s="47"/>
      <c r="S875" s="50"/>
      <c r="T875" s="50"/>
      <c r="U875" s="50"/>
      <c r="V875" s="50"/>
      <c r="W875" s="50"/>
      <c r="X875"/>
      <c r="Y875"/>
      <c r="Z875"/>
      <c r="AA875"/>
      <c r="AB875"/>
      <c r="AC875"/>
      <c r="AD875"/>
      <c r="AE875"/>
      <c r="AF875"/>
      <c r="AG875"/>
      <c r="AH875"/>
      <c r="AI875"/>
    </row>
    <row r="876" spans="1:35" s="48" customFormat="1" x14ac:dyDescent="0.45">
      <c r="A876" s="3"/>
      <c r="H876"/>
      <c r="J876" s="49"/>
      <c r="K876" s="49"/>
      <c r="L876" s="50"/>
      <c r="M876" s="50"/>
      <c r="N876" s="50"/>
      <c r="O876" s="50"/>
      <c r="P876" s="50"/>
      <c r="Q876" s="50"/>
      <c r="R876" s="47"/>
      <c r="S876" s="50"/>
      <c r="T876" s="50"/>
      <c r="U876" s="50"/>
      <c r="V876" s="50"/>
      <c r="W876" s="50"/>
      <c r="X876"/>
      <c r="Y876"/>
      <c r="Z876"/>
      <c r="AA876"/>
      <c r="AB876"/>
      <c r="AC876"/>
      <c r="AD876"/>
      <c r="AE876"/>
      <c r="AF876"/>
      <c r="AG876"/>
      <c r="AH876"/>
      <c r="AI876"/>
    </row>
    <row r="877" spans="1:35" s="48" customFormat="1" x14ac:dyDescent="0.45">
      <c r="A877" s="3"/>
      <c r="H877"/>
      <c r="J877" s="49"/>
      <c r="K877" s="49"/>
      <c r="L877" s="50"/>
      <c r="M877" s="50"/>
      <c r="N877" s="50"/>
      <c r="O877" s="50"/>
      <c r="P877" s="50"/>
      <c r="Q877" s="50"/>
      <c r="R877" s="47"/>
      <c r="S877" s="50"/>
      <c r="T877" s="50"/>
      <c r="U877" s="50"/>
      <c r="V877" s="50"/>
      <c r="W877" s="50"/>
      <c r="X877"/>
      <c r="Y877"/>
      <c r="Z877"/>
      <c r="AA877"/>
      <c r="AB877"/>
      <c r="AC877"/>
      <c r="AD877"/>
      <c r="AE877"/>
      <c r="AF877"/>
      <c r="AG877"/>
      <c r="AH877"/>
      <c r="AI877"/>
    </row>
    <row r="878" spans="1:35" s="48" customFormat="1" x14ac:dyDescent="0.45">
      <c r="A878" s="3"/>
      <c r="H878"/>
      <c r="J878" s="49"/>
      <c r="K878" s="49"/>
      <c r="L878" s="50"/>
      <c r="M878" s="50"/>
      <c r="N878" s="50"/>
      <c r="O878" s="50"/>
      <c r="P878" s="50"/>
      <c r="Q878" s="50"/>
      <c r="R878" s="47"/>
      <c r="S878" s="50"/>
      <c r="T878" s="50"/>
      <c r="U878" s="50"/>
      <c r="V878" s="50"/>
      <c r="W878" s="50"/>
      <c r="X878"/>
      <c r="Y878"/>
      <c r="Z878"/>
      <c r="AA878"/>
      <c r="AB878"/>
      <c r="AC878"/>
      <c r="AD878"/>
      <c r="AE878"/>
      <c r="AF878"/>
      <c r="AG878"/>
      <c r="AH878"/>
      <c r="AI878"/>
    </row>
    <row r="879" spans="1:35" s="48" customFormat="1" x14ac:dyDescent="0.45">
      <c r="A879" s="3"/>
      <c r="H879"/>
      <c r="J879" s="49"/>
      <c r="K879" s="49"/>
      <c r="L879" s="50"/>
      <c r="M879" s="50"/>
      <c r="N879" s="50"/>
      <c r="O879" s="50"/>
      <c r="P879" s="50"/>
      <c r="Q879" s="50"/>
      <c r="R879" s="47"/>
      <c r="S879" s="50"/>
      <c r="T879" s="50"/>
      <c r="U879" s="50"/>
      <c r="V879" s="50"/>
      <c r="W879" s="50"/>
      <c r="X879"/>
      <c r="Y879"/>
      <c r="Z879"/>
      <c r="AA879"/>
      <c r="AB879"/>
      <c r="AC879"/>
      <c r="AD879"/>
      <c r="AE879"/>
      <c r="AF879"/>
      <c r="AG879"/>
      <c r="AH879"/>
      <c r="AI879"/>
    </row>
    <row r="880" spans="1:35" s="48" customFormat="1" x14ac:dyDescent="0.45">
      <c r="A880" s="3"/>
      <c r="H880"/>
      <c r="J880" s="49"/>
      <c r="K880" s="49"/>
      <c r="L880" s="50"/>
      <c r="M880" s="50"/>
      <c r="N880" s="50"/>
      <c r="O880" s="50"/>
      <c r="P880" s="50"/>
      <c r="Q880" s="50"/>
      <c r="R880" s="47"/>
      <c r="S880" s="50"/>
      <c r="T880" s="50"/>
      <c r="U880" s="50"/>
      <c r="V880" s="50"/>
      <c r="W880" s="50"/>
      <c r="X880"/>
      <c r="Y880"/>
      <c r="Z880"/>
      <c r="AA880"/>
      <c r="AB880"/>
      <c r="AC880"/>
      <c r="AD880"/>
      <c r="AE880"/>
      <c r="AF880"/>
      <c r="AG880"/>
      <c r="AH880"/>
      <c r="AI880"/>
    </row>
    <row r="881" spans="1:35" s="48" customFormat="1" x14ac:dyDescent="0.45">
      <c r="A881" s="3"/>
      <c r="H881"/>
      <c r="J881" s="49"/>
      <c r="K881" s="49"/>
      <c r="L881" s="50"/>
      <c r="M881" s="50"/>
      <c r="N881" s="50"/>
      <c r="O881" s="50"/>
      <c r="P881" s="50"/>
      <c r="Q881" s="50"/>
      <c r="R881" s="47"/>
      <c r="S881" s="50"/>
      <c r="T881" s="50"/>
      <c r="U881" s="50"/>
      <c r="V881" s="50"/>
      <c r="W881" s="50"/>
      <c r="X881"/>
      <c r="Y881"/>
      <c r="Z881"/>
      <c r="AA881"/>
      <c r="AB881"/>
      <c r="AC881"/>
      <c r="AD881"/>
      <c r="AE881"/>
      <c r="AF881"/>
      <c r="AG881"/>
      <c r="AH881"/>
      <c r="AI881"/>
    </row>
    <row r="882" spans="1:35" s="48" customFormat="1" x14ac:dyDescent="0.45">
      <c r="A882" s="3"/>
      <c r="H882"/>
      <c r="J882" s="49"/>
      <c r="K882" s="49"/>
      <c r="L882" s="50"/>
      <c r="M882" s="50"/>
      <c r="N882" s="50"/>
      <c r="O882" s="50"/>
      <c r="P882" s="50"/>
      <c r="Q882" s="50"/>
      <c r="R882" s="47"/>
      <c r="S882" s="50"/>
      <c r="T882" s="50"/>
      <c r="U882" s="50"/>
      <c r="V882" s="50"/>
      <c r="W882" s="50"/>
      <c r="X882"/>
      <c r="Y882"/>
      <c r="Z882"/>
      <c r="AA882"/>
      <c r="AB882"/>
      <c r="AC882"/>
      <c r="AD882"/>
      <c r="AE882"/>
      <c r="AF882"/>
      <c r="AG882"/>
      <c r="AH882"/>
      <c r="AI882"/>
    </row>
    <row r="883" spans="1:35" s="48" customFormat="1" x14ac:dyDescent="0.45">
      <c r="A883" s="3"/>
      <c r="H883"/>
      <c r="J883" s="49"/>
      <c r="K883" s="49"/>
      <c r="L883" s="50"/>
      <c r="M883" s="50"/>
      <c r="N883" s="50"/>
      <c r="O883" s="50"/>
      <c r="P883" s="50"/>
      <c r="Q883" s="50"/>
      <c r="R883" s="47"/>
      <c r="S883" s="50"/>
      <c r="T883" s="50"/>
      <c r="U883" s="50"/>
      <c r="V883" s="50"/>
      <c r="W883" s="50"/>
      <c r="X883"/>
      <c r="Y883"/>
      <c r="Z883"/>
      <c r="AA883"/>
      <c r="AB883"/>
      <c r="AC883"/>
      <c r="AD883"/>
      <c r="AE883"/>
      <c r="AF883"/>
      <c r="AG883"/>
      <c r="AH883"/>
      <c r="AI883"/>
    </row>
    <row r="884" spans="1:35" s="48" customFormat="1" x14ac:dyDescent="0.45">
      <c r="A884" s="3"/>
      <c r="H884"/>
      <c r="J884" s="49"/>
      <c r="K884" s="49"/>
      <c r="L884" s="50"/>
      <c r="M884" s="50"/>
      <c r="N884" s="50"/>
      <c r="O884" s="50"/>
      <c r="P884" s="50"/>
      <c r="Q884" s="50"/>
      <c r="R884" s="47"/>
      <c r="S884" s="50"/>
      <c r="T884" s="50"/>
      <c r="U884" s="50"/>
      <c r="V884" s="50"/>
      <c r="W884" s="50"/>
      <c r="X884"/>
      <c r="Y884"/>
      <c r="Z884"/>
      <c r="AA884"/>
      <c r="AB884"/>
      <c r="AC884"/>
      <c r="AD884"/>
      <c r="AE884"/>
      <c r="AF884"/>
      <c r="AG884"/>
      <c r="AH884"/>
      <c r="AI884"/>
    </row>
    <row r="885" spans="1:35" s="48" customFormat="1" x14ac:dyDescent="0.45">
      <c r="A885" s="3"/>
      <c r="H885"/>
      <c r="J885" s="49"/>
      <c r="K885" s="49"/>
      <c r="L885" s="50"/>
      <c r="M885" s="50"/>
      <c r="N885" s="50"/>
      <c r="O885" s="50"/>
      <c r="P885" s="50"/>
      <c r="Q885" s="50"/>
      <c r="R885" s="47"/>
      <c r="S885" s="50"/>
      <c r="T885" s="50"/>
      <c r="U885" s="50"/>
      <c r="V885" s="50"/>
      <c r="W885" s="50"/>
      <c r="X885"/>
      <c r="Y885"/>
      <c r="Z885"/>
      <c r="AA885"/>
      <c r="AB885"/>
      <c r="AC885"/>
      <c r="AD885"/>
      <c r="AE885"/>
      <c r="AF885"/>
      <c r="AG885"/>
      <c r="AH885"/>
      <c r="AI885"/>
    </row>
    <row r="886" spans="1:35" s="48" customFormat="1" x14ac:dyDescent="0.45">
      <c r="A886" s="3"/>
      <c r="H886"/>
      <c r="J886" s="49"/>
      <c r="K886" s="49"/>
      <c r="L886" s="50"/>
      <c r="M886" s="50"/>
      <c r="N886" s="50"/>
      <c r="O886" s="50"/>
      <c r="P886" s="50"/>
      <c r="Q886" s="50"/>
      <c r="R886" s="47"/>
      <c r="S886" s="50"/>
      <c r="T886" s="50"/>
      <c r="U886" s="50"/>
      <c r="V886" s="50"/>
      <c r="W886" s="50"/>
      <c r="X886"/>
      <c r="Y886"/>
      <c r="Z886"/>
      <c r="AA886"/>
      <c r="AB886"/>
      <c r="AC886"/>
      <c r="AD886"/>
      <c r="AE886"/>
      <c r="AF886"/>
      <c r="AG886"/>
      <c r="AH886"/>
      <c r="AI886"/>
    </row>
    <row r="887" spans="1:35" s="48" customFormat="1" x14ac:dyDescent="0.45">
      <c r="A887" s="3"/>
      <c r="H887"/>
      <c r="J887" s="49"/>
      <c r="K887" s="49"/>
      <c r="L887" s="50"/>
      <c r="M887" s="50"/>
      <c r="N887" s="50"/>
      <c r="O887" s="50"/>
      <c r="P887" s="50"/>
      <c r="Q887" s="50"/>
      <c r="R887" s="47"/>
      <c r="S887" s="50"/>
      <c r="T887" s="50"/>
      <c r="U887" s="50"/>
      <c r="V887" s="50"/>
      <c r="W887" s="50"/>
      <c r="X887"/>
      <c r="Y887"/>
      <c r="Z887"/>
      <c r="AA887"/>
      <c r="AB887"/>
      <c r="AC887"/>
      <c r="AD887"/>
      <c r="AE887"/>
      <c r="AF887"/>
      <c r="AG887"/>
      <c r="AH887"/>
      <c r="AI887"/>
    </row>
    <row r="888" spans="1:35" s="48" customFormat="1" x14ac:dyDescent="0.45">
      <c r="A888" s="3"/>
      <c r="H888"/>
      <c r="J888" s="49"/>
      <c r="K888" s="49"/>
      <c r="L888" s="50"/>
      <c r="M888" s="50"/>
      <c r="N888" s="50"/>
      <c r="O888" s="50"/>
      <c r="P888" s="50"/>
      <c r="Q888" s="50"/>
      <c r="R888" s="47"/>
      <c r="S888" s="50"/>
      <c r="T888" s="50"/>
      <c r="U888" s="50"/>
      <c r="V888" s="50"/>
      <c r="W888" s="50"/>
      <c r="X888"/>
      <c r="Y888"/>
      <c r="Z888"/>
      <c r="AA888"/>
      <c r="AB888"/>
      <c r="AC888"/>
      <c r="AD888"/>
      <c r="AE888"/>
      <c r="AF888"/>
      <c r="AG888"/>
      <c r="AH888"/>
      <c r="AI888"/>
    </row>
    <row r="889" spans="1:35" s="48" customFormat="1" x14ac:dyDescent="0.45">
      <c r="A889" s="3"/>
      <c r="H889"/>
      <c r="J889" s="49"/>
      <c r="K889" s="49"/>
      <c r="L889" s="50"/>
      <c r="M889" s="50"/>
      <c r="N889" s="50"/>
      <c r="O889" s="50"/>
      <c r="P889" s="50"/>
      <c r="Q889" s="50"/>
      <c r="R889" s="47"/>
      <c r="S889" s="50"/>
      <c r="T889" s="50"/>
      <c r="U889" s="50"/>
      <c r="V889" s="50"/>
      <c r="W889" s="50"/>
      <c r="X889"/>
      <c r="Y889"/>
      <c r="Z889"/>
      <c r="AA889"/>
      <c r="AB889"/>
      <c r="AC889"/>
      <c r="AD889"/>
      <c r="AE889"/>
      <c r="AF889"/>
      <c r="AG889"/>
      <c r="AH889"/>
      <c r="AI889"/>
    </row>
    <row r="890" spans="1:35" s="48" customFormat="1" x14ac:dyDescent="0.45">
      <c r="A890" s="3"/>
      <c r="H890"/>
      <c r="J890" s="49"/>
      <c r="K890" s="49"/>
      <c r="L890" s="50"/>
      <c r="M890" s="50"/>
      <c r="N890" s="50"/>
      <c r="O890" s="50"/>
      <c r="P890" s="50"/>
      <c r="Q890" s="50"/>
      <c r="R890" s="47"/>
      <c r="S890" s="50"/>
      <c r="T890" s="50"/>
      <c r="U890" s="50"/>
      <c r="V890" s="50"/>
      <c r="W890" s="50"/>
      <c r="X890"/>
      <c r="Y890"/>
      <c r="Z890"/>
      <c r="AA890"/>
      <c r="AB890"/>
      <c r="AC890"/>
      <c r="AD890"/>
      <c r="AE890"/>
      <c r="AF890"/>
      <c r="AG890"/>
      <c r="AH890"/>
      <c r="AI890"/>
    </row>
    <row r="891" spans="1:35" s="48" customFormat="1" x14ac:dyDescent="0.45">
      <c r="A891" s="3"/>
      <c r="H891"/>
      <c r="J891" s="49"/>
      <c r="K891" s="49"/>
      <c r="L891" s="50"/>
      <c r="M891" s="50"/>
      <c r="N891" s="50"/>
      <c r="O891" s="50"/>
      <c r="P891" s="50"/>
      <c r="Q891" s="50"/>
      <c r="R891" s="47"/>
      <c r="S891" s="50"/>
      <c r="T891" s="50"/>
      <c r="U891" s="50"/>
      <c r="V891" s="50"/>
      <c r="W891" s="50"/>
      <c r="X891"/>
      <c r="Y891"/>
      <c r="Z891"/>
      <c r="AA891"/>
      <c r="AB891"/>
      <c r="AC891"/>
      <c r="AD891"/>
      <c r="AE891"/>
      <c r="AF891"/>
      <c r="AG891"/>
      <c r="AH891"/>
      <c r="AI891"/>
    </row>
    <row r="892" spans="1:35" s="48" customFormat="1" x14ac:dyDescent="0.45">
      <c r="A892" s="3"/>
      <c r="H892"/>
      <c r="J892" s="49"/>
      <c r="K892" s="49"/>
      <c r="L892" s="50"/>
      <c r="M892" s="50"/>
      <c r="N892" s="50"/>
      <c r="O892" s="50"/>
      <c r="P892" s="50"/>
      <c r="Q892" s="50"/>
      <c r="R892" s="47"/>
      <c r="S892" s="50"/>
      <c r="T892" s="50"/>
      <c r="U892" s="50"/>
      <c r="V892" s="50"/>
      <c r="W892" s="50"/>
      <c r="X892"/>
      <c r="Y892"/>
      <c r="Z892"/>
      <c r="AA892"/>
      <c r="AB892"/>
      <c r="AC892"/>
      <c r="AD892"/>
      <c r="AE892"/>
      <c r="AF892"/>
      <c r="AG892"/>
      <c r="AH892"/>
      <c r="AI892"/>
    </row>
    <row r="893" spans="1:35" s="48" customFormat="1" x14ac:dyDescent="0.45">
      <c r="A893" s="3"/>
      <c r="H893"/>
      <c r="J893" s="49"/>
      <c r="K893" s="49"/>
      <c r="L893" s="50"/>
      <c r="M893" s="50"/>
      <c r="N893" s="50"/>
      <c r="O893" s="50"/>
      <c r="P893" s="50"/>
      <c r="Q893" s="50"/>
      <c r="R893" s="47"/>
      <c r="S893" s="50"/>
      <c r="T893" s="50"/>
      <c r="U893" s="50"/>
      <c r="V893" s="50"/>
      <c r="W893" s="50"/>
      <c r="X893"/>
      <c r="Y893"/>
      <c r="Z893"/>
      <c r="AA893"/>
      <c r="AB893"/>
      <c r="AC893"/>
      <c r="AD893"/>
      <c r="AE893"/>
      <c r="AF893"/>
      <c r="AG893"/>
      <c r="AH893"/>
      <c r="AI893"/>
    </row>
    <row r="894" spans="1:35" s="48" customFormat="1" x14ac:dyDescent="0.45">
      <c r="A894" s="3"/>
      <c r="H894"/>
      <c r="J894" s="49"/>
      <c r="K894" s="49"/>
      <c r="L894" s="50"/>
      <c r="M894" s="50"/>
      <c r="N894" s="50"/>
      <c r="O894" s="50"/>
      <c r="P894" s="50"/>
      <c r="Q894" s="50"/>
      <c r="R894" s="47"/>
      <c r="S894" s="50"/>
      <c r="T894" s="50"/>
      <c r="U894" s="50"/>
      <c r="V894" s="50"/>
      <c r="W894" s="50"/>
      <c r="X894"/>
      <c r="Y894"/>
      <c r="Z894"/>
      <c r="AA894"/>
      <c r="AB894"/>
      <c r="AC894"/>
      <c r="AD894"/>
      <c r="AE894"/>
      <c r="AF894"/>
      <c r="AG894"/>
      <c r="AH894"/>
      <c r="AI894"/>
    </row>
    <row r="895" spans="1:35" s="48" customFormat="1" x14ac:dyDescent="0.45">
      <c r="A895" s="3"/>
      <c r="H895"/>
      <c r="J895" s="49"/>
      <c r="K895" s="49"/>
      <c r="L895" s="50"/>
      <c r="M895" s="50"/>
      <c r="N895" s="50"/>
      <c r="O895" s="50"/>
      <c r="P895" s="50"/>
      <c r="Q895" s="50"/>
      <c r="R895" s="47"/>
      <c r="S895" s="50"/>
      <c r="T895" s="50"/>
      <c r="U895" s="50"/>
      <c r="V895" s="50"/>
      <c r="W895" s="50"/>
      <c r="X895"/>
      <c r="Y895"/>
      <c r="Z895"/>
      <c r="AA895"/>
      <c r="AB895"/>
      <c r="AC895"/>
      <c r="AD895"/>
      <c r="AE895"/>
      <c r="AF895"/>
      <c r="AG895"/>
      <c r="AH895"/>
      <c r="AI895"/>
    </row>
    <row r="896" spans="1:35" s="48" customFormat="1" x14ac:dyDescent="0.45">
      <c r="A896" s="3"/>
      <c r="H896"/>
      <c r="J896" s="49"/>
      <c r="K896" s="49"/>
      <c r="L896" s="50"/>
      <c r="M896" s="50"/>
      <c r="N896" s="50"/>
      <c r="O896" s="50"/>
      <c r="P896" s="50"/>
      <c r="Q896" s="50"/>
      <c r="R896" s="47"/>
      <c r="S896" s="50"/>
      <c r="T896" s="50"/>
      <c r="U896" s="50"/>
      <c r="V896" s="50"/>
      <c r="W896" s="50"/>
      <c r="X896"/>
      <c r="Y896"/>
      <c r="Z896"/>
      <c r="AA896"/>
      <c r="AB896"/>
      <c r="AC896"/>
      <c r="AD896"/>
      <c r="AE896"/>
      <c r="AF896"/>
      <c r="AG896"/>
      <c r="AH896"/>
      <c r="AI896"/>
    </row>
    <row r="897" spans="1:35" s="48" customFormat="1" x14ac:dyDescent="0.45">
      <c r="A897" s="3"/>
      <c r="H897"/>
      <c r="J897" s="49"/>
      <c r="K897" s="49"/>
      <c r="L897" s="50"/>
      <c r="M897" s="50"/>
      <c r="N897" s="50"/>
      <c r="O897" s="50"/>
      <c r="P897" s="50"/>
      <c r="Q897" s="50"/>
      <c r="R897" s="47"/>
      <c r="S897" s="50"/>
      <c r="T897" s="50"/>
      <c r="U897" s="50"/>
      <c r="V897" s="50"/>
      <c r="W897" s="50"/>
      <c r="X897"/>
      <c r="Y897"/>
      <c r="Z897"/>
      <c r="AA897"/>
      <c r="AB897"/>
      <c r="AC897"/>
      <c r="AD897"/>
      <c r="AE897"/>
      <c r="AF897"/>
      <c r="AG897"/>
      <c r="AH897"/>
      <c r="AI897"/>
    </row>
    <row r="898" spans="1:35" s="48" customFormat="1" x14ac:dyDescent="0.45">
      <c r="A898" s="3"/>
      <c r="H898"/>
      <c r="J898" s="49"/>
      <c r="K898" s="49"/>
      <c r="L898" s="50"/>
      <c r="M898" s="50"/>
      <c r="N898" s="50"/>
      <c r="O898" s="50"/>
      <c r="P898" s="50"/>
      <c r="Q898" s="50"/>
      <c r="R898" s="47"/>
      <c r="S898" s="50"/>
      <c r="T898" s="50"/>
      <c r="U898" s="50"/>
      <c r="V898" s="50"/>
      <c r="W898" s="50"/>
      <c r="X898"/>
      <c r="Y898"/>
      <c r="Z898"/>
      <c r="AA898"/>
      <c r="AB898"/>
      <c r="AC898"/>
      <c r="AD898"/>
      <c r="AE898"/>
      <c r="AF898"/>
      <c r="AG898"/>
      <c r="AH898"/>
      <c r="AI898"/>
    </row>
    <row r="899" spans="1:35" s="48" customFormat="1" x14ac:dyDescent="0.45">
      <c r="A899" s="3"/>
      <c r="H899"/>
      <c r="J899" s="49"/>
      <c r="K899" s="49"/>
      <c r="L899" s="50"/>
      <c r="M899" s="50"/>
      <c r="N899" s="50"/>
      <c r="O899" s="50"/>
      <c r="P899" s="50"/>
      <c r="Q899" s="50"/>
      <c r="R899" s="47"/>
      <c r="S899" s="50"/>
      <c r="T899" s="50"/>
      <c r="U899" s="50"/>
      <c r="V899" s="50"/>
      <c r="W899" s="50"/>
      <c r="X899"/>
      <c r="Y899"/>
      <c r="Z899"/>
      <c r="AA899"/>
      <c r="AB899"/>
      <c r="AC899"/>
      <c r="AD899"/>
      <c r="AE899"/>
      <c r="AF899"/>
      <c r="AG899"/>
      <c r="AH899"/>
      <c r="AI899"/>
    </row>
    <row r="900" spans="1:35" s="48" customFormat="1" x14ac:dyDescent="0.45">
      <c r="A900" s="3"/>
      <c r="H900"/>
      <c r="J900" s="49"/>
      <c r="K900" s="49"/>
      <c r="L900" s="50"/>
      <c r="M900" s="50"/>
      <c r="N900" s="50"/>
      <c r="O900" s="50"/>
      <c r="P900" s="50"/>
      <c r="Q900" s="50"/>
      <c r="R900" s="47"/>
      <c r="S900" s="50"/>
      <c r="T900" s="50"/>
      <c r="U900" s="50"/>
      <c r="V900" s="50"/>
      <c r="W900" s="50"/>
      <c r="X900"/>
      <c r="Y900"/>
      <c r="Z900"/>
      <c r="AA900"/>
      <c r="AB900"/>
      <c r="AC900"/>
      <c r="AD900"/>
      <c r="AE900"/>
      <c r="AF900"/>
      <c r="AG900"/>
      <c r="AH900"/>
      <c r="AI900"/>
    </row>
    <row r="901" spans="1:35" s="48" customFormat="1" x14ac:dyDescent="0.45">
      <c r="A901" s="3"/>
      <c r="H901"/>
      <c r="J901" s="49"/>
      <c r="K901" s="49"/>
      <c r="L901" s="50"/>
      <c r="M901" s="50"/>
      <c r="N901" s="50"/>
      <c r="O901" s="50"/>
      <c r="P901" s="50"/>
      <c r="Q901" s="50"/>
      <c r="R901" s="47"/>
      <c r="S901" s="50"/>
      <c r="T901" s="50"/>
      <c r="U901" s="50"/>
      <c r="V901" s="50"/>
      <c r="W901" s="50"/>
      <c r="X901"/>
      <c r="Y901"/>
      <c r="Z901"/>
      <c r="AA901"/>
      <c r="AB901"/>
      <c r="AC901"/>
      <c r="AD901"/>
      <c r="AE901"/>
      <c r="AF901"/>
      <c r="AG901"/>
      <c r="AH901"/>
      <c r="AI901"/>
    </row>
    <row r="902" spans="1:35" s="48" customFormat="1" x14ac:dyDescent="0.45">
      <c r="A902" s="3"/>
      <c r="H902"/>
      <c r="J902" s="49"/>
      <c r="K902" s="49"/>
      <c r="L902" s="50"/>
      <c r="M902" s="50"/>
      <c r="N902" s="50"/>
      <c r="O902" s="50"/>
      <c r="P902" s="50"/>
      <c r="Q902" s="50"/>
      <c r="R902" s="47"/>
      <c r="S902" s="50"/>
      <c r="T902" s="50"/>
      <c r="U902" s="50"/>
      <c r="V902" s="50"/>
      <c r="W902" s="50"/>
      <c r="X902"/>
      <c r="Y902"/>
      <c r="Z902"/>
      <c r="AA902"/>
      <c r="AB902"/>
      <c r="AC902"/>
      <c r="AD902"/>
      <c r="AE902"/>
      <c r="AF902"/>
      <c r="AG902"/>
      <c r="AH902"/>
      <c r="AI902"/>
    </row>
    <row r="903" spans="1:35" s="48" customFormat="1" x14ac:dyDescent="0.45">
      <c r="A903" s="3"/>
      <c r="H903"/>
      <c r="J903" s="49"/>
      <c r="K903" s="49"/>
      <c r="L903" s="50"/>
      <c r="M903" s="50"/>
      <c r="N903" s="50"/>
      <c r="O903" s="50"/>
      <c r="P903" s="50"/>
      <c r="Q903" s="50"/>
      <c r="R903" s="47"/>
      <c r="S903" s="50"/>
      <c r="T903" s="50"/>
      <c r="U903" s="50"/>
      <c r="V903" s="50"/>
      <c r="W903" s="50"/>
      <c r="X903"/>
      <c r="Y903"/>
      <c r="Z903"/>
      <c r="AA903"/>
      <c r="AB903"/>
      <c r="AC903"/>
      <c r="AD903"/>
      <c r="AE903"/>
      <c r="AF903"/>
      <c r="AG903"/>
      <c r="AH903"/>
      <c r="AI903"/>
    </row>
    <row r="904" spans="1:35" s="48" customFormat="1" x14ac:dyDescent="0.45">
      <c r="A904" s="3"/>
      <c r="H904"/>
      <c r="J904" s="49"/>
      <c r="K904" s="49"/>
      <c r="L904" s="50"/>
      <c r="M904" s="50"/>
      <c r="N904" s="50"/>
      <c r="O904" s="50"/>
      <c r="P904" s="50"/>
      <c r="Q904" s="50"/>
      <c r="R904" s="47"/>
      <c r="S904" s="50"/>
      <c r="T904" s="50"/>
      <c r="U904" s="50"/>
      <c r="V904" s="50"/>
      <c r="W904" s="50"/>
      <c r="X904"/>
      <c r="Y904"/>
      <c r="Z904"/>
      <c r="AA904"/>
      <c r="AB904"/>
      <c r="AC904"/>
      <c r="AD904"/>
      <c r="AE904"/>
      <c r="AF904"/>
      <c r="AG904"/>
      <c r="AH904"/>
      <c r="AI904"/>
    </row>
    <row r="905" spans="1:35" s="48" customFormat="1" x14ac:dyDescent="0.45">
      <c r="A905" s="3"/>
      <c r="H905"/>
      <c r="J905" s="49"/>
      <c r="K905" s="49"/>
      <c r="L905" s="50"/>
      <c r="M905" s="50"/>
      <c r="N905" s="50"/>
      <c r="O905" s="50"/>
      <c r="P905" s="50"/>
      <c r="Q905" s="50"/>
      <c r="R905" s="47"/>
      <c r="S905" s="50"/>
      <c r="T905" s="50"/>
      <c r="U905" s="50"/>
      <c r="V905" s="50"/>
      <c r="W905" s="50"/>
      <c r="X905"/>
      <c r="Y905"/>
      <c r="Z905"/>
      <c r="AA905"/>
      <c r="AB905"/>
      <c r="AC905"/>
      <c r="AD905"/>
      <c r="AE905"/>
      <c r="AF905"/>
      <c r="AG905"/>
      <c r="AH905"/>
      <c r="AI905"/>
    </row>
    <row r="906" spans="1:35" s="48" customFormat="1" x14ac:dyDescent="0.45">
      <c r="A906" s="3"/>
      <c r="H906"/>
      <c r="J906" s="49"/>
      <c r="K906" s="49"/>
      <c r="L906" s="50"/>
      <c r="M906" s="50"/>
      <c r="N906" s="50"/>
      <c r="O906" s="50"/>
      <c r="P906" s="50"/>
      <c r="Q906" s="50"/>
      <c r="R906" s="47"/>
      <c r="S906" s="50"/>
      <c r="T906" s="50"/>
      <c r="U906" s="50"/>
      <c r="V906" s="50"/>
      <c r="W906" s="50"/>
      <c r="X906"/>
      <c r="Y906"/>
      <c r="Z906"/>
      <c r="AA906"/>
      <c r="AB906"/>
      <c r="AC906"/>
      <c r="AD906"/>
      <c r="AE906"/>
      <c r="AF906"/>
      <c r="AG906"/>
      <c r="AH906"/>
      <c r="AI906"/>
    </row>
    <row r="907" spans="1:35" s="48" customFormat="1" x14ac:dyDescent="0.45">
      <c r="A907" s="3"/>
      <c r="H907"/>
      <c r="J907" s="49"/>
      <c r="K907" s="49"/>
      <c r="L907" s="50"/>
      <c r="M907" s="50"/>
      <c r="N907" s="50"/>
      <c r="O907" s="50"/>
      <c r="P907" s="50"/>
      <c r="Q907" s="50"/>
      <c r="R907" s="47"/>
      <c r="S907" s="50"/>
      <c r="T907" s="50"/>
      <c r="U907" s="50"/>
      <c r="V907" s="50"/>
      <c r="W907" s="50"/>
      <c r="X907"/>
      <c r="Y907"/>
      <c r="Z907"/>
      <c r="AA907"/>
      <c r="AB907"/>
      <c r="AC907"/>
      <c r="AD907"/>
      <c r="AE907"/>
      <c r="AF907"/>
      <c r="AG907"/>
      <c r="AH907"/>
      <c r="AI907"/>
    </row>
    <row r="908" spans="1:35" s="48" customFormat="1" x14ac:dyDescent="0.45">
      <c r="A908" s="3"/>
      <c r="H908"/>
      <c r="J908" s="49"/>
      <c r="K908" s="49"/>
      <c r="L908" s="50"/>
      <c r="M908" s="50"/>
      <c r="N908" s="50"/>
      <c r="O908" s="50"/>
      <c r="P908" s="50"/>
      <c r="Q908" s="50"/>
      <c r="R908" s="47"/>
      <c r="S908" s="50"/>
      <c r="T908" s="50"/>
      <c r="U908" s="50"/>
      <c r="V908" s="50"/>
      <c r="W908" s="50"/>
      <c r="X908"/>
      <c r="Y908"/>
      <c r="Z908"/>
      <c r="AA908"/>
      <c r="AB908"/>
      <c r="AC908"/>
      <c r="AD908"/>
      <c r="AE908"/>
      <c r="AF908"/>
      <c r="AG908"/>
      <c r="AH908"/>
      <c r="AI908"/>
    </row>
    <row r="909" spans="1:35" s="48" customFormat="1" x14ac:dyDescent="0.45">
      <c r="A909" s="3"/>
      <c r="H909"/>
      <c r="J909" s="49"/>
      <c r="K909" s="49"/>
      <c r="L909" s="50"/>
      <c r="M909" s="50"/>
      <c r="N909" s="50"/>
      <c r="O909" s="50"/>
      <c r="P909" s="50"/>
      <c r="Q909" s="50"/>
      <c r="R909" s="47"/>
      <c r="S909" s="50"/>
      <c r="T909" s="50"/>
      <c r="U909" s="50"/>
      <c r="V909" s="50"/>
      <c r="W909" s="50"/>
      <c r="X909"/>
      <c r="Y909"/>
      <c r="Z909"/>
      <c r="AA909"/>
      <c r="AB909"/>
      <c r="AC909"/>
      <c r="AD909"/>
      <c r="AE909"/>
      <c r="AF909"/>
      <c r="AG909"/>
      <c r="AH909"/>
      <c r="AI909"/>
    </row>
    <row r="910" spans="1:35" s="48" customFormat="1" x14ac:dyDescent="0.45">
      <c r="A910" s="3"/>
      <c r="H910"/>
      <c r="J910" s="49"/>
      <c r="K910" s="49"/>
      <c r="L910" s="50"/>
      <c r="M910" s="50"/>
      <c r="N910" s="50"/>
      <c r="O910" s="50"/>
      <c r="P910" s="50"/>
      <c r="Q910" s="50"/>
      <c r="R910" s="47"/>
      <c r="S910" s="50"/>
      <c r="T910" s="50"/>
      <c r="U910" s="50"/>
      <c r="V910" s="50"/>
      <c r="W910" s="50"/>
      <c r="X910"/>
      <c r="Y910"/>
      <c r="Z910"/>
      <c r="AA910"/>
      <c r="AB910"/>
      <c r="AC910"/>
      <c r="AD910"/>
      <c r="AE910"/>
      <c r="AF910"/>
      <c r="AG910"/>
      <c r="AH910"/>
      <c r="AI910"/>
    </row>
    <row r="911" spans="1:35" s="48" customFormat="1" x14ac:dyDescent="0.45">
      <c r="A911" s="3"/>
      <c r="H911"/>
      <c r="J911" s="49"/>
      <c r="K911" s="49"/>
      <c r="L911" s="50"/>
      <c r="M911" s="50"/>
      <c r="N911" s="50"/>
      <c r="O911" s="50"/>
      <c r="P911" s="50"/>
      <c r="Q911" s="50"/>
      <c r="R911" s="47"/>
      <c r="S911" s="50"/>
      <c r="T911" s="50"/>
      <c r="U911" s="50"/>
      <c r="V911" s="50"/>
      <c r="W911" s="50"/>
      <c r="X911"/>
      <c r="Y911"/>
      <c r="Z911"/>
      <c r="AA911"/>
      <c r="AB911"/>
      <c r="AC911"/>
      <c r="AD911"/>
      <c r="AE911"/>
      <c r="AF911"/>
      <c r="AG911"/>
      <c r="AH911"/>
      <c r="AI911"/>
    </row>
    <row r="912" spans="1:35" s="48" customFormat="1" x14ac:dyDescent="0.45">
      <c r="A912" s="3"/>
      <c r="H912"/>
      <c r="J912" s="49"/>
      <c r="K912" s="49"/>
      <c r="L912" s="50"/>
      <c r="M912" s="50"/>
      <c r="N912" s="50"/>
      <c r="O912" s="50"/>
      <c r="P912" s="50"/>
      <c r="Q912" s="50"/>
      <c r="R912" s="47"/>
      <c r="S912" s="50"/>
      <c r="T912" s="50"/>
      <c r="U912" s="50"/>
      <c r="V912" s="50"/>
      <c r="W912" s="50"/>
      <c r="X912"/>
      <c r="Y912"/>
      <c r="Z912"/>
      <c r="AA912"/>
      <c r="AB912"/>
      <c r="AC912"/>
      <c r="AD912"/>
      <c r="AE912"/>
      <c r="AF912"/>
      <c r="AG912"/>
      <c r="AH912"/>
      <c r="AI912"/>
    </row>
    <row r="913" spans="1:35" s="48" customFormat="1" x14ac:dyDescent="0.45">
      <c r="A913" s="3"/>
      <c r="H913"/>
      <c r="J913" s="49"/>
      <c r="K913" s="49"/>
      <c r="L913" s="50"/>
      <c r="M913" s="50"/>
      <c r="N913" s="50"/>
      <c r="O913" s="50"/>
      <c r="P913" s="50"/>
      <c r="Q913" s="50"/>
      <c r="R913" s="47"/>
      <c r="S913" s="50"/>
      <c r="T913" s="50"/>
      <c r="U913" s="50"/>
      <c r="V913" s="50"/>
      <c r="W913" s="50"/>
      <c r="X913"/>
      <c r="Y913"/>
      <c r="Z913"/>
      <c r="AA913"/>
      <c r="AB913"/>
      <c r="AC913"/>
      <c r="AD913"/>
      <c r="AE913"/>
      <c r="AF913"/>
      <c r="AG913"/>
      <c r="AH913"/>
      <c r="AI913"/>
    </row>
    <row r="914" spans="1:35" s="48" customFormat="1" x14ac:dyDescent="0.45">
      <c r="A914" s="3"/>
      <c r="H914"/>
      <c r="J914" s="49"/>
      <c r="K914" s="49"/>
      <c r="L914" s="50"/>
      <c r="M914" s="50"/>
      <c r="N914" s="50"/>
      <c r="O914" s="50"/>
      <c r="P914" s="50"/>
      <c r="Q914" s="50"/>
      <c r="R914" s="47"/>
      <c r="S914" s="50"/>
      <c r="T914" s="50"/>
      <c r="U914" s="50"/>
      <c r="V914" s="50"/>
      <c r="W914" s="50"/>
      <c r="X914"/>
      <c r="Y914"/>
      <c r="Z914"/>
      <c r="AA914"/>
      <c r="AB914"/>
      <c r="AC914"/>
      <c r="AD914"/>
      <c r="AE914"/>
      <c r="AF914"/>
      <c r="AG914"/>
      <c r="AH914"/>
      <c r="AI914"/>
    </row>
    <row r="915" spans="1:35" s="48" customFormat="1" x14ac:dyDescent="0.45">
      <c r="A915" s="3"/>
      <c r="H915"/>
      <c r="J915" s="49"/>
      <c r="K915" s="49"/>
      <c r="L915" s="50"/>
      <c r="M915" s="50"/>
      <c r="N915" s="50"/>
      <c r="O915" s="50"/>
      <c r="P915" s="50"/>
      <c r="Q915" s="50"/>
      <c r="R915" s="47"/>
      <c r="S915" s="50"/>
      <c r="T915" s="50"/>
      <c r="U915" s="50"/>
      <c r="V915" s="50"/>
      <c r="W915" s="50"/>
      <c r="X915"/>
      <c r="Y915"/>
      <c r="Z915"/>
      <c r="AA915"/>
      <c r="AB915"/>
      <c r="AC915"/>
      <c r="AD915"/>
      <c r="AE915"/>
      <c r="AF915"/>
      <c r="AG915"/>
      <c r="AH915"/>
      <c r="AI915"/>
    </row>
    <row r="916" spans="1:35" s="48" customFormat="1" x14ac:dyDescent="0.45">
      <c r="A916" s="3"/>
      <c r="H916"/>
      <c r="J916" s="49"/>
      <c r="K916" s="49"/>
      <c r="L916" s="50"/>
      <c r="M916" s="50"/>
      <c r="N916" s="50"/>
      <c r="O916" s="50"/>
      <c r="P916" s="50"/>
      <c r="Q916" s="50"/>
      <c r="R916" s="47"/>
      <c r="S916" s="50"/>
      <c r="T916" s="50"/>
      <c r="U916" s="50"/>
      <c r="V916" s="50"/>
      <c r="W916" s="50"/>
      <c r="X916"/>
      <c r="Y916"/>
      <c r="Z916"/>
      <c r="AA916"/>
      <c r="AB916"/>
      <c r="AC916"/>
      <c r="AD916"/>
      <c r="AE916"/>
      <c r="AF916"/>
      <c r="AG916"/>
      <c r="AH916"/>
      <c r="AI916"/>
    </row>
    <row r="917" spans="1:35" s="48" customFormat="1" x14ac:dyDescent="0.45">
      <c r="A917" s="3"/>
      <c r="H917"/>
      <c r="J917" s="49"/>
      <c r="K917" s="49"/>
      <c r="L917" s="50"/>
      <c r="M917" s="50"/>
      <c r="N917" s="50"/>
      <c r="O917" s="50"/>
      <c r="P917" s="50"/>
      <c r="Q917" s="50"/>
      <c r="R917" s="47"/>
      <c r="S917" s="50"/>
      <c r="T917" s="50"/>
      <c r="U917" s="50"/>
      <c r="V917" s="50"/>
      <c r="W917" s="50"/>
      <c r="X917"/>
      <c r="Y917"/>
      <c r="Z917"/>
      <c r="AA917"/>
      <c r="AB917"/>
      <c r="AC917"/>
      <c r="AD917"/>
      <c r="AE917"/>
      <c r="AF917"/>
      <c r="AG917"/>
      <c r="AH917"/>
      <c r="AI917"/>
    </row>
    <row r="918" spans="1:35" s="48" customFormat="1" x14ac:dyDescent="0.45">
      <c r="A918" s="3"/>
      <c r="H918"/>
      <c r="J918" s="49"/>
      <c r="K918" s="49"/>
      <c r="L918" s="50"/>
      <c r="M918" s="50"/>
      <c r="N918" s="50"/>
      <c r="O918" s="50"/>
      <c r="P918" s="50"/>
      <c r="Q918" s="50"/>
      <c r="R918" s="47"/>
      <c r="S918" s="50"/>
      <c r="T918" s="50"/>
      <c r="U918" s="50"/>
      <c r="V918" s="50"/>
      <c r="W918" s="50"/>
      <c r="X918"/>
      <c r="Y918"/>
      <c r="Z918"/>
      <c r="AA918"/>
      <c r="AB918"/>
      <c r="AC918"/>
      <c r="AD918"/>
      <c r="AE918"/>
      <c r="AF918"/>
      <c r="AG918"/>
      <c r="AH918"/>
      <c r="AI918"/>
    </row>
    <row r="919" spans="1:35" s="48" customFormat="1" x14ac:dyDescent="0.45">
      <c r="A919" s="3"/>
      <c r="H919"/>
      <c r="J919" s="49"/>
      <c r="K919" s="49"/>
      <c r="L919" s="50"/>
      <c r="M919" s="50"/>
      <c r="N919" s="50"/>
      <c r="O919" s="50"/>
      <c r="P919" s="50"/>
      <c r="Q919" s="50"/>
      <c r="R919" s="47"/>
      <c r="S919" s="50"/>
      <c r="T919" s="50"/>
      <c r="U919" s="50"/>
      <c r="V919" s="50"/>
      <c r="W919" s="50"/>
      <c r="X919"/>
      <c r="Y919"/>
      <c r="Z919"/>
      <c r="AA919"/>
      <c r="AB919"/>
      <c r="AC919"/>
      <c r="AD919"/>
      <c r="AE919"/>
      <c r="AF919"/>
      <c r="AG919"/>
      <c r="AH919"/>
      <c r="AI919"/>
    </row>
    <row r="920" spans="1:35" s="48" customFormat="1" x14ac:dyDescent="0.45">
      <c r="A920" s="3"/>
      <c r="H920"/>
      <c r="J920" s="49"/>
      <c r="K920" s="49"/>
      <c r="L920" s="50"/>
      <c r="M920" s="50"/>
      <c r="N920" s="50"/>
      <c r="O920" s="50"/>
      <c r="P920" s="50"/>
      <c r="Q920" s="50"/>
      <c r="R920" s="47"/>
      <c r="S920" s="50"/>
      <c r="T920" s="50"/>
      <c r="U920" s="50"/>
      <c r="V920" s="50"/>
      <c r="W920" s="50"/>
      <c r="X920"/>
      <c r="Y920"/>
      <c r="Z920"/>
      <c r="AA920"/>
      <c r="AB920"/>
      <c r="AC920"/>
      <c r="AD920"/>
      <c r="AE920"/>
      <c r="AF920"/>
      <c r="AG920"/>
      <c r="AH920"/>
      <c r="AI920"/>
    </row>
    <row r="921" spans="1:35" s="48" customFormat="1" x14ac:dyDescent="0.45">
      <c r="A921" s="3"/>
      <c r="H921"/>
      <c r="J921" s="49"/>
      <c r="K921" s="49"/>
      <c r="L921" s="50"/>
      <c r="M921" s="50"/>
      <c r="N921" s="50"/>
      <c r="O921" s="50"/>
      <c r="P921" s="50"/>
      <c r="Q921" s="50"/>
      <c r="R921" s="47"/>
      <c r="S921" s="50"/>
      <c r="T921" s="50"/>
      <c r="U921" s="50"/>
      <c r="V921" s="50"/>
      <c r="W921" s="50"/>
      <c r="X921"/>
      <c r="Y921"/>
      <c r="Z921"/>
      <c r="AA921"/>
      <c r="AB921"/>
      <c r="AC921"/>
      <c r="AD921"/>
      <c r="AE921"/>
      <c r="AF921"/>
      <c r="AG921"/>
      <c r="AH921"/>
      <c r="AI921"/>
    </row>
    <row r="922" spans="1:35" s="48" customFormat="1" x14ac:dyDescent="0.45">
      <c r="A922" s="3"/>
      <c r="H922"/>
      <c r="J922" s="49"/>
      <c r="K922" s="49"/>
      <c r="L922" s="50"/>
      <c r="M922" s="50"/>
      <c r="N922" s="50"/>
      <c r="O922" s="50"/>
      <c r="P922" s="50"/>
      <c r="Q922" s="50"/>
      <c r="R922" s="47"/>
      <c r="S922" s="50"/>
      <c r="T922" s="50"/>
      <c r="U922" s="50"/>
      <c r="V922" s="50"/>
      <c r="W922" s="50"/>
      <c r="X922"/>
      <c r="Y922"/>
      <c r="Z922"/>
      <c r="AA922"/>
      <c r="AB922"/>
      <c r="AC922"/>
      <c r="AD922"/>
      <c r="AE922"/>
      <c r="AF922"/>
      <c r="AG922"/>
      <c r="AH922"/>
      <c r="AI922"/>
    </row>
    <row r="923" spans="1:35" s="48" customFormat="1" x14ac:dyDescent="0.45">
      <c r="A923" s="3"/>
      <c r="H923"/>
      <c r="J923" s="49"/>
      <c r="K923" s="49"/>
      <c r="L923" s="50"/>
      <c r="M923" s="50"/>
      <c r="N923" s="50"/>
      <c r="O923" s="50"/>
      <c r="P923" s="50"/>
      <c r="Q923" s="50"/>
      <c r="R923" s="47"/>
      <c r="S923" s="50"/>
      <c r="T923" s="50"/>
      <c r="U923" s="50"/>
      <c r="V923" s="50"/>
      <c r="W923" s="50"/>
      <c r="X923"/>
      <c r="Y923"/>
      <c r="Z923"/>
      <c r="AA923"/>
      <c r="AB923"/>
      <c r="AC923"/>
      <c r="AD923"/>
      <c r="AE923"/>
      <c r="AF923"/>
      <c r="AG923"/>
      <c r="AH923"/>
      <c r="AI923"/>
    </row>
    <row r="924" spans="1:35" s="48" customFormat="1" x14ac:dyDescent="0.45">
      <c r="A924" s="3"/>
      <c r="H924"/>
      <c r="J924" s="49"/>
      <c r="K924" s="49"/>
      <c r="L924" s="50"/>
      <c r="M924" s="50"/>
      <c r="N924" s="50"/>
      <c r="O924" s="50"/>
      <c r="P924" s="50"/>
      <c r="Q924" s="50"/>
      <c r="R924" s="47"/>
      <c r="S924" s="50"/>
      <c r="T924" s="50"/>
      <c r="U924" s="50"/>
      <c r="V924" s="50"/>
      <c r="W924" s="50"/>
      <c r="X924"/>
      <c r="Y924"/>
      <c r="Z924"/>
      <c r="AA924"/>
      <c r="AB924"/>
      <c r="AC924"/>
      <c r="AD924"/>
      <c r="AE924"/>
      <c r="AF924"/>
      <c r="AG924"/>
      <c r="AH924"/>
      <c r="AI924"/>
    </row>
    <row r="925" spans="1:35" s="48" customFormat="1" x14ac:dyDescent="0.45">
      <c r="A925" s="3"/>
      <c r="H925"/>
      <c r="J925" s="49"/>
      <c r="K925" s="49"/>
      <c r="L925" s="50"/>
      <c r="M925" s="50"/>
      <c r="N925" s="50"/>
      <c r="O925" s="50"/>
      <c r="P925" s="50"/>
      <c r="Q925" s="50"/>
      <c r="R925" s="47"/>
      <c r="S925" s="50"/>
      <c r="T925" s="50"/>
      <c r="U925" s="50"/>
      <c r="V925" s="50"/>
      <c r="W925" s="50"/>
      <c r="X925"/>
      <c r="Y925"/>
      <c r="Z925"/>
      <c r="AA925"/>
      <c r="AB925"/>
      <c r="AC925"/>
      <c r="AD925"/>
      <c r="AE925"/>
      <c r="AF925"/>
      <c r="AG925"/>
      <c r="AH925"/>
      <c r="AI925"/>
    </row>
    <row r="926" spans="1:35" s="48" customFormat="1" x14ac:dyDescent="0.45">
      <c r="A926" s="3"/>
      <c r="H926"/>
      <c r="J926" s="49"/>
      <c r="K926" s="49"/>
      <c r="L926" s="50"/>
      <c r="M926" s="50"/>
      <c r="N926" s="50"/>
      <c r="O926" s="50"/>
      <c r="P926" s="50"/>
      <c r="Q926" s="50"/>
      <c r="R926" s="47"/>
      <c r="S926" s="50"/>
      <c r="T926" s="50"/>
      <c r="U926" s="50"/>
      <c r="V926" s="50"/>
      <c r="W926" s="50"/>
      <c r="X926"/>
      <c r="Y926"/>
      <c r="Z926"/>
      <c r="AA926"/>
      <c r="AB926"/>
      <c r="AC926"/>
      <c r="AD926"/>
      <c r="AE926"/>
      <c r="AF926"/>
      <c r="AG926"/>
      <c r="AH926"/>
      <c r="AI926"/>
    </row>
    <row r="927" spans="1:35" s="48" customFormat="1" x14ac:dyDescent="0.45">
      <c r="A927" s="3"/>
      <c r="H927"/>
      <c r="J927" s="49"/>
      <c r="K927" s="49"/>
      <c r="L927" s="50"/>
      <c r="M927" s="50"/>
      <c r="N927" s="50"/>
      <c r="O927" s="50"/>
      <c r="P927" s="50"/>
      <c r="Q927" s="50"/>
      <c r="R927" s="47"/>
      <c r="S927" s="50"/>
      <c r="T927" s="50"/>
      <c r="U927" s="50"/>
      <c r="V927" s="50"/>
      <c r="W927" s="50"/>
      <c r="X927"/>
      <c r="Y927"/>
      <c r="Z927"/>
      <c r="AA927"/>
      <c r="AB927"/>
      <c r="AC927"/>
      <c r="AD927"/>
      <c r="AE927"/>
      <c r="AF927"/>
      <c r="AG927"/>
      <c r="AH927"/>
      <c r="AI927"/>
    </row>
    <row r="928" spans="1:35" s="48" customFormat="1" x14ac:dyDescent="0.45">
      <c r="A928" s="3"/>
      <c r="H928"/>
      <c r="J928" s="49"/>
      <c r="K928" s="49"/>
      <c r="L928" s="50"/>
      <c r="M928" s="50"/>
      <c r="N928" s="50"/>
      <c r="O928" s="50"/>
      <c r="P928" s="50"/>
      <c r="Q928" s="50"/>
      <c r="R928" s="47"/>
      <c r="S928" s="50"/>
      <c r="T928" s="50"/>
      <c r="U928" s="50"/>
      <c r="V928" s="50"/>
      <c r="W928" s="50"/>
      <c r="X928"/>
      <c r="Y928"/>
      <c r="Z928"/>
      <c r="AA928"/>
      <c r="AB928"/>
      <c r="AC928"/>
      <c r="AD928"/>
      <c r="AE928"/>
      <c r="AF928"/>
      <c r="AG928"/>
      <c r="AH928"/>
      <c r="AI928"/>
    </row>
    <row r="929" spans="1:35" s="48" customFormat="1" x14ac:dyDescent="0.45">
      <c r="A929" s="3"/>
      <c r="H929"/>
      <c r="J929" s="49"/>
      <c r="K929" s="49"/>
      <c r="L929" s="50"/>
      <c r="M929" s="50"/>
      <c r="N929" s="50"/>
      <c r="O929" s="50"/>
      <c r="P929" s="50"/>
      <c r="Q929" s="50"/>
      <c r="R929" s="47"/>
      <c r="S929" s="50"/>
      <c r="T929" s="50"/>
      <c r="U929" s="50"/>
      <c r="V929" s="50"/>
      <c r="W929" s="50"/>
      <c r="X929"/>
      <c r="Y929"/>
      <c r="Z929"/>
      <c r="AA929"/>
      <c r="AB929"/>
      <c r="AC929"/>
      <c r="AD929"/>
      <c r="AE929"/>
      <c r="AF929"/>
      <c r="AG929"/>
      <c r="AH929"/>
      <c r="AI929"/>
    </row>
    <row r="930" spans="1:35" s="48" customFormat="1" x14ac:dyDescent="0.45">
      <c r="A930" s="3"/>
      <c r="H930"/>
      <c r="J930" s="49"/>
      <c r="K930" s="49"/>
      <c r="L930" s="50"/>
      <c r="M930" s="50"/>
      <c r="N930" s="50"/>
      <c r="O930" s="50"/>
      <c r="P930" s="50"/>
      <c r="Q930" s="50"/>
      <c r="R930" s="47"/>
      <c r="S930" s="50"/>
      <c r="T930" s="50"/>
      <c r="U930" s="50"/>
      <c r="V930" s="50"/>
      <c r="W930" s="50"/>
      <c r="X930"/>
      <c r="Y930"/>
      <c r="Z930"/>
      <c r="AA930"/>
      <c r="AB930"/>
      <c r="AC930"/>
      <c r="AD930"/>
      <c r="AE930"/>
      <c r="AF930"/>
      <c r="AG930"/>
      <c r="AH930"/>
      <c r="AI930"/>
    </row>
    <row r="931" spans="1:35" s="48" customFormat="1" x14ac:dyDescent="0.45">
      <c r="A931" s="3"/>
      <c r="H931"/>
      <c r="J931" s="49"/>
      <c r="K931" s="49"/>
      <c r="L931" s="50"/>
      <c r="M931" s="50"/>
      <c r="N931" s="50"/>
      <c r="O931" s="50"/>
      <c r="P931" s="50"/>
      <c r="Q931" s="50"/>
      <c r="R931" s="47"/>
      <c r="S931" s="50"/>
      <c r="T931" s="50"/>
      <c r="U931" s="50"/>
      <c r="V931" s="50"/>
      <c r="W931" s="50"/>
      <c r="X931"/>
      <c r="Y931"/>
      <c r="Z931"/>
      <c r="AA931"/>
      <c r="AB931"/>
      <c r="AC931"/>
      <c r="AD931"/>
      <c r="AE931"/>
      <c r="AF931"/>
      <c r="AG931"/>
      <c r="AH931"/>
      <c r="AI931"/>
    </row>
    <row r="932" spans="1:35" s="48" customFormat="1" x14ac:dyDescent="0.45">
      <c r="A932" s="3"/>
      <c r="H932"/>
      <c r="J932" s="49"/>
      <c r="K932" s="49"/>
      <c r="L932" s="50"/>
      <c r="M932" s="50"/>
      <c r="N932" s="50"/>
      <c r="O932" s="50"/>
      <c r="P932" s="50"/>
      <c r="Q932" s="50"/>
      <c r="R932" s="47"/>
      <c r="S932" s="50"/>
      <c r="T932" s="50"/>
      <c r="U932" s="50"/>
      <c r="V932" s="50"/>
      <c r="W932" s="50"/>
      <c r="X932"/>
      <c r="Y932"/>
      <c r="Z932"/>
      <c r="AA932"/>
      <c r="AB932"/>
      <c r="AC932"/>
      <c r="AD932"/>
      <c r="AE932"/>
      <c r="AF932"/>
      <c r="AG932"/>
      <c r="AH932"/>
      <c r="AI932"/>
    </row>
    <row r="933" spans="1:35" s="48" customFormat="1" x14ac:dyDescent="0.45">
      <c r="A933" s="3"/>
      <c r="H933"/>
      <c r="J933" s="49"/>
      <c r="K933" s="49"/>
      <c r="L933" s="50"/>
      <c r="M933" s="50"/>
      <c r="N933" s="50"/>
      <c r="O933" s="50"/>
      <c r="P933" s="50"/>
      <c r="Q933" s="50"/>
      <c r="R933" s="47"/>
      <c r="S933" s="50"/>
      <c r="T933" s="50"/>
      <c r="U933" s="50"/>
      <c r="V933" s="50"/>
      <c r="W933" s="50"/>
      <c r="X933"/>
      <c r="Y933"/>
      <c r="Z933"/>
      <c r="AA933"/>
      <c r="AB933"/>
      <c r="AC933"/>
      <c r="AD933"/>
      <c r="AE933"/>
      <c r="AF933"/>
      <c r="AG933"/>
      <c r="AH933"/>
      <c r="AI933"/>
    </row>
    <row r="934" spans="1:35" s="48" customFormat="1" x14ac:dyDescent="0.45">
      <c r="A934" s="3"/>
      <c r="H934"/>
      <c r="J934" s="49"/>
      <c r="K934" s="49"/>
      <c r="L934" s="50"/>
      <c r="M934" s="50"/>
      <c r="N934" s="50"/>
      <c r="O934" s="50"/>
      <c r="P934" s="50"/>
      <c r="Q934" s="50"/>
      <c r="R934" s="47"/>
      <c r="S934" s="50"/>
      <c r="T934" s="50"/>
      <c r="U934" s="50"/>
      <c r="V934" s="50"/>
      <c r="W934" s="50"/>
      <c r="X934"/>
      <c r="Y934"/>
      <c r="Z934"/>
      <c r="AA934"/>
      <c r="AB934"/>
      <c r="AC934"/>
      <c r="AD934"/>
      <c r="AE934"/>
      <c r="AF934"/>
      <c r="AG934"/>
      <c r="AH934"/>
      <c r="AI934"/>
    </row>
    <row r="935" spans="1:35" s="48" customFormat="1" x14ac:dyDescent="0.45">
      <c r="A935" s="3"/>
      <c r="H935"/>
      <c r="J935" s="49"/>
      <c r="K935" s="49"/>
      <c r="L935" s="50"/>
      <c r="M935" s="50"/>
      <c r="N935" s="50"/>
      <c r="O935" s="50"/>
      <c r="P935" s="50"/>
      <c r="Q935" s="50"/>
      <c r="R935" s="47"/>
      <c r="S935" s="50"/>
      <c r="T935" s="50"/>
      <c r="U935" s="50"/>
      <c r="V935" s="50"/>
      <c r="W935" s="50"/>
      <c r="X935"/>
      <c r="Y935"/>
      <c r="Z935"/>
      <c r="AA935"/>
      <c r="AB935"/>
      <c r="AC935"/>
      <c r="AD935"/>
      <c r="AE935"/>
      <c r="AF935"/>
      <c r="AG935"/>
      <c r="AH935"/>
      <c r="AI935"/>
    </row>
    <row r="936" spans="1:35" s="48" customFormat="1" x14ac:dyDescent="0.45">
      <c r="A936" s="3"/>
      <c r="H936"/>
      <c r="J936" s="49"/>
      <c r="K936" s="49"/>
      <c r="L936" s="50"/>
      <c r="M936" s="50"/>
      <c r="N936" s="50"/>
      <c r="O936" s="50"/>
      <c r="P936" s="50"/>
      <c r="Q936" s="50"/>
      <c r="R936" s="47"/>
      <c r="S936" s="50"/>
      <c r="T936" s="50"/>
      <c r="U936" s="50"/>
      <c r="V936" s="50"/>
      <c r="W936" s="50"/>
      <c r="X936"/>
      <c r="Y936"/>
      <c r="Z936"/>
      <c r="AA936"/>
      <c r="AB936"/>
      <c r="AC936"/>
      <c r="AD936"/>
      <c r="AE936"/>
      <c r="AF936"/>
      <c r="AG936"/>
      <c r="AH936"/>
      <c r="AI936"/>
    </row>
    <row r="937" spans="1:35" s="48" customFormat="1" x14ac:dyDescent="0.45">
      <c r="A937" s="3"/>
      <c r="H937"/>
      <c r="J937" s="49"/>
      <c r="K937" s="49"/>
      <c r="L937" s="50"/>
      <c r="M937" s="50"/>
      <c r="N937" s="50"/>
      <c r="O937" s="50"/>
      <c r="P937" s="50"/>
      <c r="Q937" s="50"/>
      <c r="R937" s="47"/>
      <c r="S937" s="50"/>
      <c r="T937" s="50"/>
      <c r="U937" s="50"/>
      <c r="V937" s="50"/>
      <c r="W937" s="50"/>
      <c r="X937"/>
      <c r="Y937"/>
      <c r="Z937"/>
      <c r="AA937"/>
      <c r="AB937"/>
      <c r="AC937"/>
      <c r="AD937"/>
      <c r="AE937"/>
      <c r="AF937"/>
      <c r="AG937"/>
      <c r="AH937"/>
      <c r="AI937"/>
    </row>
    <row r="938" spans="1:35" s="48" customFormat="1" x14ac:dyDescent="0.45">
      <c r="A938" s="3"/>
      <c r="H938"/>
      <c r="J938" s="49"/>
      <c r="K938" s="49"/>
      <c r="L938" s="50"/>
      <c r="M938" s="50"/>
      <c r="N938" s="50"/>
      <c r="O938" s="50"/>
      <c r="P938" s="50"/>
      <c r="Q938" s="50"/>
      <c r="R938" s="47"/>
      <c r="S938" s="50"/>
      <c r="T938" s="50"/>
      <c r="U938" s="50"/>
      <c r="V938" s="50"/>
      <c r="W938" s="50"/>
      <c r="X938"/>
      <c r="Y938"/>
      <c r="Z938"/>
      <c r="AA938"/>
      <c r="AB938"/>
      <c r="AC938"/>
      <c r="AD938"/>
      <c r="AE938"/>
      <c r="AF938"/>
      <c r="AG938"/>
      <c r="AH938"/>
      <c r="AI938"/>
    </row>
    <row r="939" spans="1:35" s="48" customFormat="1" x14ac:dyDescent="0.45">
      <c r="A939" s="3"/>
      <c r="H939"/>
      <c r="J939" s="49"/>
      <c r="K939" s="49"/>
      <c r="L939" s="50"/>
      <c r="M939" s="50"/>
      <c r="N939" s="50"/>
      <c r="O939" s="50"/>
      <c r="P939" s="50"/>
      <c r="Q939" s="50"/>
      <c r="R939" s="47"/>
      <c r="S939" s="50"/>
      <c r="T939" s="50"/>
      <c r="U939" s="50"/>
      <c r="V939" s="50"/>
      <c r="W939" s="50"/>
      <c r="X939"/>
      <c r="Y939"/>
      <c r="Z939"/>
      <c r="AA939"/>
      <c r="AB939"/>
      <c r="AC939"/>
      <c r="AD939"/>
      <c r="AE939"/>
      <c r="AF939"/>
      <c r="AG939"/>
      <c r="AH939"/>
      <c r="AI939"/>
    </row>
    <row r="940" spans="1:35" s="48" customFormat="1" x14ac:dyDescent="0.45">
      <c r="A940" s="3"/>
      <c r="H940"/>
      <c r="J940" s="49"/>
      <c r="K940" s="49"/>
      <c r="L940" s="50"/>
      <c r="M940" s="50"/>
      <c r="N940" s="50"/>
      <c r="O940" s="50"/>
      <c r="P940" s="50"/>
      <c r="Q940" s="50"/>
      <c r="R940" s="47"/>
      <c r="S940" s="50"/>
      <c r="T940" s="50"/>
      <c r="U940" s="50"/>
      <c r="V940" s="50"/>
      <c r="W940" s="50"/>
      <c r="X940"/>
      <c r="Y940"/>
      <c r="Z940"/>
      <c r="AA940"/>
      <c r="AB940"/>
      <c r="AC940"/>
      <c r="AD940"/>
      <c r="AE940"/>
      <c r="AF940"/>
      <c r="AG940"/>
      <c r="AH940"/>
      <c r="AI940"/>
    </row>
    <row r="941" spans="1:35" s="48" customFormat="1" x14ac:dyDescent="0.45">
      <c r="A941" s="3"/>
      <c r="H941"/>
      <c r="J941" s="49"/>
      <c r="K941" s="49"/>
      <c r="L941" s="50"/>
      <c r="M941" s="50"/>
      <c r="N941" s="50"/>
      <c r="O941" s="50"/>
      <c r="P941" s="50"/>
      <c r="Q941" s="50"/>
      <c r="R941" s="47"/>
      <c r="S941" s="50"/>
      <c r="T941" s="50"/>
      <c r="U941" s="50"/>
      <c r="V941" s="50"/>
      <c r="W941" s="50"/>
      <c r="X941"/>
      <c r="Y941"/>
      <c r="Z941"/>
      <c r="AA941"/>
      <c r="AB941"/>
      <c r="AC941"/>
      <c r="AD941"/>
      <c r="AE941"/>
      <c r="AF941"/>
      <c r="AG941"/>
      <c r="AH941"/>
      <c r="AI941"/>
    </row>
    <row r="942" spans="1:35" s="48" customFormat="1" x14ac:dyDescent="0.45">
      <c r="A942" s="3"/>
      <c r="H942"/>
      <c r="J942" s="49"/>
      <c r="K942" s="49"/>
      <c r="L942" s="50"/>
      <c r="M942" s="50"/>
      <c r="N942" s="50"/>
      <c r="O942" s="50"/>
      <c r="P942" s="50"/>
      <c r="Q942" s="50"/>
      <c r="R942" s="47"/>
      <c r="S942" s="50"/>
      <c r="T942" s="50"/>
      <c r="U942" s="50"/>
      <c r="V942" s="50"/>
      <c r="W942" s="50"/>
      <c r="X942"/>
      <c r="Y942"/>
      <c r="Z942"/>
      <c r="AA942"/>
      <c r="AB942"/>
      <c r="AC942"/>
      <c r="AD942"/>
      <c r="AE942"/>
      <c r="AF942"/>
      <c r="AG942"/>
      <c r="AH942"/>
      <c r="AI942"/>
    </row>
    <row r="943" spans="1:35" s="48" customFormat="1" x14ac:dyDescent="0.45">
      <c r="A943" s="3"/>
      <c r="H943"/>
      <c r="J943" s="49"/>
      <c r="K943" s="49"/>
      <c r="L943" s="50"/>
      <c r="M943" s="50"/>
      <c r="N943" s="50"/>
      <c r="O943" s="50"/>
      <c r="P943" s="50"/>
      <c r="Q943" s="50"/>
      <c r="R943" s="47"/>
      <c r="S943" s="50"/>
      <c r="T943" s="50"/>
      <c r="U943" s="50"/>
      <c r="V943" s="50"/>
      <c r="W943" s="50"/>
      <c r="X943"/>
      <c r="Y943"/>
      <c r="Z943"/>
      <c r="AA943"/>
      <c r="AB943"/>
      <c r="AC943"/>
      <c r="AD943"/>
      <c r="AE943"/>
      <c r="AF943"/>
      <c r="AG943"/>
      <c r="AH943"/>
      <c r="AI943"/>
    </row>
    <row r="944" spans="1:35" s="48" customFormat="1" x14ac:dyDescent="0.45">
      <c r="A944" s="3"/>
      <c r="H944"/>
      <c r="J944" s="49"/>
      <c r="K944" s="49"/>
      <c r="L944" s="50"/>
      <c r="M944" s="50"/>
      <c r="N944" s="50"/>
      <c r="O944" s="50"/>
      <c r="P944" s="50"/>
      <c r="Q944" s="50"/>
      <c r="R944" s="47"/>
      <c r="S944" s="50"/>
      <c r="T944" s="50"/>
      <c r="U944" s="50"/>
      <c r="V944" s="50"/>
      <c r="W944" s="50"/>
      <c r="X944"/>
      <c r="Y944"/>
      <c r="Z944"/>
      <c r="AA944"/>
      <c r="AB944"/>
      <c r="AC944"/>
      <c r="AD944"/>
      <c r="AE944"/>
      <c r="AF944"/>
      <c r="AG944"/>
      <c r="AH944"/>
      <c r="AI944"/>
    </row>
    <row r="945" spans="1:35" s="48" customFormat="1" x14ac:dyDescent="0.45">
      <c r="A945" s="3"/>
      <c r="H945"/>
      <c r="J945" s="49"/>
      <c r="K945" s="49"/>
      <c r="L945" s="50"/>
      <c r="M945" s="50"/>
      <c r="N945" s="50"/>
      <c r="O945" s="50"/>
      <c r="P945" s="50"/>
      <c r="Q945" s="50"/>
      <c r="R945" s="47"/>
      <c r="S945" s="50"/>
      <c r="T945" s="50"/>
      <c r="U945" s="50"/>
      <c r="V945" s="50"/>
      <c r="W945" s="50"/>
      <c r="X945"/>
      <c r="Y945"/>
      <c r="Z945"/>
      <c r="AA945"/>
      <c r="AB945"/>
      <c r="AC945"/>
      <c r="AD945"/>
      <c r="AE945"/>
      <c r="AF945"/>
      <c r="AG945"/>
      <c r="AH945"/>
      <c r="AI945"/>
    </row>
    <row r="946" spans="1:35" s="48" customFormat="1" x14ac:dyDescent="0.45">
      <c r="A946" s="3"/>
      <c r="H946"/>
      <c r="J946" s="49"/>
      <c r="K946" s="49"/>
      <c r="L946" s="50"/>
      <c r="M946" s="50"/>
      <c r="N946" s="50"/>
      <c r="O946" s="50"/>
      <c r="P946" s="50"/>
      <c r="Q946" s="50"/>
      <c r="R946" s="47"/>
      <c r="S946" s="50"/>
      <c r="T946" s="50"/>
      <c r="U946" s="50"/>
      <c r="V946" s="50"/>
      <c r="W946" s="50"/>
      <c r="X946"/>
      <c r="Y946"/>
      <c r="Z946"/>
      <c r="AA946"/>
      <c r="AB946"/>
      <c r="AC946"/>
      <c r="AD946"/>
      <c r="AE946"/>
      <c r="AF946"/>
      <c r="AG946"/>
      <c r="AH946"/>
      <c r="AI946"/>
    </row>
    <row r="947" spans="1:35" s="48" customFormat="1" x14ac:dyDescent="0.45">
      <c r="A947" s="3"/>
      <c r="H947"/>
      <c r="J947" s="49"/>
      <c r="K947" s="49"/>
      <c r="L947" s="50"/>
      <c r="M947" s="50"/>
      <c r="N947" s="50"/>
      <c r="O947" s="50"/>
      <c r="P947" s="50"/>
      <c r="Q947" s="50"/>
      <c r="R947" s="47"/>
      <c r="S947" s="50"/>
      <c r="T947" s="50"/>
      <c r="U947" s="50"/>
      <c r="V947" s="50"/>
      <c r="W947" s="50"/>
      <c r="X947"/>
      <c r="Y947"/>
      <c r="Z947"/>
      <c r="AA947"/>
      <c r="AB947"/>
      <c r="AC947"/>
      <c r="AD947"/>
      <c r="AE947"/>
      <c r="AF947"/>
      <c r="AG947"/>
      <c r="AH947"/>
      <c r="AI947"/>
    </row>
    <row r="948" spans="1:35" s="48" customFormat="1" x14ac:dyDescent="0.45">
      <c r="A948" s="3"/>
      <c r="H948"/>
      <c r="J948" s="49"/>
      <c r="K948" s="49"/>
      <c r="L948" s="50"/>
      <c r="M948" s="50"/>
      <c r="N948" s="50"/>
      <c r="O948" s="50"/>
      <c r="P948" s="50"/>
      <c r="Q948" s="50"/>
      <c r="R948" s="47"/>
      <c r="S948" s="50"/>
      <c r="T948" s="50"/>
      <c r="U948" s="50"/>
      <c r="V948" s="50"/>
      <c r="W948" s="50"/>
      <c r="X948"/>
      <c r="Y948"/>
      <c r="Z948"/>
      <c r="AA948"/>
      <c r="AB948"/>
      <c r="AC948"/>
      <c r="AD948"/>
      <c r="AE948"/>
      <c r="AF948"/>
      <c r="AG948"/>
      <c r="AH948"/>
      <c r="AI948"/>
    </row>
    <row r="949" spans="1:35" s="48" customFormat="1" x14ac:dyDescent="0.45">
      <c r="A949" s="3"/>
      <c r="H949"/>
      <c r="J949" s="49"/>
      <c r="K949" s="49"/>
      <c r="L949" s="50"/>
      <c r="M949" s="50"/>
      <c r="N949" s="50"/>
      <c r="O949" s="50"/>
      <c r="P949" s="50"/>
      <c r="Q949" s="50"/>
      <c r="R949" s="47"/>
      <c r="S949" s="50"/>
      <c r="T949" s="50"/>
      <c r="U949" s="50"/>
      <c r="V949" s="50"/>
      <c r="W949" s="50"/>
      <c r="X949"/>
      <c r="Y949"/>
      <c r="Z949"/>
      <c r="AA949"/>
      <c r="AB949"/>
      <c r="AC949"/>
      <c r="AD949"/>
      <c r="AE949"/>
      <c r="AF949"/>
      <c r="AG949"/>
      <c r="AH949"/>
      <c r="AI949"/>
    </row>
    <row r="950" spans="1:35" s="48" customFormat="1" x14ac:dyDescent="0.45">
      <c r="A950" s="3"/>
      <c r="H950"/>
      <c r="J950" s="49"/>
      <c r="K950" s="49"/>
      <c r="L950" s="50"/>
      <c r="M950" s="50"/>
      <c r="N950" s="50"/>
      <c r="O950" s="50"/>
      <c r="P950" s="50"/>
      <c r="Q950" s="50"/>
      <c r="R950" s="47"/>
      <c r="S950" s="50"/>
      <c r="T950" s="50"/>
      <c r="U950" s="50"/>
      <c r="V950" s="50"/>
      <c r="W950" s="50"/>
      <c r="X950"/>
      <c r="Y950"/>
      <c r="Z950"/>
      <c r="AA950"/>
      <c r="AB950"/>
      <c r="AC950"/>
      <c r="AD950"/>
      <c r="AE950"/>
      <c r="AF950"/>
      <c r="AG950"/>
      <c r="AH950"/>
      <c r="AI950"/>
    </row>
    <row r="951" spans="1:35" s="48" customFormat="1" x14ac:dyDescent="0.45">
      <c r="A951" s="3"/>
      <c r="H951"/>
      <c r="J951" s="49"/>
      <c r="K951" s="49"/>
      <c r="L951" s="50"/>
      <c r="M951" s="50"/>
      <c r="N951" s="50"/>
      <c r="O951" s="50"/>
      <c r="P951" s="50"/>
      <c r="Q951" s="50"/>
      <c r="R951" s="47"/>
      <c r="S951" s="50"/>
      <c r="T951" s="50"/>
      <c r="U951" s="50"/>
      <c r="V951" s="50"/>
      <c r="W951" s="50"/>
      <c r="X951"/>
      <c r="Y951"/>
      <c r="Z951"/>
      <c r="AA951"/>
      <c r="AB951"/>
      <c r="AC951"/>
      <c r="AD951"/>
      <c r="AE951"/>
      <c r="AF951"/>
      <c r="AG951"/>
      <c r="AH951"/>
      <c r="AI951"/>
    </row>
    <row r="952" spans="1:35" s="48" customFormat="1" x14ac:dyDescent="0.45">
      <c r="A952" s="3"/>
      <c r="H952"/>
      <c r="J952" s="49"/>
      <c r="K952" s="49"/>
      <c r="L952" s="50"/>
      <c r="M952" s="50"/>
      <c r="N952" s="50"/>
      <c r="O952" s="50"/>
      <c r="P952" s="50"/>
      <c r="Q952" s="50"/>
      <c r="R952" s="47"/>
      <c r="S952" s="50"/>
      <c r="T952" s="50"/>
      <c r="U952" s="50"/>
      <c r="V952" s="50"/>
      <c r="W952" s="50"/>
      <c r="X952"/>
      <c r="Y952"/>
      <c r="Z952"/>
      <c r="AA952"/>
      <c r="AB952"/>
      <c r="AC952"/>
      <c r="AD952"/>
      <c r="AE952"/>
      <c r="AF952"/>
      <c r="AG952"/>
      <c r="AH952"/>
      <c r="AI952"/>
    </row>
    <row r="953" spans="1:35" s="48" customFormat="1" x14ac:dyDescent="0.45">
      <c r="A953" s="3"/>
      <c r="H953"/>
      <c r="J953" s="49"/>
      <c r="K953" s="49"/>
      <c r="L953" s="50"/>
      <c r="M953" s="50"/>
      <c r="N953" s="50"/>
      <c r="O953" s="50"/>
      <c r="P953" s="50"/>
      <c r="Q953" s="50"/>
      <c r="R953" s="47"/>
      <c r="S953" s="50"/>
      <c r="T953" s="50"/>
      <c r="U953" s="50"/>
      <c r="V953" s="50"/>
      <c r="W953" s="50"/>
      <c r="X953"/>
      <c r="Y953"/>
      <c r="Z953"/>
      <c r="AA953"/>
      <c r="AB953"/>
      <c r="AC953"/>
      <c r="AD953"/>
      <c r="AE953"/>
      <c r="AF953"/>
      <c r="AG953"/>
      <c r="AH953"/>
      <c r="AI953"/>
    </row>
    <row r="954" spans="1:35" s="48" customFormat="1" x14ac:dyDescent="0.45">
      <c r="A954" s="3"/>
      <c r="H954"/>
      <c r="J954" s="49"/>
      <c r="K954" s="49"/>
      <c r="L954" s="50"/>
      <c r="M954" s="50"/>
      <c r="N954" s="50"/>
      <c r="O954" s="50"/>
      <c r="P954" s="50"/>
      <c r="Q954" s="50"/>
      <c r="R954" s="47"/>
      <c r="S954" s="50"/>
      <c r="T954" s="50"/>
      <c r="U954" s="50"/>
      <c r="V954" s="50"/>
      <c r="W954" s="50"/>
      <c r="X954"/>
      <c r="Y954"/>
      <c r="Z954"/>
      <c r="AA954"/>
      <c r="AB954"/>
      <c r="AC954"/>
      <c r="AD954"/>
      <c r="AE954"/>
      <c r="AF954"/>
      <c r="AG954"/>
      <c r="AH954"/>
      <c r="AI954"/>
    </row>
    <row r="955" spans="1:35" s="48" customFormat="1" x14ac:dyDescent="0.45">
      <c r="A955" s="3"/>
      <c r="H955"/>
      <c r="J955" s="49"/>
      <c r="K955" s="49"/>
      <c r="L955" s="50"/>
      <c r="M955" s="50"/>
      <c r="N955" s="50"/>
      <c r="O955" s="50"/>
      <c r="P955" s="50"/>
      <c r="Q955" s="50"/>
      <c r="R955" s="47"/>
      <c r="S955" s="50"/>
      <c r="T955" s="50"/>
      <c r="U955" s="50"/>
      <c r="V955" s="50"/>
      <c r="W955" s="50"/>
      <c r="X955"/>
      <c r="Y955"/>
      <c r="Z955"/>
      <c r="AA955"/>
      <c r="AB955"/>
      <c r="AC955"/>
      <c r="AD955"/>
      <c r="AE955"/>
      <c r="AF955"/>
      <c r="AG955"/>
      <c r="AH955"/>
      <c r="AI955"/>
    </row>
    <row r="956" spans="1:35" s="48" customFormat="1" x14ac:dyDescent="0.45">
      <c r="A956" s="3"/>
      <c r="H956"/>
      <c r="J956" s="49"/>
      <c r="K956" s="49"/>
      <c r="L956" s="50"/>
      <c r="M956" s="50"/>
      <c r="N956" s="50"/>
      <c r="O956" s="50"/>
      <c r="P956" s="50"/>
      <c r="Q956" s="50"/>
      <c r="R956" s="47"/>
      <c r="S956" s="50"/>
      <c r="T956" s="50"/>
      <c r="U956" s="50"/>
      <c r="V956" s="50"/>
      <c r="W956" s="50"/>
      <c r="X956"/>
      <c r="Y956"/>
      <c r="Z956"/>
      <c r="AA956"/>
      <c r="AB956"/>
      <c r="AC956"/>
      <c r="AD956"/>
      <c r="AE956"/>
      <c r="AF956"/>
      <c r="AG956"/>
      <c r="AH956"/>
      <c r="AI956"/>
    </row>
    <row r="957" spans="1:35" s="48" customFormat="1" x14ac:dyDescent="0.45">
      <c r="A957" s="3"/>
      <c r="H957"/>
      <c r="J957" s="49"/>
      <c r="K957" s="49"/>
      <c r="L957" s="50"/>
      <c r="M957" s="50"/>
      <c r="N957" s="50"/>
      <c r="O957" s="50"/>
      <c r="P957" s="50"/>
      <c r="Q957" s="50"/>
      <c r="R957" s="47"/>
      <c r="S957" s="50"/>
      <c r="T957" s="50"/>
      <c r="U957" s="50"/>
      <c r="V957" s="50"/>
      <c r="W957" s="50"/>
      <c r="X957"/>
      <c r="Y957"/>
      <c r="Z957"/>
      <c r="AA957"/>
      <c r="AB957"/>
      <c r="AC957"/>
      <c r="AD957"/>
      <c r="AE957"/>
      <c r="AF957"/>
      <c r="AG957"/>
      <c r="AH957"/>
      <c r="AI957"/>
    </row>
    <row r="958" spans="1:35" s="48" customFormat="1" x14ac:dyDescent="0.45">
      <c r="A958" s="3"/>
      <c r="H958"/>
      <c r="J958" s="49"/>
      <c r="K958" s="49"/>
      <c r="L958" s="50"/>
      <c r="M958" s="50"/>
      <c r="N958" s="50"/>
      <c r="O958" s="50"/>
      <c r="P958" s="50"/>
      <c r="Q958" s="50"/>
      <c r="R958" s="47"/>
      <c r="S958" s="50"/>
      <c r="T958" s="50"/>
      <c r="U958" s="50"/>
      <c r="V958" s="50"/>
      <c r="W958" s="50"/>
      <c r="X958"/>
      <c r="Y958"/>
      <c r="Z958"/>
      <c r="AA958"/>
      <c r="AB958"/>
      <c r="AC958"/>
      <c r="AD958"/>
      <c r="AE958"/>
      <c r="AF958"/>
      <c r="AG958"/>
      <c r="AH958"/>
      <c r="AI958"/>
    </row>
    <row r="959" spans="1:35" s="48" customFormat="1" x14ac:dyDescent="0.45">
      <c r="A959" s="3"/>
      <c r="H959"/>
      <c r="J959" s="49"/>
      <c r="K959" s="49"/>
      <c r="L959" s="50"/>
      <c r="M959" s="50"/>
      <c r="N959" s="50"/>
      <c r="O959" s="50"/>
      <c r="P959" s="50"/>
      <c r="Q959" s="50"/>
      <c r="R959" s="47"/>
      <c r="S959" s="50"/>
      <c r="T959" s="50"/>
      <c r="U959" s="50"/>
      <c r="V959" s="50"/>
      <c r="W959" s="50"/>
      <c r="X959"/>
      <c r="Y959"/>
      <c r="Z959"/>
      <c r="AA959"/>
      <c r="AB959"/>
      <c r="AC959"/>
      <c r="AD959"/>
      <c r="AE959"/>
      <c r="AF959"/>
      <c r="AG959"/>
      <c r="AH959"/>
      <c r="AI959"/>
    </row>
    <row r="960" spans="1:35" s="48" customFormat="1" x14ac:dyDescent="0.45">
      <c r="A960" s="3"/>
      <c r="H960"/>
      <c r="J960" s="49"/>
      <c r="K960" s="49"/>
      <c r="L960" s="50"/>
      <c r="M960" s="50"/>
      <c r="N960" s="50"/>
      <c r="O960" s="50"/>
      <c r="P960" s="50"/>
      <c r="Q960" s="50"/>
      <c r="R960" s="47"/>
      <c r="S960" s="50"/>
      <c r="T960" s="50"/>
      <c r="U960" s="50"/>
      <c r="V960" s="50"/>
      <c r="W960" s="50"/>
      <c r="X960"/>
      <c r="Y960"/>
      <c r="Z960"/>
      <c r="AA960"/>
      <c r="AB960"/>
      <c r="AC960"/>
      <c r="AD960"/>
      <c r="AE960"/>
      <c r="AF960"/>
      <c r="AG960"/>
      <c r="AH960"/>
      <c r="AI960"/>
    </row>
    <row r="961" spans="1:35" s="48" customFormat="1" x14ac:dyDescent="0.45">
      <c r="A961" s="3"/>
      <c r="H961"/>
      <c r="J961" s="49"/>
      <c r="K961" s="49"/>
      <c r="L961" s="50"/>
      <c r="M961" s="50"/>
      <c r="N961" s="50"/>
      <c r="O961" s="50"/>
      <c r="P961" s="50"/>
      <c r="Q961" s="50"/>
      <c r="R961" s="47"/>
      <c r="S961" s="50"/>
      <c r="T961" s="50"/>
      <c r="U961" s="50"/>
      <c r="V961" s="50"/>
      <c r="W961" s="50"/>
      <c r="X961"/>
      <c r="Y961"/>
      <c r="Z961"/>
      <c r="AA961"/>
      <c r="AB961"/>
      <c r="AC961"/>
      <c r="AD961"/>
      <c r="AE961"/>
      <c r="AF961"/>
      <c r="AG961"/>
      <c r="AH961"/>
      <c r="AI961"/>
    </row>
    <row r="962" spans="1:35" s="48" customFormat="1" x14ac:dyDescent="0.45">
      <c r="A962" s="3"/>
      <c r="H962"/>
      <c r="J962" s="49"/>
      <c r="K962" s="49"/>
      <c r="L962" s="50"/>
      <c r="M962" s="50"/>
      <c r="N962" s="50"/>
      <c r="O962" s="50"/>
      <c r="P962" s="50"/>
      <c r="Q962" s="50"/>
      <c r="R962" s="47"/>
      <c r="S962" s="50"/>
      <c r="T962" s="50"/>
      <c r="U962" s="50"/>
      <c r="V962" s="50"/>
      <c r="W962" s="50"/>
      <c r="X962"/>
      <c r="Y962"/>
      <c r="Z962"/>
      <c r="AA962"/>
      <c r="AB962"/>
      <c r="AC962"/>
      <c r="AD962"/>
      <c r="AE962"/>
      <c r="AF962"/>
      <c r="AG962"/>
      <c r="AH962"/>
      <c r="AI962"/>
    </row>
    <row r="963" spans="1:35" s="48" customFormat="1" x14ac:dyDescent="0.45">
      <c r="A963" s="3"/>
      <c r="H963"/>
      <c r="J963" s="49"/>
      <c r="K963" s="49"/>
      <c r="L963" s="50"/>
      <c r="M963" s="50"/>
      <c r="N963" s="50"/>
      <c r="O963" s="50"/>
      <c r="P963" s="50"/>
      <c r="Q963" s="50"/>
      <c r="R963" s="47"/>
      <c r="S963" s="50"/>
      <c r="T963" s="50"/>
      <c r="U963" s="50"/>
      <c r="V963" s="50"/>
      <c r="W963" s="50"/>
      <c r="X963"/>
      <c r="Y963"/>
      <c r="Z963"/>
      <c r="AA963"/>
      <c r="AB963"/>
      <c r="AC963"/>
      <c r="AD963"/>
      <c r="AE963"/>
      <c r="AF963"/>
      <c r="AG963"/>
      <c r="AH963"/>
      <c r="AI963"/>
    </row>
    <row r="964" spans="1:35" s="48" customFormat="1" x14ac:dyDescent="0.45">
      <c r="A964" s="3"/>
      <c r="H964"/>
      <c r="J964" s="49"/>
      <c r="K964" s="49"/>
      <c r="L964" s="50"/>
      <c r="M964" s="50"/>
      <c r="N964" s="50"/>
      <c r="O964" s="50"/>
      <c r="P964" s="50"/>
      <c r="Q964" s="50"/>
      <c r="R964" s="47"/>
      <c r="S964" s="50"/>
      <c r="T964" s="50"/>
      <c r="U964" s="50"/>
      <c r="V964" s="50"/>
      <c r="W964" s="50"/>
      <c r="X964"/>
      <c r="Y964"/>
      <c r="Z964"/>
      <c r="AA964"/>
      <c r="AB964"/>
      <c r="AC964"/>
      <c r="AD964"/>
      <c r="AE964"/>
      <c r="AF964"/>
      <c r="AG964"/>
      <c r="AH964"/>
      <c r="AI964"/>
    </row>
    <row r="965" spans="1:35" s="48" customFormat="1" x14ac:dyDescent="0.45">
      <c r="A965" s="3"/>
      <c r="H965"/>
      <c r="J965" s="49"/>
      <c r="K965" s="49"/>
      <c r="L965" s="50"/>
      <c r="M965" s="50"/>
      <c r="N965" s="50"/>
      <c r="O965" s="50"/>
      <c r="P965" s="50"/>
      <c r="Q965" s="50"/>
      <c r="R965" s="47"/>
      <c r="S965" s="50"/>
      <c r="T965" s="50"/>
      <c r="U965" s="50"/>
      <c r="V965" s="50"/>
      <c r="W965" s="50"/>
      <c r="X965"/>
      <c r="Y965"/>
      <c r="Z965"/>
      <c r="AA965"/>
      <c r="AB965"/>
      <c r="AC965"/>
      <c r="AD965"/>
      <c r="AE965"/>
      <c r="AF965"/>
      <c r="AG965"/>
      <c r="AH965"/>
      <c r="AI965"/>
    </row>
    <row r="966" spans="1:35" s="48" customFormat="1" x14ac:dyDescent="0.45">
      <c r="A966" s="3"/>
      <c r="H966"/>
      <c r="J966" s="49"/>
      <c r="K966" s="49"/>
      <c r="L966" s="50"/>
      <c r="M966" s="50"/>
      <c r="N966" s="50"/>
      <c r="O966" s="50"/>
      <c r="P966" s="50"/>
      <c r="Q966" s="50"/>
      <c r="R966" s="47"/>
      <c r="S966" s="50"/>
      <c r="T966" s="50"/>
      <c r="U966" s="50"/>
      <c r="V966" s="50"/>
      <c r="W966" s="50"/>
      <c r="X966"/>
      <c r="Y966"/>
      <c r="Z966"/>
      <c r="AA966"/>
      <c r="AB966"/>
      <c r="AC966"/>
      <c r="AD966"/>
      <c r="AE966"/>
      <c r="AF966"/>
      <c r="AG966"/>
      <c r="AH966"/>
      <c r="AI966"/>
    </row>
    <row r="967" spans="1:35" s="48" customFormat="1" x14ac:dyDescent="0.45">
      <c r="A967" s="3"/>
      <c r="H967"/>
      <c r="J967" s="49"/>
      <c r="K967" s="49"/>
      <c r="L967" s="50"/>
      <c r="M967" s="50"/>
      <c r="N967" s="50"/>
      <c r="O967" s="50"/>
      <c r="P967" s="50"/>
      <c r="Q967" s="50"/>
      <c r="R967" s="47"/>
      <c r="S967" s="50"/>
      <c r="T967" s="50"/>
      <c r="U967" s="50"/>
      <c r="V967" s="50"/>
      <c r="W967" s="50"/>
      <c r="X967"/>
      <c r="Y967"/>
      <c r="Z967"/>
      <c r="AA967"/>
      <c r="AB967"/>
      <c r="AC967"/>
      <c r="AD967"/>
      <c r="AE967"/>
      <c r="AF967"/>
      <c r="AG967"/>
      <c r="AH967"/>
      <c r="AI967"/>
    </row>
    <row r="968" spans="1:35" s="48" customFormat="1" x14ac:dyDescent="0.45">
      <c r="A968" s="3"/>
      <c r="H968"/>
      <c r="J968" s="49"/>
      <c r="K968" s="49"/>
      <c r="L968" s="50"/>
      <c r="M968" s="50"/>
      <c r="N968" s="50"/>
      <c r="O968" s="50"/>
      <c r="P968" s="50"/>
      <c r="Q968" s="50"/>
      <c r="R968" s="47"/>
      <c r="S968" s="50"/>
      <c r="T968" s="50"/>
      <c r="U968" s="50"/>
      <c r="V968" s="50"/>
      <c r="W968" s="50"/>
      <c r="X968"/>
      <c r="Y968"/>
      <c r="Z968"/>
      <c r="AA968"/>
      <c r="AB968"/>
      <c r="AC968"/>
      <c r="AD968"/>
      <c r="AE968"/>
      <c r="AF968"/>
      <c r="AG968"/>
      <c r="AH968"/>
      <c r="AI968"/>
    </row>
    <row r="969" spans="1:35" s="48" customFormat="1" x14ac:dyDescent="0.45">
      <c r="A969" s="3"/>
      <c r="H969"/>
      <c r="J969" s="49"/>
      <c r="K969" s="49"/>
      <c r="L969" s="50"/>
      <c r="M969" s="50"/>
      <c r="N969" s="50"/>
      <c r="O969" s="50"/>
      <c r="P969" s="50"/>
      <c r="Q969" s="50"/>
      <c r="R969" s="47"/>
      <c r="S969" s="50"/>
      <c r="T969" s="50"/>
      <c r="U969" s="50"/>
      <c r="V969" s="50"/>
      <c r="W969" s="50"/>
      <c r="X969"/>
      <c r="Y969"/>
      <c r="Z969"/>
      <c r="AA969"/>
      <c r="AB969"/>
      <c r="AC969"/>
      <c r="AD969"/>
      <c r="AE969"/>
      <c r="AF969"/>
      <c r="AG969"/>
      <c r="AH969"/>
      <c r="AI969"/>
    </row>
    <row r="970" spans="1:35" s="48" customFormat="1" x14ac:dyDescent="0.45">
      <c r="A970" s="3"/>
      <c r="H970"/>
      <c r="J970" s="49"/>
      <c r="K970" s="49"/>
      <c r="L970" s="50"/>
      <c r="M970" s="50"/>
      <c r="N970" s="50"/>
      <c r="O970" s="50"/>
      <c r="P970" s="50"/>
      <c r="Q970" s="50"/>
      <c r="R970" s="47"/>
      <c r="S970" s="50"/>
      <c r="T970" s="50"/>
      <c r="U970" s="50"/>
      <c r="V970" s="50"/>
      <c r="W970" s="50"/>
      <c r="X970"/>
      <c r="Y970"/>
      <c r="Z970"/>
      <c r="AA970"/>
      <c r="AB970"/>
      <c r="AC970"/>
      <c r="AD970"/>
      <c r="AE970"/>
      <c r="AF970"/>
      <c r="AG970"/>
      <c r="AH970"/>
      <c r="AI970"/>
    </row>
    <row r="971" spans="1:35" s="48" customFormat="1" x14ac:dyDescent="0.45">
      <c r="A971" s="3"/>
      <c r="H971"/>
      <c r="J971" s="49"/>
      <c r="K971" s="49"/>
      <c r="L971" s="50"/>
      <c r="M971" s="50"/>
      <c r="N971" s="50"/>
      <c r="O971" s="50"/>
      <c r="P971" s="50"/>
      <c r="Q971" s="50"/>
      <c r="R971" s="47"/>
      <c r="S971" s="50"/>
      <c r="T971" s="50"/>
      <c r="U971" s="50"/>
      <c r="V971" s="50"/>
      <c r="W971" s="50"/>
      <c r="X971"/>
      <c r="Y971"/>
      <c r="Z971"/>
      <c r="AA971"/>
      <c r="AB971"/>
      <c r="AC971"/>
      <c r="AD971"/>
      <c r="AE971"/>
      <c r="AF971"/>
      <c r="AG971"/>
      <c r="AH971"/>
      <c r="AI971"/>
    </row>
    <row r="972" spans="1:35" s="48" customFormat="1" x14ac:dyDescent="0.45">
      <c r="A972" s="3"/>
      <c r="H972"/>
      <c r="J972" s="49"/>
      <c r="K972" s="49"/>
      <c r="L972" s="50"/>
      <c r="M972" s="50"/>
      <c r="N972" s="50"/>
      <c r="O972" s="50"/>
      <c r="P972" s="50"/>
      <c r="Q972" s="50"/>
      <c r="R972" s="47"/>
      <c r="S972" s="50"/>
      <c r="T972" s="50"/>
      <c r="U972" s="50"/>
      <c r="V972" s="50"/>
      <c r="W972" s="50"/>
      <c r="X972"/>
      <c r="Y972"/>
      <c r="Z972"/>
      <c r="AA972"/>
      <c r="AB972"/>
      <c r="AC972"/>
      <c r="AD972"/>
      <c r="AE972"/>
      <c r="AF972"/>
      <c r="AG972"/>
      <c r="AH972"/>
      <c r="AI972"/>
    </row>
    <row r="973" spans="1:35" s="48" customFormat="1" x14ac:dyDescent="0.45">
      <c r="A973" s="3"/>
      <c r="H973"/>
      <c r="J973" s="49"/>
      <c r="K973" s="49"/>
      <c r="L973" s="50"/>
      <c r="M973" s="50"/>
      <c r="N973" s="50"/>
      <c r="O973" s="50"/>
      <c r="P973" s="50"/>
      <c r="Q973" s="50"/>
      <c r="R973" s="47"/>
      <c r="S973" s="50"/>
      <c r="T973" s="50"/>
      <c r="U973" s="50"/>
      <c r="V973" s="50"/>
      <c r="W973" s="50"/>
      <c r="X973"/>
      <c r="Y973"/>
      <c r="Z973"/>
      <c r="AA973"/>
      <c r="AB973"/>
      <c r="AC973"/>
      <c r="AD973"/>
      <c r="AE973"/>
      <c r="AF973"/>
      <c r="AG973"/>
      <c r="AH973"/>
      <c r="AI973"/>
    </row>
    <row r="974" spans="1:35" s="48" customFormat="1" x14ac:dyDescent="0.45">
      <c r="A974" s="3"/>
      <c r="H974"/>
      <c r="J974" s="49"/>
      <c r="K974" s="49"/>
      <c r="L974" s="50"/>
      <c r="M974" s="50"/>
      <c r="N974" s="50"/>
      <c r="O974" s="50"/>
      <c r="P974" s="50"/>
      <c r="Q974" s="50"/>
      <c r="R974" s="47"/>
      <c r="S974" s="50"/>
      <c r="T974" s="50"/>
      <c r="U974" s="50"/>
      <c r="V974" s="50"/>
      <c r="W974" s="50"/>
      <c r="X974"/>
      <c r="Y974"/>
      <c r="Z974"/>
      <c r="AA974"/>
      <c r="AB974"/>
      <c r="AC974"/>
      <c r="AD974"/>
      <c r="AE974"/>
      <c r="AF974"/>
      <c r="AG974"/>
      <c r="AH974"/>
      <c r="AI974"/>
    </row>
    <row r="975" spans="1:35" s="48" customFormat="1" x14ac:dyDescent="0.45">
      <c r="A975" s="3"/>
      <c r="H975"/>
      <c r="J975" s="49"/>
      <c r="K975" s="49"/>
      <c r="L975" s="50"/>
      <c r="M975" s="50"/>
      <c r="N975" s="50"/>
      <c r="O975" s="50"/>
      <c r="P975" s="50"/>
      <c r="Q975" s="50"/>
      <c r="R975" s="47"/>
      <c r="S975" s="50"/>
      <c r="T975" s="50"/>
      <c r="U975" s="50"/>
      <c r="V975" s="50"/>
      <c r="W975" s="50"/>
      <c r="X975"/>
      <c r="Y975"/>
      <c r="Z975"/>
      <c r="AA975"/>
      <c r="AB975"/>
      <c r="AC975"/>
      <c r="AD975"/>
      <c r="AE975"/>
      <c r="AF975"/>
      <c r="AG975"/>
      <c r="AH975"/>
      <c r="AI975"/>
    </row>
    <row r="976" spans="1:35" s="48" customFormat="1" x14ac:dyDescent="0.45">
      <c r="A976" s="3"/>
      <c r="H976"/>
      <c r="J976" s="49"/>
      <c r="K976" s="49"/>
      <c r="L976" s="50"/>
      <c r="M976" s="50"/>
      <c r="N976" s="50"/>
      <c r="O976" s="50"/>
      <c r="P976" s="50"/>
      <c r="Q976" s="50"/>
      <c r="R976" s="47"/>
      <c r="S976" s="50"/>
      <c r="T976" s="50"/>
      <c r="U976" s="50"/>
      <c r="V976" s="50"/>
      <c r="W976" s="50"/>
      <c r="X976"/>
      <c r="Y976"/>
      <c r="Z976"/>
      <c r="AA976"/>
      <c r="AB976"/>
      <c r="AC976"/>
      <c r="AD976"/>
      <c r="AE976"/>
      <c r="AF976"/>
      <c r="AG976"/>
      <c r="AH976"/>
      <c r="AI976"/>
    </row>
    <row r="977" spans="1:35" s="48" customFormat="1" x14ac:dyDescent="0.45">
      <c r="A977" s="3"/>
      <c r="H977"/>
      <c r="J977" s="49"/>
      <c r="K977" s="49"/>
      <c r="L977" s="50"/>
      <c r="M977" s="50"/>
      <c r="N977" s="50"/>
      <c r="O977" s="50"/>
      <c r="P977" s="50"/>
      <c r="Q977" s="50"/>
      <c r="R977" s="47"/>
      <c r="S977" s="50"/>
      <c r="T977" s="50"/>
      <c r="U977" s="50"/>
      <c r="V977" s="50"/>
      <c r="W977" s="50"/>
      <c r="X977"/>
      <c r="Y977"/>
      <c r="Z977"/>
      <c r="AA977"/>
      <c r="AB977"/>
      <c r="AC977"/>
      <c r="AD977"/>
      <c r="AE977"/>
      <c r="AF977"/>
      <c r="AG977"/>
      <c r="AH977"/>
      <c r="AI977"/>
    </row>
    <row r="978" spans="1:35" s="48" customFormat="1" x14ac:dyDescent="0.45">
      <c r="A978" s="3"/>
      <c r="H978"/>
      <c r="J978" s="49"/>
      <c r="K978" s="49"/>
      <c r="L978" s="50"/>
      <c r="M978" s="50"/>
      <c r="N978" s="50"/>
      <c r="O978" s="50"/>
      <c r="P978" s="50"/>
      <c r="Q978" s="50"/>
      <c r="R978" s="47"/>
      <c r="S978" s="50"/>
      <c r="T978" s="50"/>
      <c r="U978" s="50"/>
      <c r="V978" s="50"/>
      <c r="W978" s="50"/>
      <c r="X978"/>
      <c r="Y978"/>
      <c r="Z978"/>
      <c r="AA978"/>
      <c r="AB978"/>
      <c r="AC978"/>
      <c r="AD978"/>
      <c r="AE978"/>
      <c r="AF978"/>
      <c r="AG978"/>
      <c r="AH978"/>
      <c r="AI978"/>
    </row>
    <row r="979" spans="1:35" s="48" customFormat="1" x14ac:dyDescent="0.45">
      <c r="A979" s="3"/>
      <c r="H979"/>
      <c r="J979" s="49"/>
      <c r="K979" s="49"/>
      <c r="L979" s="50"/>
      <c r="M979" s="50"/>
      <c r="N979" s="50"/>
      <c r="O979" s="50"/>
      <c r="P979" s="50"/>
      <c r="Q979" s="50"/>
      <c r="R979" s="47"/>
      <c r="S979" s="50"/>
      <c r="T979" s="50"/>
      <c r="U979" s="50"/>
      <c r="V979" s="50"/>
      <c r="W979" s="50"/>
      <c r="X979"/>
      <c r="Y979"/>
      <c r="Z979"/>
      <c r="AA979"/>
      <c r="AB979"/>
      <c r="AC979"/>
      <c r="AD979"/>
      <c r="AE979"/>
      <c r="AF979"/>
      <c r="AG979"/>
      <c r="AH979"/>
      <c r="AI979"/>
    </row>
    <row r="980" spans="1:35" s="48" customFormat="1" x14ac:dyDescent="0.45">
      <c r="A980" s="3"/>
      <c r="H980"/>
      <c r="J980" s="49"/>
      <c r="K980" s="49"/>
      <c r="L980" s="50"/>
      <c r="M980" s="50"/>
      <c r="N980" s="50"/>
      <c r="O980" s="50"/>
      <c r="P980" s="50"/>
      <c r="Q980" s="50"/>
      <c r="R980" s="47"/>
      <c r="S980" s="50"/>
      <c r="T980" s="50"/>
      <c r="U980" s="50"/>
      <c r="V980" s="50"/>
      <c r="W980" s="50"/>
      <c r="X980"/>
      <c r="Y980"/>
      <c r="Z980"/>
      <c r="AA980"/>
      <c r="AB980"/>
      <c r="AC980"/>
      <c r="AD980"/>
      <c r="AE980"/>
      <c r="AF980"/>
      <c r="AG980"/>
      <c r="AH980"/>
      <c r="AI980"/>
    </row>
    <row r="981" spans="1:35" s="48" customFormat="1" x14ac:dyDescent="0.45">
      <c r="A981" s="3"/>
      <c r="H981"/>
      <c r="J981" s="49"/>
      <c r="K981" s="49"/>
      <c r="L981" s="50"/>
      <c r="M981" s="50"/>
      <c r="N981" s="50"/>
      <c r="O981" s="50"/>
      <c r="P981" s="50"/>
      <c r="Q981" s="50"/>
      <c r="R981" s="47"/>
      <c r="S981" s="50"/>
      <c r="T981" s="50"/>
      <c r="U981" s="50"/>
      <c r="V981" s="50"/>
      <c r="W981" s="50"/>
      <c r="X981"/>
      <c r="Y981"/>
      <c r="Z981"/>
      <c r="AA981"/>
      <c r="AB981"/>
      <c r="AC981"/>
      <c r="AD981"/>
      <c r="AE981"/>
      <c r="AF981"/>
      <c r="AG981"/>
      <c r="AH981"/>
      <c r="AI981"/>
    </row>
    <row r="982" spans="1:35" s="48" customFormat="1" x14ac:dyDescent="0.45">
      <c r="A982" s="3"/>
      <c r="H982"/>
      <c r="J982" s="49"/>
      <c r="K982" s="49"/>
      <c r="L982" s="50"/>
      <c r="M982" s="50"/>
      <c r="N982" s="50"/>
      <c r="O982" s="50"/>
      <c r="P982" s="50"/>
      <c r="Q982" s="50"/>
      <c r="R982" s="47"/>
      <c r="S982" s="50"/>
      <c r="T982" s="50"/>
      <c r="U982" s="50"/>
      <c r="V982" s="50"/>
      <c r="W982" s="50"/>
      <c r="X982"/>
      <c r="Y982"/>
      <c r="Z982"/>
      <c r="AA982"/>
      <c r="AB982"/>
      <c r="AC982"/>
      <c r="AD982"/>
      <c r="AE982"/>
      <c r="AF982"/>
      <c r="AG982"/>
      <c r="AH982"/>
      <c r="AI982"/>
    </row>
    <row r="983" spans="1:35" s="48" customFormat="1" x14ac:dyDescent="0.45">
      <c r="A983" s="3"/>
      <c r="H983"/>
      <c r="J983" s="49"/>
      <c r="K983" s="49"/>
      <c r="L983" s="50"/>
      <c r="M983" s="50"/>
      <c r="N983" s="50"/>
      <c r="O983" s="50"/>
      <c r="P983" s="50"/>
      <c r="Q983" s="50"/>
      <c r="R983" s="47"/>
      <c r="S983" s="50"/>
      <c r="T983" s="50"/>
      <c r="U983" s="50"/>
      <c r="V983" s="50"/>
      <c r="W983" s="50"/>
      <c r="X983"/>
      <c r="Y983"/>
      <c r="Z983"/>
      <c r="AA983"/>
      <c r="AB983"/>
      <c r="AC983"/>
      <c r="AD983"/>
      <c r="AE983"/>
      <c r="AF983"/>
      <c r="AG983"/>
      <c r="AH983"/>
      <c r="AI983"/>
    </row>
    <row r="984" spans="1:35" s="48" customFormat="1" x14ac:dyDescent="0.45">
      <c r="A984" s="3"/>
      <c r="H984"/>
      <c r="J984" s="49"/>
      <c r="K984" s="49"/>
      <c r="L984" s="50"/>
      <c r="M984" s="50"/>
      <c r="N984" s="50"/>
      <c r="O984" s="50"/>
      <c r="P984" s="50"/>
      <c r="Q984" s="50"/>
      <c r="R984" s="47"/>
      <c r="S984" s="50"/>
      <c r="T984" s="50"/>
      <c r="U984" s="50"/>
      <c r="V984" s="50"/>
      <c r="W984" s="50"/>
      <c r="X984"/>
      <c r="Y984"/>
      <c r="Z984"/>
      <c r="AA984"/>
      <c r="AB984"/>
      <c r="AC984"/>
      <c r="AD984"/>
      <c r="AE984"/>
      <c r="AF984"/>
      <c r="AG984"/>
      <c r="AH984"/>
      <c r="AI984"/>
    </row>
    <row r="985" spans="1:35" s="48" customFormat="1" x14ac:dyDescent="0.45">
      <c r="A985" s="3"/>
      <c r="H985"/>
      <c r="J985" s="49"/>
      <c r="K985" s="49"/>
      <c r="L985" s="50"/>
      <c r="M985" s="50"/>
      <c r="N985" s="50"/>
      <c r="O985" s="50"/>
      <c r="P985" s="50"/>
      <c r="Q985" s="50"/>
      <c r="R985" s="47"/>
      <c r="S985" s="50"/>
      <c r="T985" s="50"/>
      <c r="U985" s="50"/>
      <c r="V985" s="50"/>
      <c r="W985" s="50"/>
      <c r="X985"/>
      <c r="Y985"/>
      <c r="Z985"/>
      <c r="AA985"/>
      <c r="AB985"/>
      <c r="AC985"/>
      <c r="AD985"/>
      <c r="AE985"/>
      <c r="AF985"/>
      <c r="AG985"/>
      <c r="AH985"/>
      <c r="AI985"/>
    </row>
    <row r="986" spans="1:35" s="48" customFormat="1" x14ac:dyDescent="0.45">
      <c r="A986" s="3"/>
      <c r="H986"/>
      <c r="J986" s="49"/>
      <c r="K986" s="49"/>
      <c r="L986" s="50"/>
      <c r="M986" s="50"/>
      <c r="N986" s="50"/>
      <c r="O986" s="50"/>
      <c r="P986" s="50"/>
      <c r="Q986" s="50"/>
      <c r="R986" s="47"/>
      <c r="S986" s="50"/>
      <c r="T986" s="50"/>
      <c r="U986" s="50"/>
      <c r="V986" s="50"/>
      <c r="W986" s="50"/>
      <c r="X986"/>
      <c r="Y986"/>
      <c r="Z986"/>
      <c r="AA986"/>
      <c r="AB986"/>
      <c r="AC986"/>
      <c r="AD986"/>
      <c r="AE986"/>
      <c r="AF986"/>
      <c r="AG986"/>
      <c r="AH986"/>
      <c r="AI986"/>
    </row>
    <row r="987" spans="1:35" s="48" customFormat="1" x14ac:dyDescent="0.45">
      <c r="A987" s="3"/>
      <c r="H987"/>
      <c r="J987" s="49"/>
      <c r="K987" s="49"/>
      <c r="L987" s="50"/>
      <c r="M987" s="50"/>
      <c r="N987" s="50"/>
      <c r="O987" s="50"/>
      <c r="P987" s="50"/>
      <c r="Q987" s="50"/>
      <c r="R987" s="47"/>
      <c r="S987" s="50"/>
      <c r="T987" s="50"/>
      <c r="U987" s="50"/>
      <c r="V987" s="50"/>
      <c r="W987" s="50"/>
      <c r="X987"/>
      <c r="Y987"/>
      <c r="Z987"/>
      <c r="AA987"/>
      <c r="AB987"/>
      <c r="AC987"/>
      <c r="AD987"/>
      <c r="AE987"/>
      <c r="AF987"/>
      <c r="AG987"/>
      <c r="AH987"/>
      <c r="AI987"/>
    </row>
    <row r="988" spans="1:35" s="48" customFormat="1" x14ac:dyDescent="0.45">
      <c r="A988" s="3"/>
      <c r="H988"/>
      <c r="J988" s="49"/>
      <c r="K988" s="49"/>
      <c r="L988" s="50"/>
      <c r="M988" s="50"/>
      <c r="N988" s="50"/>
      <c r="O988" s="50"/>
      <c r="P988" s="50"/>
      <c r="Q988" s="50"/>
      <c r="R988" s="47"/>
      <c r="S988" s="50"/>
      <c r="T988" s="50"/>
      <c r="U988" s="50"/>
      <c r="V988" s="50"/>
      <c r="W988" s="50"/>
      <c r="X988"/>
      <c r="Y988"/>
      <c r="Z988"/>
      <c r="AA988"/>
      <c r="AB988"/>
      <c r="AC988"/>
      <c r="AD988"/>
      <c r="AE988"/>
      <c r="AF988"/>
      <c r="AG988"/>
      <c r="AH988"/>
      <c r="AI988"/>
    </row>
    <row r="989" spans="1:35" s="48" customFormat="1" x14ac:dyDescent="0.45">
      <c r="A989" s="3"/>
      <c r="H989"/>
      <c r="J989" s="49"/>
      <c r="K989" s="49"/>
      <c r="L989" s="50"/>
      <c r="M989" s="50"/>
      <c r="N989" s="50"/>
      <c r="O989" s="50"/>
      <c r="P989" s="50"/>
      <c r="Q989" s="50"/>
      <c r="R989" s="47"/>
      <c r="S989" s="50"/>
      <c r="T989" s="50"/>
      <c r="U989" s="50"/>
      <c r="V989" s="50"/>
      <c r="W989" s="50"/>
      <c r="X989"/>
      <c r="Y989"/>
      <c r="Z989"/>
      <c r="AA989"/>
      <c r="AB989"/>
      <c r="AC989"/>
      <c r="AD989"/>
      <c r="AE989"/>
      <c r="AF989"/>
      <c r="AG989"/>
      <c r="AH989"/>
      <c r="AI989"/>
    </row>
    <row r="990" spans="1:35" s="48" customFormat="1" x14ac:dyDescent="0.45">
      <c r="A990" s="3"/>
      <c r="H990"/>
      <c r="J990" s="49"/>
      <c r="K990" s="49"/>
      <c r="L990" s="50"/>
      <c r="M990" s="50"/>
      <c r="N990" s="50"/>
      <c r="O990" s="50"/>
      <c r="P990" s="50"/>
      <c r="Q990" s="50"/>
      <c r="R990" s="47"/>
      <c r="S990" s="50"/>
      <c r="T990" s="50"/>
      <c r="U990" s="50"/>
      <c r="V990" s="50"/>
      <c r="W990" s="50"/>
      <c r="X990"/>
      <c r="Y990"/>
      <c r="Z990"/>
      <c r="AA990"/>
      <c r="AB990"/>
      <c r="AC990"/>
      <c r="AD990"/>
      <c r="AE990"/>
      <c r="AF990"/>
      <c r="AG990"/>
      <c r="AH990"/>
      <c r="AI990"/>
    </row>
    <row r="991" spans="1:35" s="48" customFormat="1" x14ac:dyDescent="0.45">
      <c r="A991" s="3"/>
      <c r="H991"/>
      <c r="J991" s="49"/>
      <c r="K991" s="49"/>
      <c r="L991" s="50"/>
      <c r="M991" s="50"/>
      <c r="N991" s="50"/>
      <c r="O991" s="50"/>
      <c r="P991" s="50"/>
      <c r="Q991" s="50"/>
      <c r="R991" s="47"/>
      <c r="S991" s="50"/>
      <c r="T991" s="50"/>
      <c r="U991" s="50"/>
      <c r="V991" s="50"/>
      <c r="W991" s="50"/>
      <c r="X991"/>
      <c r="Y991"/>
      <c r="Z991"/>
      <c r="AA991"/>
      <c r="AB991"/>
      <c r="AC991"/>
      <c r="AD991"/>
      <c r="AE991"/>
      <c r="AF991"/>
      <c r="AG991"/>
      <c r="AH991"/>
      <c r="AI991"/>
    </row>
    <row r="992" spans="1:35" s="48" customFormat="1" x14ac:dyDescent="0.45">
      <c r="A992" s="3"/>
      <c r="H992"/>
      <c r="J992" s="49"/>
      <c r="K992" s="49"/>
      <c r="L992" s="50"/>
      <c r="M992" s="50"/>
      <c r="N992" s="50"/>
      <c r="O992" s="50"/>
      <c r="P992" s="50"/>
      <c r="Q992" s="50"/>
      <c r="R992" s="47"/>
      <c r="S992" s="50"/>
      <c r="T992" s="50"/>
      <c r="U992" s="50"/>
      <c r="V992" s="50"/>
      <c r="W992" s="50"/>
      <c r="X992"/>
      <c r="Y992"/>
      <c r="Z992"/>
      <c r="AA992"/>
      <c r="AB992"/>
      <c r="AC992"/>
      <c r="AD992"/>
      <c r="AE992"/>
      <c r="AF992"/>
      <c r="AG992"/>
      <c r="AH992"/>
      <c r="AI992"/>
    </row>
    <row r="993" spans="1:35" s="48" customFormat="1" x14ac:dyDescent="0.45">
      <c r="A993" s="3"/>
      <c r="H993"/>
      <c r="J993" s="49"/>
      <c r="K993" s="49"/>
      <c r="L993" s="50"/>
      <c r="M993" s="50"/>
      <c r="N993" s="50"/>
      <c r="O993" s="50"/>
      <c r="P993" s="50"/>
      <c r="Q993" s="50"/>
      <c r="R993" s="47"/>
      <c r="S993" s="50"/>
      <c r="T993" s="50"/>
      <c r="U993" s="50"/>
      <c r="V993" s="50"/>
      <c r="W993" s="50"/>
      <c r="X993"/>
      <c r="Y993"/>
      <c r="Z993"/>
      <c r="AA993"/>
      <c r="AB993"/>
      <c r="AC993"/>
      <c r="AD993"/>
      <c r="AE993"/>
      <c r="AF993"/>
      <c r="AG993"/>
      <c r="AH993"/>
      <c r="AI993"/>
    </row>
    <row r="994" spans="1:35" s="48" customFormat="1" x14ac:dyDescent="0.45">
      <c r="A994" s="3"/>
      <c r="H994"/>
      <c r="J994" s="49"/>
      <c r="K994" s="49"/>
      <c r="L994" s="50"/>
      <c r="M994" s="50"/>
      <c r="N994" s="50"/>
      <c r="O994" s="50"/>
      <c r="P994" s="50"/>
      <c r="Q994" s="50"/>
      <c r="R994" s="47"/>
      <c r="S994" s="50"/>
      <c r="T994" s="50"/>
      <c r="U994" s="50"/>
      <c r="V994" s="50"/>
      <c r="W994" s="50"/>
      <c r="X994"/>
      <c r="Y994"/>
      <c r="Z994"/>
      <c r="AA994"/>
      <c r="AB994"/>
      <c r="AC994"/>
      <c r="AD994"/>
      <c r="AE994"/>
      <c r="AF994"/>
      <c r="AG994"/>
      <c r="AH994"/>
      <c r="AI994"/>
    </row>
    <row r="995" spans="1:35" s="48" customFormat="1" x14ac:dyDescent="0.45">
      <c r="A995" s="3"/>
      <c r="H995"/>
      <c r="J995" s="49"/>
      <c r="K995" s="49"/>
      <c r="L995" s="50"/>
      <c r="M995" s="50"/>
      <c r="N995" s="50"/>
      <c r="O995" s="50"/>
      <c r="P995" s="50"/>
      <c r="Q995" s="50"/>
      <c r="R995" s="47"/>
      <c r="S995" s="50"/>
      <c r="T995" s="50"/>
      <c r="U995" s="50"/>
      <c r="V995" s="50"/>
      <c r="W995" s="50"/>
      <c r="X995"/>
      <c r="Y995"/>
      <c r="Z995"/>
      <c r="AA995"/>
      <c r="AB995"/>
      <c r="AC995"/>
      <c r="AD995"/>
      <c r="AE995"/>
      <c r="AF995"/>
      <c r="AG995"/>
      <c r="AH995"/>
      <c r="AI995"/>
    </row>
    <row r="996" spans="1:35" s="48" customFormat="1" x14ac:dyDescent="0.45">
      <c r="A996" s="3"/>
      <c r="H996"/>
      <c r="J996" s="49"/>
      <c r="K996" s="49"/>
      <c r="L996" s="50"/>
      <c r="M996" s="50"/>
      <c r="N996" s="50"/>
      <c r="O996" s="50"/>
      <c r="P996" s="50"/>
      <c r="Q996" s="50"/>
      <c r="R996" s="47"/>
      <c r="S996" s="50"/>
      <c r="T996" s="50"/>
      <c r="U996" s="50"/>
      <c r="V996" s="50"/>
      <c r="W996" s="50"/>
      <c r="X996"/>
      <c r="Y996"/>
      <c r="Z996"/>
      <c r="AA996"/>
      <c r="AB996"/>
      <c r="AC996"/>
      <c r="AD996"/>
      <c r="AE996"/>
      <c r="AF996"/>
      <c r="AG996"/>
      <c r="AH996"/>
      <c r="AI996"/>
    </row>
    <row r="997" spans="1:35" s="48" customFormat="1" x14ac:dyDescent="0.45">
      <c r="A997" s="3"/>
      <c r="H997"/>
      <c r="J997" s="49"/>
      <c r="K997" s="49"/>
      <c r="L997" s="50"/>
      <c r="M997" s="50"/>
      <c r="N997" s="50"/>
      <c r="O997" s="50"/>
      <c r="P997" s="50"/>
      <c r="Q997" s="50"/>
      <c r="R997" s="47"/>
      <c r="S997" s="50"/>
      <c r="T997" s="50"/>
      <c r="U997" s="50"/>
      <c r="V997" s="50"/>
      <c r="W997" s="50"/>
      <c r="X997"/>
      <c r="Y997"/>
      <c r="Z997"/>
      <c r="AA997"/>
      <c r="AB997"/>
      <c r="AC997"/>
      <c r="AD997"/>
      <c r="AE997"/>
      <c r="AF997"/>
      <c r="AG997"/>
      <c r="AH997"/>
      <c r="AI997"/>
    </row>
    <row r="998" spans="1:35" s="48" customFormat="1" x14ac:dyDescent="0.45">
      <c r="A998" s="3"/>
      <c r="H998"/>
      <c r="J998" s="49"/>
      <c r="K998" s="49"/>
      <c r="L998" s="50"/>
      <c r="M998" s="50"/>
      <c r="N998" s="50"/>
      <c r="O998" s="50"/>
      <c r="P998" s="50"/>
      <c r="Q998" s="50"/>
      <c r="R998" s="47"/>
      <c r="S998" s="50"/>
      <c r="T998" s="50"/>
      <c r="U998" s="50"/>
      <c r="V998" s="50"/>
      <c r="W998" s="50"/>
      <c r="X998"/>
      <c r="Y998"/>
      <c r="Z998"/>
      <c r="AA998"/>
      <c r="AB998"/>
      <c r="AC998"/>
      <c r="AD998"/>
      <c r="AE998"/>
      <c r="AF998"/>
      <c r="AG998"/>
      <c r="AH998"/>
      <c r="AI998"/>
    </row>
    <row r="999" spans="1:35" s="48" customFormat="1" x14ac:dyDescent="0.45">
      <c r="A999" s="3"/>
      <c r="H999"/>
      <c r="J999" s="49"/>
      <c r="K999" s="49"/>
      <c r="L999" s="50"/>
      <c r="M999" s="50"/>
      <c r="N999" s="50"/>
      <c r="O999" s="50"/>
      <c r="P999" s="50"/>
      <c r="Q999" s="50"/>
      <c r="R999" s="47"/>
      <c r="S999" s="50"/>
      <c r="T999" s="50"/>
      <c r="U999" s="50"/>
      <c r="V999" s="50"/>
      <c r="W999" s="50"/>
      <c r="X999"/>
      <c r="Y999"/>
      <c r="Z999"/>
      <c r="AA999"/>
      <c r="AB999"/>
      <c r="AC999"/>
      <c r="AD999"/>
      <c r="AE999"/>
      <c r="AF999"/>
      <c r="AG999"/>
      <c r="AH999"/>
      <c r="AI999"/>
    </row>
    <row r="1000" spans="1:35" s="48" customFormat="1" x14ac:dyDescent="0.45">
      <c r="A1000" s="3"/>
      <c r="H1000"/>
      <c r="J1000" s="49"/>
      <c r="K1000" s="49"/>
      <c r="L1000" s="50"/>
      <c r="M1000" s="50"/>
      <c r="N1000" s="50"/>
      <c r="O1000" s="50"/>
      <c r="P1000" s="50"/>
      <c r="Q1000" s="50"/>
      <c r="R1000" s="47"/>
      <c r="S1000" s="50"/>
      <c r="T1000" s="50"/>
      <c r="U1000" s="50"/>
      <c r="V1000" s="50"/>
      <c r="W1000" s="50"/>
      <c r="X1000"/>
      <c r="Y1000"/>
      <c r="Z1000"/>
      <c r="AA1000"/>
      <c r="AB1000"/>
      <c r="AC1000"/>
      <c r="AD1000"/>
      <c r="AE1000"/>
      <c r="AF1000"/>
      <c r="AG1000"/>
      <c r="AH1000"/>
      <c r="AI1000"/>
    </row>
    <row r="1001" spans="1:35" s="48" customFormat="1" x14ac:dyDescent="0.45">
      <c r="A1001" s="3"/>
      <c r="H1001"/>
      <c r="J1001" s="49"/>
      <c r="K1001" s="49"/>
      <c r="L1001" s="50"/>
      <c r="M1001" s="50"/>
      <c r="N1001" s="50"/>
      <c r="O1001" s="50"/>
      <c r="P1001" s="50"/>
      <c r="Q1001" s="50"/>
      <c r="R1001" s="47"/>
      <c r="S1001" s="50"/>
      <c r="T1001" s="50"/>
      <c r="U1001" s="50"/>
      <c r="V1001" s="50"/>
      <c r="W1001" s="50"/>
      <c r="X1001"/>
      <c r="Y1001"/>
      <c r="Z1001"/>
      <c r="AA1001"/>
      <c r="AB1001"/>
      <c r="AC1001"/>
      <c r="AD1001"/>
      <c r="AE1001"/>
      <c r="AF1001"/>
      <c r="AG1001"/>
      <c r="AH1001"/>
      <c r="AI1001"/>
    </row>
    <row r="1002" spans="1:35" s="48" customFormat="1" x14ac:dyDescent="0.45">
      <c r="A1002" s="3"/>
      <c r="H1002"/>
      <c r="J1002" s="49"/>
      <c r="K1002" s="49"/>
      <c r="L1002" s="50"/>
      <c r="M1002" s="50"/>
      <c r="N1002" s="50"/>
      <c r="O1002" s="50"/>
      <c r="P1002" s="50"/>
      <c r="Q1002" s="50"/>
      <c r="R1002" s="47"/>
      <c r="S1002" s="50"/>
      <c r="T1002" s="50"/>
      <c r="U1002" s="50"/>
      <c r="V1002" s="50"/>
      <c r="W1002" s="50"/>
      <c r="X1002"/>
      <c r="Y1002"/>
      <c r="Z1002"/>
      <c r="AA1002"/>
      <c r="AB1002"/>
      <c r="AC1002"/>
      <c r="AD1002"/>
      <c r="AE1002"/>
      <c r="AF1002"/>
      <c r="AG1002"/>
      <c r="AH1002"/>
      <c r="AI1002"/>
    </row>
    <row r="1003" spans="1:35" s="48" customFormat="1" x14ac:dyDescent="0.45">
      <c r="A1003" s="3"/>
      <c r="H1003"/>
      <c r="J1003" s="49"/>
      <c r="K1003" s="49"/>
      <c r="L1003" s="50"/>
      <c r="M1003" s="50"/>
      <c r="N1003" s="50"/>
      <c r="O1003" s="50"/>
      <c r="P1003" s="50"/>
      <c r="Q1003" s="50"/>
      <c r="R1003" s="47"/>
      <c r="S1003" s="50"/>
      <c r="T1003" s="50"/>
      <c r="U1003" s="50"/>
      <c r="V1003" s="50"/>
      <c r="W1003" s="50"/>
      <c r="X1003"/>
      <c r="Y1003"/>
      <c r="Z1003"/>
      <c r="AA1003"/>
      <c r="AB1003"/>
      <c r="AC1003"/>
      <c r="AD1003"/>
      <c r="AE1003"/>
      <c r="AF1003"/>
      <c r="AG1003"/>
      <c r="AH1003"/>
      <c r="AI1003"/>
    </row>
    <row r="1004" spans="1:35" s="48" customFormat="1" x14ac:dyDescent="0.45">
      <c r="A1004" s="3"/>
      <c r="H1004"/>
      <c r="J1004" s="49"/>
      <c r="K1004" s="49"/>
      <c r="L1004" s="50"/>
      <c r="M1004" s="50"/>
      <c r="N1004" s="50"/>
      <c r="O1004" s="50"/>
      <c r="P1004" s="50"/>
      <c r="Q1004" s="50"/>
      <c r="R1004" s="47"/>
      <c r="S1004" s="50"/>
      <c r="T1004" s="50"/>
      <c r="U1004" s="50"/>
      <c r="V1004" s="50"/>
      <c r="W1004" s="50"/>
      <c r="X1004"/>
      <c r="Y1004"/>
      <c r="Z1004"/>
      <c r="AA1004"/>
      <c r="AB1004"/>
      <c r="AC1004"/>
      <c r="AD1004"/>
      <c r="AE1004"/>
      <c r="AF1004"/>
      <c r="AG1004"/>
      <c r="AH1004"/>
      <c r="AI1004"/>
    </row>
    <row r="1005" spans="1:35" s="48" customFormat="1" x14ac:dyDescent="0.45">
      <c r="A1005" s="3"/>
      <c r="H1005"/>
      <c r="J1005" s="49"/>
      <c r="K1005" s="49"/>
      <c r="L1005" s="50"/>
      <c r="M1005" s="50"/>
      <c r="N1005" s="50"/>
      <c r="O1005" s="50"/>
      <c r="P1005" s="50"/>
      <c r="Q1005" s="50"/>
      <c r="R1005" s="47"/>
      <c r="S1005" s="50"/>
      <c r="T1005" s="50"/>
      <c r="U1005" s="50"/>
      <c r="V1005" s="50"/>
      <c r="W1005" s="50"/>
      <c r="X1005"/>
      <c r="Y1005"/>
      <c r="Z1005"/>
      <c r="AA1005"/>
      <c r="AB1005"/>
      <c r="AC1005"/>
      <c r="AD1005"/>
      <c r="AE1005"/>
      <c r="AF1005"/>
      <c r="AG1005"/>
      <c r="AH1005"/>
      <c r="AI1005"/>
    </row>
    <row r="1006" spans="1:35" s="48" customFormat="1" x14ac:dyDescent="0.45">
      <c r="A1006" s="3"/>
      <c r="H1006"/>
      <c r="J1006" s="49"/>
      <c r="K1006" s="49"/>
      <c r="L1006" s="50"/>
      <c r="M1006" s="50"/>
      <c r="N1006" s="50"/>
      <c r="O1006" s="50"/>
      <c r="P1006" s="50"/>
      <c r="Q1006" s="50"/>
      <c r="R1006" s="47"/>
      <c r="S1006" s="50"/>
      <c r="T1006" s="50"/>
      <c r="U1006" s="50"/>
      <c r="V1006" s="50"/>
      <c r="W1006" s="50"/>
      <c r="X1006"/>
      <c r="Y1006"/>
      <c r="Z1006"/>
      <c r="AA1006"/>
      <c r="AB1006"/>
      <c r="AC1006"/>
      <c r="AD1006"/>
      <c r="AE1006"/>
      <c r="AF1006"/>
      <c r="AG1006"/>
      <c r="AH1006"/>
      <c r="AI1006"/>
    </row>
    <row r="1007" spans="1:35" s="48" customFormat="1" x14ac:dyDescent="0.45">
      <c r="A1007" s="3"/>
      <c r="H1007"/>
      <c r="J1007" s="49"/>
      <c r="K1007" s="49"/>
      <c r="L1007" s="50"/>
      <c r="M1007" s="50"/>
      <c r="N1007" s="50"/>
      <c r="O1007" s="50"/>
      <c r="P1007" s="50"/>
      <c r="Q1007" s="50"/>
      <c r="R1007" s="47"/>
      <c r="S1007" s="50"/>
      <c r="T1007" s="50"/>
      <c r="U1007" s="50"/>
      <c r="V1007" s="50"/>
      <c r="W1007" s="50"/>
      <c r="X1007"/>
      <c r="Y1007"/>
      <c r="Z1007"/>
      <c r="AA1007"/>
      <c r="AB1007"/>
      <c r="AC1007"/>
      <c r="AD1007"/>
      <c r="AE1007"/>
      <c r="AF1007"/>
      <c r="AG1007"/>
      <c r="AH1007"/>
      <c r="AI1007"/>
    </row>
    <row r="1008" spans="1:35" s="48" customFormat="1" x14ac:dyDescent="0.45">
      <c r="A1008" s="3"/>
      <c r="H1008"/>
      <c r="J1008" s="49"/>
      <c r="K1008" s="49"/>
      <c r="L1008" s="50"/>
      <c r="M1008" s="50"/>
      <c r="N1008" s="50"/>
      <c r="O1008" s="50"/>
      <c r="P1008" s="50"/>
      <c r="Q1008" s="50"/>
      <c r="R1008" s="47"/>
      <c r="S1008" s="50"/>
      <c r="T1008" s="50"/>
      <c r="U1008" s="50"/>
      <c r="V1008" s="50"/>
      <c r="W1008" s="50"/>
      <c r="X1008"/>
      <c r="Y1008"/>
      <c r="Z1008"/>
      <c r="AA1008"/>
      <c r="AB1008"/>
      <c r="AC1008"/>
      <c r="AD1008"/>
      <c r="AE1008"/>
      <c r="AF1008"/>
      <c r="AG1008"/>
      <c r="AH1008"/>
      <c r="AI1008"/>
    </row>
    <row r="1009" spans="1:35" s="48" customFormat="1" x14ac:dyDescent="0.45">
      <c r="A1009" s="3"/>
      <c r="H1009"/>
      <c r="J1009" s="49"/>
      <c r="K1009" s="49"/>
      <c r="L1009" s="50"/>
      <c r="M1009" s="50"/>
      <c r="N1009" s="50"/>
      <c r="O1009" s="50"/>
      <c r="P1009" s="50"/>
      <c r="Q1009" s="50"/>
      <c r="R1009" s="47"/>
      <c r="S1009" s="50"/>
      <c r="T1009" s="50"/>
      <c r="U1009" s="50"/>
      <c r="V1009" s="50"/>
      <c r="W1009" s="50"/>
      <c r="X1009"/>
      <c r="Y1009"/>
      <c r="Z1009"/>
      <c r="AA1009"/>
      <c r="AB1009"/>
      <c r="AC1009"/>
      <c r="AD1009"/>
      <c r="AE1009"/>
      <c r="AF1009"/>
      <c r="AG1009"/>
      <c r="AH1009"/>
      <c r="AI1009"/>
    </row>
    <row r="1010" spans="1:35" s="48" customFormat="1" x14ac:dyDescent="0.45">
      <c r="A1010" s="3"/>
      <c r="H1010"/>
      <c r="J1010" s="49"/>
      <c r="K1010" s="49"/>
      <c r="L1010" s="50"/>
      <c r="M1010" s="50"/>
      <c r="N1010" s="50"/>
      <c r="O1010" s="50"/>
      <c r="P1010" s="50"/>
      <c r="Q1010" s="50"/>
      <c r="R1010" s="47"/>
      <c r="S1010" s="50"/>
      <c r="T1010" s="50"/>
      <c r="U1010" s="50"/>
      <c r="V1010" s="50"/>
      <c r="W1010" s="50"/>
      <c r="X1010"/>
      <c r="Y1010"/>
      <c r="Z1010"/>
      <c r="AA1010"/>
      <c r="AB1010"/>
      <c r="AC1010"/>
      <c r="AD1010"/>
      <c r="AE1010"/>
      <c r="AF1010"/>
      <c r="AG1010"/>
      <c r="AH1010"/>
      <c r="AI1010"/>
    </row>
    <row r="1011" spans="1:35" s="48" customFormat="1" x14ac:dyDescent="0.45">
      <c r="A1011" s="3"/>
      <c r="H1011"/>
      <c r="J1011" s="49"/>
      <c r="K1011" s="49"/>
      <c r="L1011" s="50"/>
      <c r="M1011" s="50"/>
      <c r="N1011" s="50"/>
      <c r="O1011" s="50"/>
      <c r="P1011" s="50"/>
      <c r="Q1011" s="50"/>
      <c r="R1011" s="47"/>
      <c r="S1011" s="50"/>
      <c r="T1011" s="50"/>
      <c r="U1011" s="50"/>
      <c r="V1011" s="50"/>
      <c r="W1011" s="50"/>
      <c r="X1011"/>
      <c r="Y1011"/>
      <c r="Z1011"/>
      <c r="AA1011"/>
      <c r="AB1011"/>
      <c r="AC1011"/>
      <c r="AD1011"/>
      <c r="AE1011"/>
      <c r="AF1011"/>
      <c r="AG1011"/>
      <c r="AH1011"/>
      <c r="AI1011"/>
    </row>
    <row r="1012" spans="1:35" s="48" customFormat="1" x14ac:dyDescent="0.45">
      <c r="A1012" s="3"/>
      <c r="H1012"/>
      <c r="J1012" s="49"/>
      <c r="K1012" s="49"/>
      <c r="L1012" s="50"/>
      <c r="M1012" s="50"/>
      <c r="N1012" s="50"/>
      <c r="O1012" s="50"/>
      <c r="P1012" s="50"/>
      <c r="Q1012" s="50"/>
      <c r="R1012" s="47"/>
      <c r="S1012" s="50"/>
      <c r="T1012" s="50"/>
      <c r="U1012" s="50"/>
      <c r="V1012" s="50"/>
      <c r="W1012" s="50"/>
      <c r="X1012"/>
      <c r="Y1012"/>
      <c r="Z1012"/>
      <c r="AA1012"/>
      <c r="AB1012"/>
      <c r="AC1012"/>
      <c r="AD1012"/>
      <c r="AE1012"/>
      <c r="AF1012"/>
      <c r="AG1012"/>
      <c r="AH1012"/>
      <c r="AI1012"/>
    </row>
    <row r="1013" spans="1:35" s="48" customFormat="1" x14ac:dyDescent="0.45">
      <c r="A1013" s="3"/>
      <c r="H1013"/>
      <c r="J1013" s="49"/>
      <c r="K1013" s="49"/>
      <c r="L1013" s="50"/>
      <c r="M1013" s="50"/>
      <c r="N1013" s="50"/>
      <c r="O1013" s="50"/>
      <c r="P1013" s="50"/>
      <c r="Q1013" s="50"/>
      <c r="R1013" s="47"/>
      <c r="S1013" s="50"/>
      <c r="T1013" s="50"/>
      <c r="U1013" s="50"/>
      <c r="V1013" s="50"/>
      <c r="W1013" s="50"/>
      <c r="X1013"/>
      <c r="Y1013"/>
      <c r="Z1013"/>
      <c r="AA1013"/>
      <c r="AB1013"/>
      <c r="AC1013"/>
      <c r="AD1013"/>
      <c r="AE1013"/>
      <c r="AF1013"/>
      <c r="AG1013"/>
      <c r="AH1013"/>
      <c r="AI1013"/>
    </row>
    <row r="1014" spans="1:35" s="48" customFormat="1" x14ac:dyDescent="0.45">
      <c r="A1014" s="3"/>
      <c r="H1014"/>
      <c r="J1014" s="49"/>
      <c r="K1014" s="49"/>
      <c r="L1014" s="50"/>
      <c r="M1014" s="50"/>
      <c r="N1014" s="50"/>
      <c r="O1014" s="50"/>
      <c r="P1014" s="50"/>
      <c r="Q1014" s="50"/>
      <c r="R1014" s="47"/>
      <c r="S1014" s="50"/>
      <c r="T1014" s="50"/>
      <c r="U1014" s="50"/>
      <c r="V1014" s="50"/>
      <c r="W1014" s="50"/>
      <c r="X1014"/>
      <c r="Y1014"/>
      <c r="Z1014"/>
      <c r="AA1014"/>
      <c r="AB1014"/>
      <c r="AC1014"/>
      <c r="AD1014"/>
      <c r="AE1014"/>
      <c r="AF1014"/>
      <c r="AG1014"/>
      <c r="AH1014"/>
      <c r="AI1014"/>
    </row>
    <row r="1015" spans="1:35" s="48" customFormat="1" x14ac:dyDescent="0.45">
      <c r="A1015" s="3"/>
      <c r="H1015"/>
      <c r="J1015" s="49"/>
      <c r="K1015" s="49"/>
      <c r="L1015" s="50"/>
      <c r="M1015" s="50"/>
      <c r="N1015" s="50"/>
      <c r="O1015" s="50"/>
      <c r="P1015" s="50"/>
      <c r="Q1015" s="50"/>
      <c r="R1015" s="47"/>
      <c r="S1015" s="50"/>
      <c r="T1015" s="50"/>
      <c r="U1015" s="50"/>
      <c r="V1015" s="50"/>
      <c r="W1015" s="50"/>
      <c r="X1015"/>
      <c r="Y1015"/>
      <c r="Z1015"/>
      <c r="AA1015"/>
      <c r="AB1015"/>
      <c r="AC1015"/>
      <c r="AD1015"/>
      <c r="AE1015"/>
      <c r="AF1015"/>
      <c r="AG1015"/>
      <c r="AH1015"/>
      <c r="AI1015"/>
    </row>
    <row r="1016" spans="1:35" s="48" customFormat="1" x14ac:dyDescent="0.45">
      <c r="A1016" s="3"/>
      <c r="H1016"/>
      <c r="J1016" s="49"/>
      <c r="K1016" s="49"/>
      <c r="L1016" s="50"/>
      <c r="M1016" s="50"/>
      <c r="N1016" s="50"/>
      <c r="O1016" s="50"/>
      <c r="P1016" s="50"/>
      <c r="Q1016" s="50"/>
      <c r="R1016" s="47"/>
      <c r="S1016" s="50"/>
      <c r="T1016" s="50"/>
      <c r="U1016" s="50"/>
      <c r="V1016" s="50"/>
      <c r="W1016" s="50"/>
      <c r="X1016"/>
      <c r="Y1016"/>
      <c r="Z1016"/>
      <c r="AA1016"/>
      <c r="AB1016"/>
      <c r="AC1016"/>
      <c r="AD1016"/>
      <c r="AE1016"/>
      <c r="AF1016"/>
      <c r="AG1016"/>
      <c r="AH1016"/>
      <c r="AI1016"/>
    </row>
    <row r="1017" spans="1:35" s="48" customFormat="1" x14ac:dyDescent="0.45">
      <c r="A1017" s="3"/>
      <c r="H1017"/>
      <c r="J1017" s="49"/>
      <c r="K1017" s="49"/>
      <c r="L1017" s="50"/>
      <c r="M1017" s="50"/>
      <c r="N1017" s="50"/>
      <c r="O1017" s="50"/>
      <c r="P1017" s="50"/>
      <c r="Q1017" s="50"/>
      <c r="R1017" s="47"/>
      <c r="S1017" s="50"/>
      <c r="T1017" s="50"/>
      <c r="U1017" s="50"/>
      <c r="V1017" s="50"/>
      <c r="W1017" s="50"/>
      <c r="X1017"/>
      <c r="Y1017"/>
      <c r="Z1017"/>
      <c r="AA1017"/>
      <c r="AB1017"/>
      <c r="AC1017"/>
      <c r="AD1017"/>
      <c r="AE1017"/>
      <c r="AF1017"/>
      <c r="AG1017"/>
      <c r="AH1017"/>
      <c r="AI1017"/>
    </row>
    <row r="1018" spans="1:35" s="48" customFormat="1" x14ac:dyDescent="0.45">
      <c r="A1018" s="3"/>
      <c r="H1018"/>
      <c r="J1018" s="49"/>
      <c r="K1018" s="49"/>
      <c r="L1018" s="50"/>
      <c r="M1018" s="50"/>
      <c r="N1018" s="50"/>
      <c r="O1018" s="50"/>
      <c r="P1018" s="50"/>
      <c r="Q1018" s="50"/>
      <c r="R1018" s="47"/>
      <c r="S1018" s="50"/>
      <c r="T1018" s="50"/>
      <c r="U1018" s="50"/>
      <c r="V1018" s="50"/>
      <c r="W1018" s="50"/>
      <c r="X1018"/>
      <c r="Y1018"/>
      <c r="Z1018"/>
      <c r="AA1018"/>
      <c r="AB1018"/>
      <c r="AC1018"/>
      <c r="AD1018"/>
      <c r="AE1018"/>
      <c r="AF1018"/>
      <c r="AG1018"/>
      <c r="AH1018"/>
      <c r="AI1018"/>
    </row>
    <row r="1019" spans="1:35" s="48" customFormat="1" x14ac:dyDescent="0.45">
      <c r="A1019" s="3"/>
      <c r="H1019"/>
      <c r="J1019" s="49"/>
      <c r="K1019" s="49"/>
      <c r="L1019" s="50"/>
      <c r="M1019" s="50"/>
      <c r="N1019" s="50"/>
      <c r="O1019" s="50"/>
      <c r="P1019" s="50"/>
      <c r="Q1019" s="50"/>
      <c r="R1019" s="47"/>
      <c r="S1019" s="50"/>
      <c r="T1019" s="50"/>
      <c r="U1019" s="50"/>
      <c r="V1019" s="50"/>
      <c r="W1019" s="50"/>
      <c r="X1019"/>
      <c r="Y1019"/>
      <c r="Z1019"/>
      <c r="AA1019"/>
      <c r="AB1019"/>
      <c r="AC1019"/>
      <c r="AD1019"/>
      <c r="AE1019"/>
      <c r="AF1019"/>
      <c r="AG1019"/>
      <c r="AH1019"/>
      <c r="AI1019"/>
    </row>
    <row r="1020" spans="1:35" s="48" customFormat="1" x14ac:dyDescent="0.45">
      <c r="A1020" s="3"/>
      <c r="H1020"/>
      <c r="J1020" s="49"/>
      <c r="K1020" s="49"/>
      <c r="L1020" s="50"/>
      <c r="M1020" s="50"/>
      <c r="N1020" s="50"/>
      <c r="O1020" s="50"/>
      <c r="P1020" s="50"/>
      <c r="Q1020" s="50"/>
      <c r="R1020" s="47"/>
      <c r="S1020" s="50"/>
      <c r="T1020" s="50"/>
      <c r="U1020" s="50"/>
      <c r="V1020" s="50"/>
      <c r="W1020" s="50"/>
      <c r="X1020"/>
      <c r="Y1020"/>
      <c r="Z1020"/>
      <c r="AA1020"/>
      <c r="AB1020"/>
      <c r="AC1020"/>
      <c r="AD1020"/>
      <c r="AE1020"/>
      <c r="AF1020"/>
      <c r="AG1020"/>
      <c r="AH1020"/>
      <c r="AI1020"/>
    </row>
    <row r="1021" spans="1:35" s="48" customFormat="1" x14ac:dyDescent="0.45">
      <c r="A1021" s="3"/>
      <c r="H1021"/>
      <c r="J1021" s="49"/>
      <c r="K1021" s="49"/>
      <c r="L1021" s="50"/>
      <c r="M1021" s="50"/>
      <c r="N1021" s="50"/>
      <c r="O1021" s="50"/>
      <c r="P1021" s="50"/>
      <c r="Q1021" s="50"/>
      <c r="R1021" s="47"/>
      <c r="S1021" s="50"/>
      <c r="T1021" s="50"/>
      <c r="U1021" s="50"/>
      <c r="V1021" s="50"/>
      <c r="W1021" s="50"/>
      <c r="X1021"/>
      <c r="Y1021"/>
      <c r="Z1021"/>
      <c r="AA1021"/>
      <c r="AB1021"/>
      <c r="AC1021"/>
      <c r="AD1021"/>
      <c r="AE1021"/>
      <c r="AF1021"/>
      <c r="AG1021"/>
      <c r="AH1021"/>
      <c r="AI1021"/>
    </row>
    <row r="1022" spans="1:35" s="48" customFormat="1" x14ac:dyDescent="0.45">
      <c r="A1022" s="3"/>
      <c r="H1022"/>
      <c r="J1022" s="49"/>
      <c r="K1022" s="49"/>
      <c r="L1022" s="50"/>
      <c r="M1022" s="50"/>
      <c r="N1022" s="50"/>
      <c r="O1022" s="50"/>
      <c r="P1022" s="50"/>
      <c r="Q1022" s="50"/>
      <c r="R1022" s="47"/>
      <c r="S1022" s="50"/>
      <c r="T1022" s="50"/>
      <c r="U1022" s="50"/>
      <c r="V1022" s="50"/>
      <c r="W1022" s="50"/>
      <c r="X1022"/>
      <c r="Y1022"/>
      <c r="Z1022"/>
      <c r="AA1022"/>
      <c r="AB1022"/>
      <c r="AC1022"/>
      <c r="AD1022"/>
      <c r="AE1022"/>
      <c r="AF1022"/>
      <c r="AG1022"/>
      <c r="AH1022"/>
      <c r="AI1022"/>
    </row>
    <row r="1023" spans="1:35" s="48" customFormat="1" x14ac:dyDescent="0.45">
      <c r="A1023" s="3"/>
      <c r="H1023"/>
      <c r="J1023" s="49"/>
      <c r="K1023" s="49"/>
      <c r="L1023" s="50"/>
      <c r="M1023" s="50"/>
      <c r="N1023" s="50"/>
      <c r="O1023" s="50"/>
      <c r="P1023" s="50"/>
      <c r="Q1023" s="50"/>
      <c r="R1023" s="47"/>
      <c r="S1023" s="50"/>
      <c r="T1023" s="50"/>
      <c r="U1023" s="50"/>
      <c r="V1023" s="50"/>
      <c r="W1023" s="50"/>
      <c r="X1023"/>
      <c r="Y1023"/>
      <c r="Z1023"/>
      <c r="AA1023"/>
      <c r="AB1023"/>
      <c r="AC1023"/>
      <c r="AD1023"/>
      <c r="AE1023"/>
      <c r="AF1023"/>
      <c r="AG1023"/>
      <c r="AH1023"/>
      <c r="AI1023"/>
    </row>
    <row r="1024" spans="1:35" s="48" customFormat="1" x14ac:dyDescent="0.45">
      <c r="A1024" s="3"/>
      <c r="H1024"/>
      <c r="J1024" s="49"/>
      <c r="K1024" s="49"/>
      <c r="L1024" s="50"/>
      <c r="M1024" s="50"/>
      <c r="N1024" s="50"/>
      <c r="O1024" s="50"/>
      <c r="P1024" s="50"/>
      <c r="Q1024" s="50"/>
      <c r="R1024" s="47"/>
      <c r="S1024" s="50"/>
      <c r="T1024" s="50"/>
      <c r="U1024" s="50"/>
      <c r="V1024" s="50"/>
      <c r="W1024" s="50"/>
      <c r="X1024"/>
      <c r="Y1024"/>
      <c r="Z1024"/>
      <c r="AA1024"/>
      <c r="AB1024"/>
      <c r="AC1024"/>
      <c r="AD1024"/>
      <c r="AE1024"/>
      <c r="AF1024"/>
      <c r="AG1024"/>
      <c r="AH1024"/>
      <c r="AI1024"/>
    </row>
    <row r="1025" spans="1:35" s="48" customFormat="1" x14ac:dyDescent="0.45">
      <c r="A1025" s="3"/>
      <c r="H1025"/>
      <c r="J1025" s="49"/>
      <c r="K1025" s="49"/>
      <c r="L1025" s="50"/>
      <c r="M1025" s="50"/>
      <c r="N1025" s="50"/>
      <c r="O1025" s="50"/>
      <c r="P1025" s="50"/>
      <c r="Q1025" s="50"/>
      <c r="R1025" s="47"/>
      <c r="S1025" s="50"/>
      <c r="T1025" s="50"/>
      <c r="U1025" s="50"/>
      <c r="V1025" s="50"/>
      <c r="W1025" s="50"/>
      <c r="X1025"/>
      <c r="Y1025"/>
      <c r="Z1025"/>
      <c r="AA1025"/>
      <c r="AB1025"/>
      <c r="AC1025"/>
      <c r="AD1025"/>
      <c r="AE1025"/>
      <c r="AF1025"/>
      <c r="AG1025"/>
      <c r="AH1025"/>
      <c r="AI1025"/>
    </row>
    <row r="1026" spans="1:35" s="48" customFormat="1" x14ac:dyDescent="0.45">
      <c r="A1026" s="3"/>
      <c r="H1026"/>
      <c r="J1026" s="49"/>
      <c r="K1026" s="49"/>
      <c r="L1026" s="50"/>
      <c r="M1026" s="50"/>
      <c r="N1026" s="50"/>
      <c r="O1026" s="50"/>
      <c r="P1026" s="50"/>
      <c r="Q1026" s="50"/>
      <c r="R1026" s="47"/>
      <c r="S1026" s="50"/>
      <c r="T1026" s="50"/>
      <c r="U1026" s="50"/>
      <c r="V1026" s="50"/>
      <c r="W1026" s="50"/>
      <c r="X1026"/>
      <c r="Y1026"/>
      <c r="Z1026"/>
      <c r="AA1026"/>
      <c r="AB1026"/>
      <c r="AC1026"/>
      <c r="AD1026"/>
      <c r="AE1026"/>
      <c r="AF1026"/>
      <c r="AG1026"/>
      <c r="AH1026"/>
      <c r="AI1026"/>
    </row>
    <row r="1027" spans="1:35" s="48" customFormat="1" x14ac:dyDescent="0.45">
      <c r="A1027" s="3"/>
      <c r="H1027"/>
      <c r="J1027" s="49"/>
      <c r="K1027" s="49"/>
      <c r="L1027" s="50"/>
      <c r="M1027" s="50"/>
      <c r="N1027" s="50"/>
      <c r="O1027" s="50"/>
      <c r="P1027" s="50"/>
      <c r="Q1027" s="50"/>
      <c r="R1027" s="47"/>
      <c r="S1027" s="50"/>
      <c r="T1027" s="50"/>
      <c r="U1027" s="50"/>
      <c r="V1027" s="50"/>
      <c r="W1027" s="50"/>
      <c r="X1027"/>
      <c r="Y1027"/>
      <c r="Z1027"/>
      <c r="AA1027"/>
      <c r="AB1027"/>
      <c r="AC1027"/>
      <c r="AD1027"/>
      <c r="AE1027"/>
      <c r="AF1027"/>
      <c r="AG1027"/>
      <c r="AH1027"/>
      <c r="AI1027"/>
    </row>
    <row r="1028" spans="1:35" s="48" customFormat="1" x14ac:dyDescent="0.45">
      <c r="A1028" s="3"/>
      <c r="H1028"/>
      <c r="J1028" s="49"/>
      <c r="K1028" s="49"/>
      <c r="L1028" s="50"/>
      <c r="M1028" s="50"/>
      <c r="N1028" s="50"/>
      <c r="O1028" s="50"/>
      <c r="P1028" s="50"/>
      <c r="Q1028" s="50"/>
      <c r="R1028" s="47"/>
      <c r="S1028" s="50"/>
      <c r="T1028" s="50"/>
      <c r="U1028" s="50"/>
      <c r="V1028" s="50"/>
      <c r="W1028" s="50"/>
      <c r="X1028"/>
      <c r="Y1028"/>
      <c r="Z1028"/>
      <c r="AA1028"/>
      <c r="AB1028"/>
      <c r="AC1028"/>
      <c r="AD1028"/>
      <c r="AE1028"/>
      <c r="AF1028"/>
      <c r="AG1028"/>
      <c r="AH1028"/>
      <c r="AI1028"/>
    </row>
    <row r="1029" spans="1:35" s="48" customFormat="1" x14ac:dyDescent="0.45">
      <c r="A1029" s="3"/>
      <c r="H1029"/>
      <c r="J1029" s="49"/>
      <c r="K1029" s="49"/>
      <c r="L1029" s="50"/>
      <c r="M1029" s="50"/>
      <c r="N1029" s="50"/>
      <c r="O1029" s="50"/>
      <c r="P1029" s="50"/>
      <c r="Q1029" s="50"/>
      <c r="R1029" s="47"/>
      <c r="S1029" s="50"/>
      <c r="T1029" s="50"/>
      <c r="U1029" s="50"/>
      <c r="V1029" s="50"/>
      <c r="W1029" s="50"/>
      <c r="X1029"/>
      <c r="Y1029"/>
      <c r="Z1029"/>
      <c r="AA1029"/>
      <c r="AB1029"/>
      <c r="AC1029"/>
      <c r="AD1029"/>
      <c r="AE1029"/>
      <c r="AF1029"/>
      <c r="AG1029"/>
      <c r="AH1029"/>
      <c r="AI1029"/>
    </row>
    <row r="1030" spans="1:35" s="48" customFormat="1" x14ac:dyDescent="0.45">
      <c r="A1030" s="3"/>
      <c r="H1030"/>
      <c r="J1030" s="49"/>
      <c r="K1030" s="49"/>
      <c r="L1030" s="50"/>
      <c r="M1030" s="50"/>
      <c r="N1030" s="50"/>
      <c r="O1030" s="50"/>
      <c r="P1030" s="50"/>
      <c r="Q1030" s="50"/>
      <c r="R1030" s="47"/>
      <c r="S1030" s="50"/>
      <c r="T1030" s="50"/>
      <c r="U1030" s="50"/>
      <c r="V1030" s="50"/>
      <c r="W1030" s="50"/>
      <c r="X1030"/>
      <c r="Y1030"/>
      <c r="Z1030"/>
      <c r="AA1030"/>
      <c r="AB1030"/>
      <c r="AC1030"/>
      <c r="AD1030"/>
      <c r="AE1030"/>
      <c r="AF1030"/>
      <c r="AG1030"/>
      <c r="AH1030"/>
      <c r="AI1030"/>
    </row>
    <row r="1031" spans="1:35" s="48" customFormat="1" x14ac:dyDescent="0.45">
      <c r="A1031" s="3"/>
      <c r="H1031"/>
      <c r="J1031" s="49"/>
      <c r="K1031" s="49"/>
      <c r="L1031" s="50"/>
      <c r="M1031" s="50"/>
      <c r="N1031" s="50"/>
      <c r="O1031" s="50"/>
      <c r="P1031" s="50"/>
      <c r="Q1031" s="50"/>
      <c r="R1031" s="47"/>
      <c r="S1031" s="50"/>
      <c r="T1031" s="50"/>
      <c r="U1031" s="50"/>
      <c r="V1031" s="50"/>
      <c r="W1031" s="50"/>
      <c r="X1031"/>
      <c r="Y1031"/>
      <c r="Z1031"/>
      <c r="AA1031"/>
      <c r="AB1031"/>
      <c r="AC1031"/>
      <c r="AD1031"/>
      <c r="AE1031"/>
      <c r="AF1031"/>
      <c r="AG1031"/>
      <c r="AH1031"/>
      <c r="AI1031"/>
    </row>
    <row r="1032" spans="1:35" s="48" customFormat="1" x14ac:dyDescent="0.45">
      <c r="A1032" s="3"/>
      <c r="H1032"/>
      <c r="J1032" s="49"/>
      <c r="K1032" s="49"/>
      <c r="L1032" s="50"/>
      <c r="M1032" s="50"/>
      <c r="N1032" s="50"/>
      <c r="O1032" s="50"/>
      <c r="P1032" s="50"/>
      <c r="Q1032" s="50"/>
      <c r="R1032" s="47"/>
      <c r="S1032" s="50"/>
      <c r="T1032" s="50"/>
      <c r="U1032" s="50"/>
      <c r="V1032" s="50"/>
      <c r="W1032" s="50"/>
      <c r="X1032"/>
      <c r="Y1032"/>
      <c r="Z1032"/>
      <c r="AA1032"/>
      <c r="AB1032"/>
      <c r="AC1032"/>
      <c r="AD1032"/>
      <c r="AE1032"/>
      <c r="AF1032"/>
      <c r="AG1032"/>
      <c r="AH1032"/>
      <c r="AI1032"/>
    </row>
    <row r="1033" spans="1:35" s="48" customFormat="1" x14ac:dyDescent="0.45">
      <c r="A1033" s="3"/>
      <c r="H1033"/>
      <c r="J1033" s="49"/>
      <c r="K1033" s="49"/>
      <c r="L1033" s="50"/>
      <c r="M1033" s="50"/>
      <c r="N1033" s="50"/>
      <c r="O1033" s="50"/>
      <c r="P1033" s="50"/>
      <c r="Q1033" s="50"/>
      <c r="R1033" s="47"/>
      <c r="S1033" s="50"/>
      <c r="T1033" s="50"/>
      <c r="U1033" s="50"/>
      <c r="V1033" s="50"/>
      <c r="W1033" s="50"/>
      <c r="X1033"/>
      <c r="Y1033"/>
      <c r="Z1033"/>
      <c r="AA1033"/>
      <c r="AB1033"/>
      <c r="AC1033"/>
      <c r="AD1033"/>
      <c r="AE1033"/>
      <c r="AF1033"/>
      <c r="AG1033"/>
      <c r="AH1033"/>
      <c r="AI1033"/>
    </row>
    <row r="1034" spans="1:35" s="48" customFormat="1" x14ac:dyDescent="0.45">
      <c r="A1034" s="3"/>
      <c r="H1034"/>
      <c r="J1034" s="49"/>
      <c r="K1034" s="49"/>
      <c r="L1034" s="50"/>
      <c r="M1034" s="50"/>
      <c r="N1034" s="50"/>
      <c r="O1034" s="50"/>
      <c r="P1034" s="50"/>
      <c r="Q1034" s="50"/>
      <c r="R1034" s="47"/>
      <c r="S1034" s="50"/>
      <c r="T1034" s="50"/>
      <c r="U1034" s="50"/>
      <c r="V1034" s="50"/>
      <c r="W1034" s="50"/>
      <c r="X1034"/>
      <c r="Y1034"/>
      <c r="Z1034"/>
      <c r="AA1034"/>
      <c r="AB1034"/>
      <c r="AC1034"/>
      <c r="AD1034"/>
      <c r="AE1034"/>
      <c r="AF1034"/>
      <c r="AG1034"/>
      <c r="AH1034"/>
      <c r="AI1034"/>
    </row>
    <row r="1035" spans="1:35" s="48" customFormat="1" x14ac:dyDescent="0.45">
      <c r="A1035" s="3"/>
      <c r="H1035"/>
      <c r="J1035" s="49"/>
      <c r="K1035" s="49"/>
      <c r="L1035" s="50"/>
      <c r="M1035" s="50"/>
      <c r="N1035" s="50"/>
      <c r="O1035" s="50"/>
      <c r="P1035" s="50"/>
      <c r="Q1035" s="50"/>
      <c r="R1035" s="47"/>
      <c r="S1035" s="50"/>
      <c r="T1035" s="50"/>
      <c r="U1035" s="50"/>
      <c r="V1035" s="50"/>
      <c r="W1035" s="50"/>
      <c r="X1035"/>
      <c r="Y1035"/>
      <c r="Z1035"/>
      <c r="AA1035"/>
      <c r="AB1035"/>
      <c r="AC1035"/>
      <c r="AD1035"/>
      <c r="AE1035"/>
      <c r="AF1035"/>
      <c r="AG1035"/>
      <c r="AH1035"/>
      <c r="AI1035"/>
    </row>
    <row r="1036" spans="1:35" s="48" customFormat="1" x14ac:dyDescent="0.45">
      <c r="A1036" s="3"/>
      <c r="H1036"/>
      <c r="J1036" s="49"/>
      <c r="K1036" s="49"/>
      <c r="L1036" s="50"/>
      <c r="M1036" s="50"/>
      <c r="N1036" s="50"/>
      <c r="O1036" s="50"/>
      <c r="P1036" s="50"/>
      <c r="Q1036" s="50"/>
      <c r="R1036" s="47"/>
      <c r="S1036" s="50"/>
      <c r="T1036" s="50"/>
      <c r="U1036" s="50"/>
      <c r="V1036" s="50"/>
      <c r="W1036" s="50"/>
      <c r="X1036"/>
      <c r="Y1036"/>
      <c r="Z1036"/>
      <c r="AA1036"/>
      <c r="AB1036"/>
      <c r="AC1036"/>
      <c r="AD1036"/>
      <c r="AE1036"/>
      <c r="AF1036"/>
      <c r="AG1036"/>
      <c r="AH1036"/>
      <c r="AI1036"/>
    </row>
    <row r="1037" spans="1:35" s="48" customFormat="1" x14ac:dyDescent="0.45">
      <c r="A1037" s="3"/>
      <c r="H1037"/>
      <c r="J1037" s="49"/>
      <c r="K1037" s="49"/>
      <c r="L1037" s="50"/>
      <c r="M1037" s="50"/>
      <c r="N1037" s="50"/>
      <c r="O1037" s="50"/>
      <c r="P1037" s="50"/>
      <c r="Q1037" s="50"/>
      <c r="R1037" s="47"/>
      <c r="S1037" s="50"/>
      <c r="T1037" s="50"/>
      <c r="U1037" s="50"/>
      <c r="V1037" s="50"/>
      <c r="W1037" s="50"/>
      <c r="X1037"/>
      <c r="Y1037"/>
      <c r="Z1037"/>
      <c r="AA1037"/>
      <c r="AB1037"/>
      <c r="AC1037"/>
      <c r="AD1037"/>
      <c r="AE1037"/>
      <c r="AF1037"/>
      <c r="AG1037"/>
      <c r="AH1037"/>
      <c r="AI1037"/>
    </row>
    <row r="1038" spans="1:35" s="48" customFormat="1" x14ac:dyDescent="0.45">
      <c r="A1038" s="3"/>
      <c r="H1038"/>
      <c r="J1038" s="49"/>
      <c r="K1038" s="49"/>
      <c r="L1038" s="50"/>
      <c r="M1038" s="50"/>
      <c r="N1038" s="50"/>
      <c r="O1038" s="50"/>
      <c r="P1038" s="50"/>
      <c r="Q1038" s="50"/>
      <c r="R1038" s="47"/>
      <c r="S1038" s="50"/>
      <c r="T1038" s="50"/>
      <c r="U1038" s="50"/>
      <c r="V1038" s="50"/>
      <c r="W1038" s="50"/>
      <c r="X1038"/>
      <c r="Y1038"/>
      <c r="Z1038"/>
      <c r="AA1038"/>
      <c r="AB1038"/>
      <c r="AC1038"/>
      <c r="AD1038"/>
      <c r="AE1038"/>
      <c r="AF1038"/>
      <c r="AG1038"/>
      <c r="AH1038"/>
      <c r="AI1038"/>
    </row>
    <row r="1039" spans="1:35" s="48" customFormat="1" x14ac:dyDescent="0.45">
      <c r="A1039" s="3"/>
      <c r="H1039"/>
      <c r="J1039" s="49"/>
      <c r="K1039" s="49"/>
      <c r="L1039" s="50"/>
      <c r="M1039" s="50"/>
      <c r="N1039" s="50"/>
      <c r="O1039" s="50"/>
      <c r="P1039" s="50"/>
      <c r="Q1039" s="50"/>
      <c r="R1039" s="47"/>
      <c r="S1039" s="50"/>
      <c r="T1039" s="50"/>
      <c r="U1039" s="50"/>
      <c r="V1039" s="50"/>
      <c r="W1039" s="50"/>
      <c r="X1039"/>
      <c r="Y1039"/>
      <c r="Z1039"/>
      <c r="AA1039"/>
      <c r="AB1039"/>
      <c r="AC1039"/>
      <c r="AD1039"/>
      <c r="AE1039"/>
      <c r="AF1039"/>
      <c r="AG1039"/>
      <c r="AH1039"/>
      <c r="AI1039"/>
    </row>
    <row r="1040" spans="1:35" s="48" customFormat="1" x14ac:dyDescent="0.45">
      <c r="A1040" s="3"/>
      <c r="H1040"/>
      <c r="J1040" s="49"/>
      <c r="K1040" s="49"/>
      <c r="L1040" s="50"/>
      <c r="M1040" s="50"/>
      <c r="N1040" s="50"/>
      <c r="O1040" s="50"/>
      <c r="P1040" s="50"/>
      <c r="Q1040" s="50"/>
      <c r="R1040" s="47"/>
      <c r="S1040" s="50"/>
      <c r="T1040" s="50"/>
      <c r="U1040" s="50"/>
      <c r="V1040" s="50"/>
      <c r="W1040" s="50"/>
      <c r="X1040"/>
      <c r="Y1040"/>
      <c r="Z1040"/>
      <c r="AA1040"/>
      <c r="AB1040"/>
      <c r="AC1040"/>
      <c r="AD1040"/>
      <c r="AE1040"/>
      <c r="AF1040"/>
      <c r="AG1040"/>
      <c r="AH1040"/>
      <c r="AI1040"/>
    </row>
    <row r="1041" spans="1:35" s="48" customFormat="1" x14ac:dyDescent="0.45">
      <c r="A1041" s="3"/>
      <c r="H1041"/>
      <c r="J1041" s="49"/>
      <c r="K1041" s="49"/>
      <c r="L1041" s="50"/>
      <c r="M1041" s="50"/>
      <c r="N1041" s="50"/>
      <c r="O1041" s="50"/>
      <c r="P1041" s="50"/>
      <c r="Q1041" s="50"/>
      <c r="R1041" s="47"/>
      <c r="S1041" s="50"/>
      <c r="T1041" s="50"/>
      <c r="U1041" s="50"/>
      <c r="V1041" s="50"/>
      <c r="W1041" s="50"/>
      <c r="X1041"/>
      <c r="Y1041"/>
      <c r="Z1041"/>
      <c r="AA1041"/>
      <c r="AB1041"/>
      <c r="AC1041"/>
      <c r="AD1041"/>
      <c r="AE1041"/>
      <c r="AF1041"/>
      <c r="AG1041"/>
      <c r="AH1041"/>
      <c r="AI1041"/>
    </row>
    <row r="1042" spans="1:35" s="48" customFormat="1" x14ac:dyDescent="0.45">
      <c r="A1042" s="3"/>
      <c r="H1042"/>
      <c r="J1042" s="49"/>
      <c r="K1042" s="49"/>
      <c r="L1042" s="50"/>
      <c r="M1042" s="50"/>
      <c r="N1042" s="50"/>
      <c r="O1042" s="50"/>
      <c r="P1042" s="50"/>
      <c r="Q1042" s="50"/>
      <c r="R1042" s="47"/>
      <c r="S1042" s="50"/>
      <c r="T1042" s="50"/>
      <c r="U1042" s="50"/>
      <c r="V1042" s="50"/>
      <c r="W1042" s="50"/>
      <c r="X1042"/>
      <c r="Y1042"/>
      <c r="Z1042"/>
      <c r="AA1042"/>
      <c r="AB1042"/>
      <c r="AC1042"/>
      <c r="AD1042"/>
      <c r="AE1042"/>
      <c r="AF1042"/>
      <c r="AG1042"/>
      <c r="AH1042"/>
      <c r="AI1042"/>
    </row>
    <row r="1043" spans="1:35" s="48" customFormat="1" x14ac:dyDescent="0.45">
      <c r="A1043" s="3"/>
      <c r="H1043"/>
      <c r="J1043" s="49"/>
      <c r="K1043" s="49"/>
      <c r="L1043" s="50"/>
      <c r="M1043" s="50"/>
      <c r="N1043" s="50"/>
      <c r="O1043" s="50"/>
      <c r="P1043" s="50"/>
      <c r="Q1043" s="50"/>
      <c r="R1043" s="47"/>
      <c r="S1043" s="50"/>
      <c r="T1043" s="50"/>
      <c r="U1043" s="50"/>
      <c r="V1043" s="50"/>
      <c r="W1043" s="50"/>
      <c r="X1043"/>
      <c r="Y1043"/>
      <c r="Z1043"/>
      <c r="AA1043"/>
      <c r="AB1043"/>
      <c r="AC1043"/>
      <c r="AD1043"/>
      <c r="AE1043"/>
      <c r="AF1043"/>
      <c r="AG1043"/>
      <c r="AH1043"/>
      <c r="AI1043"/>
    </row>
    <row r="1044" spans="1:35" s="48" customFormat="1" x14ac:dyDescent="0.45">
      <c r="A1044" s="3"/>
      <c r="H1044"/>
      <c r="J1044" s="49"/>
      <c r="K1044" s="49"/>
      <c r="L1044" s="50"/>
      <c r="M1044" s="50"/>
      <c r="N1044" s="50"/>
      <c r="O1044" s="50"/>
      <c r="P1044" s="50"/>
      <c r="Q1044" s="50"/>
      <c r="R1044" s="47"/>
      <c r="S1044" s="50"/>
      <c r="T1044" s="50"/>
      <c r="U1044" s="50"/>
      <c r="V1044" s="50"/>
      <c r="W1044" s="50"/>
      <c r="X1044"/>
      <c r="Y1044"/>
      <c r="Z1044"/>
      <c r="AA1044"/>
      <c r="AB1044"/>
      <c r="AC1044"/>
      <c r="AD1044"/>
      <c r="AE1044"/>
      <c r="AF1044"/>
      <c r="AG1044"/>
      <c r="AH1044"/>
      <c r="AI1044"/>
    </row>
    <row r="1045" spans="1:35" s="48" customFormat="1" x14ac:dyDescent="0.45">
      <c r="A1045" s="3"/>
      <c r="H1045"/>
      <c r="J1045" s="49"/>
      <c r="K1045" s="49"/>
      <c r="L1045" s="50"/>
      <c r="M1045" s="50"/>
      <c r="N1045" s="50"/>
      <c r="O1045" s="50"/>
      <c r="P1045" s="50"/>
      <c r="Q1045" s="50"/>
      <c r="R1045" s="47"/>
      <c r="S1045" s="50"/>
      <c r="T1045" s="50"/>
      <c r="U1045" s="50"/>
      <c r="V1045" s="50"/>
      <c r="W1045" s="50"/>
      <c r="X1045"/>
      <c r="Y1045"/>
      <c r="Z1045"/>
      <c r="AA1045"/>
      <c r="AB1045"/>
      <c r="AC1045"/>
      <c r="AD1045"/>
      <c r="AE1045"/>
      <c r="AF1045"/>
      <c r="AG1045"/>
      <c r="AH1045"/>
      <c r="AI1045"/>
    </row>
    <row r="1046" spans="1:35" s="48" customFormat="1" x14ac:dyDescent="0.45">
      <c r="A1046" s="3"/>
      <c r="H1046"/>
      <c r="J1046" s="49"/>
      <c r="K1046" s="49"/>
      <c r="L1046" s="50"/>
      <c r="M1046" s="50"/>
      <c r="N1046" s="50"/>
      <c r="O1046" s="50"/>
      <c r="P1046" s="50"/>
      <c r="Q1046" s="50"/>
      <c r="R1046" s="47"/>
      <c r="S1046" s="50"/>
      <c r="T1046" s="50"/>
      <c r="U1046" s="50"/>
      <c r="V1046" s="50"/>
      <c r="W1046" s="50"/>
      <c r="X1046"/>
      <c r="Y1046"/>
      <c r="Z1046"/>
      <c r="AA1046"/>
      <c r="AB1046"/>
      <c r="AC1046"/>
      <c r="AD1046"/>
      <c r="AE1046"/>
      <c r="AF1046"/>
      <c r="AG1046"/>
      <c r="AH1046"/>
      <c r="AI1046"/>
    </row>
    <row r="1047" spans="1:35" s="48" customFormat="1" x14ac:dyDescent="0.45">
      <c r="A1047" s="3"/>
      <c r="H1047"/>
      <c r="J1047" s="49"/>
      <c r="K1047" s="49"/>
      <c r="L1047" s="50"/>
      <c r="M1047" s="50"/>
      <c r="N1047" s="50"/>
      <c r="O1047" s="50"/>
      <c r="P1047" s="50"/>
      <c r="Q1047" s="50"/>
      <c r="R1047" s="47"/>
      <c r="S1047" s="50"/>
      <c r="T1047" s="50"/>
      <c r="U1047" s="50"/>
      <c r="V1047" s="50"/>
      <c r="W1047" s="50"/>
      <c r="X1047"/>
      <c r="Y1047"/>
      <c r="Z1047"/>
      <c r="AA1047"/>
      <c r="AB1047"/>
      <c r="AC1047"/>
      <c r="AD1047"/>
      <c r="AE1047"/>
      <c r="AF1047"/>
      <c r="AG1047"/>
      <c r="AH1047"/>
      <c r="AI1047"/>
    </row>
    <row r="1048" spans="1:35" s="48" customFormat="1" x14ac:dyDescent="0.45">
      <c r="A1048" s="3"/>
      <c r="H1048"/>
      <c r="J1048" s="49"/>
      <c r="K1048" s="49"/>
      <c r="L1048" s="50"/>
      <c r="M1048" s="50"/>
      <c r="N1048" s="50"/>
      <c r="O1048" s="50"/>
      <c r="P1048" s="50"/>
      <c r="Q1048" s="50"/>
      <c r="R1048" s="47"/>
      <c r="S1048" s="50"/>
      <c r="T1048" s="50"/>
      <c r="U1048" s="50"/>
      <c r="V1048" s="50"/>
      <c r="W1048" s="50"/>
      <c r="X1048"/>
      <c r="Y1048"/>
      <c r="Z1048"/>
      <c r="AA1048"/>
      <c r="AB1048"/>
      <c r="AC1048"/>
      <c r="AD1048"/>
      <c r="AE1048"/>
      <c r="AF1048"/>
      <c r="AG1048"/>
      <c r="AH1048"/>
      <c r="AI1048"/>
    </row>
    <row r="1049" spans="1:35" s="48" customFormat="1" x14ac:dyDescent="0.45">
      <c r="A1049" s="3"/>
      <c r="H1049"/>
      <c r="J1049" s="49"/>
      <c r="K1049" s="49"/>
      <c r="L1049" s="50"/>
      <c r="M1049" s="50"/>
      <c r="N1049" s="50"/>
      <c r="O1049" s="50"/>
      <c r="P1049" s="50"/>
      <c r="Q1049" s="50"/>
      <c r="R1049" s="47"/>
      <c r="S1049" s="50"/>
      <c r="T1049" s="50"/>
      <c r="U1049" s="50"/>
      <c r="V1049" s="50"/>
      <c r="W1049" s="50"/>
      <c r="X1049"/>
      <c r="Y1049"/>
      <c r="Z1049"/>
      <c r="AA1049"/>
      <c r="AB1049"/>
      <c r="AC1049"/>
      <c r="AD1049"/>
      <c r="AE1049"/>
      <c r="AF1049"/>
      <c r="AG1049"/>
      <c r="AH1049"/>
      <c r="AI1049"/>
    </row>
    <row r="1050" spans="1:35" s="48" customFormat="1" x14ac:dyDescent="0.45">
      <c r="A1050" s="3"/>
      <c r="H1050"/>
      <c r="J1050" s="49"/>
      <c r="K1050" s="49"/>
      <c r="L1050" s="50"/>
      <c r="M1050" s="50"/>
      <c r="N1050" s="50"/>
      <c r="O1050" s="50"/>
      <c r="P1050" s="50"/>
      <c r="Q1050" s="50"/>
      <c r="R1050" s="47"/>
      <c r="S1050" s="50"/>
      <c r="T1050" s="50"/>
      <c r="U1050" s="50"/>
      <c r="V1050" s="50"/>
      <c r="W1050" s="50"/>
      <c r="X1050"/>
      <c r="Y1050"/>
      <c r="Z1050"/>
      <c r="AA1050"/>
      <c r="AB1050"/>
      <c r="AC1050"/>
      <c r="AD1050"/>
      <c r="AE1050"/>
      <c r="AF1050"/>
      <c r="AG1050"/>
      <c r="AH1050"/>
      <c r="AI1050"/>
    </row>
    <row r="1051" spans="1:35" s="48" customFormat="1" x14ac:dyDescent="0.45">
      <c r="A1051" s="3"/>
      <c r="H1051"/>
      <c r="J1051" s="49"/>
      <c r="K1051" s="49"/>
      <c r="L1051" s="50"/>
      <c r="M1051" s="50"/>
      <c r="N1051" s="50"/>
      <c r="O1051" s="50"/>
      <c r="P1051" s="50"/>
      <c r="Q1051" s="50"/>
      <c r="R1051" s="47"/>
      <c r="S1051" s="50"/>
      <c r="T1051" s="50"/>
      <c r="U1051" s="50"/>
      <c r="V1051" s="50"/>
      <c r="W1051" s="50"/>
      <c r="X1051"/>
      <c r="Y1051"/>
      <c r="Z1051"/>
      <c r="AA1051"/>
      <c r="AB1051"/>
      <c r="AC1051"/>
      <c r="AD1051"/>
      <c r="AE1051"/>
      <c r="AF1051"/>
      <c r="AG1051"/>
      <c r="AH1051"/>
      <c r="AI1051"/>
    </row>
    <row r="1052" spans="1:35" s="48" customFormat="1" x14ac:dyDescent="0.45">
      <c r="A1052" s="3"/>
      <c r="H1052"/>
      <c r="J1052" s="49"/>
      <c r="K1052" s="49"/>
      <c r="L1052" s="50"/>
      <c r="M1052" s="50"/>
      <c r="N1052" s="50"/>
      <c r="O1052" s="50"/>
      <c r="P1052" s="50"/>
      <c r="Q1052" s="50"/>
      <c r="R1052" s="47"/>
      <c r="S1052" s="50"/>
      <c r="T1052" s="50"/>
      <c r="U1052" s="50"/>
      <c r="V1052" s="50"/>
      <c r="W1052" s="50"/>
      <c r="X1052"/>
      <c r="Y1052"/>
      <c r="Z1052"/>
      <c r="AA1052"/>
      <c r="AB1052"/>
      <c r="AC1052"/>
      <c r="AD1052"/>
      <c r="AE1052"/>
      <c r="AF1052"/>
      <c r="AG1052"/>
      <c r="AH1052"/>
      <c r="AI1052"/>
    </row>
    <row r="1053" spans="1:35" s="48" customFormat="1" x14ac:dyDescent="0.45">
      <c r="A1053" s="3"/>
      <c r="H1053"/>
      <c r="J1053" s="49"/>
      <c r="K1053" s="49"/>
      <c r="L1053" s="50"/>
      <c r="M1053" s="50"/>
      <c r="N1053" s="50"/>
      <c r="O1053" s="50"/>
      <c r="P1053" s="50"/>
      <c r="Q1053" s="50"/>
      <c r="R1053" s="47"/>
      <c r="S1053" s="50"/>
      <c r="T1053" s="50"/>
      <c r="U1053" s="50"/>
      <c r="V1053" s="50"/>
      <c r="W1053" s="50"/>
      <c r="X1053"/>
      <c r="Y1053"/>
      <c r="Z1053"/>
      <c r="AA1053"/>
      <c r="AB1053"/>
      <c r="AC1053"/>
      <c r="AD1053"/>
      <c r="AE1053"/>
      <c r="AF1053"/>
      <c r="AG1053"/>
      <c r="AH1053"/>
      <c r="AI1053"/>
    </row>
    <row r="1054" spans="1:35" s="48" customFormat="1" x14ac:dyDescent="0.45">
      <c r="A1054" s="3"/>
      <c r="H1054"/>
      <c r="J1054" s="49"/>
      <c r="K1054" s="49"/>
      <c r="L1054" s="50"/>
      <c r="M1054" s="50"/>
      <c r="N1054" s="50"/>
      <c r="O1054" s="50"/>
      <c r="P1054" s="50"/>
      <c r="Q1054" s="50"/>
      <c r="R1054" s="47"/>
      <c r="S1054" s="50"/>
      <c r="T1054" s="50"/>
      <c r="U1054" s="50"/>
      <c r="V1054" s="50"/>
      <c r="W1054" s="50"/>
      <c r="X1054"/>
      <c r="Y1054"/>
      <c r="Z1054"/>
      <c r="AA1054"/>
      <c r="AB1054"/>
      <c r="AC1054"/>
      <c r="AD1054"/>
      <c r="AE1054"/>
      <c r="AF1054"/>
      <c r="AG1054"/>
      <c r="AH1054"/>
      <c r="AI1054"/>
    </row>
    <row r="1055" spans="1:35" s="48" customFormat="1" x14ac:dyDescent="0.45">
      <c r="A1055" s="3"/>
      <c r="H1055"/>
      <c r="J1055" s="49"/>
      <c r="K1055" s="49"/>
      <c r="L1055" s="50"/>
      <c r="M1055" s="50"/>
      <c r="N1055" s="50"/>
      <c r="O1055" s="50"/>
      <c r="P1055" s="50"/>
      <c r="Q1055" s="50"/>
      <c r="R1055" s="47"/>
      <c r="S1055" s="50"/>
      <c r="T1055" s="50"/>
      <c r="U1055" s="50"/>
      <c r="V1055" s="50"/>
      <c r="W1055" s="50"/>
      <c r="X1055"/>
      <c r="Y1055"/>
      <c r="Z1055"/>
      <c r="AA1055"/>
      <c r="AB1055"/>
      <c r="AC1055"/>
      <c r="AD1055"/>
      <c r="AE1055"/>
      <c r="AF1055"/>
      <c r="AG1055"/>
      <c r="AH1055"/>
      <c r="AI1055"/>
    </row>
    <row r="1056" spans="1:35" s="48" customFormat="1" x14ac:dyDescent="0.45">
      <c r="A1056" s="3"/>
      <c r="H1056"/>
      <c r="J1056" s="49"/>
      <c r="K1056" s="49"/>
      <c r="L1056" s="50"/>
      <c r="M1056" s="50"/>
      <c r="N1056" s="50"/>
      <c r="O1056" s="50"/>
      <c r="P1056" s="50"/>
      <c r="Q1056" s="50"/>
      <c r="R1056" s="47"/>
      <c r="S1056" s="50"/>
      <c r="T1056" s="50"/>
      <c r="U1056" s="50"/>
      <c r="V1056" s="50"/>
      <c r="W1056" s="50"/>
      <c r="X1056"/>
      <c r="Y1056"/>
      <c r="Z1056"/>
      <c r="AA1056"/>
      <c r="AB1056"/>
      <c r="AC1056"/>
      <c r="AD1056"/>
      <c r="AE1056"/>
      <c r="AF1056"/>
      <c r="AG1056"/>
      <c r="AH1056"/>
      <c r="AI1056"/>
    </row>
    <row r="1057" spans="1:35" s="48" customFormat="1" x14ac:dyDescent="0.45">
      <c r="A1057" s="3"/>
      <c r="H1057"/>
      <c r="J1057" s="49"/>
      <c r="K1057" s="49"/>
      <c r="L1057" s="50"/>
      <c r="M1057" s="50"/>
      <c r="N1057" s="50"/>
      <c r="O1057" s="50"/>
      <c r="P1057" s="50"/>
      <c r="Q1057" s="50"/>
      <c r="R1057" s="47"/>
      <c r="S1057" s="50"/>
      <c r="T1057" s="50"/>
      <c r="U1057" s="50"/>
      <c r="V1057" s="50"/>
      <c r="W1057" s="50"/>
      <c r="X1057"/>
      <c r="Y1057"/>
      <c r="Z1057"/>
      <c r="AA1057"/>
      <c r="AB1057"/>
      <c r="AC1057"/>
      <c r="AD1057"/>
      <c r="AE1057"/>
      <c r="AF1057"/>
      <c r="AG1057"/>
      <c r="AH1057"/>
      <c r="AI1057"/>
    </row>
    <row r="1058" spans="1:35" s="48" customFormat="1" x14ac:dyDescent="0.45">
      <c r="A1058" s="3"/>
      <c r="H1058"/>
      <c r="J1058" s="49"/>
      <c r="K1058" s="49"/>
      <c r="L1058" s="50"/>
      <c r="M1058" s="50"/>
      <c r="N1058" s="50"/>
      <c r="O1058" s="50"/>
      <c r="P1058" s="50"/>
      <c r="Q1058" s="50"/>
      <c r="R1058" s="47"/>
      <c r="S1058" s="50"/>
      <c r="T1058" s="50"/>
      <c r="U1058" s="50"/>
      <c r="V1058" s="50"/>
      <c r="W1058" s="50"/>
      <c r="X1058"/>
      <c r="Y1058"/>
      <c r="Z1058"/>
      <c r="AA1058"/>
      <c r="AB1058"/>
      <c r="AC1058"/>
      <c r="AD1058"/>
      <c r="AE1058"/>
      <c r="AF1058"/>
      <c r="AG1058"/>
      <c r="AH1058"/>
      <c r="AI1058"/>
    </row>
    <row r="1059" spans="1:35" s="48" customFormat="1" x14ac:dyDescent="0.45">
      <c r="A1059" s="3"/>
      <c r="H1059"/>
      <c r="J1059" s="49"/>
      <c r="K1059" s="49"/>
      <c r="L1059" s="50"/>
      <c r="M1059" s="50"/>
      <c r="N1059" s="50"/>
      <c r="O1059" s="50"/>
      <c r="P1059" s="50"/>
      <c r="Q1059" s="50"/>
      <c r="R1059" s="47"/>
      <c r="S1059" s="50"/>
      <c r="T1059" s="50"/>
      <c r="U1059" s="50"/>
      <c r="V1059" s="50"/>
      <c r="W1059" s="50"/>
      <c r="X1059"/>
      <c r="Y1059"/>
      <c r="Z1059"/>
      <c r="AA1059"/>
      <c r="AB1059"/>
      <c r="AC1059"/>
      <c r="AD1059"/>
      <c r="AE1059"/>
      <c r="AF1059"/>
      <c r="AG1059"/>
      <c r="AH1059"/>
      <c r="AI1059"/>
    </row>
    <row r="1060" spans="1:35" s="48" customFormat="1" x14ac:dyDescent="0.45">
      <c r="A1060" s="3"/>
      <c r="H1060"/>
      <c r="J1060" s="49"/>
      <c r="K1060" s="49"/>
      <c r="L1060" s="50"/>
      <c r="M1060" s="50"/>
      <c r="N1060" s="50"/>
      <c r="O1060" s="50"/>
      <c r="P1060" s="50"/>
      <c r="Q1060" s="50"/>
      <c r="R1060" s="47"/>
      <c r="S1060" s="50"/>
      <c r="T1060" s="50"/>
      <c r="U1060" s="50"/>
      <c r="V1060" s="50"/>
      <c r="W1060" s="50"/>
      <c r="X1060"/>
      <c r="Y1060"/>
      <c r="Z1060"/>
      <c r="AA1060"/>
      <c r="AB1060"/>
      <c r="AC1060"/>
      <c r="AD1060"/>
      <c r="AE1060"/>
      <c r="AF1060"/>
      <c r="AG1060"/>
      <c r="AH1060"/>
      <c r="AI1060"/>
    </row>
    <row r="1061" spans="1:35" s="48" customFormat="1" x14ac:dyDescent="0.45">
      <c r="A1061" s="3"/>
      <c r="H1061"/>
      <c r="J1061" s="49"/>
      <c r="K1061" s="49"/>
      <c r="L1061" s="50"/>
      <c r="M1061" s="50"/>
      <c r="N1061" s="50"/>
      <c r="O1061" s="50"/>
      <c r="P1061" s="50"/>
      <c r="Q1061" s="50"/>
      <c r="R1061" s="47"/>
      <c r="S1061" s="50"/>
      <c r="T1061" s="50"/>
      <c r="U1061" s="50"/>
      <c r="V1061" s="50"/>
      <c r="W1061" s="50"/>
      <c r="X1061"/>
      <c r="Y1061"/>
      <c r="Z1061"/>
      <c r="AA1061"/>
      <c r="AB1061"/>
      <c r="AC1061"/>
      <c r="AD1061"/>
      <c r="AE1061"/>
      <c r="AF1061"/>
      <c r="AG1061"/>
      <c r="AH1061"/>
      <c r="AI1061"/>
    </row>
    <row r="1062" spans="1:35" s="48" customFormat="1" x14ac:dyDescent="0.45">
      <c r="A1062" s="3"/>
      <c r="H1062"/>
      <c r="J1062" s="49"/>
      <c r="K1062" s="49"/>
      <c r="L1062" s="50"/>
      <c r="M1062" s="50"/>
      <c r="N1062" s="50"/>
      <c r="O1062" s="50"/>
      <c r="P1062" s="50"/>
      <c r="Q1062" s="50"/>
      <c r="R1062" s="47"/>
      <c r="S1062" s="50"/>
      <c r="T1062" s="50"/>
      <c r="U1062" s="50"/>
      <c r="V1062" s="50"/>
      <c r="W1062" s="50"/>
      <c r="X1062"/>
      <c r="Y1062"/>
      <c r="Z1062"/>
      <c r="AA1062"/>
      <c r="AB1062"/>
      <c r="AC1062"/>
      <c r="AD1062"/>
      <c r="AE1062"/>
      <c r="AF1062"/>
      <c r="AG1062"/>
      <c r="AH1062"/>
      <c r="AI1062"/>
    </row>
    <row r="1063" spans="1:35" s="48" customFormat="1" x14ac:dyDescent="0.45">
      <c r="A1063" s="3"/>
      <c r="H1063"/>
      <c r="J1063" s="49"/>
      <c r="K1063" s="49"/>
      <c r="L1063" s="50"/>
      <c r="M1063" s="50"/>
      <c r="N1063" s="50"/>
      <c r="O1063" s="50"/>
      <c r="P1063" s="50"/>
      <c r="Q1063" s="50"/>
      <c r="R1063" s="47"/>
      <c r="S1063" s="50"/>
      <c r="T1063" s="50"/>
      <c r="U1063" s="50"/>
      <c r="V1063" s="50"/>
      <c r="W1063" s="50"/>
      <c r="X1063"/>
      <c r="Y1063"/>
      <c r="Z1063"/>
      <c r="AA1063"/>
      <c r="AB1063"/>
      <c r="AC1063"/>
      <c r="AD1063"/>
      <c r="AE1063"/>
      <c r="AF1063"/>
      <c r="AG1063"/>
      <c r="AH1063"/>
      <c r="AI1063"/>
    </row>
    <row r="1064" spans="1:35" x14ac:dyDescent="0.45">
      <c r="A1064" s="3"/>
    </row>
    <row r="1065" spans="1:35" x14ac:dyDescent="0.45">
      <c r="A1065" s="3"/>
    </row>
    <row r="1066" spans="1:35" x14ac:dyDescent="0.45">
      <c r="A1066" s="3"/>
    </row>
    <row r="1067" spans="1:35" x14ac:dyDescent="0.45">
      <c r="A1067" s="3"/>
    </row>
    <row r="1068" spans="1:35" x14ac:dyDescent="0.45">
      <c r="A1068" s="3"/>
    </row>
    <row r="1069" spans="1:35" x14ac:dyDescent="0.45">
      <c r="A1069" s="3"/>
    </row>
    <row r="1070" spans="1:35" x14ac:dyDescent="0.45">
      <c r="A1070" s="3"/>
    </row>
    <row r="1071" spans="1:35" x14ac:dyDescent="0.45">
      <c r="A1071" s="3"/>
    </row>
    <row r="1072" spans="1:35" x14ac:dyDescent="0.45">
      <c r="A1072" s="3"/>
    </row>
    <row r="1073" spans="1:1" x14ac:dyDescent="0.45">
      <c r="A1073" s="3"/>
    </row>
    <row r="1074" spans="1:1" x14ac:dyDescent="0.45">
      <c r="A1074" s="3"/>
    </row>
    <row r="1075" spans="1:1" x14ac:dyDescent="0.45">
      <c r="A1075" s="3"/>
    </row>
    <row r="1076" spans="1:1" x14ac:dyDescent="0.45">
      <c r="A1076" s="3"/>
    </row>
    <row r="1077" spans="1:1" x14ac:dyDescent="0.45">
      <c r="A1077" s="3"/>
    </row>
    <row r="1078" spans="1:1" x14ac:dyDescent="0.45">
      <c r="A1078" s="3"/>
    </row>
    <row r="1079" spans="1:1" x14ac:dyDescent="0.45">
      <c r="A1079" s="3"/>
    </row>
    <row r="1080" spans="1:1" x14ac:dyDescent="0.45">
      <c r="A1080" s="3"/>
    </row>
    <row r="1081" spans="1:1" x14ac:dyDescent="0.45">
      <c r="A1081" s="3"/>
    </row>
    <row r="1082" spans="1:1" x14ac:dyDescent="0.45">
      <c r="A1082" s="3"/>
    </row>
    <row r="1083" spans="1:1" x14ac:dyDescent="0.45">
      <c r="A1083" s="3"/>
    </row>
    <row r="1084" spans="1:1" x14ac:dyDescent="0.45">
      <c r="A1084" s="3"/>
    </row>
    <row r="1085" spans="1:1" x14ac:dyDescent="0.45">
      <c r="A1085" s="3"/>
    </row>
    <row r="1086" spans="1:1" x14ac:dyDescent="0.45">
      <c r="A1086" s="3"/>
    </row>
    <row r="1087" spans="1:1" x14ac:dyDescent="0.45">
      <c r="A1087" s="3"/>
    </row>
    <row r="1088" spans="1:1" x14ac:dyDescent="0.45">
      <c r="A1088" s="3"/>
    </row>
    <row r="1089" spans="1:1" x14ac:dyDescent="0.45">
      <c r="A1089" s="3"/>
    </row>
    <row r="1090" spans="1:1" x14ac:dyDescent="0.45">
      <c r="A1090" s="3"/>
    </row>
    <row r="1091" spans="1:1" x14ac:dyDescent="0.45">
      <c r="A1091" s="3"/>
    </row>
    <row r="1092" spans="1:1" x14ac:dyDescent="0.45">
      <c r="A1092" s="3"/>
    </row>
    <row r="1093" spans="1:1" x14ac:dyDescent="0.45">
      <c r="A1093" s="3"/>
    </row>
    <row r="1094" spans="1:1" x14ac:dyDescent="0.45">
      <c r="A1094" s="3"/>
    </row>
    <row r="1095" spans="1:1" x14ac:dyDescent="0.45">
      <c r="A1095" s="3"/>
    </row>
    <row r="1096" spans="1:1" x14ac:dyDescent="0.45">
      <c r="A1096" s="3"/>
    </row>
    <row r="1097" spans="1:1" x14ac:dyDescent="0.45">
      <c r="A1097" s="3"/>
    </row>
    <row r="1098" spans="1:1" x14ac:dyDescent="0.45">
      <c r="A1098" s="3"/>
    </row>
    <row r="1099" spans="1:1" x14ac:dyDescent="0.45">
      <c r="A1099" s="3"/>
    </row>
    <row r="1100" spans="1:1" x14ac:dyDescent="0.45">
      <c r="A1100" s="3"/>
    </row>
    <row r="1101" spans="1:1" x14ac:dyDescent="0.45">
      <c r="A1101" s="3"/>
    </row>
    <row r="1102" spans="1:1" x14ac:dyDescent="0.45">
      <c r="A1102" s="3"/>
    </row>
    <row r="1103" spans="1:1" x14ac:dyDescent="0.45">
      <c r="A1103" s="3"/>
    </row>
    <row r="1104" spans="1:1" x14ac:dyDescent="0.45">
      <c r="A1104" s="3"/>
    </row>
    <row r="1105" spans="1:1" x14ac:dyDescent="0.45">
      <c r="A1105" s="3"/>
    </row>
    <row r="1106" spans="1:1" x14ac:dyDescent="0.45">
      <c r="A1106" s="3"/>
    </row>
    <row r="1107" spans="1:1" x14ac:dyDescent="0.45">
      <c r="A1107" s="3"/>
    </row>
    <row r="1108" spans="1:1" x14ac:dyDescent="0.45">
      <c r="A1108" s="3"/>
    </row>
    <row r="1109" spans="1:1" x14ac:dyDescent="0.45">
      <c r="A1109" s="3"/>
    </row>
    <row r="1110" spans="1:1" x14ac:dyDescent="0.45">
      <c r="A1110" s="3"/>
    </row>
    <row r="1111" spans="1:1" x14ac:dyDescent="0.45">
      <c r="A1111" s="3"/>
    </row>
    <row r="1112" spans="1:1" x14ac:dyDescent="0.45">
      <c r="A1112" s="3"/>
    </row>
    <row r="1113" spans="1:1" x14ac:dyDescent="0.45">
      <c r="A1113" s="3"/>
    </row>
    <row r="1114" spans="1:1" x14ac:dyDescent="0.45">
      <c r="A1114" s="3"/>
    </row>
    <row r="1115" spans="1:1" x14ac:dyDescent="0.45">
      <c r="A1115" s="3"/>
    </row>
    <row r="1116" spans="1:1" x14ac:dyDescent="0.45">
      <c r="A1116" s="3"/>
    </row>
    <row r="1117" spans="1:1" x14ac:dyDescent="0.45">
      <c r="A1117" s="3"/>
    </row>
    <row r="1118" spans="1:1" x14ac:dyDescent="0.45">
      <c r="A1118" s="3"/>
    </row>
    <row r="1119" spans="1:1" x14ac:dyDescent="0.45">
      <c r="A1119" s="3"/>
    </row>
    <row r="1120" spans="1:1" x14ac:dyDescent="0.45">
      <c r="A1120" s="3"/>
    </row>
    <row r="1121" spans="1:1" x14ac:dyDescent="0.45">
      <c r="A1121" s="3"/>
    </row>
    <row r="1122" spans="1:1" x14ac:dyDescent="0.45">
      <c r="A1122" s="3"/>
    </row>
    <row r="1123" spans="1:1" x14ac:dyDescent="0.45">
      <c r="A1123" s="3"/>
    </row>
    <row r="1124" spans="1:1" x14ac:dyDescent="0.45">
      <c r="A1124" s="3"/>
    </row>
    <row r="1125" spans="1:1" x14ac:dyDescent="0.45">
      <c r="A1125" s="3"/>
    </row>
    <row r="1126" spans="1:1" x14ac:dyDescent="0.45">
      <c r="A1126" s="3"/>
    </row>
    <row r="1127" spans="1:1" x14ac:dyDescent="0.45">
      <c r="A1127" s="3"/>
    </row>
    <row r="1128" spans="1:1" x14ac:dyDescent="0.45">
      <c r="A1128" s="3"/>
    </row>
    <row r="1129" spans="1:1" x14ac:dyDescent="0.45">
      <c r="A1129" s="3"/>
    </row>
    <row r="1130" spans="1:1" x14ac:dyDescent="0.45">
      <c r="A1130" s="3"/>
    </row>
    <row r="1131" spans="1:1" x14ac:dyDescent="0.45">
      <c r="A1131" s="3"/>
    </row>
    <row r="1132" spans="1:1" x14ac:dyDescent="0.45">
      <c r="A1132" s="3"/>
    </row>
    <row r="1133" spans="1:1" x14ac:dyDescent="0.45">
      <c r="A1133" s="3"/>
    </row>
    <row r="1134" spans="1:1" x14ac:dyDescent="0.45">
      <c r="A1134" s="3"/>
    </row>
    <row r="1135" spans="1:1" x14ac:dyDescent="0.45">
      <c r="A1135" s="3"/>
    </row>
    <row r="1136" spans="1:1" x14ac:dyDescent="0.45">
      <c r="A1136" s="3"/>
    </row>
    <row r="1137" spans="1:1" x14ac:dyDescent="0.45">
      <c r="A1137" s="3"/>
    </row>
    <row r="1138" spans="1:1" x14ac:dyDescent="0.45">
      <c r="A1138" s="3"/>
    </row>
    <row r="1139" spans="1:1" x14ac:dyDescent="0.45">
      <c r="A1139" s="3"/>
    </row>
    <row r="1140" spans="1:1" x14ac:dyDescent="0.45">
      <c r="A1140" s="3"/>
    </row>
    <row r="1141" spans="1:1" x14ac:dyDescent="0.45">
      <c r="A1141" s="3"/>
    </row>
    <row r="1142" spans="1:1" x14ac:dyDescent="0.45">
      <c r="A1142" s="3"/>
    </row>
    <row r="1143" spans="1:1" x14ac:dyDescent="0.45">
      <c r="A1143" s="3"/>
    </row>
    <row r="1144" spans="1:1" x14ac:dyDescent="0.45">
      <c r="A1144" s="3"/>
    </row>
    <row r="1145" spans="1:1" x14ac:dyDescent="0.45">
      <c r="A1145" s="3"/>
    </row>
    <row r="1146" spans="1:1" x14ac:dyDescent="0.45">
      <c r="A1146" s="3"/>
    </row>
    <row r="1147" spans="1:1" x14ac:dyDescent="0.45">
      <c r="A1147" s="3"/>
    </row>
    <row r="1148" spans="1:1" x14ac:dyDescent="0.45">
      <c r="A1148" s="3"/>
    </row>
    <row r="1149" spans="1:1" x14ac:dyDescent="0.45">
      <c r="A1149" s="3"/>
    </row>
    <row r="1150" spans="1:1" x14ac:dyDescent="0.45">
      <c r="A1150" s="3"/>
    </row>
    <row r="1151" spans="1:1" x14ac:dyDescent="0.45">
      <c r="A1151" s="3"/>
    </row>
    <row r="1152" spans="1:1" x14ac:dyDescent="0.45">
      <c r="A1152" s="3"/>
    </row>
    <row r="1153" spans="1:1" x14ac:dyDescent="0.45">
      <c r="A1153" s="3"/>
    </row>
    <row r="1154" spans="1:1" x14ac:dyDescent="0.45">
      <c r="A1154" s="3"/>
    </row>
    <row r="1155" spans="1:1" x14ac:dyDescent="0.45">
      <c r="A1155" s="3"/>
    </row>
    <row r="1156" spans="1:1" x14ac:dyDescent="0.45">
      <c r="A1156" s="3"/>
    </row>
    <row r="1157" spans="1:1" x14ac:dyDescent="0.45">
      <c r="A1157" s="3"/>
    </row>
    <row r="1158" spans="1:1" x14ac:dyDescent="0.45">
      <c r="A1158" s="3"/>
    </row>
    <row r="1159" spans="1:1" x14ac:dyDescent="0.45">
      <c r="A1159" s="3"/>
    </row>
    <row r="1160" spans="1:1" x14ac:dyDescent="0.45">
      <c r="A1160" s="3"/>
    </row>
    <row r="1161" spans="1:1" x14ac:dyDescent="0.45">
      <c r="A1161" s="3"/>
    </row>
    <row r="1162" spans="1:1" x14ac:dyDescent="0.45">
      <c r="A1162" s="3"/>
    </row>
    <row r="1163" spans="1:1" x14ac:dyDescent="0.45">
      <c r="A1163" s="3"/>
    </row>
    <row r="1164" spans="1:1" x14ac:dyDescent="0.45">
      <c r="A1164" s="3"/>
    </row>
    <row r="1165" spans="1:1" x14ac:dyDescent="0.45">
      <c r="A1165" s="3"/>
    </row>
    <row r="1166" spans="1:1" x14ac:dyDescent="0.45">
      <c r="A1166" s="3"/>
    </row>
    <row r="1167" spans="1:1" x14ac:dyDescent="0.45">
      <c r="A1167" s="3"/>
    </row>
    <row r="1168" spans="1:1" x14ac:dyDescent="0.45">
      <c r="A1168" s="3"/>
    </row>
    <row r="1169" spans="1:1" x14ac:dyDescent="0.45">
      <c r="A1169" s="3"/>
    </row>
    <row r="1170" spans="1:1" x14ac:dyDescent="0.45">
      <c r="A1170" s="3"/>
    </row>
    <row r="1171" spans="1:1" x14ac:dyDescent="0.45">
      <c r="A1171" s="3"/>
    </row>
    <row r="1172" spans="1:1" x14ac:dyDescent="0.45">
      <c r="A1172" s="3"/>
    </row>
    <row r="1173" spans="1:1" x14ac:dyDescent="0.45">
      <c r="A1173" s="3"/>
    </row>
    <row r="1174" spans="1:1" x14ac:dyDescent="0.45">
      <c r="A1174" s="3"/>
    </row>
    <row r="1175" spans="1:1" x14ac:dyDescent="0.45">
      <c r="A1175" s="3"/>
    </row>
    <row r="1176" spans="1:1" x14ac:dyDescent="0.45">
      <c r="A1176" s="3"/>
    </row>
    <row r="1177" spans="1:1" x14ac:dyDescent="0.45">
      <c r="A1177" s="3"/>
    </row>
    <row r="1178" spans="1:1" x14ac:dyDescent="0.45">
      <c r="A1178" s="3"/>
    </row>
    <row r="1179" spans="1:1" x14ac:dyDescent="0.45">
      <c r="A1179" s="3"/>
    </row>
    <row r="1180" spans="1:1" x14ac:dyDescent="0.45">
      <c r="A1180" s="3"/>
    </row>
    <row r="1181" spans="1:1" x14ac:dyDescent="0.45">
      <c r="A1181" s="3"/>
    </row>
    <row r="1182" spans="1:1" x14ac:dyDescent="0.45">
      <c r="A1182" s="3"/>
    </row>
    <row r="1183" spans="1:1" x14ac:dyDescent="0.45">
      <c r="A1183" s="3"/>
    </row>
    <row r="1184" spans="1:1" x14ac:dyDescent="0.45">
      <c r="A1184" s="3"/>
    </row>
    <row r="1185" spans="1:1" x14ac:dyDescent="0.45">
      <c r="A1185" s="3"/>
    </row>
    <row r="1186" spans="1:1" x14ac:dyDescent="0.45">
      <c r="A1186" s="3"/>
    </row>
    <row r="1187" spans="1:1" x14ac:dyDescent="0.45">
      <c r="A1187" s="3"/>
    </row>
    <row r="1188" spans="1:1" x14ac:dyDescent="0.45">
      <c r="A1188" s="3"/>
    </row>
    <row r="1189" spans="1:1" x14ac:dyDescent="0.45">
      <c r="A1189" s="3"/>
    </row>
    <row r="1190" spans="1:1" x14ac:dyDescent="0.45">
      <c r="A1190" s="3"/>
    </row>
    <row r="1191" spans="1:1" x14ac:dyDescent="0.45">
      <c r="A1191" s="3"/>
    </row>
    <row r="1192" spans="1:1" x14ac:dyDescent="0.45">
      <c r="A1192" s="3"/>
    </row>
    <row r="1193" spans="1:1" x14ac:dyDescent="0.45">
      <c r="A1193" s="3"/>
    </row>
    <row r="1194" spans="1:1" x14ac:dyDescent="0.45">
      <c r="A1194" s="3"/>
    </row>
    <row r="1195" spans="1:1" x14ac:dyDescent="0.45">
      <c r="A1195" s="3"/>
    </row>
    <row r="1196" spans="1:1" x14ac:dyDescent="0.45">
      <c r="A1196" s="3"/>
    </row>
    <row r="1197" spans="1:1" x14ac:dyDescent="0.45">
      <c r="A1197" s="3"/>
    </row>
    <row r="1198" spans="1:1" x14ac:dyDescent="0.45">
      <c r="A1198" s="3"/>
    </row>
    <row r="1199" spans="1:1" x14ac:dyDescent="0.45">
      <c r="A1199" s="3"/>
    </row>
    <row r="1200" spans="1:1" x14ac:dyDescent="0.45">
      <c r="A1200" s="3"/>
    </row>
    <row r="1201" spans="1:1" x14ac:dyDescent="0.45">
      <c r="A1201" s="3"/>
    </row>
    <row r="1202" spans="1:1" x14ac:dyDescent="0.45">
      <c r="A1202" s="3"/>
    </row>
    <row r="1203" spans="1:1" x14ac:dyDescent="0.45">
      <c r="A1203" s="3"/>
    </row>
    <row r="1204" spans="1:1" x14ac:dyDescent="0.45">
      <c r="A1204" s="3"/>
    </row>
    <row r="1205" spans="1:1" x14ac:dyDescent="0.45">
      <c r="A1205" s="3"/>
    </row>
    <row r="1206" spans="1:1" x14ac:dyDescent="0.45">
      <c r="A1206" s="3"/>
    </row>
    <row r="1207" spans="1:1" x14ac:dyDescent="0.45">
      <c r="A1207" s="3"/>
    </row>
    <row r="1208" spans="1:1" x14ac:dyDescent="0.45">
      <c r="A1208" s="3"/>
    </row>
    <row r="1209" spans="1:1" x14ac:dyDescent="0.45">
      <c r="A1209" s="3"/>
    </row>
    <row r="1210" spans="1:1" x14ac:dyDescent="0.45">
      <c r="A1210" s="3"/>
    </row>
    <row r="1211" spans="1:1" x14ac:dyDescent="0.45">
      <c r="A1211" s="3"/>
    </row>
    <row r="1212" spans="1:1" x14ac:dyDescent="0.45">
      <c r="A1212" s="3"/>
    </row>
    <row r="1213" spans="1:1" x14ac:dyDescent="0.45">
      <c r="A1213" s="3"/>
    </row>
    <row r="1214" spans="1:1" x14ac:dyDescent="0.45">
      <c r="A1214" s="3"/>
    </row>
    <row r="1215" spans="1:1" x14ac:dyDescent="0.45">
      <c r="A1215" s="3"/>
    </row>
    <row r="1216" spans="1:1" x14ac:dyDescent="0.45">
      <c r="A1216" s="3"/>
    </row>
    <row r="1217" spans="1:1" x14ac:dyDescent="0.45">
      <c r="A1217" s="3"/>
    </row>
    <row r="1218" spans="1:1" x14ac:dyDescent="0.45">
      <c r="A1218" s="3"/>
    </row>
    <row r="1219" spans="1:1" x14ac:dyDescent="0.45">
      <c r="A1219" s="3"/>
    </row>
    <row r="1220" spans="1:1" x14ac:dyDescent="0.45">
      <c r="A1220" s="3"/>
    </row>
    <row r="1221" spans="1:1" x14ac:dyDescent="0.45">
      <c r="A1221" s="3"/>
    </row>
    <row r="1222" spans="1:1" x14ac:dyDescent="0.45">
      <c r="A1222" s="3"/>
    </row>
    <row r="1223" spans="1:1" x14ac:dyDescent="0.45">
      <c r="A1223" s="3"/>
    </row>
    <row r="1224" spans="1:1" x14ac:dyDescent="0.45">
      <c r="A1224" s="3"/>
    </row>
    <row r="1225" spans="1:1" x14ac:dyDescent="0.45">
      <c r="A1225" s="3"/>
    </row>
    <row r="1226" spans="1:1" x14ac:dyDescent="0.45">
      <c r="A1226" s="3"/>
    </row>
    <row r="1227" spans="1:1" x14ac:dyDescent="0.45">
      <c r="A1227" s="3"/>
    </row>
    <row r="1228" spans="1:1" x14ac:dyDescent="0.45">
      <c r="A1228" s="3"/>
    </row>
    <row r="1229" spans="1:1" x14ac:dyDescent="0.45">
      <c r="A1229" s="3"/>
    </row>
    <row r="1230" spans="1:1" x14ac:dyDescent="0.45">
      <c r="A1230" s="3"/>
    </row>
    <row r="1231" spans="1:1" x14ac:dyDescent="0.45">
      <c r="A1231" s="3"/>
    </row>
    <row r="1232" spans="1:1" x14ac:dyDescent="0.45">
      <c r="A1232" s="3"/>
    </row>
    <row r="1233" spans="1:1" x14ac:dyDescent="0.45">
      <c r="A1233" s="3"/>
    </row>
    <row r="1234" spans="1:1" x14ac:dyDescent="0.45">
      <c r="A1234" s="3"/>
    </row>
    <row r="1235" spans="1:1" x14ac:dyDescent="0.45">
      <c r="A1235" s="3"/>
    </row>
    <row r="1236" spans="1:1" x14ac:dyDescent="0.45">
      <c r="A1236" s="3"/>
    </row>
    <row r="1237" spans="1:1" x14ac:dyDescent="0.45">
      <c r="A1237" s="3"/>
    </row>
    <row r="1238" spans="1:1" x14ac:dyDescent="0.45">
      <c r="A1238" s="3"/>
    </row>
    <row r="1239" spans="1:1" x14ac:dyDescent="0.45">
      <c r="A1239" s="3"/>
    </row>
    <row r="1240" spans="1:1" x14ac:dyDescent="0.45">
      <c r="A1240" s="3"/>
    </row>
    <row r="1241" spans="1:1" x14ac:dyDescent="0.45">
      <c r="A1241" s="3"/>
    </row>
    <row r="1242" spans="1:1" x14ac:dyDescent="0.45">
      <c r="A1242" s="3"/>
    </row>
    <row r="1243" spans="1:1" x14ac:dyDescent="0.45">
      <c r="A1243" s="3"/>
    </row>
    <row r="1244" spans="1:1" x14ac:dyDescent="0.45">
      <c r="A1244" s="3"/>
    </row>
    <row r="1245" spans="1:1" x14ac:dyDescent="0.45">
      <c r="A1245" s="3"/>
    </row>
    <row r="1246" spans="1:1" x14ac:dyDescent="0.45">
      <c r="A1246" s="3"/>
    </row>
    <row r="1247" spans="1:1" x14ac:dyDescent="0.45">
      <c r="A1247" s="3"/>
    </row>
    <row r="1248" spans="1:1" x14ac:dyDescent="0.45">
      <c r="A1248" s="3"/>
    </row>
    <row r="1249" spans="1:1" x14ac:dyDescent="0.45">
      <c r="A1249" s="3"/>
    </row>
    <row r="1250" spans="1:1" x14ac:dyDescent="0.45">
      <c r="A1250" s="3"/>
    </row>
    <row r="1251" spans="1:1" x14ac:dyDescent="0.45">
      <c r="A1251" s="3"/>
    </row>
    <row r="1252" spans="1:1" x14ac:dyDescent="0.45">
      <c r="A1252" s="3"/>
    </row>
    <row r="1253" spans="1:1" x14ac:dyDescent="0.45">
      <c r="A1253" s="3"/>
    </row>
    <row r="1254" spans="1:1" x14ac:dyDescent="0.45">
      <c r="A1254" s="3"/>
    </row>
    <row r="1255" spans="1:1" x14ac:dyDescent="0.45">
      <c r="A1255" s="3"/>
    </row>
    <row r="1256" spans="1:1" x14ac:dyDescent="0.45">
      <c r="A1256" s="3"/>
    </row>
    <row r="1257" spans="1:1" x14ac:dyDescent="0.45">
      <c r="A1257" s="3"/>
    </row>
    <row r="1258" spans="1:1" x14ac:dyDescent="0.45">
      <c r="A1258" s="3"/>
    </row>
    <row r="1259" spans="1:1" x14ac:dyDescent="0.45">
      <c r="A1259" s="3"/>
    </row>
    <row r="1260" spans="1:1" x14ac:dyDescent="0.45">
      <c r="A1260" s="3"/>
    </row>
    <row r="1261" spans="1:1" x14ac:dyDescent="0.45">
      <c r="A1261" s="3"/>
    </row>
    <row r="1262" spans="1:1" x14ac:dyDescent="0.45">
      <c r="A1262" s="3"/>
    </row>
    <row r="1263" spans="1:1" x14ac:dyDescent="0.45">
      <c r="A1263" s="3"/>
    </row>
    <row r="1264" spans="1:1" x14ac:dyDescent="0.45">
      <c r="A1264" s="3"/>
    </row>
    <row r="1265" spans="1:1" x14ac:dyDescent="0.45">
      <c r="A1265" s="3"/>
    </row>
    <row r="1266" spans="1:1" x14ac:dyDescent="0.45">
      <c r="A1266" s="3"/>
    </row>
    <row r="1267" spans="1:1" x14ac:dyDescent="0.45">
      <c r="A1267" s="3"/>
    </row>
    <row r="1268" spans="1:1" x14ac:dyDescent="0.45">
      <c r="A1268" s="3"/>
    </row>
    <row r="1269" spans="1:1" x14ac:dyDescent="0.45">
      <c r="A1269" s="3"/>
    </row>
    <row r="1270" spans="1:1" x14ac:dyDescent="0.45">
      <c r="A1270" s="3"/>
    </row>
    <row r="1271" spans="1:1" x14ac:dyDescent="0.45">
      <c r="A1271" s="3"/>
    </row>
    <row r="1272" spans="1:1" x14ac:dyDescent="0.45">
      <c r="A1272" s="3"/>
    </row>
    <row r="1273" spans="1:1" x14ac:dyDescent="0.45">
      <c r="A1273" s="3"/>
    </row>
    <row r="1274" spans="1:1" x14ac:dyDescent="0.45">
      <c r="A1274" s="3"/>
    </row>
    <row r="1275" spans="1:1" x14ac:dyDescent="0.45">
      <c r="A1275" s="3"/>
    </row>
    <row r="1276" spans="1:1" x14ac:dyDescent="0.45">
      <c r="A1276" s="3"/>
    </row>
    <row r="1277" spans="1:1" x14ac:dyDescent="0.45">
      <c r="A1277" s="3"/>
    </row>
    <row r="1278" spans="1:1" x14ac:dyDescent="0.45">
      <c r="A1278" s="3"/>
    </row>
    <row r="1279" spans="1:1" x14ac:dyDescent="0.45">
      <c r="A1279" s="3"/>
    </row>
    <row r="1280" spans="1:1" x14ac:dyDescent="0.45">
      <c r="A1280" s="3"/>
    </row>
    <row r="1281" spans="1:1" x14ac:dyDescent="0.45">
      <c r="A1281" s="3"/>
    </row>
    <row r="1282" spans="1:1" x14ac:dyDescent="0.45">
      <c r="A1282" s="3"/>
    </row>
    <row r="1283" spans="1:1" x14ac:dyDescent="0.45">
      <c r="A1283" s="3"/>
    </row>
    <row r="1284" spans="1:1" x14ac:dyDescent="0.45">
      <c r="A1284" s="3"/>
    </row>
    <row r="1285" spans="1:1" x14ac:dyDescent="0.45">
      <c r="A1285" s="3"/>
    </row>
    <row r="1286" spans="1:1" x14ac:dyDescent="0.45">
      <c r="A1286" s="3"/>
    </row>
    <row r="1287" spans="1:1" x14ac:dyDescent="0.45">
      <c r="A1287" s="3"/>
    </row>
    <row r="1288" spans="1:1" x14ac:dyDescent="0.45">
      <c r="A1288" s="3"/>
    </row>
    <row r="1289" spans="1:1" x14ac:dyDescent="0.45">
      <c r="A1289" s="3"/>
    </row>
    <row r="1290" spans="1:1" x14ac:dyDescent="0.45">
      <c r="A1290" s="3"/>
    </row>
    <row r="1291" spans="1:1" x14ac:dyDescent="0.45">
      <c r="A1291" s="3"/>
    </row>
    <row r="1292" spans="1:1" x14ac:dyDescent="0.45">
      <c r="A1292" s="3"/>
    </row>
    <row r="1293" spans="1:1" x14ac:dyDescent="0.45">
      <c r="A1293" s="3"/>
    </row>
    <row r="1294" spans="1:1" x14ac:dyDescent="0.45">
      <c r="A1294" s="3"/>
    </row>
    <row r="1295" spans="1:1" x14ac:dyDescent="0.45">
      <c r="A1295" s="3"/>
    </row>
    <row r="1296" spans="1:1" x14ac:dyDescent="0.45">
      <c r="A1296" s="3"/>
    </row>
    <row r="1297" spans="1:1" x14ac:dyDescent="0.45">
      <c r="A1297" s="3"/>
    </row>
    <row r="1298" spans="1:1" x14ac:dyDescent="0.45">
      <c r="A1298" s="3"/>
    </row>
    <row r="1299" spans="1:1" x14ac:dyDescent="0.45">
      <c r="A1299" s="3"/>
    </row>
    <row r="1300" spans="1:1" x14ac:dyDescent="0.45">
      <c r="A1300" s="3"/>
    </row>
    <row r="1301" spans="1:1" x14ac:dyDescent="0.45">
      <c r="A1301" s="3"/>
    </row>
    <row r="1302" spans="1:1" x14ac:dyDescent="0.45">
      <c r="A1302" s="3"/>
    </row>
    <row r="1303" spans="1:1" x14ac:dyDescent="0.45">
      <c r="A1303" s="3"/>
    </row>
    <row r="1304" spans="1:1" x14ac:dyDescent="0.45">
      <c r="A1304" s="3"/>
    </row>
    <row r="1305" spans="1:1" x14ac:dyDescent="0.45">
      <c r="A1305" s="3"/>
    </row>
    <row r="1306" spans="1:1" x14ac:dyDescent="0.45">
      <c r="A1306" s="3"/>
    </row>
    <row r="1307" spans="1:1" x14ac:dyDescent="0.45">
      <c r="A1307" s="3"/>
    </row>
    <row r="1308" spans="1:1" x14ac:dyDescent="0.45">
      <c r="A1308" s="3"/>
    </row>
    <row r="1309" spans="1:1" x14ac:dyDescent="0.45">
      <c r="A1309" s="3"/>
    </row>
    <row r="1310" spans="1:1" x14ac:dyDescent="0.45">
      <c r="A1310" s="3"/>
    </row>
    <row r="1311" spans="1:1" x14ac:dyDescent="0.45">
      <c r="A1311" s="3"/>
    </row>
    <row r="1312" spans="1:1" x14ac:dyDescent="0.45">
      <c r="A1312" s="3"/>
    </row>
    <row r="1313" spans="1:1" x14ac:dyDescent="0.45">
      <c r="A1313" s="3"/>
    </row>
    <row r="1314" spans="1:1" x14ac:dyDescent="0.45">
      <c r="A1314" s="3"/>
    </row>
    <row r="1315" spans="1:1" x14ac:dyDescent="0.45">
      <c r="A1315" s="3"/>
    </row>
    <row r="1316" spans="1:1" x14ac:dyDescent="0.45">
      <c r="A1316" s="3"/>
    </row>
    <row r="1317" spans="1:1" x14ac:dyDescent="0.45">
      <c r="A1317" s="3"/>
    </row>
    <row r="1318" spans="1:1" x14ac:dyDescent="0.45">
      <c r="A1318" s="3"/>
    </row>
    <row r="1319" spans="1:1" x14ac:dyDescent="0.45">
      <c r="A1319" s="3"/>
    </row>
    <row r="1320" spans="1:1" x14ac:dyDescent="0.45">
      <c r="A1320" s="3"/>
    </row>
    <row r="1321" spans="1:1" x14ac:dyDescent="0.45">
      <c r="A1321" s="3"/>
    </row>
    <row r="1322" spans="1:1" x14ac:dyDescent="0.45">
      <c r="A1322" s="3"/>
    </row>
    <row r="1323" spans="1:1" x14ac:dyDescent="0.45">
      <c r="A1323" s="3"/>
    </row>
    <row r="1324" spans="1:1" x14ac:dyDescent="0.45">
      <c r="A1324" s="3"/>
    </row>
    <row r="1325" spans="1:1" x14ac:dyDescent="0.45">
      <c r="A1325" s="3"/>
    </row>
    <row r="1326" spans="1:1" x14ac:dyDescent="0.45">
      <c r="A1326" s="3"/>
    </row>
    <row r="1327" spans="1:1" x14ac:dyDescent="0.45">
      <c r="A1327" s="3"/>
    </row>
    <row r="1328" spans="1:1" x14ac:dyDescent="0.45">
      <c r="A1328" s="3"/>
    </row>
    <row r="1329" spans="1:1" x14ac:dyDescent="0.45">
      <c r="A1329" s="3"/>
    </row>
    <row r="1330" spans="1:1" x14ac:dyDescent="0.45">
      <c r="A1330" s="3"/>
    </row>
    <row r="1331" spans="1:1" x14ac:dyDescent="0.45">
      <c r="A1331" s="3"/>
    </row>
    <row r="1332" spans="1:1" x14ac:dyDescent="0.45">
      <c r="A1332" s="3"/>
    </row>
    <row r="1333" spans="1:1" x14ac:dyDescent="0.45">
      <c r="A1333" s="3"/>
    </row>
    <row r="1334" spans="1:1" x14ac:dyDescent="0.45">
      <c r="A1334" s="3"/>
    </row>
    <row r="1335" spans="1:1" x14ac:dyDescent="0.45">
      <c r="A1335" s="3"/>
    </row>
    <row r="1336" spans="1:1" x14ac:dyDescent="0.45">
      <c r="A1336" s="3"/>
    </row>
    <row r="1337" spans="1:1" x14ac:dyDescent="0.45">
      <c r="A1337" s="3"/>
    </row>
    <row r="1338" spans="1:1" x14ac:dyDescent="0.45">
      <c r="A1338" s="3"/>
    </row>
    <row r="1339" spans="1:1" x14ac:dyDescent="0.45">
      <c r="A1339" s="3"/>
    </row>
    <row r="1340" spans="1:1" x14ac:dyDescent="0.45">
      <c r="A1340" s="3"/>
    </row>
    <row r="1341" spans="1:1" x14ac:dyDescent="0.45">
      <c r="A1341" s="3"/>
    </row>
    <row r="1342" spans="1:1" x14ac:dyDescent="0.45">
      <c r="A1342" s="3"/>
    </row>
    <row r="1343" spans="1:1" x14ac:dyDescent="0.45">
      <c r="A1343" s="3"/>
    </row>
    <row r="1344" spans="1:1" x14ac:dyDescent="0.45">
      <c r="A1344" s="3"/>
    </row>
    <row r="1345" spans="1:1" x14ac:dyDescent="0.45">
      <c r="A1345" s="3"/>
    </row>
    <row r="1346" spans="1:1" x14ac:dyDescent="0.45">
      <c r="A1346" s="3"/>
    </row>
    <row r="1347" spans="1:1" x14ac:dyDescent="0.45">
      <c r="A1347" s="3"/>
    </row>
    <row r="1348" spans="1:1" x14ac:dyDescent="0.45">
      <c r="A1348" s="3"/>
    </row>
    <row r="1349" spans="1:1" x14ac:dyDescent="0.45">
      <c r="A1349" s="3"/>
    </row>
    <row r="1350" spans="1:1" x14ac:dyDescent="0.45">
      <c r="A1350" s="3"/>
    </row>
    <row r="1351" spans="1:1" x14ac:dyDescent="0.45">
      <c r="A1351" s="3"/>
    </row>
    <row r="1352" spans="1:1" x14ac:dyDescent="0.45">
      <c r="A1352" s="3"/>
    </row>
    <row r="1353" spans="1:1" x14ac:dyDescent="0.45">
      <c r="A1353" s="3"/>
    </row>
    <row r="1354" spans="1:1" x14ac:dyDescent="0.45">
      <c r="A1354" s="3"/>
    </row>
    <row r="1355" spans="1:1" x14ac:dyDescent="0.45">
      <c r="A1355" s="3"/>
    </row>
    <row r="1356" spans="1:1" x14ac:dyDescent="0.45">
      <c r="A1356" s="3"/>
    </row>
    <row r="1357" spans="1:1" x14ac:dyDescent="0.45">
      <c r="A1357" s="3"/>
    </row>
    <row r="1358" spans="1:1" x14ac:dyDescent="0.45">
      <c r="A1358" s="3"/>
    </row>
    <row r="1359" spans="1:1" x14ac:dyDescent="0.45">
      <c r="A1359" s="3"/>
    </row>
    <row r="1360" spans="1:1" x14ac:dyDescent="0.45">
      <c r="A1360" s="3"/>
    </row>
    <row r="1361" spans="1:1" x14ac:dyDescent="0.45">
      <c r="A1361" s="3"/>
    </row>
    <row r="1362" spans="1:1" x14ac:dyDescent="0.45">
      <c r="A1362" s="3"/>
    </row>
    <row r="1363" spans="1:1" x14ac:dyDescent="0.45">
      <c r="A1363" s="3"/>
    </row>
    <row r="1364" spans="1:1" x14ac:dyDescent="0.45">
      <c r="A1364" s="3"/>
    </row>
    <row r="1365" spans="1:1" x14ac:dyDescent="0.45">
      <c r="A1365" s="3"/>
    </row>
    <row r="1366" spans="1:1" x14ac:dyDescent="0.45">
      <c r="A1366" s="3"/>
    </row>
    <row r="1367" spans="1:1" x14ac:dyDescent="0.45">
      <c r="A1367" s="3"/>
    </row>
    <row r="1368" spans="1:1" x14ac:dyDescent="0.45">
      <c r="A1368" s="3"/>
    </row>
    <row r="1369" spans="1:1" x14ac:dyDescent="0.45">
      <c r="A1369" s="3"/>
    </row>
    <row r="1370" spans="1:1" x14ac:dyDescent="0.45">
      <c r="A1370" s="3"/>
    </row>
    <row r="1371" spans="1:1" x14ac:dyDescent="0.45">
      <c r="A1371" s="3"/>
    </row>
    <row r="1372" spans="1:1" x14ac:dyDescent="0.45">
      <c r="A1372" s="3"/>
    </row>
    <row r="1373" spans="1:1" x14ac:dyDescent="0.45">
      <c r="A1373" s="3"/>
    </row>
    <row r="1374" spans="1:1" x14ac:dyDescent="0.45">
      <c r="A1374" s="3"/>
    </row>
    <row r="1375" spans="1:1" x14ac:dyDescent="0.45">
      <c r="A1375" s="3"/>
    </row>
    <row r="1376" spans="1:1" x14ac:dyDescent="0.45">
      <c r="A1376" s="3"/>
    </row>
    <row r="1377" spans="1:1" x14ac:dyDescent="0.45">
      <c r="A1377" s="3"/>
    </row>
    <row r="1378" spans="1:1" x14ac:dyDescent="0.45">
      <c r="A1378" s="3"/>
    </row>
    <row r="1379" spans="1:1" x14ac:dyDescent="0.45">
      <c r="A1379" s="3"/>
    </row>
    <row r="1380" spans="1:1" x14ac:dyDescent="0.45">
      <c r="A1380" s="3"/>
    </row>
    <row r="1381" spans="1:1" x14ac:dyDescent="0.45">
      <c r="A1381" s="3"/>
    </row>
    <row r="1382" spans="1:1" x14ac:dyDescent="0.45">
      <c r="A1382" s="3"/>
    </row>
    <row r="1383" spans="1:1" x14ac:dyDescent="0.45">
      <c r="A1383" s="3"/>
    </row>
    <row r="1384" spans="1:1" x14ac:dyDescent="0.45">
      <c r="A1384" s="3"/>
    </row>
    <row r="1385" spans="1:1" x14ac:dyDescent="0.45">
      <c r="A1385" s="3"/>
    </row>
    <row r="1386" spans="1:1" x14ac:dyDescent="0.45">
      <c r="A1386" s="3"/>
    </row>
    <row r="1387" spans="1:1" x14ac:dyDescent="0.45">
      <c r="A1387" s="3"/>
    </row>
    <row r="1388" spans="1:1" x14ac:dyDescent="0.45">
      <c r="A1388" s="3"/>
    </row>
    <row r="1389" spans="1:1" x14ac:dyDescent="0.45">
      <c r="A1389" s="3"/>
    </row>
    <row r="1390" spans="1:1" x14ac:dyDescent="0.45">
      <c r="A1390" s="3"/>
    </row>
    <row r="1391" spans="1:1" x14ac:dyDescent="0.45">
      <c r="A1391" s="3"/>
    </row>
    <row r="1392" spans="1:1" x14ac:dyDescent="0.45">
      <c r="A1392" s="3"/>
    </row>
    <row r="1393" spans="1:1" x14ac:dyDescent="0.45">
      <c r="A1393" s="3"/>
    </row>
    <row r="1394" spans="1:1" x14ac:dyDescent="0.45">
      <c r="A1394" s="3"/>
    </row>
    <row r="1395" spans="1:1" x14ac:dyDescent="0.45">
      <c r="A1395" s="3"/>
    </row>
    <row r="1396" spans="1:1" x14ac:dyDescent="0.45">
      <c r="A1396" s="3"/>
    </row>
    <row r="1397" spans="1:1" x14ac:dyDescent="0.45">
      <c r="A1397" s="3"/>
    </row>
    <row r="1398" spans="1:1" x14ac:dyDescent="0.45">
      <c r="A1398" s="3"/>
    </row>
    <row r="1399" spans="1:1" x14ac:dyDescent="0.45">
      <c r="A1399" s="3"/>
    </row>
    <row r="1400" spans="1:1" x14ac:dyDescent="0.45">
      <c r="A1400" s="3"/>
    </row>
    <row r="1401" spans="1:1" x14ac:dyDescent="0.45">
      <c r="A1401" s="3"/>
    </row>
    <row r="1402" spans="1:1" x14ac:dyDescent="0.45">
      <c r="A1402" s="3"/>
    </row>
    <row r="1403" spans="1:1" x14ac:dyDescent="0.45">
      <c r="A1403" s="3"/>
    </row>
    <row r="1404" spans="1:1" x14ac:dyDescent="0.45">
      <c r="A1404" s="3"/>
    </row>
    <row r="1405" spans="1:1" x14ac:dyDescent="0.45">
      <c r="A1405" s="3"/>
    </row>
    <row r="1406" spans="1:1" x14ac:dyDescent="0.45">
      <c r="A1406" s="3"/>
    </row>
    <row r="1407" spans="1:1" x14ac:dyDescent="0.45">
      <c r="A1407" s="3"/>
    </row>
    <row r="1408" spans="1:1" x14ac:dyDescent="0.45">
      <c r="A1408" s="3"/>
    </row>
    <row r="1409" spans="1:1" x14ac:dyDescent="0.45">
      <c r="A1409" s="3"/>
    </row>
    <row r="1410" spans="1:1" x14ac:dyDescent="0.45">
      <c r="A1410" s="3"/>
    </row>
    <row r="1411" spans="1:1" x14ac:dyDescent="0.45">
      <c r="A1411" s="3"/>
    </row>
    <row r="1412" spans="1:1" x14ac:dyDescent="0.45">
      <c r="A1412" s="3"/>
    </row>
    <row r="1413" spans="1:1" x14ac:dyDescent="0.45">
      <c r="A1413" s="3"/>
    </row>
    <row r="1414" spans="1:1" x14ac:dyDescent="0.45">
      <c r="A1414" s="3"/>
    </row>
    <row r="1415" spans="1:1" x14ac:dyDescent="0.45">
      <c r="A1415" s="3"/>
    </row>
    <row r="1416" spans="1:1" x14ac:dyDescent="0.45">
      <c r="A1416" s="3"/>
    </row>
    <row r="1417" spans="1:1" x14ac:dyDescent="0.45">
      <c r="A1417" s="3"/>
    </row>
    <row r="1418" spans="1:1" x14ac:dyDescent="0.45">
      <c r="A1418" s="3"/>
    </row>
    <row r="1419" spans="1:1" x14ac:dyDescent="0.45">
      <c r="A1419" s="3"/>
    </row>
    <row r="1420" spans="1:1" x14ac:dyDescent="0.45">
      <c r="A1420" s="3"/>
    </row>
    <row r="1421" spans="1:1" x14ac:dyDescent="0.45">
      <c r="A1421" s="3"/>
    </row>
    <row r="1422" spans="1:1" x14ac:dyDescent="0.45">
      <c r="A1422" s="3"/>
    </row>
    <row r="1423" spans="1:1" x14ac:dyDescent="0.45">
      <c r="A1423" s="3"/>
    </row>
    <row r="1424" spans="1:1" x14ac:dyDescent="0.45">
      <c r="A1424" s="3"/>
    </row>
    <row r="1425" spans="1:1" x14ac:dyDescent="0.45">
      <c r="A1425" s="3"/>
    </row>
    <row r="1426" spans="1:1" x14ac:dyDescent="0.45">
      <c r="A1426" s="3"/>
    </row>
    <row r="1427" spans="1:1" x14ac:dyDescent="0.45">
      <c r="A1427" s="3"/>
    </row>
    <row r="1428" spans="1:1" x14ac:dyDescent="0.45">
      <c r="A1428" s="3"/>
    </row>
    <row r="1429" spans="1:1" x14ac:dyDescent="0.45">
      <c r="A1429" s="3"/>
    </row>
    <row r="1430" spans="1:1" x14ac:dyDescent="0.45">
      <c r="A1430" s="3"/>
    </row>
    <row r="1431" spans="1:1" x14ac:dyDescent="0.45">
      <c r="A1431" s="3"/>
    </row>
    <row r="1432" spans="1:1" x14ac:dyDescent="0.45">
      <c r="A1432" s="3"/>
    </row>
    <row r="1433" spans="1:1" x14ac:dyDescent="0.45">
      <c r="A1433" s="3"/>
    </row>
    <row r="1434" spans="1:1" x14ac:dyDescent="0.45">
      <c r="A1434" s="3"/>
    </row>
    <row r="1435" spans="1:1" x14ac:dyDescent="0.45">
      <c r="A1435" s="3"/>
    </row>
    <row r="1436" spans="1:1" x14ac:dyDescent="0.45">
      <c r="A1436" s="3"/>
    </row>
    <row r="1437" spans="1:1" x14ac:dyDescent="0.45">
      <c r="A1437" s="3"/>
    </row>
    <row r="1438" spans="1:1" x14ac:dyDescent="0.45">
      <c r="A1438" s="3"/>
    </row>
    <row r="1439" spans="1:1" x14ac:dyDescent="0.45">
      <c r="A1439" s="3"/>
    </row>
    <row r="1440" spans="1:1" x14ac:dyDescent="0.45">
      <c r="A1440" s="3"/>
    </row>
    <row r="1441" spans="1:1" x14ac:dyDescent="0.45">
      <c r="A1441" s="3"/>
    </row>
    <row r="1442" spans="1:1" x14ac:dyDescent="0.45">
      <c r="A1442" s="3"/>
    </row>
    <row r="1443" spans="1:1" x14ac:dyDescent="0.45">
      <c r="A1443" s="3"/>
    </row>
    <row r="1444" spans="1:1" x14ac:dyDescent="0.45">
      <c r="A1444" s="3"/>
    </row>
    <row r="1445" spans="1:1" x14ac:dyDescent="0.45">
      <c r="A1445" s="3"/>
    </row>
    <row r="1446" spans="1:1" x14ac:dyDescent="0.45">
      <c r="A1446" s="3"/>
    </row>
    <row r="1447" spans="1:1" x14ac:dyDescent="0.45">
      <c r="A1447" s="3"/>
    </row>
    <row r="1448" spans="1:1" x14ac:dyDescent="0.45">
      <c r="A1448" s="3"/>
    </row>
    <row r="1449" spans="1:1" x14ac:dyDescent="0.45">
      <c r="A1449" s="3"/>
    </row>
    <row r="1450" spans="1:1" x14ac:dyDescent="0.45">
      <c r="A1450" s="3"/>
    </row>
    <row r="1451" spans="1:1" x14ac:dyDescent="0.45">
      <c r="A1451" s="3"/>
    </row>
    <row r="1452" spans="1:1" x14ac:dyDescent="0.45">
      <c r="A1452" s="3"/>
    </row>
    <row r="1453" spans="1:1" x14ac:dyDescent="0.45">
      <c r="A1453" s="3"/>
    </row>
    <row r="1454" spans="1:1" x14ac:dyDescent="0.45">
      <c r="A1454" s="3"/>
    </row>
    <row r="1455" spans="1:1" x14ac:dyDescent="0.45">
      <c r="A1455" s="3"/>
    </row>
    <row r="1456" spans="1:1" x14ac:dyDescent="0.45">
      <c r="A1456" s="3"/>
    </row>
    <row r="1457" spans="1:1" x14ac:dyDescent="0.45">
      <c r="A1457" s="3"/>
    </row>
    <row r="1458" spans="1:1" x14ac:dyDescent="0.45">
      <c r="A1458" s="3"/>
    </row>
    <row r="1459" spans="1:1" x14ac:dyDescent="0.45">
      <c r="A1459" s="3"/>
    </row>
    <row r="1460" spans="1:1" x14ac:dyDescent="0.45">
      <c r="A1460" s="3"/>
    </row>
    <row r="1461" spans="1:1" x14ac:dyDescent="0.45">
      <c r="A1461" s="3"/>
    </row>
    <row r="1462" spans="1:1" x14ac:dyDescent="0.45">
      <c r="A1462" s="3"/>
    </row>
    <row r="1463" spans="1:1" x14ac:dyDescent="0.45">
      <c r="A1463" s="3"/>
    </row>
    <row r="1464" spans="1:1" x14ac:dyDescent="0.45">
      <c r="A1464" s="3"/>
    </row>
    <row r="1465" spans="1:1" x14ac:dyDescent="0.45">
      <c r="A1465" s="3"/>
    </row>
    <row r="1466" spans="1:1" x14ac:dyDescent="0.45">
      <c r="A1466" s="3"/>
    </row>
    <row r="1467" spans="1:1" x14ac:dyDescent="0.45">
      <c r="A1467" s="3"/>
    </row>
    <row r="1468" spans="1:1" x14ac:dyDescent="0.45">
      <c r="A1468" s="3"/>
    </row>
    <row r="1469" spans="1:1" x14ac:dyDescent="0.45">
      <c r="A1469" s="3"/>
    </row>
    <row r="1470" spans="1:1" x14ac:dyDescent="0.45">
      <c r="A1470" s="3"/>
    </row>
    <row r="1471" spans="1:1" x14ac:dyDescent="0.45">
      <c r="A1471" s="3"/>
    </row>
    <row r="1472" spans="1:1" x14ac:dyDescent="0.45">
      <c r="A1472" s="3"/>
    </row>
    <row r="1473" spans="1:1" x14ac:dyDescent="0.45">
      <c r="A1473" s="3"/>
    </row>
    <row r="1474" spans="1:1" x14ac:dyDescent="0.45">
      <c r="A1474" s="3"/>
    </row>
    <row r="1475" spans="1:1" x14ac:dyDescent="0.45">
      <c r="A1475" s="3"/>
    </row>
    <row r="1476" spans="1:1" x14ac:dyDescent="0.45">
      <c r="A1476" s="3"/>
    </row>
    <row r="1477" spans="1:1" x14ac:dyDescent="0.45">
      <c r="A1477" s="3"/>
    </row>
    <row r="1478" spans="1:1" x14ac:dyDescent="0.45">
      <c r="A1478" s="3"/>
    </row>
    <row r="1479" spans="1:1" x14ac:dyDescent="0.45">
      <c r="A1479" s="3"/>
    </row>
    <row r="1480" spans="1:1" x14ac:dyDescent="0.45">
      <c r="A1480" s="3"/>
    </row>
    <row r="1481" spans="1:1" x14ac:dyDescent="0.45">
      <c r="A1481" s="3"/>
    </row>
    <row r="1482" spans="1:1" x14ac:dyDescent="0.45">
      <c r="A1482" s="3"/>
    </row>
    <row r="1483" spans="1:1" x14ac:dyDescent="0.45">
      <c r="A1483" s="3"/>
    </row>
    <row r="1484" spans="1:1" x14ac:dyDescent="0.45">
      <c r="A1484" s="3"/>
    </row>
    <row r="1485" spans="1:1" x14ac:dyDescent="0.45">
      <c r="A1485" s="3"/>
    </row>
    <row r="1486" spans="1:1" x14ac:dyDescent="0.45">
      <c r="A1486" s="3"/>
    </row>
    <row r="1487" spans="1:1" x14ac:dyDescent="0.45">
      <c r="A1487" s="3"/>
    </row>
    <row r="1488" spans="1:1" x14ac:dyDescent="0.45">
      <c r="A1488" s="3"/>
    </row>
    <row r="1489" spans="1:1" x14ac:dyDescent="0.45">
      <c r="A1489" s="3"/>
    </row>
    <row r="1490" spans="1:1" x14ac:dyDescent="0.45">
      <c r="A1490" s="3"/>
    </row>
    <row r="1491" spans="1:1" x14ac:dyDescent="0.45">
      <c r="A1491" s="3"/>
    </row>
    <row r="1492" spans="1:1" x14ac:dyDescent="0.45">
      <c r="A1492" s="3"/>
    </row>
    <row r="1493" spans="1:1" x14ac:dyDescent="0.45">
      <c r="A1493" s="3"/>
    </row>
    <row r="1494" spans="1:1" x14ac:dyDescent="0.45">
      <c r="A1494" s="3"/>
    </row>
    <row r="1495" spans="1:1" x14ac:dyDescent="0.45">
      <c r="A1495" s="3"/>
    </row>
    <row r="1496" spans="1:1" x14ac:dyDescent="0.45">
      <c r="A1496" s="3"/>
    </row>
    <row r="1497" spans="1:1" x14ac:dyDescent="0.45">
      <c r="A1497" s="3"/>
    </row>
    <row r="1498" spans="1:1" x14ac:dyDescent="0.45">
      <c r="A1498" s="3"/>
    </row>
    <row r="1499" spans="1:1" x14ac:dyDescent="0.45">
      <c r="A1499" s="3"/>
    </row>
    <row r="1500" spans="1:1" x14ac:dyDescent="0.45">
      <c r="A1500" s="3"/>
    </row>
    <row r="1501" spans="1:1" x14ac:dyDescent="0.45">
      <c r="A1501" s="3"/>
    </row>
    <row r="1502" spans="1:1" x14ac:dyDescent="0.45">
      <c r="A1502" s="3"/>
    </row>
    <row r="1503" spans="1:1" x14ac:dyDescent="0.45">
      <c r="A1503" s="3"/>
    </row>
    <row r="1504" spans="1:1" x14ac:dyDescent="0.45">
      <c r="A1504" s="3"/>
    </row>
    <row r="1505" spans="1:1" x14ac:dyDescent="0.45">
      <c r="A1505" s="3"/>
    </row>
    <row r="1506" spans="1:1" x14ac:dyDescent="0.45">
      <c r="A1506" s="3"/>
    </row>
    <row r="1507" spans="1:1" x14ac:dyDescent="0.45">
      <c r="A1507" s="3"/>
    </row>
    <row r="1508" spans="1:1" x14ac:dyDescent="0.45">
      <c r="A1508" s="3"/>
    </row>
    <row r="1509" spans="1:1" x14ac:dyDescent="0.45">
      <c r="A1509" s="3"/>
    </row>
    <row r="1510" spans="1:1" x14ac:dyDescent="0.45">
      <c r="A1510" s="3"/>
    </row>
    <row r="1511" spans="1:1" x14ac:dyDescent="0.45">
      <c r="A1511" s="3"/>
    </row>
    <row r="1512" spans="1:1" x14ac:dyDescent="0.45">
      <c r="A1512" s="3"/>
    </row>
    <row r="1513" spans="1:1" x14ac:dyDescent="0.45">
      <c r="A1513" s="3"/>
    </row>
    <row r="1514" spans="1:1" x14ac:dyDescent="0.45">
      <c r="A1514" s="3"/>
    </row>
    <row r="1515" spans="1:1" x14ac:dyDescent="0.45">
      <c r="A1515" s="3"/>
    </row>
    <row r="1516" spans="1:1" x14ac:dyDescent="0.45">
      <c r="A1516" s="3"/>
    </row>
    <row r="1517" spans="1:1" x14ac:dyDescent="0.45">
      <c r="A1517" s="3"/>
    </row>
    <row r="1518" spans="1:1" x14ac:dyDescent="0.45">
      <c r="A1518" s="3"/>
    </row>
    <row r="1519" spans="1:1" x14ac:dyDescent="0.45">
      <c r="A1519" s="3"/>
    </row>
    <row r="1520" spans="1:1" x14ac:dyDescent="0.45">
      <c r="A1520" s="3"/>
    </row>
    <row r="1521" spans="1:1" x14ac:dyDescent="0.45">
      <c r="A1521" s="3"/>
    </row>
    <row r="1522" spans="1:1" x14ac:dyDescent="0.45">
      <c r="A1522" s="3"/>
    </row>
    <row r="1523" spans="1:1" x14ac:dyDescent="0.45">
      <c r="A1523" s="3"/>
    </row>
    <row r="1524" spans="1:1" x14ac:dyDescent="0.45">
      <c r="A1524" s="3"/>
    </row>
    <row r="1525" spans="1:1" x14ac:dyDescent="0.45">
      <c r="A1525" s="3"/>
    </row>
    <row r="1526" spans="1:1" x14ac:dyDescent="0.45">
      <c r="A1526" s="3"/>
    </row>
    <row r="1527" spans="1:1" x14ac:dyDescent="0.45">
      <c r="A1527" s="3"/>
    </row>
    <row r="1528" spans="1:1" x14ac:dyDescent="0.45">
      <c r="A1528" s="3"/>
    </row>
    <row r="1529" spans="1:1" x14ac:dyDescent="0.45">
      <c r="A1529" s="3"/>
    </row>
    <row r="1530" spans="1:1" x14ac:dyDescent="0.45">
      <c r="A1530" s="3"/>
    </row>
    <row r="1531" spans="1:1" x14ac:dyDescent="0.45">
      <c r="A1531" s="3"/>
    </row>
    <row r="1532" spans="1:1" x14ac:dyDescent="0.45">
      <c r="A1532" s="3"/>
    </row>
    <row r="1533" spans="1:1" x14ac:dyDescent="0.45">
      <c r="A1533" s="3"/>
    </row>
    <row r="1534" spans="1:1" x14ac:dyDescent="0.45">
      <c r="A1534" s="3"/>
    </row>
    <row r="1535" spans="1:1" x14ac:dyDescent="0.45">
      <c r="A1535" s="3"/>
    </row>
    <row r="1536" spans="1:1" x14ac:dyDescent="0.45">
      <c r="A1536" s="3"/>
    </row>
    <row r="1537" spans="1:1" x14ac:dyDescent="0.45">
      <c r="A1537" s="3"/>
    </row>
    <row r="1538" spans="1:1" x14ac:dyDescent="0.45">
      <c r="A1538" s="3"/>
    </row>
    <row r="1539" spans="1:1" x14ac:dyDescent="0.45">
      <c r="A1539" s="3"/>
    </row>
    <row r="1540" spans="1:1" x14ac:dyDescent="0.45">
      <c r="A1540" s="3"/>
    </row>
    <row r="1541" spans="1:1" x14ac:dyDescent="0.45">
      <c r="A1541" s="3"/>
    </row>
    <row r="1542" spans="1:1" x14ac:dyDescent="0.45">
      <c r="A1542" s="3"/>
    </row>
    <row r="1543" spans="1:1" x14ac:dyDescent="0.45">
      <c r="A1543" s="3"/>
    </row>
    <row r="1544" spans="1:1" x14ac:dyDescent="0.45">
      <c r="A1544" s="3"/>
    </row>
    <row r="1545" spans="1:1" x14ac:dyDescent="0.45">
      <c r="A1545" s="3"/>
    </row>
    <row r="1546" spans="1:1" x14ac:dyDescent="0.45">
      <c r="A1546" s="3"/>
    </row>
    <row r="1547" spans="1:1" x14ac:dyDescent="0.45">
      <c r="A1547" s="3"/>
    </row>
    <row r="1548" spans="1:1" x14ac:dyDescent="0.45">
      <c r="A1548" s="3"/>
    </row>
    <row r="1549" spans="1:1" x14ac:dyDescent="0.45">
      <c r="A1549" s="3"/>
    </row>
    <row r="1550" spans="1:1" x14ac:dyDescent="0.45">
      <c r="A1550" s="3"/>
    </row>
    <row r="1551" spans="1:1" x14ac:dyDescent="0.45">
      <c r="A1551" s="3"/>
    </row>
    <row r="1552" spans="1:1" x14ac:dyDescent="0.45">
      <c r="A1552" s="3"/>
    </row>
    <row r="1553" spans="1:1" x14ac:dyDescent="0.45">
      <c r="A1553" s="3"/>
    </row>
    <row r="1554" spans="1:1" x14ac:dyDescent="0.45">
      <c r="A1554" s="3"/>
    </row>
    <row r="1555" spans="1:1" x14ac:dyDescent="0.45">
      <c r="A1555" s="3"/>
    </row>
    <row r="1556" spans="1:1" x14ac:dyDescent="0.45">
      <c r="A1556" s="3"/>
    </row>
    <row r="1557" spans="1:1" x14ac:dyDescent="0.45">
      <c r="A1557" s="3"/>
    </row>
    <row r="1558" spans="1:1" x14ac:dyDescent="0.45">
      <c r="A1558" s="3"/>
    </row>
    <row r="1559" spans="1:1" x14ac:dyDescent="0.45">
      <c r="A1559" s="3"/>
    </row>
    <row r="1560" spans="1:1" x14ac:dyDescent="0.45">
      <c r="A1560" s="3"/>
    </row>
    <row r="1561" spans="1:1" x14ac:dyDescent="0.45">
      <c r="A1561" s="3"/>
    </row>
    <row r="1562" spans="1:1" x14ac:dyDescent="0.45">
      <c r="A1562" s="3"/>
    </row>
    <row r="1563" spans="1:1" x14ac:dyDescent="0.45">
      <c r="A1563" s="3"/>
    </row>
    <row r="1564" spans="1:1" x14ac:dyDescent="0.45">
      <c r="A1564" s="3"/>
    </row>
    <row r="1565" spans="1:1" x14ac:dyDescent="0.45">
      <c r="A1565" s="3"/>
    </row>
    <row r="1566" spans="1:1" x14ac:dyDescent="0.45">
      <c r="A1566" s="3"/>
    </row>
    <row r="1567" spans="1:1" x14ac:dyDescent="0.45">
      <c r="A1567" s="3"/>
    </row>
    <row r="1568" spans="1:1" x14ac:dyDescent="0.45">
      <c r="A1568" s="3"/>
    </row>
    <row r="1569" spans="1:1" x14ac:dyDescent="0.45">
      <c r="A1569" s="3"/>
    </row>
    <row r="1570" spans="1:1" x14ac:dyDescent="0.45">
      <c r="A1570" s="3"/>
    </row>
    <row r="1571" spans="1:1" x14ac:dyDescent="0.45">
      <c r="A1571" s="3"/>
    </row>
    <row r="1572" spans="1:1" x14ac:dyDescent="0.45">
      <c r="A1572" s="3"/>
    </row>
    <row r="1573" spans="1:1" x14ac:dyDescent="0.45">
      <c r="A1573" s="3"/>
    </row>
    <row r="1574" spans="1:1" x14ac:dyDescent="0.45">
      <c r="A1574" s="3"/>
    </row>
    <row r="1575" spans="1:1" x14ac:dyDescent="0.45">
      <c r="A1575" s="3"/>
    </row>
    <row r="1576" spans="1:1" x14ac:dyDescent="0.45">
      <c r="A1576" s="3"/>
    </row>
    <row r="1577" spans="1:1" x14ac:dyDescent="0.45">
      <c r="A1577" s="3"/>
    </row>
    <row r="1578" spans="1:1" x14ac:dyDescent="0.45">
      <c r="A1578" s="3"/>
    </row>
    <row r="1579" spans="1:1" x14ac:dyDescent="0.45">
      <c r="A1579" s="3"/>
    </row>
    <row r="1580" spans="1:1" x14ac:dyDescent="0.45">
      <c r="A1580" s="3"/>
    </row>
    <row r="1581" spans="1:1" x14ac:dyDescent="0.45">
      <c r="A1581" s="3"/>
    </row>
    <row r="1582" spans="1:1" x14ac:dyDescent="0.45">
      <c r="A1582" s="3"/>
    </row>
    <row r="1583" spans="1:1" x14ac:dyDescent="0.45">
      <c r="A1583" s="3"/>
    </row>
    <row r="1584" spans="1:1" x14ac:dyDescent="0.45">
      <c r="A1584" s="3"/>
    </row>
    <row r="1585" spans="1:1" x14ac:dyDescent="0.45">
      <c r="A1585" s="3"/>
    </row>
    <row r="1586" spans="1:1" x14ac:dyDescent="0.45">
      <c r="A1586" s="3"/>
    </row>
    <row r="1587" spans="1:1" x14ac:dyDescent="0.45">
      <c r="A1587" s="3"/>
    </row>
    <row r="1588" spans="1:1" x14ac:dyDescent="0.45">
      <c r="A1588" s="3"/>
    </row>
    <row r="1589" spans="1:1" x14ac:dyDescent="0.45">
      <c r="A1589" s="3"/>
    </row>
    <row r="1590" spans="1:1" x14ac:dyDescent="0.45">
      <c r="A1590" s="3"/>
    </row>
    <row r="1591" spans="1:1" x14ac:dyDescent="0.45">
      <c r="A1591" s="3"/>
    </row>
    <row r="1592" spans="1:1" x14ac:dyDescent="0.45">
      <c r="A1592" s="3"/>
    </row>
    <row r="1593" spans="1:1" x14ac:dyDescent="0.45">
      <c r="A1593" s="3"/>
    </row>
    <row r="1594" spans="1:1" x14ac:dyDescent="0.45">
      <c r="A1594" s="3"/>
    </row>
    <row r="1595" spans="1:1" x14ac:dyDescent="0.45">
      <c r="A1595" s="3"/>
    </row>
    <row r="1596" spans="1:1" x14ac:dyDescent="0.45">
      <c r="A1596" s="3"/>
    </row>
    <row r="1597" spans="1:1" x14ac:dyDescent="0.45">
      <c r="A1597" s="3"/>
    </row>
    <row r="1598" spans="1:1" x14ac:dyDescent="0.45">
      <c r="A1598" s="3"/>
    </row>
    <row r="1599" spans="1:1" x14ac:dyDescent="0.45">
      <c r="A1599" s="3"/>
    </row>
    <row r="1600" spans="1:1" x14ac:dyDescent="0.45">
      <c r="A1600" s="3"/>
    </row>
    <row r="1601" spans="1:1" x14ac:dyDescent="0.45">
      <c r="A1601" s="3"/>
    </row>
    <row r="1602" spans="1:1" x14ac:dyDescent="0.45">
      <c r="A1602" s="3"/>
    </row>
    <row r="1603" spans="1:1" x14ac:dyDescent="0.45">
      <c r="A1603" s="3"/>
    </row>
    <row r="1604" spans="1:1" x14ac:dyDescent="0.45">
      <c r="A1604" s="3"/>
    </row>
    <row r="1605" spans="1:1" x14ac:dyDescent="0.45">
      <c r="A1605" s="3"/>
    </row>
    <row r="1606" spans="1:1" x14ac:dyDescent="0.45">
      <c r="A1606" s="3"/>
    </row>
    <row r="1607" spans="1:1" x14ac:dyDescent="0.45">
      <c r="A1607" s="3"/>
    </row>
    <row r="1608" spans="1:1" x14ac:dyDescent="0.45">
      <c r="A1608" s="3"/>
    </row>
    <row r="1609" spans="1:1" x14ac:dyDescent="0.45">
      <c r="A1609" s="3"/>
    </row>
    <row r="1610" spans="1:1" x14ac:dyDescent="0.45">
      <c r="A1610" s="3"/>
    </row>
    <row r="1611" spans="1:1" x14ac:dyDescent="0.45">
      <c r="A1611" s="3"/>
    </row>
    <row r="1612" spans="1:1" x14ac:dyDescent="0.45">
      <c r="A1612" s="3"/>
    </row>
    <row r="1613" spans="1:1" x14ac:dyDescent="0.45">
      <c r="A1613" s="3"/>
    </row>
    <row r="1614" spans="1:1" x14ac:dyDescent="0.45">
      <c r="A1614" s="3"/>
    </row>
    <row r="1615" spans="1:1" x14ac:dyDescent="0.45">
      <c r="A1615" s="3"/>
    </row>
    <row r="1616" spans="1:1" x14ac:dyDescent="0.45">
      <c r="A1616" s="3"/>
    </row>
    <row r="1617" spans="1:1" x14ac:dyDescent="0.45">
      <c r="A1617" s="3"/>
    </row>
    <row r="1618" spans="1:1" x14ac:dyDescent="0.45">
      <c r="A1618" s="3"/>
    </row>
    <row r="1619" spans="1:1" x14ac:dyDescent="0.45">
      <c r="A1619" s="3"/>
    </row>
    <row r="1620" spans="1:1" x14ac:dyDescent="0.45">
      <c r="A1620" s="3"/>
    </row>
    <row r="1621" spans="1:1" x14ac:dyDescent="0.45">
      <c r="A1621" s="3"/>
    </row>
    <row r="1622" spans="1:1" x14ac:dyDescent="0.45">
      <c r="A1622" s="3"/>
    </row>
    <row r="1623" spans="1:1" x14ac:dyDescent="0.45">
      <c r="A1623" s="3"/>
    </row>
    <row r="1624" spans="1:1" x14ac:dyDescent="0.45">
      <c r="A1624" s="3"/>
    </row>
    <row r="1625" spans="1:1" x14ac:dyDescent="0.45">
      <c r="A1625" s="3"/>
    </row>
    <row r="1626" spans="1:1" x14ac:dyDescent="0.45">
      <c r="A1626" s="3"/>
    </row>
    <row r="1627" spans="1:1" x14ac:dyDescent="0.45">
      <c r="A1627" s="3"/>
    </row>
    <row r="1628" spans="1:1" x14ac:dyDescent="0.45">
      <c r="A1628" s="3"/>
    </row>
    <row r="1629" spans="1:1" x14ac:dyDescent="0.45">
      <c r="A1629" s="3"/>
    </row>
    <row r="1630" spans="1:1" x14ac:dyDescent="0.45">
      <c r="A1630" s="3"/>
    </row>
    <row r="1631" spans="1:1" x14ac:dyDescent="0.45">
      <c r="A1631" s="3"/>
    </row>
    <row r="1632" spans="1:1" x14ac:dyDescent="0.45">
      <c r="A1632" s="3"/>
    </row>
    <row r="1633" spans="1:1" x14ac:dyDescent="0.45">
      <c r="A1633" s="3"/>
    </row>
    <row r="1634" spans="1:1" x14ac:dyDescent="0.45">
      <c r="A1634" s="3"/>
    </row>
    <row r="1635" spans="1:1" x14ac:dyDescent="0.45">
      <c r="A1635" s="3"/>
    </row>
    <row r="1636" spans="1:1" x14ac:dyDescent="0.45">
      <c r="A1636" s="3"/>
    </row>
    <row r="1637" spans="1:1" x14ac:dyDescent="0.45">
      <c r="A1637" s="3"/>
    </row>
    <row r="1638" spans="1:1" x14ac:dyDescent="0.45">
      <c r="A1638" s="3"/>
    </row>
    <row r="1639" spans="1:1" x14ac:dyDescent="0.45">
      <c r="A1639" s="3"/>
    </row>
    <row r="1640" spans="1:1" x14ac:dyDescent="0.45">
      <c r="A1640" s="3"/>
    </row>
    <row r="1641" spans="1:1" x14ac:dyDescent="0.45">
      <c r="A1641" s="3"/>
    </row>
    <row r="1642" spans="1:1" x14ac:dyDescent="0.45">
      <c r="A1642" s="3"/>
    </row>
    <row r="1643" spans="1:1" x14ac:dyDescent="0.45">
      <c r="A1643" s="3"/>
    </row>
    <row r="1644" spans="1:1" x14ac:dyDescent="0.45">
      <c r="A1644" s="3"/>
    </row>
    <row r="1645" spans="1:1" x14ac:dyDescent="0.45">
      <c r="A1645" s="3"/>
    </row>
    <row r="1646" spans="1:1" x14ac:dyDescent="0.45">
      <c r="A1646" s="3"/>
    </row>
    <row r="1647" spans="1:1" x14ac:dyDescent="0.45">
      <c r="A1647" s="3"/>
    </row>
    <row r="1648" spans="1:1" x14ac:dyDescent="0.45">
      <c r="A1648" s="3"/>
    </row>
    <row r="1649" spans="1:1" x14ac:dyDescent="0.45">
      <c r="A1649" s="3"/>
    </row>
    <row r="1650" spans="1:1" x14ac:dyDescent="0.45">
      <c r="A1650" s="3"/>
    </row>
    <row r="1651" spans="1:1" x14ac:dyDescent="0.45">
      <c r="A1651" s="3"/>
    </row>
    <row r="1652" spans="1:1" x14ac:dyDescent="0.45">
      <c r="A1652" s="3"/>
    </row>
    <row r="1653" spans="1:1" x14ac:dyDescent="0.45">
      <c r="A1653" s="3"/>
    </row>
    <row r="1654" spans="1:1" x14ac:dyDescent="0.45">
      <c r="A1654" s="3"/>
    </row>
    <row r="1655" spans="1:1" x14ac:dyDescent="0.45">
      <c r="A1655" s="3"/>
    </row>
    <row r="1656" spans="1:1" x14ac:dyDescent="0.45">
      <c r="A1656" s="3"/>
    </row>
    <row r="1657" spans="1:1" x14ac:dyDescent="0.45">
      <c r="A1657" s="3"/>
    </row>
    <row r="1658" spans="1:1" x14ac:dyDescent="0.45">
      <c r="A1658" s="3"/>
    </row>
    <row r="1659" spans="1:1" x14ac:dyDescent="0.45">
      <c r="A1659" s="3"/>
    </row>
    <row r="1660" spans="1:1" x14ac:dyDescent="0.45">
      <c r="A1660" s="3"/>
    </row>
    <row r="1661" spans="1:1" x14ac:dyDescent="0.45">
      <c r="A1661" s="3"/>
    </row>
    <row r="1662" spans="1:1" x14ac:dyDescent="0.45">
      <c r="A1662" s="3"/>
    </row>
    <row r="1663" spans="1:1" x14ac:dyDescent="0.45">
      <c r="A1663" s="3"/>
    </row>
    <row r="1664" spans="1:1" x14ac:dyDescent="0.45">
      <c r="A1664" s="3"/>
    </row>
    <row r="1665" spans="1:1" x14ac:dyDescent="0.45">
      <c r="A1665" s="3"/>
    </row>
    <row r="1666" spans="1:1" x14ac:dyDescent="0.45">
      <c r="A1666" s="3"/>
    </row>
    <row r="1667" spans="1:1" x14ac:dyDescent="0.45">
      <c r="A1667" s="3"/>
    </row>
    <row r="1668" spans="1:1" x14ac:dyDescent="0.45">
      <c r="A1668" s="3"/>
    </row>
    <row r="1669" spans="1:1" x14ac:dyDescent="0.45">
      <c r="A1669" s="3"/>
    </row>
    <row r="1670" spans="1:1" x14ac:dyDescent="0.45">
      <c r="A1670" s="3"/>
    </row>
    <row r="1671" spans="1:1" x14ac:dyDescent="0.45">
      <c r="A1671" s="3"/>
    </row>
    <row r="1672" spans="1:1" x14ac:dyDescent="0.45">
      <c r="A1672" s="3"/>
    </row>
    <row r="1673" spans="1:1" x14ac:dyDescent="0.45">
      <c r="A1673" s="3"/>
    </row>
    <row r="1674" spans="1:1" x14ac:dyDescent="0.45">
      <c r="A1674" s="3"/>
    </row>
    <row r="1675" spans="1:1" x14ac:dyDescent="0.45">
      <c r="A1675" s="3"/>
    </row>
    <row r="1676" spans="1:1" x14ac:dyDescent="0.45">
      <c r="A1676" s="3"/>
    </row>
    <row r="1677" spans="1:1" x14ac:dyDescent="0.45">
      <c r="A1677" s="3"/>
    </row>
    <row r="1678" spans="1:1" x14ac:dyDescent="0.45">
      <c r="A1678" s="3"/>
    </row>
    <row r="1679" spans="1:1" x14ac:dyDescent="0.45">
      <c r="A1679" s="3"/>
    </row>
    <row r="1680" spans="1:1" x14ac:dyDescent="0.45">
      <c r="A1680" s="3"/>
    </row>
    <row r="1681" spans="1:1" x14ac:dyDescent="0.45">
      <c r="A1681" s="3"/>
    </row>
    <row r="1682" spans="1:1" x14ac:dyDescent="0.45">
      <c r="A1682" s="3"/>
    </row>
    <row r="1683" spans="1:1" x14ac:dyDescent="0.45">
      <c r="A1683" s="3"/>
    </row>
    <row r="1684" spans="1:1" x14ac:dyDescent="0.45">
      <c r="A1684" s="3"/>
    </row>
    <row r="1685" spans="1:1" x14ac:dyDescent="0.45">
      <c r="A1685" s="3"/>
    </row>
    <row r="1686" spans="1:1" x14ac:dyDescent="0.45">
      <c r="A1686" s="3"/>
    </row>
    <row r="1687" spans="1:1" x14ac:dyDescent="0.45">
      <c r="A1687" s="3"/>
    </row>
    <row r="1688" spans="1:1" x14ac:dyDescent="0.45">
      <c r="A1688" s="3"/>
    </row>
    <row r="1689" spans="1:1" x14ac:dyDescent="0.45">
      <c r="A1689" s="3"/>
    </row>
    <row r="1690" spans="1:1" x14ac:dyDescent="0.45">
      <c r="A1690" s="3"/>
    </row>
    <row r="1691" spans="1:1" x14ac:dyDescent="0.45">
      <c r="A1691" s="3"/>
    </row>
    <row r="1692" spans="1:1" x14ac:dyDescent="0.45">
      <c r="A1692" s="3"/>
    </row>
    <row r="1693" spans="1:1" x14ac:dyDescent="0.45">
      <c r="A1693" s="3"/>
    </row>
    <row r="1694" spans="1:1" x14ac:dyDescent="0.45">
      <c r="A1694" s="3"/>
    </row>
    <row r="1695" spans="1:1" x14ac:dyDescent="0.45">
      <c r="A1695" s="3"/>
    </row>
    <row r="1696" spans="1:1" x14ac:dyDescent="0.45">
      <c r="A1696" s="3"/>
    </row>
    <row r="1697" spans="1:1" x14ac:dyDescent="0.45">
      <c r="A1697" s="3"/>
    </row>
    <row r="1698" spans="1:1" x14ac:dyDescent="0.45">
      <c r="A1698" s="3"/>
    </row>
    <row r="1699" spans="1:1" x14ac:dyDescent="0.45">
      <c r="A1699" s="3"/>
    </row>
    <row r="1700" spans="1:1" x14ac:dyDescent="0.45">
      <c r="A1700" s="3"/>
    </row>
    <row r="1701" spans="1:1" x14ac:dyDescent="0.45">
      <c r="A1701" s="3"/>
    </row>
    <row r="1702" spans="1:1" x14ac:dyDescent="0.45">
      <c r="A1702" s="3"/>
    </row>
    <row r="1703" spans="1:1" x14ac:dyDescent="0.45">
      <c r="A1703" s="3"/>
    </row>
    <row r="1704" spans="1:1" x14ac:dyDescent="0.45">
      <c r="A1704" s="3"/>
    </row>
    <row r="1705" spans="1:1" x14ac:dyDescent="0.45">
      <c r="A1705" s="3"/>
    </row>
    <row r="1706" spans="1:1" x14ac:dyDescent="0.45">
      <c r="A1706" s="3"/>
    </row>
    <row r="1707" spans="1:1" x14ac:dyDescent="0.45">
      <c r="A1707" s="3"/>
    </row>
    <row r="1708" spans="1:1" x14ac:dyDescent="0.45">
      <c r="A1708" s="3"/>
    </row>
    <row r="1709" spans="1:1" x14ac:dyDescent="0.45">
      <c r="A1709" s="3"/>
    </row>
    <row r="1710" spans="1:1" x14ac:dyDescent="0.45">
      <c r="A1710" s="3"/>
    </row>
    <row r="1711" spans="1:1" x14ac:dyDescent="0.45">
      <c r="A1711" s="3"/>
    </row>
    <row r="1712" spans="1:1" x14ac:dyDescent="0.45">
      <c r="A1712" s="3"/>
    </row>
    <row r="1713" spans="1:1" x14ac:dyDescent="0.45">
      <c r="A1713" s="3"/>
    </row>
    <row r="1714" spans="1:1" x14ac:dyDescent="0.45">
      <c r="A1714" s="3"/>
    </row>
    <row r="1715" spans="1:1" x14ac:dyDescent="0.45">
      <c r="A1715" s="3"/>
    </row>
    <row r="1716" spans="1:1" x14ac:dyDescent="0.45">
      <c r="A1716" s="3"/>
    </row>
    <row r="1717" spans="1:1" x14ac:dyDescent="0.45">
      <c r="A1717" s="3"/>
    </row>
    <row r="1718" spans="1:1" x14ac:dyDescent="0.45">
      <c r="A1718" s="3"/>
    </row>
    <row r="1719" spans="1:1" x14ac:dyDescent="0.45">
      <c r="A1719" s="3"/>
    </row>
    <row r="1720" spans="1:1" x14ac:dyDescent="0.45">
      <c r="A1720" s="3"/>
    </row>
    <row r="1721" spans="1:1" x14ac:dyDescent="0.45">
      <c r="A1721" s="3"/>
    </row>
    <row r="1722" spans="1:1" x14ac:dyDescent="0.45">
      <c r="A1722" s="3"/>
    </row>
    <row r="1723" spans="1:1" x14ac:dyDescent="0.45">
      <c r="A1723" s="3"/>
    </row>
    <row r="1724" spans="1:1" x14ac:dyDescent="0.45">
      <c r="A1724" s="3"/>
    </row>
    <row r="1725" spans="1:1" x14ac:dyDescent="0.45">
      <c r="A1725" s="3"/>
    </row>
    <row r="1726" spans="1:1" x14ac:dyDescent="0.45">
      <c r="A1726" s="3"/>
    </row>
    <row r="1727" spans="1:1" x14ac:dyDescent="0.45">
      <c r="A1727" s="3"/>
    </row>
    <row r="1728" spans="1:1" x14ac:dyDescent="0.45">
      <c r="A1728" s="3"/>
    </row>
    <row r="1729" spans="1:1" x14ac:dyDescent="0.45">
      <c r="A1729" s="3"/>
    </row>
    <row r="1730" spans="1:1" x14ac:dyDescent="0.45">
      <c r="A1730" s="3"/>
    </row>
    <row r="1731" spans="1:1" x14ac:dyDescent="0.45">
      <c r="A1731" s="3"/>
    </row>
    <row r="1732" spans="1:1" x14ac:dyDescent="0.45">
      <c r="A1732" s="3"/>
    </row>
    <row r="1733" spans="1:1" x14ac:dyDescent="0.45">
      <c r="A1733" s="3"/>
    </row>
    <row r="1734" spans="1:1" x14ac:dyDescent="0.45">
      <c r="A1734" s="3"/>
    </row>
    <row r="1735" spans="1:1" x14ac:dyDescent="0.45">
      <c r="A1735" s="3"/>
    </row>
    <row r="1736" spans="1:1" x14ac:dyDescent="0.45">
      <c r="A1736" s="3"/>
    </row>
    <row r="1737" spans="1:1" x14ac:dyDescent="0.45">
      <c r="A1737" s="3"/>
    </row>
    <row r="1738" spans="1:1" x14ac:dyDescent="0.45">
      <c r="A1738" s="3"/>
    </row>
    <row r="1739" spans="1:1" x14ac:dyDescent="0.45">
      <c r="A1739" s="3"/>
    </row>
    <row r="1740" spans="1:1" x14ac:dyDescent="0.45">
      <c r="A1740" s="3"/>
    </row>
    <row r="1741" spans="1:1" x14ac:dyDescent="0.45">
      <c r="A1741" s="3"/>
    </row>
    <row r="1742" spans="1:1" x14ac:dyDescent="0.45">
      <c r="A1742" s="3"/>
    </row>
    <row r="1743" spans="1:1" x14ac:dyDescent="0.45">
      <c r="A1743" s="3"/>
    </row>
    <row r="1744" spans="1:1" x14ac:dyDescent="0.45">
      <c r="A1744" s="3"/>
    </row>
    <row r="1745" spans="1:1" x14ac:dyDescent="0.45">
      <c r="A1745" s="3"/>
    </row>
    <row r="1746" spans="1:1" x14ac:dyDescent="0.45">
      <c r="A1746" s="3"/>
    </row>
    <row r="1747" spans="1:1" x14ac:dyDescent="0.45">
      <c r="A1747" s="3"/>
    </row>
    <row r="1748" spans="1:1" x14ac:dyDescent="0.45">
      <c r="A1748" s="3"/>
    </row>
    <row r="1749" spans="1:1" x14ac:dyDescent="0.45">
      <c r="A1749" s="3"/>
    </row>
    <row r="1750" spans="1:1" x14ac:dyDescent="0.45">
      <c r="A1750" s="3"/>
    </row>
    <row r="1751" spans="1:1" x14ac:dyDescent="0.45">
      <c r="A1751" s="3"/>
    </row>
    <row r="1752" spans="1:1" x14ac:dyDescent="0.45">
      <c r="A1752" s="3"/>
    </row>
    <row r="1753" spans="1:1" x14ac:dyDescent="0.45">
      <c r="A1753" s="3"/>
    </row>
    <row r="1754" spans="1:1" x14ac:dyDescent="0.45">
      <c r="A1754" s="3"/>
    </row>
    <row r="1755" spans="1:1" x14ac:dyDescent="0.45">
      <c r="A1755" s="3"/>
    </row>
    <row r="1756" spans="1:1" x14ac:dyDescent="0.45">
      <c r="A1756" s="3"/>
    </row>
    <row r="1757" spans="1:1" x14ac:dyDescent="0.45">
      <c r="A1757" s="3"/>
    </row>
    <row r="1758" spans="1:1" x14ac:dyDescent="0.45">
      <c r="A1758" s="3"/>
    </row>
    <row r="1759" spans="1:1" x14ac:dyDescent="0.45">
      <c r="A1759" s="3"/>
    </row>
    <row r="1760" spans="1:1" x14ac:dyDescent="0.45">
      <c r="A1760" s="3"/>
    </row>
    <row r="1761" spans="1:1" x14ac:dyDescent="0.45">
      <c r="A1761" s="3"/>
    </row>
    <row r="1762" spans="1:1" x14ac:dyDescent="0.45">
      <c r="A1762" s="3"/>
    </row>
    <row r="1763" spans="1:1" x14ac:dyDescent="0.45">
      <c r="A1763" s="3"/>
    </row>
    <row r="1764" spans="1:1" x14ac:dyDescent="0.45">
      <c r="A1764" s="3"/>
    </row>
    <row r="1765" spans="1:1" x14ac:dyDescent="0.45">
      <c r="A1765" s="3"/>
    </row>
    <row r="1766" spans="1:1" x14ac:dyDescent="0.45">
      <c r="A1766" s="3"/>
    </row>
    <row r="1767" spans="1:1" x14ac:dyDescent="0.45">
      <c r="A1767" s="3"/>
    </row>
    <row r="1768" spans="1:1" x14ac:dyDescent="0.45">
      <c r="A1768" s="3"/>
    </row>
    <row r="1769" spans="1:1" x14ac:dyDescent="0.45">
      <c r="A1769" s="3"/>
    </row>
    <row r="1770" spans="1:1" x14ac:dyDescent="0.45">
      <c r="A1770" s="3"/>
    </row>
    <row r="1771" spans="1:1" x14ac:dyDescent="0.45">
      <c r="A1771" s="3"/>
    </row>
    <row r="1772" spans="1:1" x14ac:dyDescent="0.45">
      <c r="A1772" s="3"/>
    </row>
    <row r="1773" spans="1:1" x14ac:dyDescent="0.45">
      <c r="A1773" s="3"/>
    </row>
    <row r="1774" spans="1:1" x14ac:dyDescent="0.45">
      <c r="A1774" s="3"/>
    </row>
    <row r="1775" spans="1:1" x14ac:dyDescent="0.45">
      <c r="A1775" s="3"/>
    </row>
    <row r="1776" spans="1:1" x14ac:dyDescent="0.45">
      <c r="A1776" s="3"/>
    </row>
    <row r="1777" spans="1:1" x14ac:dyDescent="0.45">
      <c r="A1777" s="3"/>
    </row>
    <row r="1778" spans="1:1" x14ac:dyDescent="0.45">
      <c r="A1778" s="3"/>
    </row>
    <row r="1779" spans="1:1" x14ac:dyDescent="0.45">
      <c r="A1779" s="3"/>
    </row>
    <row r="1780" spans="1:1" x14ac:dyDescent="0.45">
      <c r="A1780" s="3"/>
    </row>
    <row r="1781" spans="1:1" x14ac:dyDescent="0.45">
      <c r="A1781" s="3"/>
    </row>
    <row r="1782" spans="1:1" x14ac:dyDescent="0.45">
      <c r="A1782" s="3"/>
    </row>
    <row r="1783" spans="1:1" x14ac:dyDescent="0.45">
      <c r="A1783" s="3"/>
    </row>
    <row r="1784" spans="1:1" x14ac:dyDescent="0.45">
      <c r="A1784" s="3"/>
    </row>
    <row r="1785" spans="1:1" x14ac:dyDescent="0.45">
      <c r="A1785" s="3"/>
    </row>
    <row r="1786" spans="1:1" x14ac:dyDescent="0.45">
      <c r="A1786" s="3"/>
    </row>
    <row r="1787" spans="1:1" x14ac:dyDescent="0.45">
      <c r="A1787" s="3"/>
    </row>
    <row r="1788" spans="1:1" x14ac:dyDescent="0.45">
      <c r="A1788" s="3"/>
    </row>
    <row r="1789" spans="1:1" x14ac:dyDescent="0.45">
      <c r="A1789" s="3"/>
    </row>
    <row r="1790" spans="1:1" x14ac:dyDescent="0.45">
      <c r="A1790" s="3"/>
    </row>
    <row r="1791" spans="1:1" x14ac:dyDescent="0.45">
      <c r="A1791" s="3"/>
    </row>
    <row r="1792" spans="1:1" x14ac:dyDescent="0.45">
      <c r="A1792" s="3"/>
    </row>
    <row r="1793" spans="1:1" x14ac:dyDescent="0.45">
      <c r="A1793" s="3"/>
    </row>
    <row r="1794" spans="1:1" x14ac:dyDescent="0.45">
      <c r="A1794" s="3"/>
    </row>
    <row r="1795" spans="1:1" x14ac:dyDescent="0.45">
      <c r="A1795" s="3"/>
    </row>
    <row r="1796" spans="1:1" x14ac:dyDescent="0.45">
      <c r="A1796" s="3"/>
    </row>
    <row r="1797" spans="1:1" x14ac:dyDescent="0.45">
      <c r="A1797" s="3"/>
    </row>
    <row r="1798" spans="1:1" x14ac:dyDescent="0.45">
      <c r="A1798" s="3"/>
    </row>
    <row r="1799" spans="1:1" x14ac:dyDescent="0.45">
      <c r="A1799" s="3"/>
    </row>
    <row r="1800" spans="1:1" x14ac:dyDescent="0.45">
      <c r="A1800" s="3"/>
    </row>
    <row r="1801" spans="1:1" x14ac:dyDescent="0.45">
      <c r="A1801" s="3"/>
    </row>
    <row r="1802" spans="1:1" x14ac:dyDescent="0.45">
      <c r="A1802" s="3"/>
    </row>
    <row r="1803" spans="1:1" x14ac:dyDescent="0.45">
      <c r="A1803" s="3"/>
    </row>
    <row r="1804" spans="1:1" x14ac:dyDescent="0.45">
      <c r="A1804" s="3"/>
    </row>
    <row r="1805" spans="1:1" x14ac:dyDescent="0.45">
      <c r="A1805" s="3"/>
    </row>
    <row r="1806" spans="1:1" x14ac:dyDescent="0.45">
      <c r="A1806" s="3"/>
    </row>
    <row r="1807" spans="1:1" x14ac:dyDescent="0.45">
      <c r="A1807" s="3"/>
    </row>
    <row r="1808" spans="1:1" x14ac:dyDescent="0.45">
      <c r="A1808" s="3"/>
    </row>
    <row r="1809" spans="1:1" x14ac:dyDescent="0.45">
      <c r="A1809" s="3"/>
    </row>
    <row r="1810" spans="1:1" x14ac:dyDescent="0.45">
      <c r="A1810" s="3"/>
    </row>
    <row r="1811" spans="1:1" x14ac:dyDescent="0.45">
      <c r="A1811" s="3"/>
    </row>
    <row r="1812" spans="1:1" x14ac:dyDescent="0.45">
      <c r="A1812" s="3"/>
    </row>
    <row r="1813" spans="1:1" x14ac:dyDescent="0.45">
      <c r="A1813" s="3"/>
    </row>
    <row r="1814" spans="1:1" x14ac:dyDescent="0.45">
      <c r="A1814" s="3"/>
    </row>
    <row r="1815" spans="1:1" x14ac:dyDescent="0.45">
      <c r="A1815" s="3"/>
    </row>
    <row r="1816" spans="1:1" x14ac:dyDescent="0.45">
      <c r="A1816" s="3"/>
    </row>
    <row r="1817" spans="1:1" x14ac:dyDescent="0.45">
      <c r="A1817" s="3"/>
    </row>
    <row r="1818" spans="1:1" x14ac:dyDescent="0.45">
      <c r="A1818" s="3"/>
    </row>
    <row r="1819" spans="1:1" x14ac:dyDescent="0.45">
      <c r="A1819" s="3"/>
    </row>
    <row r="1820" spans="1:1" x14ac:dyDescent="0.45">
      <c r="A1820" s="3"/>
    </row>
    <row r="1821" spans="1:1" x14ac:dyDescent="0.45">
      <c r="A1821" s="3"/>
    </row>
    <row r="1822" spans="1:1" x14ac:dyDescent="0.45">
      <c r="A1822" s="3"/>
    </row>
    <row r="1823" spans="1:1" x14ac:dyDescent="0.45">
      <c r="A1823" s="3"/>
    </row>
    <row r="1824" spans="1:1" x14ac:dyDescent="0.45">
      <c r="A1824" s="3"/>
    </row>
    <row r="1825" spans="1:1" x14ac:dyDescent="0.45">
      <c r="A1825" s="3"/>
    </row>
    <row r="1826" spans="1:1" x14ac:dyDescent="0.45">
      <c r="A1826" s="3"/>
    </row>
    <row r="1827" spans="1:1" x14ac:dyDescent="0.45">
      <c r="A1827" s="3"/>
    </row>
    <row r="1828" spans="1:1" x14ac:dyDescent="0.45">
      <c r="A1828" s="3"/>
    </row>
    <row r="1829" spans="1:1" x14ac:dyDescent="0.45">
      <c r="A1829" s="3"/>
    </row>
    <row r="1830" spans="1:1" x14ac:dyDescent="0.45">
      <c r="A1830" s="3"/>
    </row>
    <row r="1831" spans="1:1" x14ac:dyDescent="0.45">
      <c r="A1831" s="3"/>
    </row>
    <row r="1832" spans="1:1" x14ac:dyDescent="0.45">
      <c r="A1832" s="3"/>
    </row>
    <row r="1833" spans="1:1" x14ac:dyDescent="0.45">
      <c r="A1833" s="3"/>
    </row>
    <row r="1834" spans="1:1" x14ac:dyDescent="0.45">
      <c r="A1834" s="3"/>
    </row>
    <row r="1835" spans="1:1" x14ac:dyDescent="0.45">
      <c r="A1835" s="3"/>
    </row>
    <row r="1836" spans="1:1" x14ac:dyDescent="0.45">
      <c r="A1836" s="3"/>
    </row>
    <row r="1837" spans="1:1" x14ac:dyDescent="0.45">
      <c r="A1837" s="3"/>
    </row>
    <row r="1838" spans="1:1" x14ac:dyDescent="0.45">
      <c r="A1838" s="3"/>
    </row>
    <row r="1839" spans="1:1" x14ac:dyDescent="0.45">
      <c r="A1839" s="3"/>
    </row>
    <row r="1840" spans="1:1" x14ac:dyDescent="0.45">
      <c r="A1840" s="3"/>
    </row>
    <row r="1841" spans="1:1" x14ac:dyDescent="0.45">
      <c r="A1841" s="3"/>
    </row>
    <row r="1842" spans="1:1" x14ac:dyDescent="0.45">
      <c r="A1842" s="3"/>
    </row>
    <row r="1843" spans="1:1" x14ac:dyDescent="0.45">
      <c r="A1843" s="3"/>
    </row>
    <row r="1844" spans="1:1" x14ac:dyDescent="0.45">
      <c r="A1844" s="3"/>
    </row>
    <row r="1845" spans="1:1" x14ac:dyDescent="0.45">
      <c r="A1845" s="3"/>
    </row>
    <row r="1846" spans="1:1" x14ac:dyDescent="0.45">
      <c r="A1846" s="3"/>
    </row>
    <row r="1847" spans="1:1" x14ac:dyDescent="0.45">
      <c r="A1847" s="3"/>
    </row>
    <row r="1848" spans="1:1" x14ac:dyDescent="0.45">
      <c r="A1848" s="3"/>
    </row>
    <row r="1849" spans="1:1" x14ac:dyDescent="0.45">
      <c r="A1849" s="3"/>
    </row>
    <row r="1850" spans="1:1" x14ac:dyDescent="0.45">
      <c r="A1850" s="3"/>
    </row>
    <row r="1851" spans="1:1" x14ac:dyDescent="0.45">
      <c r="A1851" s="3"/>
    </row>
    <row r="1852" spans="1:1" x14ac:dyDescent="0.45">
      <c r="A1852" s="3"/>
    </row>
    <row r="1853" spans="1:1" x14ac:dyDescent="0.45">
      <c r="A1853" s="3"/>
    </row>
    <row r="1854" spans="1:1" x14ac:dyDescent="0.45">
      <c r="A1854" s="3"/>
    </row>
    <row r="1855" spans="1:1" x14ac:dyDescent="0.45">
      <c r="A1855" s="3"/>
    </row>
    <row r="1856" spans="1:1" x14ac:dyDescent="0.45">
      <c r="A1856" s="3"/>
    </row>
    <row r="1857" spans="1:1" x14ac:dyDescent="0.45">
      <c r="A1857" s="3"/>
    </row>
    <row r="1858" spans="1:1" x14ac:dyDescent="0.45">
      <c r="A1858" s="3"/>
    </row>
    <row r="1859" spans="1:1" x14ac:dyDescent="0.45">
      <c r="A1859" s="3"/>
    </row>
    <row r="1860" spans="1:1" x14ac:dyDescent="0.45">
      <c r="A1860" s="3"/>
    </row>
    <row r="1861" spans="1:1" x14ac:dyDescent="0.45">
      <c r="A1861" s="3"/>
    </row>
    <row r="1862" spans="1:1" x14ac:dyDescent="0.45">
      <c r="A1862" s="3"/>
    </row>
    <row r="1863" spans="1:1" x14ac:dyDescent="0.45">
      <c r="A1863" s="3"/>
    </row>
    <row r="1864" spans="1:1" x14ac:dyDescent="0.45">
      <c r="A1864" s="3"/>
    </row>
    <row r="1865" spans="1:1" x14ac:dyDescent="0.45">
      <c r="A1865" s="3"/>
    </row>
    <row r="1866" spans="1:1" x14ac:dyDescent="0.45">
      <c r="A1866" s="3"/>
    </row>
    <row r="1867" spans="1:1" x14ac:dyDescent="0.45">
      <c r="A1867" s="3"/>
    </row>
    <row r="1868" spans="1:1" x14ac:dyDescent="0.45">
      <c r="A1868" s="3"/>
    </row>
    <row r="1869" spans="1:1" x14ac:dyDescent="0.45">
      <c r="A1869" s="3"/>
    </row>
    <row r="1870" spans="1:1" x14ac:dyDescent="0.45">
      <c r="A1870" s="3"/>
    </row>
    <row r="1871" spans="1:1" x14ac:dyDescent="0.45">
      <c r="A1871" s="3"/>
    </row>
    <row r="1872" spans="1:1" x14ac:dyDescent="0.45">
      <c r="A1872" s="3"/>
    </row>
    <row r="1873" spans="1:1" x14ac:dyDescent="0.45">
      <c r="A1873" s="3"/>
    </row>
    <row r="1874" spans="1:1" x14ac:dyDescent="0.45">
      <c r="A1874" s="3"/>
    </row>
    <row r="1875" spans="1:1" x14ac:dyDescent="0.45">
      <c r="A1875" s="3"/>
    </row>
    <row r="1876" spans="1:1" x14ac:dyDescent="0.45">
      <c r="A1876" s="3"/>
    </row>
    <row r="1877" spans="1:1" x14ac:dyDescent="0.45">
      <c r="A1877" s="3"/>
    </row>
    <row r="1878" spans="1:1" x14ac:dyDescent="0.45">
      <c r="A1878" s="3"/>
    </row>
    <row r="1879" spans="1:1" x14ac:dyDescent="0.45">
      <c r="A1879" s="3"/>
    </row>
    <row r="1880" spans="1:1" x14ac:dyDescent="0.45">
      <c r="A1880" s="3"/>
    </row>
    <row r="1881" spans="1:1" x14ac:dyDescent="0.45">
      <c r="A1881" s="3"/>
    </row>
    <row r="1882" spans="1:1" x14ac:dyDescent="0.45">
      <c r="A1882" s="3"/>
    </row>
    <row r="1883" spans="1:1" x14ac:dyDescent="0.45">
      <c r="A1883" s="3"/>
    </row>
    <row r="1884" spans="1:1" x14ac:dyDescent="0.45">
      <c r="A1884" s="3"/>
    </row>
    <row r="1885" spans="1:1" x14ac:dyDescent="0.45">
      <c r="A1885" s="3"/>
    </row>
    <row r="1886" spans="1:1" x14ac:dyDescent="0.45">
      <c r="A1886" s="3"/>
    </row>
    <row r="1887" spans="1:1" x14ac:dyDescent="0.45">
      <c r="A1887" s="3"/>
    </row>
    <row r="1888" spans="1:1" x14ac:dyDescent="0.45">
      <c r="A1888" s="3"/>
    </row>
    <row r="1889" spans="1:1" x14ac:dyDescent="0.45">
      <c r="A1889" s="3"/>
    </row>
    <row r="1890" spans="1:1" x14ac:dyDescent="0.45">
      <c r="A1890" s="3"/>
    </row>
    <row r="1891" spans="1:1" x14ac:dyDescent="0.45">
      <c r="A1891" s="3"/>
    </row>
    <row r="1892" spans="1:1" x14ac:dyDescent="0.45">
      <c r="A1892" s="3"/>
    </row>
    <row r="1893" spans="1:1" x14ac:dyDescent="0.45">
      <c r="A1893" s="3"/>
    </row>
    <row r="1894" spans="1:1" x14ac:dyDescent="0.45">
      <c r="A1894" s="3"/>
    </row>
    <row r="1895" spans="1:1" x14ac:dyDescent="0.45">
      <c r="A1895" s="3"/>
    </row>
    <row r="1896" spans="1:1" x14ac:dyDescent="0.45">
      <c r="A1896" s="3"/>
    </row>
    <row r="1897" spans="1:1" x14ac:dyDescent="0.45">
      <c r="A1897" s="3"/>
    </row>
    <row r="1898" spans="1:1" x14ac:dyDescent="0.45">
      <c r="A1898" s="3"/>
    </row>
    <row r="1899" spans="1:1" x14ac:dyDescent="0.45">
      <c r="A1899" s="3"/>
    </row>
    <row r="1900" spans="1:1" x14ac:dyDescent="0.45">
      <c r="A1900" s="3"/>
    </row>
    <row r="1901" spans="1:1" x14ac:dyDescent="0.45">
      <c r="A1901" s="3"/>
    </row>
    <row r="1902" spans="1:1" x14ac:dyDescent="0.45">
      <c r="A1902" s="3"/>
    </row>
    <row r="1903" spans="1:1" x14ac:dyDescent="0.45">
      <c r="A1903" s="3"/>
    </row>
    <row r="1904" spans="1:1" x14ac:dyDescent="0.45">
      <c r="A1904" s="3"/>
    </row>
    <row r="1905" spans="1:1" x14ac:dyDescent="0.45">
      <c r="A1905" s="3"/>
    </row>
    <row r="1906" spans="1:1" x14ac:dyDescent="0.45">
      <c r="A1906" s="3"/>
    </row>
    <row r="1907" spans="1:1" x14ac:dyDescent="0.45">
      <c r="A1907" s="3"/>
    </row>
    <row r="1908" spans="1:1" x14ac:dyDescent="0.45">
      <c r="A1908" s="3"/>
    </row>
    <row r="1909" spans="1:1" x14ac:dyDescent="0.45">
      <c r="A1909" s="3"/>
    </row>
    <row r="1910" spans="1:1" x14ac:dyDescent="0.45">
      <c r="A1910" s="3"/>
    </row>
    <row r="1911" spans="1:1" x14ac:dyDescent="0.45">
      <c r="A1911" s="3"/>
    </row>
    <row r="1912" spans="1:1" x14ac:dyDescent="0.45">
      <c r="A1912" s="3"/>
    </row>
    <row r="1913" spans="1:1" x14ac:dyDescent="0.45">
      <c r="A1913" s="3"/>
    </row>
    <row r="1914" spans="1:1" x14ac:dyDescent="0.45">
      <c r="A1914" s="3"/>
    </row>
    <row r="1915" spans="1:1" x14ac:dyDescent="0.45">
      <c r="A1915" s="3"/>
    </row>
    <row r="1916" spans="1:1" x14ac:dyDescent="0.45">
      <c r="A1916" s="3"/>
    </row>
    <row r="1917" spans="1:1" x14ac:dyDescent="0.45">
      <c r="A1917" s="3"/>
    </row>
    <row r="1918" spans="1:1" x14ac:dyDescent="0.45">
      <c r="A1918" s="3"/>
    </row>
    <row r="1919" spans="1:1" x14ac:dyDescent="0.45">
      <c r="A1919" s="3"/>
    </row>
    <row r="1920" spans="1:1" x14ac:dyDescent="0.45">
      <c r="A1920" s="3"/>
    </row>
    <row r="1921" spans="1:1" x14ac:dyDescent="0.45">
      <c r="A1921" s="3"/>
    </row>
    <row r="1922" spans="1:1" x14ac:dyDescent="0.45">
      <c r="A1922" s="3"/>
    </row>
    <row r="1923" spans="1:1" x14ac:dyDescent="0.45">
      <c r="A1923" s="3"/>
    </row>
    <row r="1924" spans="1:1" x14ac:dyDescent="0.45">
      <c r="A1924" s="3"/>
    </row>
    <row r="1925" spans="1:1" x14ac:dyDescent="0.45">
      <c r="A1925" s="3"/>
    </row>
    <row r="1926" spans="1:1" x14ac:dyDescent="0.45">
      <c r="A1926" s="3"/>
    </row>
    <row r="1927" spans="1:1" x14ac:dyDescent="0.45">
      <c r="A1927" s="3"/>
    </row>
    <row r="1928" spans="1:1" x14ac:dyDescent="0.45">
      <c r="A1928" s="3"/>
    </row>
    <row r="1929" spans="1:1" x14ac:dyDescent="0.45">
      <c r="A1929" s="3"/>
    </row>
    <row r="1930" spans="1:1" x14ac:dyDescent="0.45">
      <c r="A1930" s="3"/>
    </row>
    <row r="1931" spans="1:1" x14ac:dyDescent="0.45">
      <c r="A1931" s="3"/>
    </row>
    <row r="1932" spans="1:1" x14ac:dyDescent="0.45">
      <c r="A1932" s="3"/>
    </row>
    <row r="1933" spans="1:1" x14ac:dyDescent="0.45">
      <c r="A1933" s="3"/>
    </row>
    <row r="1934" spans="1:1" x14ac:dyDescent="0.45">
      <c r="A1934" s="3"/>
    </row>
    <row r="1935" spans="1:1" x14ac:dyDescent="0.45">
      <c r="A1935" s="3"/>
    </row>
    <row r="1936" spans="1:1" x14ac:dyDescent="0.45">
      <c r="A1936" s="3"/>
    </row>
    <row r="1937" spans="1:1" x14ac:dyDescent="0.45">
      <c r="A1937" s="3"/>
    </row>
    <row r="1938" spans="1:1" x14ac:dyDescent="0.45">
      <c r="A1938" s="3"/>
    </row>
    <row r="1939" spans="1:1" x14ac:dyDescent="0.45">
      <c r="A1939" s="3"/>
    </row>
    <row r="1940" spans="1:1" x14ac:dyDescent="0.45">
      <c r="A1940" s="3"/>
    </row>
    <row r="1941" spans="1:1" x14ac:dyDescent="0.45">
      <c r="A1941" s="3"/>
    </row>
    <row r="1942" spans="1:1" x14ac:dyDescent="0.45">
      <c r="A1942" s="3"/>
    </row>
    <row r="1943" spans="1:1" x14ac:dyDescent="0.45">
      <c r="A1943" s="3"/>
    </row>
    <row r="1944" spans="1:1" x14ac:dyDescent="0.45">
      <c r="A1944" s="3"/>
    </row>
    <row r="1945" spans="1:1" x14ac:dyDescent="0.45">
      <c r="A1945" s="3"/>
    </row>
    <row r="1946" spans="1:1" x14ac:dyDescent="0.45">
      <c r="A1946" s="3"/>
    </row>
    <row r="1947" spans="1:1" x14ac:dyDescent="0.45">
      <c r="A1947" s="3"/>
    </row>
    <row r="1948" spans="1:1" x14ac:dyDescent="0.45">
      <c r="A1948" s="3"/>
    </row>
    <row r="1949" spans="1:1" x14ac:dyDescent="0.45">
      <c r="A1949" s="3"/>
    </row>
    <row r="1950" spans="1:1" x14ac:dyDescent="0.45">
      <c r="A1950" s="3"/>
    </row>
    <row r="1951" spans="1:1" x14ac:dyDescent="0.45">
      <c r="A1951" s="3"/>
    </row>
    <row r="1952" spans="1:1" x14ac:dyDescent="0.45">
      <c r="A1952" s="3"/>
    </row>
    <row r="1953" spans="1:1" x14ac:dyDescent="0.45">
      <c r="A1953" s="3"/>
    </row>
    <row r="1954" spans="1:1" x14ac:dyDescent="0.45">
      <c r="A1954" s="3"/>
    </row>
    <row r="1955" spans="1:1" x14ac:dyDescent="0.45">
      <c r="A1955" s="3"/>
    </row>
    <row r="1956" spans="1:1" x14ac:dyDescent="0.45">
      <c r="A1956" s="3"/>
    </row>
    <row r="1957" spans="1:1" x14ac:dyDescent="0.45">
      <c r="A1957" s="3"/>
    </row>
    <row r="1958" spans="1:1" x14ac:dyDescent="0.45">
      <c r="A1958" s="3"/>
    </row>
    <row r="1959" spans="1:1" x14ac:dyDescent="0.45">
      <c r="A1959" s="3"/>
    </row>
    <row r="1960" spans="1:1" x14ac:dyDescent="0.45">
      <c r="A1960" s="3"/>
    </row>
    <row r="1961" spans="1:1" x14ac:dyDescent="0.45">
      <c r="A1961" s="3"/>
    </row>
    <row r="1962" spans="1:1" x14ac:dyDescent="0.45">
      <c r="A1962" s="3"/>
    </row>
    <row r="1963" spans="1:1" x14ac:dyDescent="0.45">
      <c r="A1963" s="3"/>
    </row>
    <row r="1964" spans="1:1" x14ac:dyDescent="0.45">
      <c r="A1964" s="3"/>
    </row>
    <row r="1965" spans="1:1" x14ac:dyDescent="0.45">
      <c r="A1965" s="3"/>
    </row>
    <row r="1966" spans="1:1" x14ac:dyDescent="0.45">
      <c r="A1966" s="3"/>
    </row>
    <row r="1967" spans="1:1" x14ac:dyDescent="0.45">
      <c r="A1967" s="3"/>
    </row>
    <row r="1968" spans="1:1" x14ac:dyDescent="0.45">
      <c r="A1968" s="3"/>
    </row>
    <row r="1969" spans="1:1" x14ac:dyDescent="0.45">
      <c r="A1969" s="3"/>
    </row>
    <row r="1970" spans="1:1" x14ac:dyDescent="0.45">
      <c r="A1970" s="3"/>
    </row>
    <row r="1971" spans="1:1" x14ac:dyDescent="0.45">
      <c r="A1971" s="3"/>
    </row>
    <row r="1972" spans="1:1" x14ac:dyDescent="0.45">
      <c r="A1972" s="3"/>
    </row>
    <row r="1973" spans="1:1" x14ac:dyDescent="0.45">
      <c r="A1973" s="3"/>
    </row>
    <row r="1974" spans="1:1" x14ac:dyDescent="0.45">
      <c r="A1974" s="3"/>
    </row>
    <row r="1975" spans="1:1" x14ac:dyDescent="0.45">
      <c r="A1975" s="3"/>
    </row>
    <row r="1976" spans="1:1" x14ac:dyDescent="0.45">
      <c r="A1976" s="3"/>
    </row>
    <row r="1977" spans="1:1" x14ac:dyDescent="0.45">
      <c r="A1977" s="3"/>
    </row>
    <row r="1978" spans="1:1" x14ac:dyDescent="0.45">
      <c r="A1978" s="3"/>
    </row>
    <row r="1979" spans="1:1" x14ac:dyDescent="0.45">
      <c r="A1979" s="3"/>
    </row>
    <row r="1980" spans="1:1" x14ac:dyDescent="0.45">
      <c r="A1980" s="3"/>
    </row>
    <row r="1981" spans="1:1" x14ac:dyDescent="0.45">
      <c r="A1981" s="3"/>
    </row>
    <row r="1982" spans="1:1" x14ac:dyDescent="0.45">
      <c r="A1982" s="3"/>
    </row>
    <row r="1983" spans="1:1" x14ac:dyDescent="0.45">
      <c r="A1983" s="3"/>
    </row>
    <row r="1984" spans="1:1" x14ac:dyDescent="0.45">
      <c r="A1984" s="3"/>
    </row>
    <row r="1985" spans="1:1" x14ac:dyDescent="0.45">
      <c r="A1985" s="3"/>
    </row>
    <row r="1986" spans="1:1" x14ac:dyDescent="0.45">
      <c r="A1986" s="3"/>
    </row>
    <row r="1987" spans="1:1" x14ac:dyDescent="0.45">
      <c r="A1987" s="3"/>
    </row>
    <row r="1988" spans="1:1" x14ac:dyDescent="0.45">
      <c r="A1988" s="3"/>
    </row>
    <row r="1989" spans="1:1" x14ac:dyDescent="0.45">
      <c r="A1989" s="3"/>
    </row>
    <row r="1990" spans="1:1" x14ac:dyDescent="0.45">
      <c r="A1990" s="3"/>
    </row>
    <row r="1991" spans="1:1" x14ac:dyDescent="0.45">
      <c r="A1991" s="3"/>
    </row>
    <row r="1992" spans="1:1" x14ac:dyDescent="0.45">
      <c r="A1992" s="3"/>
    </row>
    <row r="1993" spans="1:1" x14ac:dyDescent="0.45">
      <c r="A1993" s="3"/>
    </row>
    <row r="1994" spans="1:1" x14ac:dyDescent="0.45">
      <c r="A1994" s="3"/>
    </row>
    <row r="1995" spans="1:1" x14ac:dyDescent="0.45">
      <c r="A1995" s="3"/>
    </row>
    <row r="1996" spans="1:1" x14ac:dyDescent="0.45">
      <c r="A1996" s="3"/>
    </row>
    <row r="1997" spans="1:1" x14ac:dyDescent="0.45">
      <c r="A1997" s="3"/>
    </row>
    <row r="1998" spans="1:1" x14ac:dyDescent="0.45">
      <c r="A1998" s="3"/>
    </row>
    <row r="1999" spans="1:1" x14ac:dyDescent="0.45">
      <c r="A1999" s="3"/>
    </row>
    <row r="2000" spans="1:1" x14ac:dyDescent="0.45">
      <c r="A2000" s="3"/>
    </row>
    <row r="2001" spans="1:1" x14ac:dyDescent="0.45">
      <c r="A2001" s="3"/>
    </row>
    <row r="2002" spans="1:1" x14ac:dyDescent="0.45">
      <c r="A2002" s="3"/>
    </row>
    <row r="2003" spans="1:1" x14ac:dyDescent="0.45">
      <c r="A2003" s="3"/>
    </row>
    <row r="2004" spans="1:1" x14ac:dyDescent="0.45">
      <c r="A2004" s="3"/>
    </row>
    <row r="2005" spans="1:1" x14ac:dyDescent="0.45">
      <c r="A2005" s="3"/>
    </row>
    <row r="2006" spans="1:1" x14ac:dyDescent="0.45">
      <c r="A2006" s="3"/>
    </row>
    <row r="2007" spans="1:1" x14ac:dyDescent="0.45">
      <c r="A2007" s="3"/>
    </row>
    <row r="2008" spans="1:1" x14ac:dyDescent="0.45">
      <c r="A2008" s="3"/>
    </row>
    <row r="2009" spans="1:1" x14ac:dyDescent="0.45">
      <c r="A2009" s="3"/>
    </row>
    <row r="2010" spans="1:1" x14ac:dyDescent="0.45">
      <c r="A2010" s="3"/>
    </row>
    <row r="2011" spans="1:1" x14ac:dyDescent="0.45">
      <c r="A2011" s="3"/>
    </row>
    <row r="2012" spans="1:1" x14ac:dyDescent="0.45">
      <c r="A2012" s="3"/>
    </row>
    <row r="2013" spans="1:1" x14ac:dyDescent="0.45">
      <c r="A2013" s="3"/>
    </row>
    <row r="2014" spans="1:1" x14ac:dyDescent="0.45">
      <c r="A2014" s="3"/>
    </row>
    <row r="2015" spans="1:1" x14ac:dyDescent="0.45">
      <c r="A2015" s="3"/>
    </row>
    <row r="2016" spans="1:1" x14ac:dyDescent="0.45">
      <c r="A2016" s="3"/>
    </row>
    <row r="2017" spans="1:1" x14ac:dyDescent="0.45">
      <c r="A2017" s="3"/>
    </row>
    <row r="2018" spans="1:1" x14ac:dyDescent="0.45">
      <c r="A2018" s="3"/>
    </row>
    <row r="2019" spans="1:1" x14ac:dyDescent="0.45">
      <c r="A2019" s="3"/>
    </row>
    <row r="2020" spans="1:1" x14ac:dyDescent="0.45">
      <c r="A2020" s="3"/>
    </row>
    <row r="2021" spans="1:1" x14ac:dyDescent="0.45">
      <c r="A2021" s="3"/>
    </row>
    <row r="2022" spans="1:1" x14ac:dyDescent="0.45">
      <c r="A2022" s="3"/>
    </row>
    <row r="2023" spans="1:1" x14ac:dyDescent="0.45">
      <c r="A2023" s="3"/>
    </row>
    <row r="2024" spans="1:1" x14ac:dyDescent="0.45">
      <c r="A2024" s="3"/>
    </row>
    <row r="2025" spans="1:1" x14ac:dyDescent="0.45">
      <c r="A2025" s="3"/>
    </row>
    <row r="2026" spans="1:1" x14ac:dyDescent="0.45">
      <c r="A2026" s="3"/>
    </row>
    <row r="2027" spans="1:1" x14ac:dyDescent="0.45">
      <c r="A2027" s="3"/>
    </row>
    <row r="2028" spans="1:1" x14ac:dyDescent="0.45">
      <c r="A2028" s="3"/>
    </row>
    <row r="2029" spans="1:1" x14ac:dyDescent="0.45">
      <c r="A2029" s="3"/>
    </row>
    <row r="2030" spans="1:1" x14ac:dyDescent="0.45">
      <c r="A2030" s="3"/>
    </row>
    <row r="2031" spans="1:1" x14ac:dyDescent="0.45">
      <c r="A2031" s="3"/>
    </row>
    <row r="2032" spans="1:1" x14ac:dyDescent="0.45">
      <c r="A2032" s="3"/>
    </row>
    <row r="2033" spans="1:1" x14ac:dyDescent="0.45">
      <c r="A2033" s="3"/>
    </row>
    <row r="2034" spans="1:1" x14ac:dyDescent="0.45">
      <c r="A2034" s="3"/>
    </row>
    <row r="2035" spans="1:1" x14ac:dyDescent="0.45">
      <c r="A2035" s="3"/>
    </row>
    <row r="2036" spans="1:1" x14ac:dyDescent="0.45">
      <c r="A2036" s="3"/>
    </row>
    <row r="2037" spans="1:1" x14ac:dyDescent="0.45">
      <c r="A2037" s="3"/>
    </row>
    <row r="2038" spans="1:1" x14ac:dyDescent="0.45">
      <c r="A2038" s="3"/>
    </row>
    <row r="2039" spans="1:1" x14ac:dyDescent="0.45">
      <c r="A2039" s="3"/>
    </row>
    <row r="2040" spans="1:1" x14ac:dyDescent="0.45">
      <c r="A2040" s="3"/>
    </row>
    <row r="2041" spans="1:1" x14ac:dyDescent="0.45">
      <c r="A2041" s="3"/>
    </row>
    <row r="2042" spans="1:1" x14ac:dyDescent="0.45">
      <c r="A2042" s="3"/>
    </row>
    <row r="2043" spans="1:1" x14ac:dyDescent="0.45">
      <c r="A2043" s="3"/>
    </row>
    <row r="2044" spans="1:1" x14ac:dyDescent="0.45">
      <c r="A2044" s="3"/>
    </row>
    <row r="2045" spans="1:1" x14ac:dyDescent="0.45">
      <c r="A2045" s="3"/>
    </row>
    <row r="2046" spans="1:1" x14ac:dyDescent="0.45">
      <c r="A2046" s="3"/>
    </row>
    <row r="2047" spans="1:1" x14ac:dyDescent="0.45">
      <c r="A2047" s="3"/>
    </row>
    <row r="2048" spans="1:1" x14ac:dyDescent="0.45">
      <c r="A2048" s="3"/>
    </row>
    <row r="2049" spans="1:1" x14ac:dyDescent="0.45">
      <c r="A2049" s="3"/>
    </row>
    <row r="2050" spans="1:1" x14ac:dyDescent="0.45">
      <c r="A2050" s="3"/>
    </row>
    <row r="2051" spans="1:1" x14ac:dyDescent="0.45">
      <c r="A2051" s="3"/>
    </row>
    <row r="2052" spans="1:1" x14ac:dyDescent="0.45">
      <c r="A2052" s="3"/>
    </row>
    <row r="2053" spans="1:1" x14ac:dyDescent="0.45">
      <c r="A2053" s="3"/>
    </row>
    <row r="2054" spans="1:1" x14ac:dyDescent="0.45">
      <c r="A2054" s="3"/>
    </row>
    <row r="2055" spans="1:1" x14ac:dyDescent="0.45">
      <c r="A2055" s="3"/>
    </row>
    <row r="2056" spans="1:1" x14ac:dyDescent="0.45">
      <c r="A2056" s="3"/>
    </row>
    <row r="2057" spans="1:1" x14ac:dyDescent="0.45">
      <c r="A2057" s="3"/>
    </row>
    <row r="2058" spans="1:1" x14ac:dyDescent="0.45">
      <c r="A2058" s="3"/>
    </row>
    <row r="2059" spans="1:1" x14ac:dyDescent="0.45">
      <c r="A2059" s="3"/>
    </row>
    <row r="2060" spans="1:1" x14ac:dyDescent="0.45">
      <c r="A2060" s="3"/>
    </row>
    <row r="2061" spans="1:1" x14ac:dyDescent="0.45">
      <c r="A2061" s="3"/>
    </row>
    <row r="2062" spans="1:1" x14ac:dyDescent="0.45">
      <c r="A2062" s="3"/>
    </row>
    <row r="2063" spans="1:1" x14ac:dyDescent="0.45">
      <c r="A2063" s="3"/>
    </row>
    <row r="2064" spans="1:1" x14ac:dyDescent="0.45">
      <c r="A2064" s="3"/>
    </row>
    <row r="2065" spans="1:1" x14ac:dyDescent="0.45">
      <c r="A2065" s="3"/>
    </row>
    <row r="2066" spans="1:1" x14ac:dyDescent="0.45">
      <c r="A2066" s="3"/>
    </row>
    <row r="2067" spans="1:1" x14ac:dyDescent="0.45">
      <c r="A2067" s="3"/>
    </row>
    <row r="2068" spans="1:1" x14ac:dyDescent="0.45">
      <c r="A2068" s="3"/>
    </row>
    <row r="2069" spans="1:1" x14ac:dyDescent="0.45">
      <c r="A2069" s="3"/>
    </row>
    <row r="2070" spans="1:1" x14ac:dyDescent="0.45">
      <c r="A2070" s="3"/>
    </row>
    <row r="2071" spans="1:1" x14ac:dyDescent="0.45">
      <c r="A2071" s="3"/>
    </row>
    <row r="2072" spans="1:1" x14ac:dyDescent="0.45">
      <c r="A2072" s="3"/>
    </row>
    <row r="2073" spans="1:1" x14ac:dyDescent="0.45">
      <c r="A2073" s="3"/>
    </row>
    <row r="2074" spans="1:1" x14ac:dyDescent="0.45">
      <c r="A2074" s="3"/>
    </row>
    <row r="2075" spans="1:1" x14ac:dyDescent="0.45">
      <c r="A2075" s="3"/>
    </row>
    <row r="2076" spans="1:1" x14ac:dyDescent="0.45">
      <c r="A2076" s="3"/>
    </row>
    <row r="2077" spans="1:1" x14ac:dyDescent="0.45">
      <c r="A2077" s="3"/>
    </row>
    <row r="2078" spans="1:1" x14ac:dyDescent="0.45">
      <c r="A2078" s="3"/>
    </row>
    <row r="2079" spans="1:1" x14ac:dyDescent="0.45">
      <c r="A2079" s="3"/>
    </row>
    <row r="2080" spans="1:1" x14ac:dyDescent="0.45">
      <c r="A2080" s="3"/>
    </row>
    <row r="2081" spans="1:1" x14ac:dyDescent="0.45">
      <c r="A2081" s="3"/>
    </row>
    <row r="2082" spans="1:1" x14ac:dyDescent="0.45">
      <c r="A2082" s="3"/>
    </row>
    <row r="2083" spans="1:1" x14ac:dyDescent="0.45">
      <c r="A2083" s="3"/>
    </row>
    <row r="2084" spans="1:1" x14ac:dyDescent="0.45">
      <c r="A2084" s="3"/>
    </row>
    <row r="2085" spans="1:1" x14ac:dyDescent="0.45">
      <c r="A2085" s="3"/>
    </row>
    <row r="2086" spans="1:1" x14ac:dyDescent="0.45">
      <c r="A2086" s="3"/>
    </row>
    <row r="2087" spans="1:1" x14ac:dyDescent="0.45">
      <c r="A2087" s="3"/>
    </row>
    <row r="2088" spans="1:1" x14ac:dyDescent="0.45">
      <c r="A2088" s="3"/>
    </row>
    <row r="2089" spans="1:1" x14ac:dyDescent="0.45">
      <c r="A2089" s="3"/>
    </row>
    <row r="2090" spans="1:1" x14ac:dyDescent="0.45">
      <c r="A2090" s="3"/>
    </row>
    <row r="2091" spans="1:1" x14ac:dyDescent="0.45">
      <c r="A2091" s="3"/>
    </row>
    <row r="2092" spans="1:1" x14ac:dyDescent="0.45">
      <c r="A2092" s="3"/>
    </row>
    <row r="2093" spans="1:1" x14ac:dyDescent="0.45">
      <c r="A2093" s="3"/>
    </row>
    <row r="2094" spans="1:1" x14ac:dyDescent="0.45">
      <c r="A2094" s="3"/>
    </row>
    <row r="2095" spans="1:1" x14ac:dyDescent="0.45">
      <c r="A2095" s="3"/>
    </row>
    <row r="2096" spans="1:1" x14ac:dyDescent="0.45">
      <c r="A2096" s="3"/>
    </row>
    <row r="2097" spans="1:1" x14ac:dyDescent="0.45">
      <c r="A2097" s="3"/>
    </row>
    <row r="2098" spans="1:1" x14ac:dyDescent="0.45">
      <c r="A2098" s="3"/>
    </row>
    <row r="2099" spans="1:1" x14ac:dyDescent="0.45">
      <c r="A2099" s="3"/>
    </row>
    <row r="2100" spans="1:1" x14ac:dyDescent="0.45">
      <c r="A2100" s="3"/>
    </row>
    <row r="2101" spans="1:1" x14ac:dyDescent="0.45">
      <c r="A2101" s="3"/>
    </row>
    <row r="2102" spans="1:1" x14ac:dyDescent="0.45">
      <c r="A2102" s="3"/>
    </row>
    <row r="2103" spans="1:1" x14ac:dyDescent="0.45">
      <c r="A2103" s="3"/>
    </row>
    <row r="2104" spans="1:1" x14ac:dyDescent="0.45">
      <c r="A2104" s="3"/>
    </row>
    <row r="2105" spans="1:1" x14ac:dyDescent="0.45">
      <c r="A2105" s="3"/>
    </row>
    <row r="2106" spans="1:1" x14ac:dyDescent="0.45">
      <c r="A2106" s="3"/>
    </row>
    <row r="2107" spans="1:1" x14ac:dyDescent="0.45">
      <c r="A2107" s="3"/>
    </row>
    <row r="2108" spans="1:1" x14ac:dyDescent="0.45">
      <c r="A2108" s="3"/>
    </row>
    <row r="2109" spans="1:1" x14ac:dyDescent="0.45">
      <c r="A2109" s="3"/>
    </row>
    <row r="2110" spans="1:1" x14ac:dyDescent="0.45">
      <c r="A2110" s="3"/>
    </row>
    <row r="2111" spans="1:1" x14ac:dyDescent="0.45">
      <c r="A2111" s="3"/>
    </row>
    <row r="2112" spans="1:1" x14ac:dyDescent="0.45">
      <c r="A2112" s="3"/>
    </row>
    <row r="2113" spans="1:1" x14ac:dyDescent="0.45">
      <c r="A2113" s="3"/>
    </row>
    <row r="2114" spans="1:1" x14ac:dyDescent="0.45">
      <c r="A2114" s="3"/>
    </row>
    <row r="2115" spans="1:1" x14ac:dyDescent="0.45">
      <c r="A2115" s="3"/>
    </row>
    <row r="2116" spans="1:1" x14ac:dyDescent="0.45">
      <c r="A2116" s="3"/>
    </row>
    <row r="2117" spans="1:1" x14ac:dyDescent="0.45">
      <c r="A2117" s="3"/>
    </row>
    <row r="2118" spans="1:1" x14ac:dyDescent="0.45">
      <c r="A2118" s="3"/>
    </row>
    <row r="2119" spans="1:1" x14ac:dyDescent="0.45">
      <c r="A2119" s="3"/>
    </row>
    <row r="2120" spans="1:1" x14ac:dyDescent="0.45">
      <c r="A2120" s="3"/>
    </row>
    <row r="2121" spans="1:1" x14ac:dyDescent="0.45">
      <c r="A2121" s="3"/>
    </row>
    <row r="2122" spans="1:1" x14ac:dyDescent="0.45">
      <c r="A2122" s="3"/>
    </row>
    <row r="2123" spans="1:1" x14ac:dyDescent="0.45">
      <c r="A2123" s="3"/>
    </row>
    <row r="2124" spans="1:1" x14ac:dyDescent="0.45">
      <c r="A2124" s="3"/>
    </row>
    <row r="2125" spans="1:1" x14ac:dyDescent="0.45">
      <c r="A2125" s="3"/>
    </row>
    <row r="2126" spans="1:1" x14ac:dyDescent="0.45">
      <c r="A2126" s="3"/>
    </row>
    <row r="2127" spans="1:1" x14ac:dyDescent="0.45">
      <c r="A2127" s="3"/>
    </row>
    <row r="2128" spans="1:1" x14ac:dyDescent="0.45">
      <c r="A2128" s="3"/>
    </row>
    <row r="2129" spans="1:1" x14ac:dyDescent="0.45">
      <c r="A2129" s="3"/>
    </row>
    <row r="2130" spans="1:1" x14ac:dyDescent="0.45">
      <c r="A2130" s="3"/>
    </row>
    <row r="2131" spans="1:1" x14ac:dyDescent="0.45">
      <c r="A2131" s="3"/>
    </row>
    <row r="2132" spans="1:1" x14ac:dyDescent="0.45">
      <c r="A2132" s="3"/>
    </row>
    <row r="2133" spans="1:1" x14ac:dyDescent="0.45">
      <c r="A2133" s="3"/>
    </row>
    <row r="2134" spans="1:1" x14ac:dyDescent="0.45">
      <c r="A2134" s="3"/>
    </row>
    <row r="2135" spans="1:1" x14ac:dyDescent="0.45">
      <c r="A2135" s="3"/>
    </row>
    <row r="2136" spans="1:1" x14ac:dyDescent="0.45">
      <c r="A2136" s="3"/>
    </row>
    <row r="2137" spans="1:1" x14ac:dyDescent="0.45">
      <c r="A2137" s="3"/>
    </row>
    <row r="2138" spans="1:1" x14ac:dyDescent="0.45">
      <c r="A2138" s="3"/>
    </row>
    <row r="2139" spans="1:1" x14ac:dyDescent="0.45">
      <c r="A2139" s="3"/>
    </row>
    <row r="2140" spans="1:1" x14ac:dyDescent="0.45">
      <c r="A2140" s="3"/>
    </row>
    <row r="2141" spans="1:1" x14ac:dyDescent="0.45">
      <c r="A2141" s="3"/>
    </row>
    <row r="2142" spans="1:1" x14ac:dyDescent="0.45">
      <c r="A2142" s="3"/>
    </row>
    <row r="2143" spans="1:1" x14ac:dyDescent="0.45">
      <c r="A2143" s="3"/>
    </row>
    <row r="2144" spans="1:1" x14ac:dyDescent="0.45">
      <c r="A2144" s="3"/>
    </row>
    <row r="2145" spans="1:1" x14ac:dyDescent="0.45">
      <c r="A2145" s="3"/>
    </row>
    <row r="2146" spans="1:1" x14ac:dyDescent="0.45">
      <c r="A2146" s="3"/>
    </row>
    <row r="2147" spans="1:1" x14ac:dyDescent="0.45">
      <c r="A2147" s="3"/>
    </row>
    <row r="2148" spans="1:1" x14ac:dyDescent="0.45">
      <c r="A2148" s="3"/>
    </row>
    <row r="2149" spans="1:1" x14ac:dyDescent="0.45">
      <c r="A2149" s="3"/>
    </row>
    <row r="2150" spans="1:1" x14ac:dyDescent="0.45">
      <c r="A2150" s="3"/>
    </row>
    <row r="2151" spans="1:1" x14ac:dyDescent="0.45">
      <c r="A2151" s="3"/>
    </row>
    <row r="2152" spans="1:1" x14ac:dyDescent="0.45">
      <c r="A2152" s="3"/>
    </row>
    <row r="2153" spans="1:1" x14ac:dyDescent="0.45">
      <c r="A2153" s="3"/>
    </row>
    <row r="2154" spans="1:1" x14ac:dyDescent="0.45">
      <c r="A2154" s="3"/>
    </row>
    <row r="2155" spans="1:1" x14ac:dyDescent="0.45">
      <c r="A2155" s="3"/>
    </row>
    <row r="2156" spans="1:1" x14ac:dyDescent="0.45">
      <c r="A2156" s="3"/>
    </row>
    <row r="2157" spans="1:1" x14ac:dyDescent="0.45">
      <c r="A2157" s="3"/>
    </row>
    <row r="2158" spans="1:1" x14ac:dyDescent="0.45">
      <c r="A2158" s="3"/>
    </row>
    <row r="2159" spans="1:1" x14ac:dyDescent="0.45">
      <c r="A2159" s="3"/>
    </row>
    <row r="2160" spans="1:1" x14ac:dyDescent="0.45">
      <c r="A2160" s="3"/>
    </row>
    <row r="2161" spans="1:1" x14ac:dyDescent="0.45">
      <c r="A2161" s="3"/>
    </row>
    <row r="2162" spans="1:1" x14ac:dyDescent="0.45">
      <c r="A2162" s="3"/>
    </row>
    <row r="2163" spans="1:1" x14ac:dyDescent="0.45">
      <c r="A2163" s="3"/>
    </row>
    <row r="2164" spans="1:1" x14ac:dyDescent="0.45">
      <c r="A2164" s="3"/>
    </row>
    <row r="2165" spans="1:1" x14ac:dyDescent="0.45">
      <c r="A2165" s="3"/>
    </row>
    <row r="2166" spans="1:1" x14ac:dyDescent="0.45">
      <c r="A2166" s="3"/>
    </row>
    <row r="2167" spans="1:1" x14ac:dyDescent="0.45">
      <c r="A2167" s="3"/>
    </row>
    <row r="2168" spans="1:1" x14ac:dyDescent="0.45">
      <c r="A2168" s="3"/>
    </row>
    <row r="2169" spans="1:1" x14ac:dyDescent="0.45">
      <c r="A2169" s="3"/>
    </row>
    <row r="2170" spans="1:1" x14ac:dyDescent="0.45">
      <c r="A2170" s="3"/>
    </row>
    <row r="2171" spans="1:1" x14ac:dyDescent="0.45">
      <c r="A2171" s="3"/>
    </row>
    <row r="2172" spans="1:1" x14ac:dyDescent="0.45">
      <c r="A2172" s="3"/>
    </row>
    <row r="2173" spans="1:1" x14ac:dyDescent="0.45">
      <c r="A2173" s="3"/>
    </row>
    <row r="2174" spans="1:1" x14ac:dyDescent="0.45">
      <c r="A2174" s="3"/>
    </row>
    <row r="2175" spans="1:1" x14ac:dyDescent="0.45">
      <c r="A2175" s="3"/>
    </row>
    <row r="2176" spans="1:1" x14ac:dyDescent="0.45">
      <c r="A2176" s="3"/>
    </row>
    <row r="2177" spans="1:1" x14ac:dyDescent="0.45">
      <c r="A2177" s="3"/>
    </row>
    <row r="2178" spans="1:1" x14ac:dyDescent="0.45">
      <c r="A2178" s="3"/>
    </row>
    <row r="2179" spans="1:1" x14ac:dyDescent="0.45">
      <c r="A2179" s="3"/>
    </row>
    <row r="2180" spans="1:1" x14ac:dyDescent="0.45">
      <c r="A2180" s="3"/>
    </row>
    <row r="2181" spans="1:1" x14ac:dyDescent="0.45">
      <c r="A2181" s="3"/>
    </row>
    <row r="2182" spans="1:1" x14ac:dyDescent="0.45">
      <c r="A2182" s="3"/>
    </row>
    <row r="2183" spans="1:1" x14ac:dyDescent="0.45">
      <c r="A2183" s="3"/>
    </row>
    <row r="2184" spans="1:1" x14ac:dyDescent="0.45">
      <c r="A2184" s="3"/>
    </row>
    <row r="2185" spans="1:1" x14ac:dyDescent="0.45">
      <c r="A2185" s="3"/>
    </row>
    <row r="2186" spans="1:1" x14ac:dyDescent="0.45">
      <c r="A2186" s="3"/>
    </row>
    <row r="2187" spans="1:1" x14ac:dyDescent="0.45">
      <c r="A2187" s="3"/>
    </row>
    <row r="2188" spans="1:1" x14ac:dyDescent="0.45">
      <c r="A2188" s="3"/>
    </row>
    <row r="2189" spans="1:1" x14ac:dyDescent="0.45">
      <c r="A2189" s="3"/>
    </row>
    <row r="2190" spans="1:1" x14ac:dyDescent="0.45">
      <c r="A2190" s="3"/>
    </row>
    <row r="2191" spans="1:1" x14ac:dyDescent="0.45">
      <c r="A2191" s="3"/>
    </row>
    <row r="2192" spans="1:1" x14ac:dyDescent="0.45">
      <c r="A2192" s="3"/>
    </row>
    <row r="2193" spans="1:1" x14ac:dyDescent="0.45">
      <c r="A2193" s="3"/>
    </row>
    <row r="2194" spans="1:1" x14ac:dyDescent="0.45">
      <c r="A2194" s="3"/>
    </row>
    <row r="2195" spans="1:1" x14ac:dyDescent="0.45">
      <c r="A2195" s="3"/>
    </row>
    <row r="2196" spans="1:1" x14ac:dyDescent="0.45">
      <c r="A2196" s="3"/>
    </row>
    <row r="2197" spans="1:1" x14ac:dyDescent="0.45">
      <c r="A2197" s="3"/>
    </row>
    <row r="2198" spans="1:1" x14ac:dyDescent="0.45">
      <c r="A2198" s="3"/>
    </row>
    <row r="2199" spans="1:1" x14ac:dyDescent="0.45">
      <c r="A2199" s="3"/>
    </row>
    <row r="2200" spans="1:1" x14ac:dyDescent="0.45">
      <c r="A2200" s="3"/>
    </row>
    <row r="2201" spans="1:1" x14ac:dyDescent="0.45">
      <c r="A2201" s="3"/>
    </row>
    <row r="2202" spans="1:1" x14ac:dyDescent="0.45">
      <c r="A2202" s="3"/>
    </row>
    <row r="2203" spans="1:1" x14ac:dyDescent="0.45">
      <c r="A2203" s="3"/>
    </row>
    <row r="2204" spans="1:1" x14ac:dyDescent="0.45">
      <c r="A2204" s="3"/>
    </row>
    <row r="2205" spans="1:1" x14ac:dyDescent="0.45">
      <c r="A2205" s="3"/>
    </row>
    <row r="2206" spans="1:1" x14ac:dyDescent="0.45">
      <c r="A2206" s="3"/>
    </row>
    <row r="2207" spans="1:1" x14ac:dyDescent="0.45">
      <c r="A2207" s="3"/>
    </row>
    <row r="2208" spans="1:1" x14ac:dyDescent="0.45">
      <c r="A2208" s="3"/>
    </row>
    <row r="2209" spans="1:1" x14ac:dyDescent="0.45">
      <c r="A2209" s="3"/>
    </row>
    <row r="2210" spans="1:1" x14ac:dyDescent="0.45">
      <c r="A2210" s="3"/>
    </row>
    <row r="2211" spans="1:1" x14ac:dyDescent="0.45">
      <c r="A2211" s="3"/>
    </row>
    <row r="2212" spans="1:1" x14ac:dyDescent="0.45">
      <c r="A2212" s="3"/>
    </row>
    <row r="2213" spans="1:1" x14ac:dyDescent="0.45">
      <c r="A2213" s="3"/>
    </row>
    <row r="2214" spans="1:1" x14ac:dyDescent="0.45">
      <c r="A2214" s="3"/>
    </row>
    <row r="2215" spans="1:1" x14ac:dyDescent="0.45">
      <c r="A2215" s="3"/>
    </row>
    <row r="2216" spans="1:1" x14ac:dyDescent="0.45">
      <c r="A2216" s="3"/>
    </row>
    <row r="2217" spans="1:1" x14ac:dyDescent="0.45">
      <c r="A2217" s="3"/>
    </row>
    <row r="2218" spans="1:1" x14ac:dyDescent="0.45">
      <c r="A2218" s="3"/>
    </row>
    <row r="2219" spans="1:1" x14ac:dyDescent="0.45">
      <c r="A2219" s="3"/>
    </row>
    <row r="2220" spans="1:1" x14ac:dyDescent="0.45">
      <c r="A2220" s="3"/>
    </row>
    <row r="2221" spans="1:1" x14ac:dyDescent="0.45">
      <c r="A2221" s="3"/>
    </row>
    <row r="2222" spans="1:1" x14ac:dyDescent="0.45">
      <c r="A2222" s="3"/>
    </row>
    <row r="2223" spans="1:1" x14ac:dyDescent="0.45">
      <c r="A2223" s="3"/>
    </row>
    <row r="2224" spans="1:1" x14ac:dyDescent="0.45">
      <c r="A2224" s="3"/>
    </row>
    <row r="2225" spans="1:1" x14ac:dyDescent="0.45">
      <c r="A2225" s="3"/>
    </row>
    <row r="2226" spans="1:1" x14ac:dyDescent="0.45">
      <c r="A2226" s="3"/>
    </row>
    <row r="2227" spans="1:1" x14ac:dyDescent="0.45">
      <c r="A2227" s="3"/>
    </row>
    <row r="2228" spans="1:1" x14ac:dyDescent="0.45">
      <c r="A2228" s="3"/>
    </row>
    <row r="2229" spans="1:1" x14ac:dyDescent="0.45">
      <c r="A2229" s="3"/>
    </row>
    <row r="2230" spans="1:1" x14ac:dyDescent="0.45">
      <c r="A2230" s="3"/>
    </row>
    <row r="2231" spans="1:1" x14ac:dyDescent="0.45">
      <c r="A2231" s="3"/>
    </row>
    <row r="2232" spans="1:1" x14ac:dyDescent="0.45">
      <c r="A2232" s="3"/>
    </row>
    <row r="2233" spans="1:1" x14ac:dyDescent="0.45">
      <c r="A2233" s="3"/>
    </row>
    <row r="2234" spans="1:1" x14ac:dyDescent="0.45">
      <c r="A2234" s="3"/>
    </row>
    <row r="2235" spans="1:1" x14ac:dyDescent="0.45">
      <c r="A2235" s="3"/>
    </row>
    <row r="2236" spans="1:1" x14ac:dyDescent="0.45">
      <c r="A2236" s="3"/>
    </row>
    <row r="2237" spans="1:1" x14ac:dyDescent="0.45">
      <c r="A2237" s="3"/>
    </row>
    <row r="2238" spans="1:1" x14ac:dyDescent="0.45">
      <c r="A2238" s="3"/>
    </row>
    <row r="2239" spans="1:1" x14ac:dyDescent="0.45">
      <c r="A2239" s="3"/>
    </row>
    <row r="2240" spans="1:1" x14ac:dyDescent="0.45">
      <c r="A2240" s="3"/>
    </row>
    <row r="2241" spans="1:1" x14ac:dyDescent="0.45">
      <c r="A2241" s="3"/>
    </row>
    <row r="2242" spans="1:1" x14ac:dyDescent="0.45">
      <c r="A2242" s="3"/>
    </row>
    <row r="2243" spans="1:1" x14ac:dyDescent="0.45">
      <c r="A2243" s="3"/>
    </row>
    <row r="2244" spans="1:1" x14ac:dyDescent="0.45">
      <c r="A2244" s="3"/>
    </row>
    <row r="2245" spans="1:1" x14ac:dyDescent="0.45">
      <c r="A2245" s="3"/>
    </row>
    <row r="2246" spans="1:1" x14ac:dyDescent="0.45">
      <c r="A2246" s="3"/>
    </row>
    <row r="2247" spans="1:1" x14ac:dyDescent="0.45">
      <c r="A2247" s="3"/>
    </row>
    <row r="2248" spans="1:1" x14ac:dyDescent="0.45">
      <c r="A2248" s="3"/>
    </row>
    <row r="2249" spans="1:1" x14ac:dyDescent="0.45">
      <c r="A2249" s="3"/>
    </row>
    <row r="2250" spans="1:1" x14ac:dyDescent="0.45">
      <c r="A2250" s="3"/>
    </row>
    <row r="2251" spans="1:1" x14ac:dyDescent="0.45">
      <c r="A2251" s="3"/>
    </row>
    <row r="2252" spans="1:1" x14ac:dyDescent="0.45">
      <c r="A2252" s="3"/>
    </row>
    <row r="2253" spans="1:1" x14ac:dyDescent="0.45">
      <c r="A2253" s="3"/>
    </row>
    <row r="2254" spans="1:1" x14ac:dyDescent="0.45">
      <c r="A2254" s="3"/>
    </row>
    <row r="2255" spans="1:1" x14ac:dyDescent="0.45">
      <c r="A2255" s="3"/>
    </row>
    <row r="2256" spans="1:1" x14ac:dyDescent="0.45">
      <c r="A2256" s="3"/>
    </row>
    <row r="2257" spans="1:1" x14ac:dyDescent="0.45">
      <c r="A2257" s="3"/>
    </row>
    <row r="2258" spans="1:1" x14ac:dyDescent="0.45">
      <c r="A2258" s="3"/>
    </row>
    <row r="2259" spans="1:1" x14ac:dyDescent="0.45">
      <c r="A2259" s="3"/>
    </row>
    <row r="2260" spans="1:1" x14ac:dyDescent="0.45">
      <c r="A2260" s="3"/>
    </row>
    <row r="2261" spans="1:1" x14ac:dyDescent="0.45">
      <c r="A2261" s="3"/>
    </row>
    <row r="2262" spans="1:1" x14ac:dyDescent="0.45">
      <c r="A2262" s="3"/>
    </row>
    <row r="2263" spans="1:1" x14ac:dyDescent="0.45">
      <c r="A2263" s="3"/>
    </row>
    <row r="2264" spans="1:1" x14ac:dyDescent="0.45">
      <c r="A2264" s="3"/>
    </row>
    <row r="2265" spans="1:1" x14ac:dyDescent="0.45">
      <c r="A2265" s="3"/>
    </row>
    <row r="2266" spans="1:1" x14ac:dyDescent="0.45">
      <c r="A2266" s="3"/>
    </row>
    <row r="2267" spans="1:1" x14ac:dyDescent="0.45">
      <c r="A2267" s="3"/>
    </row>
    <row r="2268" spans="1:1" x14ac:dyDescent="0.45">
      <c r="A2268" s="3"/>
    </row>
    <row r="2269" spans="1:1" x14ac:dyDescent="0.45">
      <c r="A2269" s="3"/>
    </row>
    <row r="2270" spans="1:1" x14ac:dyDescent="0.45">
      <c r="A2270" s="3"/>
    </row>
    <row r="2271" spans="1:1" x14ac:dyDescent="0.45">
      <c r="A2271" s="3"/>
    </row>
    <row r="2272" spans="1:1" x14ac:dyDescent="0.45">
      <c r="A2272" s="3"/>
    </row>
    <row r="2273" spans="1:1" x14ac:dyDescent="0.45">
      <c r="A2273" s="3"/>
    </row>
    <row r="2274" spans="1:1" x14ac:dyDescent="0.45">
      <c r="A2274" s="3"/>
    </row>
    <row r="2275" spans="1:1" x14ac:dyDescent="0.45">
      <c r="A2275" s="3"/>
    </row>
    <row r="2276" spans="1:1" x14ac:dyDescent="0.45">
      <c r="A2276" s="3"/>
    </row>
    <row r="2277" spans="1:1" x14ac:dyDescent="0.45">
      <c r="A2277" s="3"/>
    </row>
    <row r="2278" spans="1:1" x14ac:dyDescent="0.45">
      <c r="A2278" s="3"/>
    </row>
    <row r="2279" spans="1:1" x14ac:dyDescent="0.45">
      <c r="A2279" s="3"/>
    </row>
    <row r="2280" spans="1:1" x14ac:dyDescent="0.45">
      <c r="A2280" s="3"/>
    </row>
    <row r="2281" spans="1:1" x14ac:dyDescent="0.45">
      <c r="A2281" s="3"/>
    </row>
    <row r="2282" spans="1:1" x14ac:dyDescent="0.45">
      <c r="A2282" s="3"/>
    </row>
    <row r="2283" spans="1:1" x14ac:dyDescent="0.45">
      <c r="A2283" s="3"/>
    </row>
    <row r="2284" spans="1:1" x14ac:dyDescent="0.45">
      <c r="A2284" s="3"/>
    </row>
    <row r="2285" spans="1:1" x14ac:dyDescent="0.45">
      <c r="A2285" s="3"/>
    </row>
    <row r="2286" spans="1:1" x14ac:dyDescent="0.45">
      <c r="A2286" s="3"/>
    </row>
    <row r="2287" spans="1:1" x14ac:dyDescent="0.45">
      <c r="A2287" s="3"/>
    </row>
    <row r="2288" spans="1:1" x14ac:dyDescent="0.45">
      <c r="A2288" s="3"/>
    </row>
    <row r="2289" spans="1:1" x14ac:dyDescent="0.45">
      <c r="A2289" s="3"/>
    </row>
    <row r="2290" spans="1:1" x14ac:dyDescent="0.45">
      <c r="A2290" s="3"/>
    </row>
    <row r="2291" spans="1:1" x14ac:dyDescent="0.45">
      <c r="A2291" s="3"/>
    </row>
    <row r="2292" spans="1:1" x14ac:dyDescent="0.45">
      <c r="A2292" s="3"/>
    </row>
    <row r="2293" spans="1:1" x14ac:dyDescent="0.45">
      <c r="A2293" s="3"/>
    </row>
    <row r="2294" spans="1:1" x14ac:dyDescent="0.45">
      <c r="A2294" s="3"/>
    </row>
    <row r="2295" spans="1:1" x14ac:dyDescent="0.45">
      <c r="A2295" s="3"/>
    </row>
    <row r="2296" spans="1:1" x14ac:dyDescent="0.45">
      <c r="A2296" s="3"/>
    </row>
    <row r="2297" spans="1:1" x14ac:dyDescent="0.45">
      <c r="A2297" s="3"/>
    </row>
    <row r="2298" spans="1:1" x14ac:dyDescent="0.45">
      <c r="A2298" s="3"/>
    </row>
    <row r="2299" spans="1:1" x14ac:dyDescent="0.45">
      <c r="A2299" s="3"/>
    </row>
    <row r="2300" spans="1:1" x14ac:dyDescent="0.45">
      <c r="A2300" s="3"/>
    </row>
    <row r="2301" spans="1:1" x14ac:dyDescent="0.45">
      <c r="A2301" s="3"/>
    </row>
    <row r="2302" spans="1:1" x14ac:dyDescent="0.45">
      <c r="A2302" s="3"/>
    </row>
    <row r="2303" spans="1:1" x14ac:dyDescent="0.45">
      <c r="A2303" s="3"/>
    </row>
    <row r="2304" spans="1:1" x14ac:dyDescent="0.45">
      <c r="A2304" s="3"/>
    </row>
    <row r="2305" spans="1:1" x14ac:dyDescent="0.45">
      <c r="A2305" s="3"/>
    </row>
    <row r="2306" spans="1:1" x14ac:dyDescent="0.45">
      <c r="A2306" s="3"/>
    </row>
    <row r="2307" spans="1:1" x14ac:dyDescent="0.45">
      <c r="A2307" s="3"/>
    </row>
    <row r="2308" spans="1:1" x14ac:dyDescent="0.45">
      <c r="A2308" s="3"/>
    </row>
    <row r="2309" spans="1:1" x14ac:dyDescent="0.45">
      <c r="A2309" s="3"/>
    </row>
    <row r="2310" spans="1:1" x14ac:dyDescent="0.45">
      <c r="A2310" s="3"/>
    </row>
    <row r="2311" spans="1:1" x14ac:dyDescent="0.45">
      <c r="A2311" s="3"/>
    </row>
    <row r="2312" spans="1:1" x14ac:dyDescent="0.45">
      <c r="A2312" s="3"/>
    </row>
    <row r="2313" spans="1:1" x14ac:dyDescent="0.45">
      <c r="A2313" s="3"/>
    </row>
    <row r="2314" spans="1:1" x14ac:dyDescent="0.45">
      <c r="A2314" s="3"/>
    </row>
    <row r="2315" spans="1:1" x14ac:dyDescent="0.45">
      <c r="A2315" s="3"/>
    </row>
    <row r="2316" spans="1:1" x14ac:dyDescent="0.45">
      <c r="A2316" s="3"/>
    </row>
    <row r="2317" spans="1:1" x14ac:dyDescent="0.45">
      <c r="A2317" s="3"/>
    </row>
    <row r="2318" spans="1:1" x14ac:dyDescent="0.45">
      <c r="A2318" s="3"/>
    </row>
    <row r="2319" spans="1:1" x14ac:dyDescent="0.45">
      <c r="A2319" s="3"/>
    </row>
    <row r="2320" spans="1:1" x14ac:dyDescent="0.45">
      <c r="A2320" s="3"/>
    </row>
    <row r="2321" spans="1:1" x14ac:dyDescent="0.45">
      <c r="A2321" s="3"/>
    </row>
    <row r="2322" spans="1:1" x14ac:dyDescent="0.45">
      <c r="A2322" s="3"/>
    </row>
    <row r="2323" spans="1:1" x14ac:dyDescent="0.45">
      <c r="A2323" s="3"/>
    </row>
    <row r="2324" spans="1:1" x14ac:dyDescent="0.45">
      <c r="A2324" s="3"/>
    </row>
    <row r="2325" spans="1:1" x14ac:dyDescent="0.45">
      <c r="A2325" s="3"/>
    </row>
    <row r="2326" spans="1:1" x14ac:dyDescent="0.45">
      <c r="A2326" s="3"/>
    </row>
    <row r="2327" spans="1:1" x14ac:dyDescent="0.45">
      <c r="A2327" s="3"/>
    </row>
    <row r="2328" spans="1:1" x14ac:dyDescent="0.45">
      <c r="A2328" s="3"/>
    </row>
    <row r="2329" spans="1:1" x14ac:dyDescent="0.45">
      <c r="A2329" s="3"/>
    </row>
    <row r="2330" spans="1:1" x14ac:dyDescent="0.45">
      <c r="A2330" s="3"/>
    </row>
    <row r="2331" spans="1:1" x14ac:dyDescent="0.45">
      <c r="A2331" s="3"/>
    </row>
    <row r="2332" spans="1:1" x14ac:dyDescent="0.45">
      <c r="A2332" s="3"/>
    </row>
    <row r="2333" spans="1:1" x14ac:dyDescent="0.45">
      <c r="A2333" s="3"/>
    </row>
    <row r="2334" spans="1:1" x14ac:dyDescent="0.45">
      <c r="A2334" s="3"/>
    </row>
    <row r="2335" spans="1:1" x14ac:dyDescent="0.45">
      <c r="A2335" s="3"/>
    </row>
    <row r="2336" spans="1:1" x14ac:dyDescent="0.45">
      <c r="A2336" s="3"/>
    </row>
    <row r="2337" spans="1:1" x14ac:dyDescent="0.45">
      <c r="A2337" s="3"/>
    </row>
    <row r="2338" spans="1:1" x14ac:dyDescent="0.45">
      <c r="A2338" s="3"/>
    </row>
    <row r="2339" spans="1:1" x14ac:dyDescent="0.45">
      <c r="A2339" s="3"/>
    </row>
    <row r="2340" spans="1:1" x14ac:dyDescent="0.45">
      <c r="A2340" s="3"/>
    </row>
    <row r="2341" spans="1:1" x14ac:dyDescent="0.45">
      <c r="A2341" s="3"/>
    </row>
    <row r="2342" spans="1:1" x14ac:dyDescent="0.45">
      <c r="A2342" s="3"/>
    </row>
    <row r="2343" spans="1:1" x14ac:dyDescent="0.45">
      <c r="A2343" s="3"/>
    </row>
    <row r="2344" spans="1:1" x14ac:dyDescent="0.45">
      <c r="A2344" s="3"/>
    </row>
    <row r="2345" spans="1:1" x14ac:dyDescent="0.45">
      <c r="A2345" s="3"/>
    </row>
    <row r="2346" spans="1:1" x14ac:dyDescent="0.45">
      <c r="A2346" s="3"/>
    </row>
    <row r="2347" spans="1:1" x14ac:dyDescent="0.45">
      <c r="A2347" s="3"/>
    </row>
    <row r="2348" spans="1:1" x14ac:dyDescent="0.45">
      <c r="A2348" s="3"/>
    </row>
    <row r="2349" spans="1:1" x14ac:dyDescent="0.45">
      <c r="A2349" s="3"/>
    </row>
    <row r="2350" spans="1:1" x14ac:dyDescent="0.45">
      <c r="A2350" s="3"/>
    </row>
    <row r="2351" spans="1:1" x14ac:dyDescent="0.45">
      <c r="A2351" s="3"/>
    </row>
    <row r="2352" spans="1:1" x14ac:dyDescent="0.45">
      <c r="A2352" s="3"/>
    </row>
    <row r="2353" spans="1:1" x14ac:dyDescent="0.45">
      <c r="A2353" s="3"/>
    </row>
    <row r="2354" spans="1:1" x14ac:dyDescent="0.45">
      <c r="A2354" s="3"/>
    </row>
    <row r="2355" spans="1:1" x14ac:dyDescent="0.45">
      <c r="A2355" s="3"/>
    </row>
    <row r="2356" spans="1:1" x14ac:dyDescent="0.45">
      <c r="A2356" s="3"/>
    </row>
    <row r="2357" spans="1:1" x14ac:dyDescent="0.45">
      <c r="A2357" s="3"/>
    </row>
    <row r="2358" spans="1:1" x14ac:dyDescent="0.45">
      <c r="A2358" s="3"/>
    </row>
    <row r="2359" spans="1:1" x14ac:dyDescent="0.45">
      <c r="A2359" s="3"/>
    </row>
    <row r="2360" spans="1:1" x14ac:dyDescent="0.45">
      <c r="A2360" s="3"/>
    </row>
    <row r="2361" spans="1:1" x14ac:dyDescent="0.45">
      <c r="A2361" s="3"/>
    </row>
    <row r="2362" spans="1:1" x14ac:dyDescent="0.45">
      <c r="A2362" s="3"/>
    </row>
    <row r="2363" spans="1:1" x14ac:dyDescent="0.45">
      <c r="A2363" s="3"/>
    </row>
    <row r="2364" spans="1:1" x14ac:dyDescent="0.45">
      <c r="A2364" s="3"/>
    </row>
    <row r="2365" spans="1:1" x14ac:dyDescent="0.45">
      <c r="A2365" s="3"/>
    </row>
    <row r="2366" spans="1:1" x14ac:dyDescent="0.45">
      <c r="A2366" s="3"/>
    </row>
    <row r="2367" spans="1:1" x14ac:dyDescent="0.45">
      <c r="A2367" s="3"/>
    </row>
    <row r="2368" spans="1:1" x14ac:dyDescent="0.45">
      <c r="A2368" s="3"/>
    </row>
    <row r="2369" spans="1:1" x14ac:dyDescent="0.45">
      <c r="A2369" s="3"/>
    </row>
    <row r="2370" spans="1:1" x14ac:dyDescent="0.45">
      <c r="A2370" s="3"/>
    </row>
    <row r="2371" spans="1:1" x14ac:dyDescent="0.45">
      <c r="A2371" s="3"/>
    </row>
    <row r="2372" spans="1:1" x14ac:dyDescent="0.45">
      <c r="A2372" s="3"/>
    </row>
    <row r="2373" spans="1:1" x14ac:dyDescent="0.45">
      <c r="A2373" s="3"/>
    </row>
    <row r="2374" spans="1:1" x14ac:dyDescent="0.45">
      <c r="A2374" s="3"/>
    </row>
    <row r="2375" spans="1:1" x14ac:dyDescent="0.45">
      <c r="A2375" s="3"/>
    </row>
    <row r="2376" spans="1:1" x14ac:dyDescent="0.45">
      <c r="A2376" s="3"/>
    </row>
    <row r="2377" spans="1:1" x14ac:dyDescent="0.45">
      <c r="A2377" s="3"/>
    </row>
    <row r="2378" spans="1:1" x14ac:dyDescent="0.45">
      <c r="A2378" s="3"/>
    </row>
    <row r="2379" spans="1:1" x14ac:dyDescent="0.45">
      <c r="A2379" s="3"/>
    </row>
    <row r="2380" spans="1:1" x14ac:dyDescent="0.45">
      <c r="A2380" s="3"/>
    </row>
    <row r="2381" spans="1:1" x14ac:dyDescent="0.45">
      <c r="A2381" s="3"/>
    </row>
    <row r="2382" spans="1:1" x14ac:dyDescent="0.45">
      <c r="A2382" s="3"/>
    </row>
    <row r="2383" spans="1:1" x14ac:dyDescent="0.45">
      <c r="A2383" s="3"/>
    </row>
    <row r="2384" spans="1:1" x14ac:dyDescent="0.45">
      <c r="A2384" s="3"/>
    </row>
    <row r="2385" spans="1:1" x14ac:dyDescent="0.45">
      <c r="A2385" s="3"/>
    </row>
    <row r="2386" spans="1:1" x14ac:dyDescent="0.45">
      <c r="A2386" s="3"/>
    </row>
    <row r="2387" spans="1:1" x14ac:dyDescent="0.45">
      <c r="A2387" s="3"/>
    </row>
    <row r="2388" spans="1:1" x14ac:dyDescent="0.45">
      <c r="A2388" s="3"/>
    </row>
    <row r="2389" spans="1:1" x14ac:dyDescent="0.45">
      <c r="A2389" s="3"/>
    </row>
    <row r="2390" spans="1:1" x14ac:dyDescent="0.45">
      <c r="A2390" s="3"/>
    </row>
    <row r="2391" spans="1:1" x14ac:dyDescent="0.45">
      <c r="A2391" s="3"/>
    </row>
    <row r="2392" spans="1:1" x14ac:dyDescent="0.45">
      <c r="A2392" s="3"/>
    </row>
    <row r="2393" spans="1:1" x14ac:dyDescent="0.45">
      <c r="A2393" s="3"/>
    </row>
    <row r="2394" spans="1:1" x14ac:dyDescent="0.45">
      <c r="A2394" s="3"/>
    </row>
    <row r="2395" spans="1:1" x14ac:dyDescent="0.45">
      <c r="A2395" s="3"/>
    </row>
    <row r="2396" spans="1:1" x14ac:dyDescent="0.45">
      <c r="A2396" s="3"/>
    </row>
    <row r="2397" spans="1:1" x14ac:dyDescent="0.45">
      <c r="A2397" s="3"/>
    </row>
    <row r="2398" spans="1:1" x14ac:dyDescent="0.45">
      <c r="A2398" s="3"/>
    </row>
    <row r="2399" spans="1:1" x14ac:dyDescent="0.45">
      <c r="A2399" s="3"/>
    </row>
    <row r="2400" spans="1:1" x14ac:dyDescent="0.45">
      <c r="A2400" s="3"/>
    </row>
    <row r="2401" spans="1:1" x14ac:dyDescent="0.45">
      <c r="A2401" s="3"/>
    </row>
    <row r="2402" spans="1:1" x14ac:dyDescent="0.45">
      <c r="A2402" s="3"/>
    </row>
    <row r="2403" spans="1:1" x14ac:dyDescent="0.45">
      <c r="A2403" s="3"/>
    </row>
    <row r="2404" spans="1:1" x14ac:dyDescent="0.45">
      <c r="A2404" s="3"/>
    </row>
    <row r="2405" spans="1:1" x14ac:dyDescent="0.45">
      <c r="A2405" s="3"/>
    </row>
    <row r="2406" spans="1:1" x14ac:dyDescent="0.45">
      <c r="A2406" s="3"/>
    </row>
    <row r="2407" spans="1:1" x14ac:dyDescent="0.45">
      <c r="A2407" s="3"/>
    </row>
    <row r="2408" spans="1:1" x14ac:dyDescent="0.45">
      <c r="A2408" s="3"/>
    </row>
    <row r="2409" spans="1:1" x14ac:dyDescent="0.45">
      <c r="A2409" s="3"/>
    </row>
    <row r="2410" spans="1:1" x14ac:dyDescent="0.45">
      <c r="A2410" s="3"/>
    </row>
    <row r="2411" spans="1:1" x14ac:dyDescent="0.45">
      <c r="A2411" s="3"/>
    </row>
    <row r="2412" spans="1:1" x14ac:dyDescent="0.45">
      <c r="A2412" s="3"/>
    </row>
    <row r="2413" spans="1:1" x14ac:dyDescent="0.45">
      <c r="A2413" s="3"/>
    </row>
    <row r="2414" spans="1:1" x14ac:dyDescent="0.45">
      <c r="A2414" s="3"/>
    </row>
    <row r="2415" spans="1:1" x14ac:dyDescent="0.45">
      <c r="A2415" s="3"/>
    </row>
    <row r="2416" spans="1:1" x14ac:dyDescent="0.45">
      <c r="A2416" s="3"/>
    </row>
    <row r="2417" spans="1:1" x14ac:dyDescent="0.45">
      <c r="A2417" s="3"/>
    </row>
    <row r="2418" spans="1:1" x14ac:dyDescent="0.45">
      <c r="A2418" s="3"/>
    </row>
    <row r="2419" spans="1:1" x14ac:dyDescent="0.45">
      <c r="A2419" s="3"/>
    </row>
    <row r="2420" spans="1:1" x14ac:dyDescent="0.45">
      <c r="A2420" s="3"/>
    </row>
    <row r="2421" spans="1:1" x14ac:dyDescent="0.45">
      <c r="A2421" s="3"/>
    </row>
    <row r="2422" spans="1:1" x14ac:dyDescent="0.45">
      <c r="A2422" s="3"/>
    </row>
    <row r="2423" spans="1:1" x14ac:dyDescent="0.45">
      <c r="A2423" s="3"/>
    </row>
    <row r="2424" spans="1:1" x14ac:dyDescent="0.45">
      <c r="A2424" s="3"/>
    </row>
    <row r="2425" spans="1:1" x14ac:dyDescent="0.45">
      <c r="A2425" s="3"/>
    </row>
    <row r="2426" spans="1:1" x14ac:dyDescent="0.45">
      <c r="A2426" s="3"/>
    </row>
    <row r="2427" spans="1:1" x14ac:dyDescent="0.45">
      <c r="A2427" s="3"/>
    </row>
    <row r="2428" spans="1:1" x14ac:dyDescent="0.45">
      <c r="A2428" s="3"/>
    </row>
    <row r="2429" spans="1:1" x14ac:dyDescent="0.45">
      <c r="A2429" s="3"/>
    </row>
    <row r="2430" spans="1:1" x14ac:dyDescent="0.45">
      <c r="A2430" s="3"/>
    </row>
    <row r="2431" spans="1:1" x14ac:dyDescent="0.45">
      <c r="A2431" s="3"/>
    </row>
    <row r="2432" spans="1:1" x14ac:dyDescent="0.45">
      <c r="A2432" s="3"/>
    </row>
    <row r="2433" spans="1:1" x14ac:dyDescent="0.45">
      <c r="A2433" s="3"/>
    </row>
    <row r="2434" spans="1:1" x14ac:dyDescent="0.45">
      <c r="A2434" s="3"/>
    </row>
    <row r="2435" spans="1:1" x14ac:dyDescent="0.45">
      <c r="A2435" s="3"/>
    </row>
    <row r="2436" spans="1:1" x14ac:dyDescent="0.45">
      <c r="A2436" s="3"/>
    </row>
    <row r="2437" spans="1:1" x14ac:dyDescent="0.45">
      <c r="A2437" s="3"/>
    </row>
    <row r="2438" spans="1:1" x14ac:dyDescent="0.45">
      <c r="A2438" s="3"/>
    </row>
    <row r="2439" spans="1:1" x14ac:dyDescent="0.45">
      <c r="A2439" s="3"/>
    </row>
    <row r="2440" spans="1:1" x14ac:dyDescent="0.45">
      <c r="A2440" s="3"/>
    </row>
    <row r="2441" spans="1:1" x14ac:dyDescent="0.45">
      <c r="A2441" s="3"/>
    </row>
    <row r="2442" spans="1:1" x14ac:dyDescent="0.45">
      <c r="A2442" s="3"/>
    </row>
    <row r="2443" spans="1:1" x14ac:dyDescent="0.45">
      <c r="A2443" s="3"/>
    </row>
    <row r="2444" spans="1:1" x14ac:dyDescent="0.45">
      <c r="A2444" s="3"/>
    </row>
    <row r="2445" spans="1:1" x14ac:dyDescent="0.45">
      <c r="A2445" s="3"/>
    </row>
    <row r="2446" spans="1:1" x14ac:dyDescent="0.45">
      <c r="A2446" s="3"/>
    </row>
    <row r="2447" spans="1:1" x14ac:dyDescent="0.45">
      <c r="A2447" s="3"/>
    </row>
    <row r="2448" spans="1:1" x14ac:dyDescent="0.45">
      <c r="A2448" s="3"/>
    </row>
    <row r="2449" spans="1:1" x14ac:dyDescent="0.45">
      <c r="A2449" s="3"/>
    </row>
    <row r="2450" spans="1:1" x14ac:dyDescent="0.45">
      <c r="A2450" s="3"/>
    </row>
    <row r="2451" spans="1:1" x14ac:dyDescent="0.45">
      <c r="A2451" s="3"/>
    </row>
    <row r="2452" spans="1:1" x14ac:dyDescent="0.45">
      <c r="A2452" s="3"/>
    </row>
    <row r="2453" spans="1:1" x14ac:dyDescent="0.45">
      <c r="A2453" s="3"/>
    </row>
    <row r="2454" spans="1:1" x14ac:dyDescent="0.45">
      <c r="A2454" s="3"/>
    </row>
    <row r="2455" spans="1:1" x14ac:dyDescent="0.45">
      <c r="A2455" s="3"/>
    </row>
    <row r="2456" spans="1:1" x14ac:dyDescent="0.45">
      <c r="A2456" s="3"/>
    </row>
    <row r="2457" spans="1:1" x14ac:dyDescent="0.45">
      <c r="A2457" s="3"/>
    </row>
    <row r="2458" spans="1:1" x14ac:dyDescent="0.45">
      <c r="A2458" s="3"/>
    </row>
    <row r="2459" spans="1:1" x14ac:dyDescent="0.45">
      <c r="A2459" s="3"/>
    </row>
    <row r="2460" spans="1:1" x14ac:dyDescent="0.45">
      <c r="A2460" s="3"/>
    </row>
    <row r="2461" spans="1:1" x14ac:dyDescent="0.45">
      <c r="A2461" s="3"/>
    </row>
    <row r="2462" spans="1:1" x14ac:dyDescent="0.45">
      <c r="A2462" s="3"/>
    </row>
    <row r="2463" spans="1:1" x14ac:dyDescent="0.45">
      <c r="A2463" s="3"/>
    </row>
    <row r="2464" spans="1:1" x14ac:dyDescent="0.45">
      <c r="A2464" s="3"/>
    </row>
    <row r="2465" spans="1:1" x14ac:dyDescent="0.45">
      <c r="A2465" s="3"/>
    </row>
    <row r="2466" spans="1:1" x14ac:dyDescent="0.45">
      <c r="A2466" s="3"/>
    </row>
    <row r="2467" spans="1:1" x14ac:dyDescent="0.45">
      <c r="A2467" s="3"/>
    </row>
    <row r="2468" spans="1:1" x14ac:dyDescent="0.45">
      <c r="A2468" s="3"/>
    </row>
    <row r="2469" spans="1:1" x14ac:dyDescent="0.45">
      <c r="A2469" s="3"/>
    </row>
    <row r="2470" spans="1:1" x14ac:dyDescent="0.45">
      <c r="A2470" s="3"/>
    </row>
    <row r="2471" spans="1:1" x14ac:dyDescent="0.45">
      <c r="A2471" s="3"/>
    </row>
    <row r="2472" spans="1:1" x14ac:dyDescent="0.45">
      <c r="A2472" s="3"/>
    </row>
    <row r="2473" spans="1:1" x14ac:dyDescent="0.45">
      <c r="A2473" s="3"/>
    </row>
    <row r="2474" spans="1:1" x14ac:dyDescent="0.45">
      <c r="A2474" s="3"/>
    </row>
    <row r="2475" spans="1:1" x14ac:dyDescent="0.45">
      <c r="A2475" s="3"/>
    </row>
    <row r="2476" spans="1:1" x14ac:dyDescent="0.45">
      <c r="A2476" s="3"/>
    </row>
    <row r="2477" spans="1:1" x14ac:dyDescent="0.45">
      <c r="A2477" s="3"/>
    </row>
    <row r="2478" spans="1:1" x14ac:dyDescent="0.45">
      <c r="A2478" s="3"/>
    </row>
    <row r="2479" spans="1:1" x14ac:dyDescent="0.45">
      <c r="A2479" s="3"/>
    </row>
    <row r="2480" spans="1:1" x14ac:dyDescent="0.45">
      <c r="A2480" s="3"/>
    </row>
    <row r="2481" spans="1:1" x14ac:dyDescent="0.45">
      <c r="A2481" s="3"/>
    </row>
    <row r="2482" spans="1:1" x14ac:dyDescent="0.45">
      <c r="A2482" s="3"/>
    </row>
    <row r="2483" spans="1:1" x14ac:dyDescent="0.45">
      <c r="A2483" s="3"/>
    </row>
    <row r="2484" spans="1:1" x14ac:dyDescent="0.45">
      <c r="A2484" s="3"/>
    </row>
    <row r="2485" spans="1:1" x14ac:dyDescent="0.45">
      <c r="A2485" s="3"/>
    </row>
    <row r="2486" spans="1:1" x14ac:dyDescent="0.45">
      <c r="A2486" s="3"/>
    </row>
    <row r="2487" spans="1:1" x14ac:dyDescent="0.45">
      <c r="A2487" s="3"/>
    </row>
    <row r="2488" spans="1:1" x14ac:dyDescent="0.45">
      <c r="A2488" s="3"/>
    </row>
    <row r="2489" spans="1:1" x14ac:dyDescent="0.45">
      <c r="A2489" s="3"/>
    </row>
    <row r="2490" spans="1:1" x14ac:dyDescent="0.45">
      <c r="A2490" s="3"/>
    </row>
    <row r="2491" spans="1:1" x14ac:dyDescent="0.45">
      <c r="A2491" s="3"/>
    </row>
    <row r="2492" spans="1:1" x14ac:dyDescent="0.45">
      <c r="A2492" s="3"/>
    </row>
    <row r="2493" spans="1:1" x14ac:dyDescent="0.45">
      <c r="A2493" s="3"/>
    </row>
    <row r="2494" spans="1:1" x14ac:dyDescent="0.45">
      <c r="A2494" s="3"/>
    </row>
    <row r="2495" spans="1:1" x14ac:dyDescent="0.45">
      <c r="A2495" s="3"/>
    </row>
    <row r="2496" spans="1:1" x14ac:dyDescent="0.45">
      <c r="A2496" s="3"/>
    </row>
    <row r="2497" spans="1:1" x14ac:dyDescent="0.45">
      <c r="A2497" s="3"/>
    </row>
    <row r="2498" spans="1:1" x14ac:dyDescent="0.45">
      <c r="A2498" s="3"/>
    </row>
    <row r="2499" spans="1:1" x14ac:dyDescent="0.45">
      <c r="A2499" s="3"/>
    </row>
    <row r="2500" spans="1:1" x14ac:dyDescent="0.45">
      <c r="A2500" s="3"/>
    </row>
    <row r="2501" spans="1:1" x14ac:dyDescent="0.45">
      <c r="A2501" s="3"/>
    </row>
    <row r="2502" spans="1:1" x14ac:dyDescent="0.45">
      <c r="A2502" s="3"/>
    </row>
    <row r="2503" spans="1:1" x14ac:dyDescent="0.45">
      <c r="A2503" s="3"/>
    </row>
    <row r="2504" spans="1:1" x14ac:dyDescent="0.45">
      <c r="A2504" s="3"/>
    </row>
    <row r="2505" spans="1:1" x14ac:dyDescent="0.45">
      <c r="A2505" s="3"/>
    </row>
    <row r="2506" spans="1:1" x14ac:dyDescent="0.45">
      <c r="A2506" s="3"/>
    </row>
    <row r="2507" spans="1:1" x14ac:dyDescent="0.45">
      <c r="A2507" s="3"/>
    </row>
    <row r="2508" spans="1:1" x14ac:dyDescent="0.45">
      <c r="A2508" s="3"/>
    </row>
    <row r="2509" spans="1:1" x14ac:dyDescent="0.45">
      <c r="A2509" s="3"/>
    </row>
    <row r="2510" spans="1:1" x14ac:dyDescent="0.45">
      <c r="A2510" s="3"/>
    </row>
    <row r="2511" spans="1:1" x14ac:dyDescent="0.45">
      <c r="A2511" s="3"/>
    </row>
    <row r="2512" spans="1:1" x14ac:dyDescent="0.45">
      <c r="A2512" s="3"/>
    </row>
    <row r="2513" spans="1:1" x14ac:dyDescent="0.45">
      <c r="A2513" s="3"/>
    </row>
    <row r="2514" spans="1:1" x14ac:dyDescent="0.45">
      <c r="A2514" s="3"/>
    </row>
    <row r="2515" spans="1:1" x14ac:dyDescent="0.45">
      <c r="A2515" s="3"/>
    </row>
    <row r="2516" spans="1:1" x14ac:dyDescent="0.45">
      <c r="A2516" s="3"/>
    </row>
    <row r="2517" spans="1:1" x14ac:dyDescent="0.45">
      <c r="A2517" s="3"/>
    </row>
    <row r="2518" spans="1:1" x14ac:dyDescent="0.45">
      <c r="A2518" s="3"/>
    </row>
    <row r="2519" spans="1:1" x14ac:dyDescent="0.45">
      <c r="A2519" s="3"/>
    </row>
    <row r="2520" spans="1:1" x14ac:dyDescent="0.45">
      <c r="A2520" s="3"/>
    </row>
    <row r="2521" spans="1:1" x14ac:dyDescent="0.45">
      <c r="A2521" s="3"/>
    </row>
    <row r="2522" spans="1:1" x14ac:dyDescent="0.45">
      <c r="A2522" s="3"/>
    </row>
    <row r="2523" spans="1:1" x14ac:dyDescent="0.45">
      <c r="A2523" s="3"/>
    </row>
    <row r="2524" spans="1:1" x14ac:dyDescent="0.45">
      <c r="A2524" s="3"/>
    </row>
    <row r="2525" spans="1:1" x14ac:dyDescent="0.45">
      <c r="A2525" s="3"/>
    </row>
    <row r="2526" spans="1:1" x14ac:dyDescent="0.45">
      <c r="A2526" s="3"/>
    </row>
    <row r="2527" spans="1:1" x14ac:dyDescent="0.45">
      <c r="A2527" s="3"/>
    </row>
    <row r="2528" spans="1:1" x14ac:dyDescent="0.45">
      <c r="A2528" s="3"/>
    </row>
    <row r="2529" spans="1:1" x14ac:dyDescent="0.45">
      <c r="A2529" s="3"/>
    </row>
    <row r="2530" spans="1:1" x14ac:dyDescent="0.45">
      <c r="A2530" s="3"/>
    </row>
    <row r="2531" spans="1:1" x14ac:dyDescent="0.45">
      <c r="A2531" s="3"/>
    </row>
    <row r="2532" spans="1:1" x14ac:dyDescent="0.45">
      <c r="A2532" s="3"/>
    </row>
    <row r="2533" spans="1:1" x14ac:dyDescent="0.45">
      <c r="A2533" s="3"/>
    </row>
    <row r="2534" spans="1:1" x14ac:dyDescent="0.45">
      <c r="A2534" s="3"/>
    </row>
    <row r="2535" spans="1:1" x14ac:dyDescent="0.45">
      <c r="A2535" s="3"/>
    </row>
    <row r="2536" spans="1:1" x14ac:dyDescent="0.45">
      <c r="A2536" s="3"/>
    </row>
    <row r="2537" spans="1:1" x14ac:dyDescent="0.45">
      <c r="A2537" s="3"/>
    </row>
    <row r="2538" spans="1:1" x14ac:dyDescent="0.45">
      <c r="A2538" s="3"/>
    </row>
    <row r="2539" spans="1:1" x14ac:dyDescent="0.45">
      <c r="A2539" s="3"/>
    </row>
    <row r="2540" spans="1:1" x14ac:dyDescent="0.45">
      <c r="A2540" s="3"/>
    </row>
    <row r="2541" spans="1:1" x14ac:dyDescent="0.45">
      <c r="A2541" s="3"/>
    </row>
    <row r="2542" spans="1:1" x14ac:dyDescent="0.45">
      <c r="A2542" s="3"/>
    </row>
    <row r="2543" spans="1:1" x14ac:dyDescent="0.45">
      <c r="A2543" s="3"/>
    </row>
    <row r="2544" spans="1:1" x14ac:dyDescent="0.45">
      <c r="A2544" s="3"/>
    </row>
    <row r="2545" spans="1:1" x14ac:dyDescent="0.45">
      <c r="A2545" s="3"/>
    </row>
    <row r="2546" spans="1:1" x14ac:dyDescent="0.45">
      <c r="A2546" s="3"/>
    </row>
    <row r="2547" spans="1:1" x14ac:dyDescent="0.45">
      <c r="A2547" s="3"/>
    </row>
    <row r="2548" spans="1:1" x14ac:dyDescent="0.45">
      <c r="A2548" s="3"/>
    </row>
    <row r="2549" spans="1:1" x14ac:dyDescent="0.45">
      <c r="A2549" s="3"/>
    </row>
    <row r="2550" spans="1:1" x14ac:dyDescent="0.45">
      <c r="A2550" s="3"/>
    </row>
    <row r="2551" spans="1:1" x14ac:dyDescent="0.45">
      <c r="A2551" s="3"/>
    </row>
    <row r="2552" spans="1:1" x14ac:dyDescent="0.45">
      <c r="A2552" s="3"/>
    </row>
    <row r="2553" spans="1:1" x14ac:dyDescent="0.45">
      <c r="A2553" s="3"/>
    </row>
    <row r="2554" spans="1:1" x14ac:dyDescent="0.45">
      <c r="A2554" s="3"/>
    </row>
    <row r="2555" spans="1:1" x14ac:dyDescent="0.45">
      <c r="A2555" s="3"/>
    </row>
    <row r="2556" spans="1:1" x14ac:dyDescent="0.45">
      <c r="A2556" s="3"/>
    </row>
    <row r="2557" spans="1:1" x14ac:dyDescent="0.45">
      <c r="A2557" s="3"/>
    </row>
    <row r="2558" spans="1:1" x14ac:dyDescent="0.45">
      <c r="A2558" s="3"/>
    </row>
    <row r="2559" spans="1:1" x14ac:dyDescent="0.45">
      <c r="A2559" s="3"/>
    </row>
    <row r="2560" spans="1:1" x14ac:dyDescent="0.45">
      <c r="A2560" s="3"/>
    </row>
    <row r="2561" spans="1:1" x14ac:dyDescent="0.45">
      <c r="A2561" s="3"/>
    </row>
    <row r="2562" spans="1:1" x14ac:dyDescent="0.45">
      <c r="A2562" s="3"/>
    </row>
    <row r="2563" spans="1:1" x14ac:dyDescent="0.45">
      <c r="A2563" s="3"/>
    </row>
    <row r="2564" spans="1:1" x14ac:dyDescent="0.45">
      <c r="A2564" s="3"/>
    </row>
    <row r="2565" spans="1:1" x14ac:dyDescent="0.45">
      <c r="A2565" s="3"/>
    </row>
    <row r="2566" spans="1:1" x14ac:dyDescent="0.45">
      <c r="A2566" s="3"/>
    </row>
    <row r="2567" spans="1:1" x14ac:dyDescent="0.45">
      <c r="A2567" s="3"/>
    </row>
    <row r="2568" spans="1:1" x14ac:dyDescent="0.45">
      <c r="A2568" s="3"/>
    </row>
    <row r="2569" spans="1:1" x14ac:dyDescent="0.45">
      <c r="A2569" s="3"/>
    </row>
    <row r="2570" spans="1:1" x14ac:dyDescent="0.45">
      <c r="A2570" s="3"/>
    </row>
    <row r="2571" spans="1:1" x14ac:dyDescent="0.45">
      <c r="A2571" s="3"/>
    </row>
    <row r="2572" spans="1:1" x14ac:dyDescent="0.45">
      <c r="A2572" s="3"/>
    </row>
    <row r="2573" spans="1:1" x14ac:dyDescent="0.45">
      <c r="A2573" s="3"/>
    </row>
    <row r="2574" spans="1:1" x14ac:dyDescent="0.45">
      <c r="A2574" s="3"/>
    </row>
    <row r="2575" spans="1:1" x14ac:dyDescent="0.45">
      <c r="A2575" s="3"/>
    </row>
    <row r="2576" spans="1:1" x14ac:dyDescent="0.45">
      <c r="A2576" s="3"/>
    </row>
    <row r="2577" spans="1:1" x14ac:dyDescent="0.45">
      <c r="A2577" s="3"/>
    </row>
    <row r="2578" spans="1:1" x14ac:dyDescent="0.45">
      <c r="A2578" s="3"/>
    </row>
    <row r="2579" spans="1:1" x14ac:dyDescent="0.45">
      <c r="A2579" s="3"/>
    </row>
    <row r="2580" spans="1:1" x14ac:dyDescent="0.45">
      <c r="A2580" s="3"/>
    </row>
    <row r="2581" spans="1:1" x14ac:dyDescent="0.45">
      <c r="A2581" s="3"/>
    </row>
    <row r="2582" spans="1:1" x14ac:dyDescent="0.45">
      <c r="A2582" s="3"/>
    </row>
    <row r="2583" spans="1:1" x14ac:dyDescent="0.45">
      <c r="A2583" s="3"/>
    </row>
    <row r="2584" spans="1:1" x14ac:dyDescent="0.45">
      <c r="A2584" s="3"/>
    </row>
    <row r="2585" spans="1:1" x14ac:dyDescent="0.45">
      <c r="A2585" s="3"/>
    </row>
    <row r="2586" spans="1:1" x14ac:dyDescent="0.45">
      <c r="A2586" s="3"/>
    </row>
    <row r="2587" spans="1:1" x14ac:dyDescent="0.45">
      <c r="A2587" s="3"/>
    </row>
    <row r="2588" spans="1:1" x14ac:dyDescent="0.45">
      <c r="A2588" s="3"/>
    </row>
    <row r="2589" spans="1:1" x14ac:dyDescent="0.45">
      <c r="A2589" s="3"/>
    </row>
    <row r="2590" spans="1:1" x14ac:dyDescent="0.45">
      <c r="A2590" s="3"/>
    </row>
    <row r="2591" spans="1:1" x14ac:dyDescent="0.45">
      <c r="A2591" s="3"/>
    </row>
    <row r="2592" spans="1:1" x14ac:dyDescent="0.45">
      <c r="A2592" s="3"/>
    </row>
    <row r="2593" spans="1:1" x14ac:dyDescent="0.45">
      <c r="A2593" s="3"/>
    </row>
    <row r="2594" spans="1:1" x14ac:dyDescent="0.45">
      <c r="A2594" s="3"/>
    </row>
    <row r="2595" spans="1:1" x14ac:dyDescent="0.45">
      <c r="A2595" s="3"/>
    </row>
    <row r="2596" spans="1:1" x14ac:dyDescent="0.45">
      <c r="A2596" s="3"/>
    </row>
    <row r="2597" spans="1:1" x14ac:dyDescent="0.45">
      <c r="A2597" s="3"/>
    </row>
    <row r="2598" spans="1:1" x14ac:dyDescent="0.45">
      <c r="A2598" s="3"/>
    </row>
    <row r="2599" spans="1:1" x14ac:dyDescent="0.45">
      <c r="A2599" s="3"/>
    </row>
    <row r="2600" spans="1:1" x14ac:dyDescent="0.45">
      <c r="A2600" s="3"/>
    </row>
    <row r="2601" spans="1:1" x14ac:dyDescent="0.45">
      <c r="A2601" s="3"/>
    </row>
    <row r="2602" spans="1:1" x14ac:dyDescent="0.45">
      <c r="A2602" s="3"/>
    </row>
    <row r="2603" spans="1:1" x14ac:dyDescent="0.45">
      <c r="A2603" s="3"/>
    </row>
    <row r="2604" spans="1:1" x14ac:dyDescent="0.45">
      <c r="A2604" s="3"/>
    </row>
    <row r="2605" spans="1:1" x14ac:dyDescent="0.45">
      <c r="A2605" s="3"/>
    </row>
    <row r="2606" spans="1:1" x14ac:dyDescent="0.45">
      <c r="A2606" s="3"/>
    </row>
    <row r="2607" spans="1:1" x14ac:dyDescent="0.45">
      <c r="A2607" s="3"/>
    </row>
    <row r="2608" spans="1:1" x14ac:dyDescent="0.45">
      <c r="A2608" s="3"/>
    </row>
    <row r="2609" spans="1:1" x14ac:dyDescent="0.45">
      <c r="A2609" s="3"/>
    </row>
    <row r="2610" spans="1:1" x14ac:dyDescent="0.45">
      <c r="A2610" s="3"/>
    </row>
    <row r="2611" spans="1:1" x14ac:dyDescent="0.45">
      <c r="A2611" s="3"/>
    </row>
    <row r="2612" spans="1:1" x14ac:dyDescent="0.45">
      <c r="A2612" s="3"/>
    </row>
    <row r="2613" spans="1:1" x14ac:dyDescent="0.45">
      <c r="A2613" s="3"/>
    </row>
    <row r="2614" spans="1:1" x14ac:dyDescent="0.45">
      <c r="A2614" s="3"/>
    </row>
    <row r="2615" spans="1:1" x14ac:dyDescent="0.45">
      <c r="A2615" s="3"/>
    </row>
    <row r="2616" spans="1:1" x14ac:dyDescent="0.45">
      <c r="A2616" s="3"/>
    </row>
    <row r="2617" spans="1:1" x14ac:dyDescent="0.45">
      <c r="A2617" s="3"/>
    </row>
    <row r="2618" spans="1:1" x14ac:dyDescent="0.45">
      <c r="A2618" s="3"/>
    </row>
    <row r="2619" spans="1:1" x14ac:dyDescent="0.45">
      <c r="A2619" s="3"/>
    </row>
    <row r="2620" spans="1:1" x14ac:dyDescent="0.45">
      <c r="A2620" s="3"/>
    </row>
    <row r="2621" spans="1:1" x14ac:dyDescent="0.45">
      <c r="A2621" s="3"/>
    </row>
    <row r="2622" spans="1:1" x14ac:dyDescent="0.45">
      <c r="A2622" s="3"/>
    </row>
    <row r="2623" spans="1:1" x14ac:dyDescent="0.45">
      <c r="A2623" s="3"/>
    </row>
    <row r="2624" spans="1:1" x14ac:dyDescent="0.45">
      <c r="A2624" s="3"/>
    </row>
    <row r="2625" spans="1:1" x14ac:dyDescent="0.45">
      <c r="A2625" s="3"/>
    </row>
    <row r="2626" spans="1:1" x14ac:dyDescent="0.45">
      <c r="A2626" s="3"/>
    </row>
    <row r="2627" spans="1:1" x14ac:dyDescent="0.45">
      <c r="A2627" s="3"/>
    </row>
    <row r="2628" spans="1:1" x14ac:dyDescent="0.45">
      <c r="A2628" s="3"/>
    </row>
    <row r="2629" spans="1:1" x14ac:dyDescent="0.45">
      <c r="A2629" s="3"/>
    </row>
    <row r="2630" spans="1:1" x14ac:dyDescent="0.45">
      <c r="A2630" s="3"/>
    </row>
    <row r="2631" spans="1:1" x14ac:dyDescent="0.45">
      <c r="A2631" s="3"/>
    </row>
    <row r="2632" spans="1:1" x14ac:dyDescent="0.45">
      <c r="A2632" s="3"/>
    </row>
    <row r="2633" spans="1:1" x14ac:dyDescent="0.45">
      <c r="A2633" s="3"/>
    </row>
    <row r="2634" spans="1:1" x14ac:dyDescent="0.45">
      <c r="A2634" s="3"/>
    </row>
    <row r="2635" spans="1:1" x14ac:dyDescent="0.45">
      <c r="A2635" s="3"/>
    </row>
    <row r="2636" spans="1:1" x14ac:dyDescent="0.45">
      <c r="A2636" s="3"/>
    </row>
    <row r="2637" spans="1:1" x14ac:dyDescent="0.45">
      <c r="A2637" s="3"/>
    </row>
    <row r="2638" spans="1:1" x14ac:dyDescent="0.45">
      <c r="A2638" s="3"/>
    </row>
    <row r="2639" spans="1:1" x14ac:dyDescent="0.45">
      <c r="A2639" s="3"/>
    </row>
    <row r="2640" spans="1:1" x14ac:dyDescent="0.45">
      <c r="A2640" s="3"/>
    </row>
    <row r="2641" spans="1:1" x14ac:dyDescent="0.45">
      <c r="A2641" s="3"/>
    </row>
    <row r="2642" spans="1:1" x14ac:dyDescent="0.45">
      <c r="A2642" s="3"/>
    </row>
    <row r="2643" spans="1:1" x14ac:dyDescent="0.45">
      <c r="A2643" s="3"/>
    </row>
    <row r="2644" spans="1:1" x14ac:dyDescent="0.45">
      <c r="A2644" s="3"/>
    </row>
    <row r="2645" spans="1:1" x14ac:dyDescent="0.45">
      <c r="A2645" s="3"/>
    </row>
    <row r="2646" spans="1:1" x14ac:dyDescent="0.45">
      <c r="A2646" s="3"/>
    </row>
    <row r="2647" spans="1:1" x14ac:dyDescent="0.45">
      <c r="A2647" s="3"/>
    </row>
    <row r="2648" spans="1:1" x14ac:dyDescent="0.45">
      <c r="A2648" s="3"/>
    </row>
    <row r="2649" spans="1:1" x14ac:dyDescent="0.45">
      <c r="A2649" s="3"/>
    </row>
    <row r="2650" spans="1:1" x14ac:dyDescent="0.45">
      <c r="A2650" s="3"/>
    </row>
    <row r="2651" spans="1:1" x14ac:dyDescent="0.45">
      <c r="A2651" s="3"/>
    </row>
    <row r="2652" spans="1:1" x14ac:dyDescent="0.45">
      <c r="A2652" s="3"/>
    </row>
    <row r="2653" spans="1:1" x14ac:dyDescent="0.45">
      <c r="A2653" s="3"/>
    </row>
    <row r="2654" spans="1:1" x14ac:dyDescent="0.45">
      <c r="A2654" s="3"/>
    </row>
    <row r="2655" spans="1:1" x14ac:dyDescent="0.45">
      <c r="A2655" s="3"/>
    </row>
    <row r="2656" spans="1:1" x14ac:dyDescent="0.45">
      <c r="A2656" s="3"/>
    </row>
    <row r="2657" spans="1:1" x14ac:dyDescent="0.45">
      <c r="A2657" s="3"/>
    </row>
    <row r="2658" spans="1:1" x14ac:dyDescent="0.45">
      <c r="A2658" s="3"/>
    </row>
    <row r="2659" spans="1:1" x14ac:dyDescent="0.45">
      <c r="A2659" s="3"/>
    </row>
    <row r="2660" spans="1:1" x14ac:dyDescent="0.45">
      <c r="A2660" s="3"/>
    </row>
    <row r="2661" spans="1:1" x14ac:dyDescent="0.45">
      <c r="A2661" s="3"/>
    </row>
    <row r="2662" spans="1:1" x14ac:dyDescent="0.45">
      <c r="A2662" s="3"/>
    </row>
    <row r="2663" spans="1:1" x14ac:dyDescent="0.45">
      <c r="A2663" s="3"/>
    </row>
    <row r="2664" spans="1:1" x14ac:dyDescent="0.45">
      <c r="A2664" s="3"/>
    </row>
    <row r="2665" spans="1:1" x14ac:dyDescent="0.45">
      <c r="A2665" s="3"/>
    </row>
    <row r="2666" spans="1:1" x14ac:dyDescent="0.45">
      <c r="A2666" s="3"/>
    </row>
    <row r="2667" spans="1:1" x14ac:dyDescent="0.45">
      <c r="A2667" s="3"/>
    </row>
    <row r="2668" spans="1:1" x14ac:dyDescent="0.45">
      <c r="A2668" s="3"/>
    </row>
    <row r="2669" spans="1:1" x14ac:dyDescent="0.45">
      <c r="A2669" s="3"/>
    </row>
    <row r="2670" spans="1:1" x14ac:dyDescent="0.45">
      <c r="A2670" s="3"/>
    </row>
    <row r="2671" spans="1:1" x14ac:dyDescent="0.45">
      <c r="A2671" s="3"/>
    </row>
    <row r="2672" spans="1:1" x14ac:dyDescent="0.45">
      <c r="A2672" s="3"/>
    </row>
    <row r="2673" spans="1:1" x14ac:dyDescent="0.45">
      <c r="A2673" s="3"/>
    </row>
    <row r="2674" spans="1:1" x14ac:dyDescent="0.45">
      <c r="A2674" s="3"/>
    </row>
    <row r="2675" spans="1:1" x14ac:dyDescent="0.45">
      <c r="A2675" s="3"/>
    </row>
    <row r="2676" spans="1:1" x14ac:dyDescent="0.45">
      <c r="A2676" s="3"/>
    </row>
    <row r="2677" spans="1:1" x14ac:dyDescent="0.45">
      <c r="A2677" s="3"/>
    </row>
    <row r="2678" spans="1:1" x14ac:dyDescent="0.45">
      <c r="A2678" s="3"/>
    </row>
    <row r="2679" spans="1:1" x14ac:dyDescent="0.45">
      <c r="A2679" s="3"/>
    </row>
    <row r="2680" spans="1:1" x14ac:dyDescent="0.45">
      <c r="A2680" s="3"/>
    </row>
    <row r="2681" spans="1:1" x14ac:dyDescent="0.45">
      <c r="A2681" s="3"/>
    </row>
    <row r="2682" spans="1:1" x14ac:dyDescent="0.45">
      <c r="A2682" s="3"/>
    </row>
    <row r="2683" spans="1:1" x14ac:dyDescent="0.45">
      <c r="A2683" s="3"/>
    </row>
    <row r="2684" spans="1:1" x14ac:dyDescent="0.45">
      <c r="A2684" s="3"/>
    </row>
    <row r="2685" spans="1:1" x14ac:dyDescent="0.45">
      <c r="A2685" s="3"/>
    </row>
    <row r="2686" spans="1:1" x14ac:dyDescent="0.45">
      <c r="A2686" s="3"/>
    </row>
    <row r="2687" spans="1:1" x14ac:dyDescent="0.45">
      <c r="A2687" s="3"/>
    </row>
    <row r="2688" spans="1:1" x14ac:dyDescent="0.45">
      <c r="A2688" s="3"/>
    </row>
    <row r="2689" spans="1:1" x14ac:dyDescent="0.45">
      <c r="A2689" s="3"/>
    </row>
    <row r="2690" spans="1:1" x14ac:dyDescent="0.45">
      <c r="A2690" s="3"/>
    </row>
    <row r="2691" spans="1:1" x14ac:dyDescent="0.45">
      <c r="A2691" s="3"/>
    </row>
    <row r="2692" spans="1:1" x14ac:dyDescent="0.45">
      <c r="A2692" s="3"/>
    </row>
    <row r="2693" spans="1:1" x14ac:dyDescent="0.45">
      <c r="A2693" s="3"/>
    </row>
    <row r="2694" spans="1:1" x14ac:dyDescent="0.45">
      <c r="A2694" s="3"/>
    </row>
    <row r="2695" spans="1:1" x14ac:dyDescent="0.45">
      <c r="A2695" s="3"/>
    </row>
    <row r="2696" spans="1:1" x14ac:dyDescent="0.45">
      <c r="A2696" s="3"/>
    </row>
    <row r="2697" spans="1:1" x14ac:dyDescent="0.45">
      <c r="A2697" s="3"/>
    </row>
    <row r="2698" spans="1:1" x14ac:dyDescent="0.45">
      <c r="A2698" s="3"/>
    </row>
    <row r="2699" spans="1:1" x14ac:dyDescent="0.45">
      <c r="A2699" s="3"/>
    </row>
    <row r="2700" spans="1:1" x14ac:dyDescent="0.45">
      <c r="A2700" s="3"/>
    </row>
    <row r="2701" spans="1:1" x14ac:dyDescent="0.45">
      <c r="A2701" s="3"/>
    </row>
    <row r="2702" spans="1:1" x14ac:dyDescent="0.45">
      <c r="A2702" s="3"/>
    </row>
    <row r="2703" spans="1:1" x14ac:dyDescent="0.45">
      <c r="A2703" s="3"/>
    </row>
    <row r="2704" spans="1:1" x14ac:dyDescent="0.45">
      <c r="A2704" s="3"/>
    </row>
    <row r="2705" spans="1:1" x14ac:dyDescent="0.45">
      <c r="A2705" s="3"/>
    </row>
    <row r="2706" spans="1:1" x14ac:dyDescent="0.45">
      <c r="A2706" s="3"/>
    </row>
    <row r="2707" spans="1:1" x14ac:dyDescent="0.45">
      <c r="A2707" s="3"/>
    </row>
    <row r="2708" spans="1:1" x14ac:dyDescent="0.45">
      <c r="A2708" s="3"/>
    </row>
    <row r="2709" spans="1:1" x14ac:dyDescent="0.45">
      <c r="A2709" s="3"/>
    </row>
    <row r="2710" spans="1:1" x14ac:dyDescent="0.45">
      <c r="A2710" s="3"/>
    </row>
    <row r="2711" spans="1:1" x14ac:dyDescent="0.45">
      <c r="A2711" s="3"/>
    </row>
    <row r="2712" spans="1:1" x14ac:dyDescent="0.45">
      <c r="A2712" s="3"/>
    </row>
    <row r="2713" spans="1:1" x14ac:dyDescent="0.45">
      <c r="A2713" s="3"/>
    </row>
    <row r="2714" spans="1:1" x14ac:dyDescent="0.45">
      <c r="A2714" s="3"/>
    </row>
    <row r="2715" spans="1:1" x14ac:dyDescent="0.45">
      <c r="A2715" s="3"/>
    </row>
    <row r="2716" spans="1:1" x14ac:dyDescent="0.45">
      <c r="A2716" s="3"/>
    </row>
    <row r="2717" spans="1:1" x14ac:dyDescent="0.45">
      <c r="A2717" s="3"/>
    </row>
    <row r="2718" spans="1:1" x14ac:dyDescent="0.45">
      <c r="A2718" s="3"/>
    </row>
    <row r="2719" spans="1:1" x14ac:dyDescent="0.45">
      <c r="A2719" s="3"/>
    </row>
    <row r="2720" spans="1:1" x14ac:dyDescent="0.45">
      <c r="A2720" s="3"/>
    </row>
    <row r="2721" spans="1:1" x14ac:dyDescent="0.45">
      <c r="A2721" s="3"/>
    </row>
    <row r="2722" spans="1:1" x14ac:dyDescent="0.45">
      <c r="A2722" s="3"/>
    </row>
    <row r="2723" spans="1:1" x14ac:dyDescent="0.45">
      <c r="A2723" s="3"/>
    </row>
    <row r="2724" spans="1:1" x14ac:dyDescent="0.45">
      <c r="A2724" s="3"/>
    </row>
    <row r="2725" spans="1:1" x14ac:dyDescent="0.45">
      <c r="A2725" s="3"/>
    </row>
    <row r="2726" spans="1:1" x14ac:dyDescent="0.45">
      <c r="A2726" s="3"/>
    </row>
    <row r="2727" spans="1:1" x14ac:dyDescent="0.45">
      <c r="A2727" s="3"/>
    </row>
    <row r="2728" spans="1:1" x14ac:dyDescent="0.45">
      <c r="A2728" s="3"/>
    </row>
    <row r="2729" spans="1:1" x14ac:dyDescent="0.45">
      <c r="A2729" s="3"/>
    </row>
    <row r="2730" spans="1:1" x14ac:dyDescent="0.45">
      <c r="A2730" s="3"/>
    </row>
    <row r="2731" spans="1:1" x14ac:dyDescent="0.45">
      <c r="A2731" s="3"/>
    </row>
    <row r="2732" spans="1:1" x14ac:dyDescent="0.45">
      <c r="A2732" s="3"/>
    </row>
    <row r="2733" spans="1:1" x14ac:dyDescent="0.45">
      <c r="A2733" s="3"/>
    </row>
    <row r="2734" spans="1:1" x14ac:dyDescent="0.45">
      <c r="A2734" s="3"/>
    </row>
    <row r="2735" spans="1:1" x14ac:dyDescent="0.45">
      <c r="A2735" s="3"/>
    </row>
    <row r="2736" spans="1:1" x14ac:dyDescent="0.45">
      <c r="A2736" s="3"/>
    </row>
    <row r="2737" spans="1:1" x14ac:dyDescent="0.45">
      <c r="A2737" s="3"/>
    </row>
    <row r="2738" spans="1:1" x14ac:dyDescent="0.45">
      <c r="A2738" s="3"/>
    </row>
    <row r="2739" spans="1:1" x14ac:dyDescent="0.45">
      <c r="A2739" s="3"/>
    </row>
    <row r="2740" spans="1:1" x14ac:dyDescent="0.45">
      <c r="A2740" s="3"/>
    </row>
    <row r="2741" spans="1:1" x14ac:dyDescent="0.45">
      <c r="A2741" s="3"/>
    </row>
    <row r="2742" spans="1:1" x14ac:dyDescent="0.45">
      <c r="A2742" s="3"/>
    </row>
    <row r="2743" spans="1:1" x14ac:dyDescent="0.45">
      <c r="A2743" s="3"/>
    </row>
    <row r="2744" spans="1:1" x14ac:dyDescent="0.45">
      <c r="A2744" s="3"/>
    </row>
    <row r="2745" spans="1:1" x14ac:dyDescent="0.45">
      <c r="A2745" s="3"/>
    </row>
    <row r="2746" spans="1:1" x14ac:dyDescent="0.45">
      <c r="A2746" s="3"/>
    </row>
    <row r="2747" spans="1:1" x14ac:dyDescent="0.45">
      <c r="A2747" s="3"/>
    </row>
    <row r="2748" spans="1:1" x14ac:dyDescent="0.45">
      <c r="A2748" s="3"/>
    </row>
    <row r="2749" spans="1:1" x14ac:dyDescent="0.45">
      <c r="A2749" s="3"/>
    </row>
    <row r="2750" spans="1:1" x14ac:dyDescent="0.45">
      <c r="A2750" s="3"/>
    </row>
    <row r="2751" spans="1:1" x14ac:dyDescent="0.45">
      <c r="A2751" s="3"/>
    </row>
    <row r="2752" spans="1:1" x14ac:dyDescent="0.45">
      <c r="A2752" s="3"/>
    </row>
    <row r="2753" spans="1:1" x14ac:dyDescent="0.45">
      <c r="A2753" s="3"/>
    </row>
    <row r="2754" spans="1:1" x14ac:dyDescent="0.45">
      <c r="A2754" s="3"/>
    </row>
    <row r="2755" spans="1:1" x14ac:dyDescent="0.45">
      <c r="A2755" s="3"/>
    </row>
    <row r="2756" spans="1:1" x14ac:dyDescent="0.45">
      <c r="A2756" s="3"/>
    </row>
    <row r="2757" spans="1:1" x14ac:dyDescent="0.45">
      <c r="A2757" s="3"/>
    </row>
    <row r="2758" spans="1:1" x14ac:dyDescent="0.45">
      <c r="A2758" s="3"/>
    </row>
    <row r="2759" spans="1:1" x14ac:dyDescent="0.45">
      <c r="A2759" s="3"/>
    </row>
    <row r="2760" spans="1:1" x14ac:dyDescent="0.45">
      <c r="A2760" s="3"/>
    </row>
    <row r="2761" spans="1:1" x14ac:dyDescent="0.45">
      <c r="A2761" s="3"/>
    </row>
    <row r="2762" spans="1:1" x14ac:dyDescent="0.45">
      <c r="A2762" s="3"/>
    </row>
    <row r="2763" spans="1:1" x14ac:dyDescent="0.45">
      <c r="A2763" s="3"/>
    </row>
    <row r="2764" spans="1:1" x14ac:dyDescent="0.45">
      <c r="A2764" s="3"/>
    </row>
    <row r="2765" spans="1:1" x14ac:dyDescent="0.45">
      <c r="A2765" s="3"/>
    </row>
    <row r="2766" spans="1:1" x14ac:dyDescent="0.45">
      <c r="A2766" s="3"/>
    </row>
    <row r="2767" spans="1:1" x14ac:dyDescent="0.45">
      <c r="A2767" s="3"/>
    </row>
    <row r="2768" spans="1:1" x14ac:dyDescent="0.45">
      <c r="A2768" s="3"/>
    </row>
    <row r="2769" spans="1:1" x14ac:dyDescent="0.45">
      <c r="A2769" s="3"/>
    </row>
    <row r="2770" spans="1:1" x14ac:dyDescent="0.45">
      <c r="A2770" s="3"/>
    </row>
    <row r="2771" spans="1:1" x14ac:dyDescent="0.45">
      <c r="A2771" s="3"/>
    </row>
    <row r="2772" spans="1:1" x14ac:dyDescent="0.45">
      <c r="A2772" s="3"/>
    </row>
    <row r="2773" spans="1:1" x14ac:dyDescent="0.45">
      <c r="A2773" s="3"/>
    </row>
    <row r="2774" spans="1:1" x14ac:dyDescent="0.45">
      <c r="A2774" s="3"/>
    </row>
    <row r="2775" spans="1:1" x14ac:dyDescent="0.45">
      <c r="A2775" s="3"/>
    </row>
    <row r="2776" spans="1:1" x14ac:dyDescent="0.45">
      <c r="A2776" s="3"/>
    </row>
    <row r="2777" spans="1:1" x14ac:dyDescent="0.45">
      <c r="A2777" s="3"/>
    </row>
    <row r="2778" spans="1:1" x14ac:dyDescent="0.45">
      <c r="A2778" s="3"/>
    </row>
    <row r="2779" spans="1:1" x14ac:dyDescent="0.45">
      <c r="A2779" s="3"/>
    </row>
    <row r="2780" spans="1:1" x14ac:dyDescent="0.45">
      <c r="A2780" s="3"/>
    </row>
    <row r="2781" spans="1:1" x14ac:dyDescent="0.45">
      <c r="A2781" s="3"/>
    </row>
    <row r="2782" spans="1:1" x14ac:dyDescent="0.45">
      <c r="A2782" s="3"/>
    </row>
    <row r="2783" spans="1:1" x14ac:dyDescent="0.45">
      <c r="A2783" s="3"/>
    </row>
    <row r="2784" spans="1:1" x14ac:dyDescent="0.45">
      <c r="A2784" s="3"/>
    </row>
    <row r="2785" spans="1:1" x14ac:dyDescent="0.45">
      <c r="A2785" s="3"/>
    </row>
    <row r="2786" spans="1:1" x14ac:dyDescent="0.45">
      <c r="A2786" s="3"/>
    </row>
    <row r="2787" spans="1:1" x14ac:dyDescent="0.45">
      <c r="A2787" s="3"/>
    </row>
    <row r="2788" spans="1:1" x14ac:dyDescent="0.45">
      <c r="A2788" s="3"/>
    </row>
    <row r="2789" spans="1:1" x14ac:dyDescent="0.45">
      <c r="A2789" s="3"/>
    </row>
    <row r="2790" spans="1:1" x14ac:dyDescent="0.45">
      <c r="A2790" s="3"/>
    </row>
    <row r="2791" spans="1:1" x14ac:dyDescent="0.45">
      <c r="A2791" s="3"/>
    </row>
    <row r="2792" spans="1:1" x14ac:dyDescent="0.45">
      <c r="A2792" s="3"/>
    </row>
    <row r="2793" spans="1:1" x14ac:dyDescent="0.45">
      <c r="A2793" s="3"/>
    </row>
    <row r="2794" spans="1:1" x14ac:dyDescent="0.45">
      <c r="A2794" s="3"/>
    </row>
    <row r="2795" spans="1:1" x14ac:dyDescent="0.45">
      <c r="A2795" s="3"/>
    </row>
    <row r="2796" spans="1:1" x14ac:dyDescent="0.45">
      <c r="A2796" s="3"/>
    </row>
    <row r="2797" spans="1:1" x14ac:dyDescent="0.45">
      <c r="A2797" s="3"/>
    </row>
    <row r="2798" spans="1:1" x14ac:dyDescent="0.45">
      <c r="A2798" s="3"/>
    </row>
    <row r="2799" spans="1:1" x14ac:dyDescent="0.45">
      <c r="A2799" s="3"/>
    </row>
    <row r="2800" spans="1:1" x14ac:dyDescent="0.45">
      <c r="A2800" s="3"/>
    </row>
    <row r="2801" spans="1:1" x14ac:dyDescent="0.45">
      <c r="A2801" s="3"/>
    </row>
    <row r="2802" spans="1:1" x14ac:dyDescent="0.45">
      <c r="A2802" s="3"/>
    </row>
    <row r="2803" spans="1:1" x14ac:dyDescent="0.45">
      <c r="A2803" s="3"/>
    </row>
    <row r="2804" spans="1:1" x14ac:dyDescent="0.45">
      <c r="A2804" s="3"/>
    </row>
    <row r="2805" spans="1:1" x14ac:dyDescent="0.45">
      <c r="A2805" s="3"/>
    </row>
    <row r="2806" spans="1:1" x14ac:dyDescent="0.45">
      <c r="A2806" s="3"/>
    </row>
    <row r="2807" spans="1:1" x14ac:dyDescent="0.45">
      <c r="A2807" s="3"/>
    </row>
    <row r="2808" spans="1:1" x14ac:dyDescent="0.45">
      <c r="A2808" s="3"/>
    </row>
    <row r="2809" spans="1:1" x14ac:dyDescent="0.45">
      <c r="A2809" s="3"/>
    </row>
    <row r="2810" spans="1:1" x14ac:dyDescent="0.45">
      <c r="A2810" s="3"/>
    </row>
    <row r="2811" spans="1:1" x14ac:dyDescent="0.45">
      <c r="A2811" s="3"/>
    </row>
    <row r="2812" spans="1:1" x14ac:dyDescent="0.45">
      <c r="A2812" s="3"/>
    </row>
    <row r="2813" spans="1:1" x14ac:dyDescent="0.45">
      <c r="A2813" s="3"/>
    </row>
    <row r="2814" spans="1:1" x14ac:dyDescent="0.45">
      <c r="A2814" s="3"/>
    </row>
    <row r="2815" spans="1:1" x14ac:dyDescent="0.45">
      <c r="A2815" s="3"/>
    </row>
    <row r="2816" spans="1:1" x14ac:dyDescent="0.45">
      <c r="A2816" s="3"/>
    </row>
    <row r="2817" spans="1:1" x14ac:dyDescent="0.45">
      <c r="A2817" s="3"/>
    </row>
    <row r="2818" spans="1:1" x14ac:dyDescent="0.45">
      <c r="A2818" s="3"/>
    </row>
    <row r="2819" spans="1:1" x14ac:dyDescent="0.45">
      <c r="A2819" s="3"/>
    </row>
    <row r="2820" spans="1:1" x14ac:dyDescent="0.45">
      <c r="A2820" s="3"/>
    </row>
    <row r="2821" spans="1:1" x14ac:dyDescent="0.45">
      <c r="A2821" s="3"/>
    </row>
    <row r="2822" spans="1:1" x14ac:dyDescent="0.45">
      <c r="A2822" s="3"/>
    </row>
    <row r="2823" spans="1:1" x14ac:dyDescent="0.45">
      <c r="A2823" s="3"/>
    </row>
    <row r="2824" spans="1:1" x14ac:dyDescent="0.45">
      <c r="A2824" s="3"/>
    </row>
    <row r="2825" spans="1:1" x14ac:dyDescent="0.45">
      <c r="A2825" s="3"/>
    </row>
    <row r="2826" spans="1:1" x14ac:dyDescent="0.45">
      <c r="A2826" s="3"/>
    </row>
    <row r="2827" spans="1:1" x14ac:dyDescent="0.45">
      <c r="A2827" s="3"/>
    </row>
    <row r="2828" spans="1:1" x14ac:dyDescent="0.45">
      <c r="A2828" s="3"/>
    </row>
    <row r="2829" spans="1:1" x14ac:dyDescent="0.45">
      <c r="A2829" s="3"/>
    </row>
    <row r="2830" spans="1:1" x14ac:dyDescent="0.45">
      <c r="A2830" s="3"/>
    </row>
    <row r="2831" spans="1:1" x14ac:dyDescent="0.45">
      <c r="A2831" s="3"/>
    </row>
    <row r="2832" spans="1:1" x14ac:dyDescent="0.45">
      <c r="A2832" s="3"/>
    </row>
    <row r="2833" spans="1:1" x14ac:dyDescent="0.45">
      <c r="A2833" s="3"/>
    </row>
    <row r="2834" spans="1:1" x14ac:dyDescent="0.45">
      <c r="A2834" s="3"/>
    </row>
    <row r="2835" spans="1:1" x14ac:dyDescent="0.45">
      <c r="A2835" s="3"/>
    </row>
    <row r="2836" spans="1:1" x14ac:dyDescent="0.45">
      <c r="A2836" s="3"/>
    </row>
    <row r="2837" spans="1:1" x14ac:dyDescent="0.45">
      <c r="A2837" s="3"/>
    </row>
    <row r="2838" spans="1:1" x14ac:dyDescent="0.45">
      <c r="A2838" s="3"/>
    </row>
    <row r="2839" spans="1:1" x14ac:dyDescent="0.45">
      <c r="A2839" s="3"/>
    </row>
    <row r="2840" spans="1:1" x14ac:dyDescent="0.45">
      <c r="A2840" s="3"/>
    </row>
    <row r="2841" spans="1:1" x14ac:dyDescent="0.45">
      <c r="A2841" s="3"/>
    </row>
    <row r="2842" spans="1:1" x14ac:dyDescent="0.45">
      <c r="A2842" s="3"/>
    </row>
    <row r="2843" spans="1:1" x14ac:dyDescent="0.45">
      <c r="A2843" s="3"/>
    </row>
    <row r="2844" spans="1:1" x14ac:dyDescent="0.45">
      <c r="A2844" s="3"/>
    </row>
    <row r="2845" spans="1:1" x14ac:dyDescent="0.45">
      <c r="A2845" s="3"/>
    </row>
    <row r="2846" spans="1:1" x14ac:dyDescent="0.45">
      <c r="A2846" s="3"/>
    </row>
    <row r="2847" spans="1:1" x14ac:dyDescent="0.45">
      <c r="A2847" s="3"/>
    </row>
    <row r="2848" spans="1:1" x14ac:dyDescent="0.45">
      <c r="A2848" s="3"/>
    </row>
    <row r="2849" spans="1:1" x14ac:dyDescent="0.45">
      <c r="A2849" s="3"/>
    </row>
    <row r="2850" spans="1:1" x14ac:dyDescent="0.45">
      <c r="A2850" s="3"/>
    </row>
    <row r="2851" spans="1:1" x14ac:dyDescent="0.45">
      <c r="A2851" s="3"/>
    </row>
    <row r="2852" spans="1:1" x14ac:dyDescent="0.45">
      <c r="A2852" s="3"/>
    </row>
    <row r="2853" spans="1:1" x14ac:dyDescent="0.45">
      <c r="A2853" s="3"/>
    </row>
    <row r="2854" spans="1:1" x14ac:dyDescent="0.45">
      <c r="A2854" s="3"/>
    </row>
    <row r="2855" spans="1:1" x14ac:dyDescent="0.45">
      <c r="A2855" s="3"/>
    </row>
    <row r="2856" spans="1:1" x14ac:dyDescent="0.45">
      <c r="A2856" s="3"/>
    </row>
    <row r="2857" spans="1:1" x14ac:dyDescent="0.45">
      <c r="A2857" s="3"/>
    </row>
    <row r="2858" spans="1:1" x14ac:dyDescent="0.45">
      <c r="A2858" s="3"/>
    </row>
    <row r="2859" spans="1:1" x14ac:dyDescent="0.45">
      <c r="A2859" s="3"/>
    </row>
    <row r="2860" spans="1:1" x14ac:dyDescent="0.45">
      <c r="A2860" s="3"/>
    </row>
    <row r="2861" spans="1:1" x14ac:dyDescent="0.45">
      <c r="A2861" s="3"/>
    </row>
    <row r="2862" spans="1:1" x14ac:dyDescent="0.45">
      <c r="A2862" s="3"/>
    </row>
    <row r="2863" spans="1:1" x14ac:dyDescent="0.45">
      <c r="A2863" s="3"/>
    </row>
    <row r="2864" spans="1:1" x14ac:dyDescent="0.45">
      <c r="A2864" s="3"/>
    </row>
    <row r="2865" spans="1:1" x14ac:dyDescent="0.45">
      <c r="A2865" s="3"/>
    </row>
    <row r="2866" spans="1:1" x14ac:dyDescent="0.45">
      <c r="A2866" s="3"/>
    </row>
    <row r="2867" spans="1:1" x14ac:dyDescent="0.45">
      <c r="A2867" s="3"/>
    </row>
    <row r="2868" spans="1:1" x14ac:dyDescent="0.45">
      <c r="A2868" s="3"/>
    </row>
    <row r="2869" spans="1:1" x14ac:dyDescent="0.45">
      <c r="A2869" s="3"/>
    </row>
    <row r="2870" spans="1:1" x14ac:dyDescent="0.45">
      <c r="A2870" s="3"/>
    </row>
    <row r="2871" spans="1:1" x14ac:dyDescent="0.45">
      <c r="A2871" s="3"/>
    </row>
    <row r="2872" spans="1:1" x14ac:dyDescent="0.45">
      <c r="A2872" s="3"/>
    </row>
    <row r="2873" spans="1:1" x14ac:dyDescent="0.45">
      <c r="A2873" s="3"/>
    </row>
    <row r="2874" spans="1:1" x14ac:dyDescent="0.45">
      <c r="A2874" s="3"/>
    </row>
    <row r="2875" spans="1:1" x14ac:dyDescent="0.45">
      <c r="A2875" s="3"/>
    </row>
    <row r="2876" spans="1:1" x14ac:dyDescent="0.45">
      <c r="A2876" s="3"/>
    </row>
    <row r="2877" spans="1:1" x14ac:dyDescent="0.45">
      <c r="A2877" s="3"/>
    </row>
    <row r="2878" spans="1:1" x14ac:dyDescent="0.45">
      <c r="A2878" s="3"/>
    </row>
    <row r="2879" spans="1:1" x14ac:dyDescent="0.45">
      <c r="A2879" s="3"/>
    </row>
    <row r="2880" spans="1:1" x14ac:dyDescent="0.45">
      <c r="A2880" s="3"/>
    </row>
    <row r="2881" spans="1:1" x14ac:dyDescent="0.45">
      <c r="A2881" s="3"/>
    </row>
    <row r="2882" spans="1:1" x14ac:dyDescent="0.45">
      <c r="A2882" s="3"/>
    </row>
    <row r="2883" spans="1:1" x14ac:dyDescent="0.45">
      <c r="A2883" s="3"/>
    </row>
    <row r="2884" spans="1:1" x14ac:dyDescent="0.45">
      <c r="A2884" s="3"/>
    </row>
    <row r="2885" spans="1:1" x14ac:dyDescent="0.45">
      <c r="A2885" s="3"/>
    </row>
    <row r="2886" spans="1:1" x14ac:dyDescent="0.45">
      <c r="A2886" s="3"/>
    </row>
    <row r="2887" spans="1:1" x14ac:dyDescent="0.45">
      <c r="A2887" s="3"/>
    </row>
    <row r="2888" spans="1:1" x14ac:dyDescent="0.45">
      <c r="A2888" s="3"/>
    </row>
    <row r="2889" spans="1:1" x14ac:dyDescent="0.45">
      <c r="A2889" s="3"/>
    </row>
    <row r="2890" spans="1:1" x14ac:dyDescent="0.45">
      <c r="A2890" s="3"/>
    </row>
    <row r="2891" spans="1:1" x14ac:dyDescent="0.45">
      <c r="A2891" s="3"/>
    </row>
    <row r="2892" spans="1:1" x14ac:dyDescent="0.45">
      <c r="A2892" s="3"/>
    </row>
    <row r="2893" spans="1:1" x14ac:dyDescent="0.45">
      <c r="A2893" s="3"/>
    </row>
    <row r="2894" spans="1:1" x14ac:dyDescent="0.45">
      <c r="A2894" s="3"/>
    </row>
    <row r="2895" spans="1:1" x14ac:dyDescent="0.45">
      <c r="A2895" s="3"/>
    </row>
    <row r="2896" spans="1:1" x14ac:dyDescent="0.45">
      <c r="A2896" s="3"/>
    </row>
    <row r="2897" spans="1:1" x14ac:dyDescent="0.45">
      <c r="A2897" s="3"/>
    </row>
    <row r="2898" spans="1:1" x14ac:dyDescent="0.45">
      <c r="A2898" s="3"/>
    </row>
    <row r="2899" spans="1:1" x14ac:dyDescent="0.45">
      <c r="A2899" s="3"/>
    </row>
    <row r="2900" spans="1:1" x14ac:dyDescent="0.45">
      <c r="A2900" s="3"/>
    </row>
    <row r="2901" spans="1:1" x14ac:dyDescent="0.45">
      <c r="A2901" s="3"/>
    </row>
    <row r="2902" spans="1:1" x14ac:dyDescent="0.45">
      <c r="A2902" s="3"/>
    </row>
    <row r="2903" spans="1:1" x14ac:dyDescent="0.45">
      <c r="A2903" s="3"/>
    </row>
    <row r="2904" spans="1:1" x14ac:dyDescent="0.45">
      <c r="A2904" s="3"/>
    </row>
    <row r="2905" spans="1:1" x14ac:dyDescent="0.45">
      <c r="A2905" s="3"/>
    </row>
    <row r="2906" spans="1:1" x14ac:dyDescent="0.45">
      <c r="A2906" s="3"/>
    </row>
    <row r="2907" spans="1:1" x14ac:dyDescent="0.45">
      <c r="A2907" s="3"/>
    </row>
    <row r="2908" spans="1:1" x14ac:dyDescent="0.45">
      <c r="A2908" s="3"/>
    </row>
    <row r="2909" spans="1:1" x14ac:dyDescent="0.45">
      <c r="A2909" s="3"/>
    </row>
    <row r="2910" spans="1:1" x14ac:dyDescent="0.45">
      <c r="A2910" s="3"/>
    </row>
    <row r="2911" spans="1:1" x14ac:dyDescent="0.45">
      <c r="A2911" s="3"/>
    </row>
    <row r="2912" spans="1:1" x14ac:dyDescent="0.45">
      <c r="A2912" s="3"/>
    </row>
    <row r="2913" spans="1:1" x14ac:dyDescent="0.45">
      <c r="A2913" s="3"/>
    </row>
    <row r="2914" spans="1:1" x14ac:dyDescent="0.45">
      <c r="A2914" s="3"/>
    </row>
    <row r="2915" spans="1:1" x14ac:dyDescent="0.45">
      <c r="A2915" s="3"/>
    </row>
    <row r="2916" spans="1:1" x14ac:dyDescent="0.45">
      <c r="A2916" s="3"/>
    </row>
    <row r="2917" spans="1:1" x14ac:dyDescent="0.45">
      <c r="A2917" s="3"/>
    </row>
    <row r="2918" spans="1:1" x14ac:dyDescent="0.45">
      <c r="A2918" s="3"/>
    </row>
    <row r="2919" spans="1:1" x14ac:dyDescent="0.45">
      <c r="A2919" s="3"/>
    </row>
    <row r="2920" spans="1:1" x14ac:dyDescent="0.45">
      <c r="A2920" s="3"/>
    </row>
    <row r="2921" spans="1:1" x14ac:dyDescent="0.45">
      <c r="A2921" s="3"/>
    </row>
    <row r="2922" spans="1:1" x14ac:dyDescent="0.45">
      <c r="A2922" s="3"/>
    </row>
    <row r="2923" spans="1:1" x14ac:dyDescent="0.45">
      <c r="A2923" s="3"/>
    </row>
    <row r="2924" spans="1:1" x14ac:dyDescent="0.45">
      <c r="A2924" s="3"/>
    </row>
    <row r="2925" spans="1:1" x14ac:dyDescent="0.45">
      <c r="A2925" s="3"/>
    </row>
    <row r="2926" spans="1:1" x14ac:dyDescent="0.45">
      <c r="A2926" s="3"/>
    </row>
    <row r="2927" spans="1:1" x14ac:dyDescent="0.45">
      <c r="A2927" s="3"/>
    </row>
    <row r="2928" spans="1:1" x14ac:dyDescent="0.45">
      <c r="A2928" s="3"/>
    </row>
    <row r="2929" spans="1:1" x14ac:dyDescent="0.45">
      <c r="A2929" s="3"/>
    </row>
    <row r="2930" spans="1:1" x14ac:dyDescent="0.45">
      <c r="A2930" s="3"/>
    </row>
    <row r="2931" spans="1:1" x14ac:dyDescent="0.45">
      <c r="A2931" s="3"/>
    </row>
    <row r="2932" spans="1:1" x14ac:dyDescent="0.45">
      <c r="A2932" s="3"/>
    </row>
    <row r="2933" spans="1:1" x14ac:dyDescent="0.45">
      <c r="A2933" s="3"/>
    </row>
    <row r="2934" spans="1:1" x14ac:dyDescent="0.45">
      <c r="A2934" s="3"/>
    </row>
    <row r="2935" spans="1:1" x14ac:dyDescent="0.45">
      <c r="A2935" s="3"/>
    </row>
    <row r="2936" spans="1:1" x14ac:dyDescent="0.45">
      <c r="A2936" s="3"/>
    </row>
    <row r="2937" spans="1:1" x14ac:dyDescent="0.45">
      <c r="A2937" s="3"/>
    </row>
    <row r="2938" spans="1:1" x14ac:dyDescent="0.45">
      <c r="A2938" s="3"/>
    </row>
    <row r="2939" spans="1:1" x14ac:dyDescent="0.45">
      <c r="A2939" s="3"/>
    </row>
    <row r="2940" spans="1:1" x14ac:dyDescent="0.45">
      <c r="A2940" s="3"/>
    </row>
    <row r="2941" spans="1:1" x14ac:dyDescent="0.45">
      <c r="A2941" s="3"/>
    </row>
    <row r="2942" spans="1:1" x14ac:dyDescent="0.45">
      <c r="A2942" s="3"/>
    </row>
    <row r="2943" spans="1:1" x14ac:dyDescent="0.45">
      <c r="A2943" s="3"/>
    </row>
    <row r="2944" spans="1:1" x14ac:dyDescent="0.45">
      <c r="A2944" s="3"/>
    </row>
    <row r="2945" spans="1:1" x14ac:dyDescent="0.45">
      <c r="A2945" s="3"/>
    </row>
    <row r="2946" spans="1:1" x14ac:dyDescent="0.45">
      <c r="A2946" s="3"/>
    </row>
    <row r="2947" spans="1:1" x14ac:dyDescent="0.45">
      <c r="A2947" s="3"/>
    </row>
    <row r="2948" spans="1:1" x14ac:dyDescent="0.45">
      <c r="A2948" s="3"/>
    </row>
    <row r="2949" spans="1:1" x14ac:dyDescent="0.45">
      <c r="A2949" s="3"/>
    </row>
    <row r="2950" spans="1:1" x14ac:dyDescent="0.45">
      <c r="A2950" s="3"/>
    </row>
    <row r="2951" spans="1:1" x14ac:dyDescent="0.45">
      <c r="A2951" s="3"/>
    </row>
    <row r="2952" spans="1:1" x14ac:dyDescent="0.45">
      <c r="A2952" s="3"/>
    </row>
    <row r="2953" spans="1:1" x14ac:dyDescent="0.45">
      <c r="A2953" s="3"/>
    </row>
    <row r="2954" spans="1:1" x14ac:dyDescent="0.45">
      <c r="A2954" s="3"/>
    </row>
    <row r="2955" spans="1:1" x14ac:dyDescent="0.45">
      <c r="A2955" s="3"/>
    </row>
    <row r="2956" spans="1:1" x14ac:dyDescent="0.45">
      <c r="A2956" s="3"/>
    </row>
    <row r="2957" spans="1:1" x14ac:dyDescent="0.45">
      <c r="A2957" s="3"/>
    </row>
    <row r="2958" spans="1:1" x14ac:dyDescent="0.45">
      <c r="A2958" s="3"/>
    </row>
    <row r="2959" spans="1:1" x14ac:dyDescent="0.45">
      <c r="A2959" s="3"/>
    </row>
    <row r="2960" spans="1:1" x14ac:dyDescent="0.45">
      <c r="A2960" s="3"/>
    </row>
    <row r="2961" spans="1:1" x14ac:dyDescent="0.45">
      <c r="A2961" s="3"/>
    </row>
    <row r="2962" spans="1:1" x14ac:dyDescent="0.45">
      <c r="A2962" s="3"/>
    </row>
    <row r="2963" spans="1:1" x14ac:dyDescent="0.45">
      <c r="A2963" s="3"/>
    </row>
    <row r="2964" spans="1:1" x14ac:dyDescent="0.45">
      <c r="A2964" s="3"/>
    </row>
    <row r="2965" spans="1:1" x14ac:dyDescent="0.45">
      <c r="A2965" s="3"/>
    </row>
    <row r="2966" spans="1:1" x14ac:dyDescent="0.45">
      <c r="A2966" s="3"/>
    </row>
    <row r="2967" spans="1:1" x14ac:dyDescent="0.45">
      <c r="A2967" s="3"/>
    </row>
    <row r="2968" spans="1:1" x14ac:dyDescent="0.45">
      <c r="A2968" s="3"/>
    </row>
    <row r="2969" spans="1:1" x14ac:dyDescent="0.45">
      <c r="A2969" s="3"/>
    </row>
    <row r="2970" spans="1:1" x14ac:dyDescent="0.45">
      <c r="A2970" s="3"/>
    </row>
    <row r="2971" spans="1:1" x14ac:dyDescent="0.45">
      <c r="A2971" s="3"/>
    </row>
    <row r="2972" spans="1:1" x14ac:dyDescent="0.45">
      <c r="A2972" s="3"/>
    </row>
    <row r="2973" spans="1:1" x14ac:dyDescent="0.45">
      <c r="A2973" s="3"/>
    </row>
    <row r="2974" spans="1:1" x14ac:dyDescent="0.45">
      <c r="A2974" s="3"/>
    </row>
    <row r="2975" spans="1:1" x14ac:dyDescent="0.45">
      <c r="A2975" s="3"/>
    </row>
    <row r="2976" spans="1:1" x14ac:dyDescent="0.45">
      <c r="A2976" s="3"/>
    </row>
    <row r="2977" spans="1:1" x14ac:dyDescent="0.45">
      <c r="A2977" s="3"/>
    </row>
    <row r="2978" spans="1:1" x14ac:dyDescent="0.45">
      <c r="A2978" s="3"/>
    </row>
    <row r="2979" spans="1:1" x14ac:dyDescent="0.45">
      <c r="A2979" s="3"/>
    </row>
    <row r="2980" spans="1:1" x14ac:dyDescent="0.45">
      <c r="A2980" s="3"/>
    </row>
    <row r="2981" spans="1:1" x14ac:dyDescent="0.45">
      <c r="A2981" s="3"/>
    </row>
    <row r="2982" spans="1:1" x14ac:dyDescent="0.45">
      <c r="A2982" s="3"/>
    </row>
    <row r="2983" spans="1:1" x14ac:dyDescent="0.45">
      <c r="A2983" s="3"/>
    </row>
    <row r="2984" spans="1:1" x14ac:dyDescent="0.45">
      <c r="A2984" s="3"/>
    </row>
    <row r="2985" spans="1:1" x14ac:dyDescent="0.45">
      <c r="A2985" s="3"/>
    </row>
    <row r="2986" spans="1:1" x14ac:dyDescent="0.45">
      <c r="A2986" s="3"/>
    </row>
    <row r="2987" spans="1:1" x14ac:dyDescent="0.45">
      <c r="A2987" s="3"/>
    </row>
    <row r="2988" spans="1:1" x14ac:dyDescent="0.45">
      <c r="A2988" s="3"/>
    </row>
    <row r="2989" spans="1:1" x14ac:dyDescent="0.45">
      <c r="A2989" s="3"/>
    </row>
    <row r="2990" spans="1:1" x14ac:dyDescent="0.45">
      <c r="A2990" s="3"/>
    </row>
    <row r="2991" spans="1:1" x14ac:dyDescent="0.45">
      <c r="A2991" s="3"/>
    </row>
    <row r="2992" spans="1:1" x14ac:dyDescent="0.45">
      <c r="A2992" s="3"/>
    </row>
    <row r="2993" spans="1:1" x14ac:dyDescent="0.45">
      <c r="A2993" s="3"/>
    </row>
    <row r="2994" spans="1:1" x14ac:dyDescent="0.45">
      <c r="A2994" s="3"/>
    </row>
    <row r="2995" spans="1:1" x14ac:dyDescent="0.45">
      <c r="A2995" s="3"/>
    </row>
    <row r="2996" spans="1:1" x14ac:dyDescent="0.45">
      <c r="A2996" s="3"/>
    </row>
    <row r="2997" spans="1:1" x14ac:dyDescent="0.45">
      <c r="A2997" s="3"/>
    </row>
    <row r="2998" spans="1:1" x14ac:dyDescent="0.45">
      <c r="A2998" s="3"/>
    </row>
    <row r="2999" spans="1:1" x14ac:dyDescent="0.45">
      <c r="A2999" s="3"/>
    </row>
    <row r="3000" spans="1:1" x14ac:dyDescent="0.45">
      <c r="A3000" s="3"/>
    </row>
    <row r="3001" spans="1:1" x14ac:dyDescent="0.45">
      <c r="A3001" s="3"/>
    </row>
    <row r="3002" spans="1:1" x14ac:dyDescent="0.45">
      <c r="A3002" s="3"/>
    </row>
    <row r="3003" spans="1:1" x14ac:dyDescent="0.45">
      <c r="A3003" s="3"/>
    </row>
    <row r="3004" spans="1:1" x14ac:dyDescent="0.45">
      <c r="A3004" s="3"/>
    </row>
    <row r="3005" spans="1:1" x14ac:dyDescent="0.45">
      <c r="A3005" s="3"/>
    </row>
    <row r="3006" spans="1:1" x14ac:dyDescent="0.45">
      <c r="A3006" s="3"/>
    </row>
    <row r="3007" spans="1:1" x14ac:dyDescent="0.45">
      <c r="A3007" s="3"/>
    </row>
    <row r="3008" spans="1:1" x14ac:dyDescent="0.45">
      <c r="A3008" s="3"/>
    </row>
    <row r="3009" spans="1:1" x14ac:dyDescent="0.45">
      <c r="A3009" s="3"/>
    </row>
    <row r="3010" spans="1:1" x14ac:dyDescent="0.45">
      <c r="A3010" s="3"/>
    </row>
    <row r="3011" spans="1:1" x14ac:dyDescent="0.45">
      <c r="A3011" s="3"/>
    </row>
    <row r="3012" spans="1:1" x14ac:dyDescent="0.45">
      <c r="A3012" s="3"/>
    </row>
    <row r="3013" spans="1:1" x14ac:dyDescent="0.45">
      <c r="A3013" s="3"/>
    </row>
    <row r="3014" spans="1:1" x14ac:dyDescent="0.45">
      <c r="A3014" s="3"/>
    </row>
    <row r="3015" spans="1:1" x14ac:dyDescent="0.45">
      <c r="A3015" s="3"/>
    </row>
    <row r="3016" spans="1:1" x14ac:dyDescent="0.45">
      <c r="A3016" s="3"/>
    </row>
    <row r="3017" spans="1:1" x14ac:dyDescent="0.45">
      <c r="A3017" s="3"/>
    </row>
    <row r="3018" spans="1:1" x14ac:dyDescent="0.45">
      <c r="A3018" s="3"/>
    </row>
    <row r="3019" spans="1:1" x14ac:dyDescent="0.45">
      <c r="A3019" s="3"/>
    </row>
    <row r="3020" spans="1:1" x14ac:dyDescent="0.45">
      <c r="A3020" s="3"/>
    </row>
    <row r="3021" spans="1:1" x14ac:dyDescent="0.45">
      <c r="A3021" s="3"/>
    </row>
    <row r="3022" spans="1:1" x14ac:dyDescent="0.45">
      <c r="A3022" s="3"/>
    </row>
    <row r="3023" spans="1:1" x14ac:dyDescent="0.45">
      <c r="A3023" s="3"/>
    </row>
    <row r="3024" spans="1:1" x14ac:dyDescent="0.45">
      <c r="A3024" s="3"/>
    </row>
    <row r="3025" spans="1:1" x14ac:dyDescent="0.45">
      <c r="A3025" s="3"/>
    </row>
    <row r="3026" spans="1:1" x14ac:dyDescent="0.45">
      <c r="A3026" s="3"/>
    </row>
    <row r="3027" spans="1:1" x14ac:dyDescent="0.45">
      <c r="A3027" s="3"/>
    </row>
    <row r="3028" spans="1:1" x14ac:dyDescent="0.45">
      <c r="A3028" s="3"/>
    </row>
    <row r="3029" spans="1:1" x14ac:dyDescent="0.45">
      <c r="A3029" s="3"/>
    </row>
    <row r="3030" spans="1:1" x14ac:dyDescent="0.45">
      <c r="A3030" s="3"/>
    </row>
    <row r="3031" spans="1:1" x14ac:dyDescent="0.45">
      <c r="A3031" s="3"/>
    </row>
    <row r="3032" spans="1:1" x14ac:dyDescent="0.45">
      <c r="A3032" s="3"/>
    </row>
    <row r="3033" spans="1:1" x14ac:dyDescent="0.45">
      <c r="A3033" s="3"/>
    </row>
    <row r="3034" spans="1:1" x14ac:dyDescent="0.45">
      <c r="A3034" s="3"/>
    </row>
    <row r="3035" spans="1:1" x14ac:dyDescent="0.45">
      <c r="A3035" s="3"/>
    </row>
    <row r="3036" spans="1:1" x14ac:dyDescent="0.45">
      <c r="A3036" s="3"/>
    </row>
    <row r="3037" spans="1:1" x14ac:dyDescent="0.45">
      <c r="A3037" s="3"/>
    </row>
    <row r="3038" spans="1:1" x14ac:dyDescent="0.45">
      <c r="A3038" s="3"/>
    </row>
    <row r="3039" spans="1:1" x14ac:dyDescent="0.45">
      <c r="A3039" s="3"/>
    </row>
    <row r="3040" spans="1:1" x14ac:dyDescent="0.45">
      <c r="A3040" s="3"/>
    </row>
    <row r="3041" spans="1:1" x14ac:dyDescent="0.45">
      <c r="A3041" s="3"/>
    </row>
    <row r="3042" spans="1:1" x14ac:dyDescent="0.45">
      <c r="A3042" s="3"/>
    </row>
    <row r="3043" spans="1:1" x14ac:dyDescent="0.45">
      <c r="A3043" s="3"/>
    </row>
    <row r="3044" spans="1:1" x14ac:dyDescent="0.45">
      <c r="A3044" s="3"/>
    </row>
    <row r="3045" spans="1:1" x14ac:dyDescent="0.45">
      <c r="A3045" s="3"/>
    </row>
    <row r="3046" spans="1:1" x14ac:dyDescent="0.45">
      <c r="A3046" s="3"/>
    </row>
    <row r="3047" spans="1:1" x14ac:dyDescent="0.45">
      <c r="A3047" s="3"/>
    </row>
    <row r="3048" spans="1:1" x14ac:dyDescent="0.45">
      <c r="A3048" s="3"/>
    </row>
    <row r="3049" spans="1:1" x14ac:dyDescent="0.45">
      <c r="A3049" s="3"/>
    </row>
    <row r="3050" spans="1:1" x14ac:dyDescent="0.45">
      <c r="A3050" s="3"/>
    </row>
    <row r="3051" spans="1:1" x14ac:dyDescent="0.45">
      <c r="A3051" s="3"/>
    </row>
    <row r="3052" spans="1:1" x14ac:dyDescent="0.45">
      <c r="A3052" s="3"/>
    </row>
    <row r="3053" spans="1:1" x14ac:dyDescent="0.45">
      <c r="A3053" s="3"/>
    </row>
    <row r="3054" spans="1:1" x14ac:dyDescent="0.45">
      <c r="A3054" s="3"/>
    </row>
    <row r="3055" spans="1:1" x14ac:dyDescent="0.45">
      <c r="A3055" s="3"/>
    </row>
    <row r="3056" spans="1:1" x14ac:dyDescent="0.45">
      <c r="A3056" s="3"/>
    </row>
    <row r="3057" spans="1:1" x14ac:dyDescent="0.45">
      <c r="A3057" s="3"/>
    </row>
    <row r="3058" spans="1:1" x14ac:dyDescent="0.45">
      <c r="A3058" s="3"/>
    </row>
    <row r="3059" spans="1:1" x14ac:dyDescent="0.45">
      <c r="A3059" s="3"/>
    </row>
    <row r="3060" spans="1:1" x14ac:dyDescent="0.45">
      <c r="A3060" s="3"/>
    </row>
    <row r="3061" spans="1:1" x14ac:dyDescent="0.45">
      <c r="A3061" s="3"/>
    </row>
    <row r="3062" spans="1:1" x14ac:dyDescent="0.45">
      <c r="A3062" s="3"/>
    </row>
    <row r="3063" spans="1:1" x14ac:dyDescent="0.45">
      <c r="A3063" s="3"/>
    </row>
    <row r="3064" spans="1:1" x14ac:dyDescent="0.45">
      <c r="A3064" s="3"/>
    </row>
    <row r="3065" spans="1:1" x14ac:dyDescent="0.45">
      <c r="A3065" s="3"/>
    </row>
    <row r="3066" spans="1:1" x14ac:dyDescent="0.45">
      <c r="A3066" s="3"/>
    </row>
    <row r="3067" spans="1:1" x14ac:dyDescent="0.45">
      <c r="A3067" s="3"/>
    </row>
    <row r="3068" spans="1:1" x14ac:dyDescent="0.45">
      <c r="A3068" s="3"/>
    </row>
    <row r="3069" spans="1:1" x14ac:dyDescent="0.45">
      <c r="A3069" s="3"/>
    </row>
    <row r="3070" spans="1:1" x14ac:dyDescent="0.45">
      <c r="A3070" s="3"/>
    </row>
    <row r="3071" spans="1:1" x14ac:dyDescent="0.45">
      <c r="A3071" s="3"/>
    </row>
    <row r="3072" spans="1:1" x14ac:dyDescent="0.45">
      <c r="A3072" s="3"/>
    </row>
    <row r="3073" spans="1:1" x14ac:dyDescent="0.45">
      <c r="A3073" s="3"/>
    </row>
    <row r="3074" spans="1:1" x14ac:dyDescent="0.45">
      <c r="A3074" s="3"/>
    </row>
    <row r="3075" spans="1:1" x14ac:dyDescent="0.45">
      <c r="A3075" s="3"/>
    </row>
    <row r="3076" spans="1:1" x14ac:dyDescent="0.45">
      <c r="A3076" s="3"/>
    </row>
    <row r="3077" spans="1:1" x14ac:dyDescent="0.45">
      <c r="A3077" s="3"/>
    </row>
    <row r="3078" spans="1:1" x14ac:dyDescent="0.45">
      <c r="A3078" s="3"/>
    </row>
    <row r="3079" spans="1:1" x14ac:dyDescent="0.45">
      <c r="A3079" s="3"/>
    </row>
    <row r="3080" spans="1:1" x14ac:dyDescent="0.45">
      <c r="A3080" s="3"/>
    </row>
    <row r="3081" spans="1:1" x14ac:dyDescent="0.45">
      <c r="A3081" s="3"/>
    </row>
    <row r="3082" spans="1:1" x14ac:dyDescent="0.45">
      <c r="A3082" s="3"/>
    </row>
    <row r="3083" spans="1:1" x14ac:dyDescent="0.45">
      <c r="A3083" s="3"/>
    </row>
    <row r="3084" spans="1:1" x14ac:dyDescent="0.45">
      <c r="A3084" s="3"/>
    </row>
    <row r="3085" spans="1:1" x14ac:dyDescent="0.45">
      <c r="A3085" s="3"/>
    </row>
    <row r="3086" spans="1:1" x14ac:dyDescent="0.45">
      <c r="A3086" s="3"/>
    </row>
    <row r="3087" spans="1:1" x14ac:dyDescent="0.45">
      <c r="A3087" s="3"/>
    </row>
    <row r="3088" spans="1:1" x14ac:dyDescent="0.45">
      <c r="A3088" s="3"/>
    </row>
    <row r="3089" spans="1:1" x14ac:dyDescent="0.45">
      <c r="A3089" s="3"/>
    </row>
    <row r="3090" spans="1:1" x14ac:dyDescent="0.45">
      <c r="A3090" s="3"/>
    </row>
    <row r="3091" spans="1:1" x14ac:dyDescent="0.45">
      <c r="A3091" s="3"/>
    </row>
    <row r="3092" spans="1:1" x14ac:dyDescent="0.45">
      <c r="A3092" s="3"/>
    </row>
    <row r="3093" spans="1:1" x14ac:dyDescent="0.45">
      <c r="A3093" s="3"/>
    </row>
    <row r="3094" spans="1:1" x14ac:dyDescent="0.45">
      <c r="A3094" s="3"/>
    </row>
    <row r="3095" spans="1:1" x14ac:dyDescent="0.45">
      <c r="A3095" s="3"/>
    </row>
    <row r="3096" spans="1:1" x14ac:dyDescent="0.45">
      <c r="A3096" s="3"/>
    </row>
    <row r="3097" spans="1:1" x14ac:dyDescent="0.45">
      <c r="A3097" s="3"/>
    </row>
    <row r="3098" spans="1:1" x14ac:dyDescent="0.45">
      <c r="A3098" s="3"/>
    </row>
    <row r="3099" spans="1:1" x14ac:dyDescent="0.45">
      <c r="A3099" s="3"/>
    </row>
    <row r="3100" spans="1:1" x14ac:dyDescent="0.45">
      <c r="A3100" s="3"/>
    </row>
    <row r="3101" spans="1:1" x14ac:dyDescent="0.45">
      <c r="A3101" s="3"/>
    </row>
    <row r="3102" spans="1:1" x14ac:dyDescent="0.45">
      <c r="A3102" s="3"/>
    </row>
    <row r="3103" spans="1:1" x14ac:dyDescent="0.45">
      <c r="A3103" s="3"/>
    </row>
    <row r="3104" spans="1:1" x14ac:dyDescent="0.45">
      <c r="A3104" s="3"/>
    </row>
    <row r="3105" spans="1:1" x14ac:dyDescent="0.45">
      <c r="A3105" s="3"/>
    </row>
    <row r="3106" spans="1:1" x14ac:dyDescent="0.45">
      <c r="A3106" s="3"/>
    </row>
    <row r="3107" spans="1:1" x14ac:dyDescent="0.45">
      <c r="A3107" s="3"/>
    </row>
    <row r="3108" spans="1:1" x14ac:dyDescent="0.45">
      <c r="A3108" s="3"/>
    </row>
    <row r="3109" spans="1:1" x14ac:dyDescent="0.45">
      <c r="A3109" s="3"/>
    </row>
    <row r="3110" spans="1:1" x14ac:dyDescent="0.45">
      <c r="A3110" s="3"/>
    </row>
    <row r="3111" spans="1:1" x14ac:dyDescent="0.45">
      <c r="A3111" s="3"/>
    </row>
    <row r="3112" spans="1:1" x14ac:dyDescent="0.45">
      <c r="A3112" s="3"/>
    </row>
    <row r="3113" spans="1:1" x14ac:dyDescent="0.45">
      <c r="A3113" s="3"/>
    </row>
    <row r="3114" spans="1:1" x14ac:dyDescent="0.45">
      <c r="A3114" s="3"/>
    </row>
    <row r="3115" spans="1:1" x14ac:dyDescent="0.45">
      <c r="A3115" s="3"/>
    </row>
    <row r="3116" spans="1:1" x14ac:dyDescent="0.45">
      <c r="A3116" s="3"/>
    </row>
    <row r="3117" spans="1:1" x14ac:dyDescent="0.45">
      <c r="A3117" s="3"/>
    </row>
    <row r="3118" spans="1:1" x14ac:dyDescent="0.45">
      <c r="A3118" s="3"/>
    </row>
    <row r="3119" spans="1:1" x14ac:dyDescent="0.45">
      <c r="A3119" s="3"/>
    </row>
    <row r="3120" spans="1:1" x14ac:dyDescent="0.45">
      <c r="A3120" s="3"/>
    </row>
    <row r="3121" spans="1:1" x14ac:dyDescent="0.45">
      <c r="A3121" s="3"/>
    </row>
    <row r="3122" spans="1:1" x14ac:dyDescent="0.45">
      <c r="A3122" s="3"/>
    </row>
    <row r="3123" spans="1:1" x14ac:dyDescent="0.45">
      <c r="A3123" s="3"/>
    </row>
    <row r="3124" spans="1:1" x14ac:dyDescent="0.45">
      <c r="A3124" s="3"/>
    </row>
    <row r="3125" spans="1:1" x14ac:dyDescent="0.45">
      <c r="A3125" s="3"/>
    </row>
    <row r="3126" spans="1:1" x14ac:dyDescent="0.45">
      <c r="A3126" s="3"/>
    </row>
    <row r="3127" spans="1:1" x14ac:dyDescent="0.45">
      <c r="A3127" s="3"/>
    </row>
    <row r="3128" spans="1:1" x14ac:dyDescent="0.45">
      <c r="A3128" s="3"/>
    </row>
    <row r="3129" spans="1:1" x14ac:dyDescent="0.45">
      <c r="A3129" s="3"/>
    </row>
    <row r="3130" spans="1:1" x14ac:dyDescent="0.45">
      <c r="A3130" s="3"/>
    </row>
    <row r="3131" spans="1:1" x14ac:dyDescent="0.45">
      <c r="A3131" s="3"/>
    </row>
    <row r="3132" spans="1:1" x14ac:dyDescent="0.45">
      <c r="A3132" s="3"/>
    </row>
    <row r="3133" spans="1:1" x14ac:dyDescent="0.45">
      <c r="A3133" s="3"/>
    </row>
    <row r="3134" spans="1:1" x14ac:dyDescent="0.45">
      <c r="A3134" s="3"/>
    </row>
    <row r="3135" spans="1:1" x14ac:dyDescent="0.45">
      <c r="A3135" s="3"/>
    </row>
    <row r="3136" spans="1:1" x14ac:dyDescent="0.45">
      <c r="A3136" s="3"/>
    </row>
    <row r="3137" spans="1:1" x14ac:dyDescent="0.45">
      <c r="A3137" s="3"/>
    </row>
    <row r="3138" spans="1:1" x14ac:dyDescent="0.45">
      <c r="A3138" s="3"/>
    </row>
    <row r="3139" spans="1:1" x14ac:dyDescent="0.45">
      <c r="A3139" s="3"/>
    </row>
    <row r="3140" spans="1:1" x14ac:dyDescent="0.45">
      <c r="A3140" s="3"/>
    </row>
    <row r="3141" spans="1:1" x14ac:dyDescent="0.45">
      <c r="A3141" s="3"/>
    </row>
    <row r="3142" spans="1:1" x14ac:dyDescent="0.45">
      <c r="A3142" s="3"/>
    </row>
    <row r="3143" spans="1:1" x14ac:dyDescent="0.45">
      <c r="A3143" s="3"/>
    </row>
    <row r="3144" spans="1:1" x14ac:dyDescent="0.45">
      <c r="A3144" s="3"/>
    </row>
    <row r="3145" spans="1:1" x14ac:dyDescent="0.45">
      <c r="A3145" s="3"/>
    </row>
    <row r="3146" spans="1:1" x14ac:dyDescent="0.45">
      <c r="A3146" s="3"/>
    </row>
    <row r="3147" spans="1:1" x14ac:dyDescent="0.45">
      <c r="A3147" s="3"/>
    </row>
    <row r="3148" spans="1:1" x14ac:dyDescent="0.45">
      <c r="A3148" s="3"/>
    </row>
    <row r="3149" spans="1:1" x14ac:dyDescent="0.45">
      <c r="A3149" s="3"/>
    </row>
    <row r="3150" spans="1:1" x14ac:dyDescent="0.45">
      <c r="A3150" s="3"/>
    </row>
    <row r="3151" spans="1:1" x14ac:dyDescent="0.45">
      <c r="A3151" s="3"/>
    </row>
    <row r="3152" spans="1:1" x14ac:dyDescent="0.45">
      <c r="A3152" s="3"/>
    </row>
    <row r="3153" spans="1:1" x14ac:dyDescent="0.45">
      <c r="A3153" s="3"/>
    </row>
    <row r="3154" spans="1:1" x14ac:dyDescent="0.45">
      <c r="A3154" s="3"/>
    </row>
    <row r="3155" spans="1:1" x14ac:dyDescent="0.45">
      <c r="A3155" s="3"/>
    </row>
    <row r="3156" spans="1:1" x14ac:dyDescent="0.45">
      <c r="A3156" s="3"/>
    </row>
    <row r="3157" spans="1:1" x14ac:dyDescent="0.45">
      <c r="A3157" s="3"/>
    </row>
    <row r="3158" spans="1:1" x14ac:dyDescent="0.45">
      <c r="A3158" s="3"/>
    </row>
    <row r="3159" spans="1:1" x14ac:dyDescent="0.45">
      <c r="A3159" s="3"/>
    </row>
    <row r="3160" spans="1:1" x14ac:dyDescent="0.45">
      <c r="A3160" s="3"/>
    </row>
    <row r="3161" spans="1:1" x14ac:dyDescent="0.45">
      <c r="A3161" s="3"/>
    </row>
    <row r="3162" spans="1:1" x14ac:dyDescent="0.45">
      <c r="A3162" s="3"/>
    </row>
    <row r="3163" spans="1:1" x14ac:dyDescent="0.45">
      <c r="A3163" s="3"/>
    </row>
    <row r="3164" spans="1:1" x14ac:dyDescent="0.45">
      <c r="A3164" s="3"/>
    </row>
    <row r="3165" spans="1:1" x14ac:dyDescent="0.45">
      <c r="A3165" s="3"/>
    </row>
    <row r="3166" spans="1:1" x14ac:dyDescent="0.45">
      <c r="A3166" s="3"/>
    </row>
    <row r="3167" spans="1:1" x14ac:dyDescent="0.45">
      <c r="A3167" s="3"/>
    </row>
    <row r="3168" spans="1:1" x14ac:dyDescent="0.45">
      <c r="A3168" s="3"/>
    </row>
    <row r="3169" spans="1:1" x14ac:dyDescent="0.45">
      <c r="A3169" s="3"/>
    </row>
    <row r="3170" spans="1:1" x14ac:dyDescent="0.45">
      <c r="A3170" s="3"/>
    </row>
    <row r="3171" spans="1:1" x14ac:dyDescent="0.45">
      <c r="A3171" s="3"/>
    </row>
    <row r="3172" spans="1:1" x14ac:dyDescent="0.45">
      <c r="A3172" s="3"/>
    </row>
    <row r="3173" spans="1:1" x14ac:dyDescent="0.45">
      <c r="A3173" s="3"/>
    </row>
    <row r="3174" spans="1:1" x14ac:dyDescent="0.45">
      <c r="A3174" s="3"/>
    </row>
    <row r="3175" spans="1:1" x14ac:dyDescent="0.45">
      <c r="A3175" s="3"/>
    </row>
    <row r="3176" spans="1:1" x14ac:dyDescent="0.45">
      <c r="A3176" s="3"/>
    </row>
    <row r="3177" spans="1:1" x14ac:dyDescent="0.45">
      <c r="A3177" s="3"/>
    </row>
    <row r="3178" spans="1:1" x14ac:dyDescent="0.45">
      <c r="A3178" s="3"/>
    </row>
    <row r="3179" spans="1:1" x14ac:dyDescent="0.45">
      <c r="A3179" s="3"/>
    </row>
    <row r="3180" spans="1:1" x14ac:dyDescent="0.45">
      <c r="A3180" s="3"/>
    </row>
    <row r="3181" spans="1:1" x14ac:dyDescent="0.45">
      <c r="A3181" s="3"/>
    </row>
    <row r="3182" spans="1:1" x14ac:dyDescent="0.45">
      <c r="A3182" s="3"/>
    </row>
    <row r="3183" spans="1:1" x14ac:dyDescent="0.45">
      <c r="A3183" s="3"/>
    </row>
    <row r="3184" spans="1:1" x14ac:dyDescent="0.45">
      <c r="A3184" s="3"/>
    </row>
    <row r="3185" spans="1:1" x14ac:dyDescent="0.45">
      <c r="A3185" s="3"/>
    </row>
    <row r="3186" spans="1:1" x14ac:dyDescent="0.45">
      <c r="A3186" s="3"/>
    </row>
    <row r="3187" spans="1:1" x14ac:dyDescent="0.45">
      <c r="A3187" s="3"/>
    </row>
    <row r="3188" spans="1:1" x14ac:dyDescent="0.45">
      <c r="A3188" s="3"/>
    </row>
    <row r="3189" spans="1:1" x14ac:dyDescent="0.45">
      <c r="A3189" s="3"/>
    </row>
    <row r="3190" spans="1:1" x14ac:dyDescent="0.45">
      <c r="A3190" s="3"/>
    </row>
    <row r="3191" spans="1:1" x14ac:dyDescent="0.45">
      <c r="A3191" s="3"/>
    </row>
    <row r="3192" spans="1:1" x14ac:dyDescent="0.45">
      <c r="A3192" s="3"/>
    </row>
    <row r="3193" spans="1:1" x14ac:dyDescent="0.45">
      <c r="A3193" s="3"/>
    </row>
    <row r="3194" spans="1:1" x14ac:dyDescent="0.45">
      <c r="A3194" s="3"/>
    </row>
    <row r="3195" spans="1:1" x14ac:dyDescent="0.45">
      <c r="A3195" s="3"/>
    </row>
    <row r="3196" spans="1:1" x14ac:dyDescent="0.45">
      <c r="A3196" s="3"/>
    </row>
    <row r="3197" spans="1:1" x14ac:dyDescent="0.45">
      <c r="A3197" s="3"/>
    </row>
    <row r="3198" spans="1:1" x14ac:dyDescent="0.45">
      <c r="A3198" s="3"/>
    </row>
    <row r="3199" spans="1:1" x14ac:dyDescent="0.45">
      <c r="A3199" s="3"/>
    </row>
    <row r="3200" spans="1:1" x14ac:dyDescent="0.45">
      <c r="A3200" s="3"/>
    </row>
    <row r="3201" spans="1:1" x14ac:dyDescent="0.45">
      <c r="A3201" s="3"/>
    </row>
    <row r="3202" spans="1:1" x14ac:dyDescent="0.45">
      <c r="A3202" s="3"/>
    </row>
    <row r="3203" spans="1:1" x14ac:dyDescent="0.45">
      <c r="A3203" s="3"/>
    </row>
    <row r="3204" spans="1:1" x14ac:dyDescent="0.45">
      <c r="A3204" s="3"/>
    </row>
    <row r="3205" spans="1:1" x14ac:dyDescent="0.45">
      <c r="A3205" s="3"/>
    </row>
    <row r="3206" spans="1:1" x14ac:dyDescent="0.45">
      <c r="A3206" s="3"/>
    </row>
    <row r="3207" spans="1:1" x14ac:dyDescent="0.45">
      <c r="A3207" s="3"/>
    </row>
    <row r="3208" spans="1:1" x14ac:dyDescent="0.45">
      <c r="A3208" s="3"/>
    </row>
    <row r="3209" spans="1:1" x14ac:dyDescent="0.45">
      <c r="A3209" s="3"/>
    </row>
    <row r="3210" spans="1:1" x14ac:dyDescent="0.45">
      <c r="A3210" s="3"/>
    </row>
    <row r="3211" spans="1:1" x14ac:dyDescent="0.45">
      <c r="A3211" s="3"/>
    </row>
    <row r="3212" spans="1:1" x14ac:dyDescent="0.45">
      <c r="A3212" s="3"/>
    </row>
    <row r="3213" spans="1:1" x14ac:dyDescent="0.45">
      <c r="A3213" s="3"/>
    </row>
    <row r="3214" spans="1:1" x14ac:dyDescent="0.45">
      <c r="A3214" s="3"/>
    </row>
    <row r="3215" spans="1:1" x14ac:dyDescent="0.45">
      <c r="A3215" s="3"/>
    </row>
    <row r="3216" spans="1:1" x14ac:dyDescent="0.45">
      <c r="A3216" s="3"/>
    </row>
    <row r="3217" spans="1:1" x14ac:dyDescent="0.45">
      <c r="A3217" s="3"/>
    </row>
    <row r="3218" spans="1:1" x14ac:dyDescent="0.45">
      <c r="A3218" s="3"/>
    </row>
    <row r="3219" spans="1:1" x14ac:dyDescent="0.45">
      <c r="A3219" s="3"/>
    </row>
    <row r="3220" spans="1:1" x14ac:dyDescent="0.45">
      <c r="A3220" s="3"/>
    </row>
    <row r="3221" spans="1:1" x14ac:dyDescent="0.45">
      <c r="A3221" s="3"/>
    </row>
    <row r="3222" spans="1:1" x14ac:dyDescent="0.45">
      <c r="A3222" s="3"/>
    </row>
    <row r="3223" spans="1:1" x14ac:dyDescent="0.45">
      <c r="A3223" s="3"/>
    </row>
    <row r="3224" spans="1:1" x14ac:dyDescent="0.45">
      <c r="A3224" s="3"/>
    </row>
    <row r="3225" spans="1:1" x14ac:dyDescent="0.45">
      <c r="A3225" s="3"/>
    </row>
    <row r="3226" spans="1:1" x14ac:dyDescent="0.45">
      <c r="A3226" s="3"/>
    </row>
    <row r="3227" spans="1:1" x14ac:dyDescent="0.45">
      <c r="A3227" s="3"/>
    </row>
    <row r="3228" spans="1:1" x14ac:dyDescent="0.45">
      <c r="A3228" s="3"/>
    </row>
    <row r="3229" spans="1:1" x14ac:dyDescent="0.45">
      <c r="A3229" s="3"/>
    </row>
    <row r="3230" spans="1:1" x14ac:dyDescent="0.45">
      <c r="A3230" s="3"/>
    </row>
    <row r="3231" spans="1:1" x14ac:dyDescent="0.45">
      <c r="A3231" s="3"/>
    </row>
    <row r="3232" spans="1:1" x14ac:dyDescent="0.45">
      <c r="A3232" s="3"/>
    </row>
    <row r="3233" spans="1:1" x14ac:dyDescent="0.45">
      <c r="A3233" s="3"/>
    </row>
    <row r="3234" spans="1:1" x14ac:dyDescent="0.45">
      <c r="A3234" s="3"/>
    </row>
    <row r="3235" spans="1:1" x14ac:dyDescent="0.45">
      <c r="A3235" s="3"/>
    </row>
    <row r="3236" spans="1:1" x14ac:dyDescent="0.45">
      <c r="A3236" s="3"/>
    </row>
    <row r="3237" spans="1:1" x14ac:dyDescent="0.45">
      <c r="A3237" s="3"/>
    </row>
    <row r="3238" spans="1:1" x14ac:dyDescent="0.45">
      <c r="A3238" s="3"/>
    </row>
    <row r="3239" spans="1:1" x14ac:dyDescent="0.45">
      <c r="A3239" s="3"/>
    </row>
    <row r="3240" spans="1:1" x14ac:dyDescent="0.45">
      <c r="A3240" s="3"/>
    </row>
    <row r="3241" spans="1:1" x14ac:dyDescent="0.45">
      <c r="A3241" s="3"/>
    </row>
    <row r="3242" spans="1:1" x14ac:dyDescent="0.45">
      <c r="A3242" s="3"/>
    </row>
    <row r="3243" spans="1:1" x14ac:dyDescent="0.45">
      <c r="A3243" s="3"/>
    </row>
    <row r="3244" spans="1:1" x14ac:dyDescent="0.45">
      <c r="A3244" s="3"/>
    </row>
    <row r="3245" spans="1:1" x14ac:dyDescent="0.45">
      <c r="A3245" s="3"/>
    </row>
    <row r="3246" spans="1:1" x14ac:dyDescent="0.45">
      <c r="A3246" s="3"/>
    </row>
    <row r="3247" spans="1:1" x14ac:dyDescent="0.45">
      <c r="A3247" s="3"/>
    </row>
    <row r="3248" spans="1:1" x14ac:dyDescent="0.45">
      <c r="A3248" s="3"/>
    </row>
    <row r="3249" spans="1:1" x14ac:dyDescent="0.45">
      <c r="A3249" s="3"/>
    </row>
    <row r="3250" spans="1:1" x14ac:dyDescent="0.45">
      <c r="A3250" s="3"/>
    </row>
    <row r="3251" spans="1:1" x14ac:dyDescent="0.45">
      <c r="A3251" s="3"/>
    </row>
    <row r="3252" spans="1:1" x14ac:dyDescent="0.45">
      <c r="A3252" s="3"/>
    </row>
    <row r="3253" spans="1:1" x14ac:dyDescent="0.45">
      <c r="A3253" s="3"/>
    </row>
    <row r="3254" spans="1:1" x14ac:dyDescent="0.45">
      <c r="A3254" s="3"/>
    </row>
    <row r="3255" spans="1:1" x14ac:dyDescent="0.45">
      <c r="A3255" s="3"/>
    </row>
    <row r="3256" spans="1:1" x14ac:dyDescent="0.45">
      <c r="A3256" s="3"/>
    </row>
    <row r="3257" spans="1:1" x14ac:dyDescent="0.45">
      <c r="A3257" s="3"/>
    </row>
    <row r="3258" spans="1:1" x14ac:dyDescent="0.45">
      <c r="A3258" s="3"/>
    </row>
    <row r="3259" spans="1:1" x14ac:dyDescent="0.45">
      <c r="A3259" s="3"/>
    </row>
    <row r="3260" spans="1:1" x14ac:dyDescent="0.45">
      <c r="A3260" s="3"/>
    </row>
    <row r="3261" spans="1:1" x14ac:dyDescent="0.45">
      <c r="A3261" s="3"/>
    </row>
    <row r="3262" spans="1:1" x14ac:dyDescent="0.45">
      <c r="A3262" s="3"/>
    </row>
    <row r="3263" spans="1:1" x14ac:dyDescent="0.45">
      <c r="A3263" s="3"/>
    </row>
    <row r="3264" spans="1:1" x14ac:dyDescent="0.45">
      <c r="A3264" s="3"/>
    </row>
    <row r="3265" spans="1:1" x14ac:dyDescent="0.45">
      <c r="A3265" s="3"/>
    </row>
    <row r="3266" spans="1:1" x14ac:dyDescent="0.45">
      <c r="A3266" s="3"/>
    </row>
    <row r="3267" spans="1:1" x14ac:dyDescent="0.45">
      <c r="A3267" s="3"/>
    </row>
    <row r="3268" spans="1:1" x14ac:dyDescent="0.45">
      <c r="A3268" s="3"/>
    </row>
    <row r="3269" spans="1:1" x14ac:dyDescent="0.45">
      <c r="A3269" s="3"/>
    </row>
    <row r="3270" spans="1:1" x14ac:dyDescent="0.45">
      <c r="A3270" s="3"/>
    </row>
    <row r="3271" spans="1:1" x14ac:dyDescent="0.45">
      <c r="A3271" s="3"/>
    </row>
    <row r="3272" spans="1:1" x14ac:dyDescent="0.45">
      <c r="A3272" s="3"/>
    </row>
    <row r="3273" spans="1:1" x14ac:dyDescent="0.45">
      <c r="A3273" s="3"/>
    </row>
    <row r="3274" spans="1:1" x14ac:dyDescent="0.45">
      <c r="A3274" s="3"/>
    </row>
    <row r="3275" spans="1:1" x14ac:dyDescent="0.45">
      <c r="A3275" s="3"/>
    </row>
    <row r="3276" spans="1:1" x14ac:dyDescent="0.45">
      <c r="A3276" s="3"/>
    </row>
    <row r="3277" spans="1:1" x14ac:dyDescent="0.45">
      <c r="A3277" s="3"/>
    </row>
    <row r="3278" spans="1:1" x14ac:dyDescent="0.45">
      <c r="A3278" s="3"/>
    </row>
    <row r="3279" spans="1:1" x14ac:dyDescent="0.45">
      <c r="A3279" s="3"/>
    </row>
    <row r="3280" spans="1:1" x14ac:dyDescent="0.45">
      <c r="A3280" s="3"/>
    </row>
    <row r="3281" spans="1:1" x14ac:dyDescent="0.45">
      <c r="A3281" s="3"/>
    </row>
    <row r="3282" spans="1:1" x14ac:dyDescent="0.45">
      <c r="A3282" s="3"/>
    </row>
    <row r="3283" spans="1:1" x14ac:dyDescent="0.45">
      <c r="A3283" s="3"/>
    </row>
    <row r="3284" spans="1:1" x14ac:dyDescent="0.45">
      <c r="A3284" s="3"/>
    </row>
    <row r="3285" spans="1:1" x14ac:dyDescent="0.45">
      <c r="A3285" s="3"/>
    </row>
    <row r="3286" spans="1:1" x14ac:dyDescent="0.45">
      <c r="A3286" s="3"/>
    </row>
    <row r="3287" spans="1:1" x14ac:dyDescent="0.45">
      <c r="A3287" s="3"/>
    </row>
    <row r="3288" spans="1:1" x14ac:dyDescent="0.45">
      <c r="A3288" s="3"/>
    </row>
    <row r="3289" spans="1:1" x14ac:dyDescent="0.45">
      <c r="A3289" s="3"/>
    </row>
    <row r="3290" spans="1:1" x14ac:dyDescent="0.45">
      <c r="A3290" s="3"/>
    </row>
    <row r="3291" spans="1:1" x14ac:dyDescent="0.45">
      <c r="A3291" s="3"/>
    </row>
    <row r="3292" spans="1:1" x14ac:dyDescent="0.45">
      <c r="A3292" s="3"/>
    </row>
    <row r="3293" spans="1:1" x14ac:dyDescent="0.45">
      <c r="A3293" s="3"/>
    </row>
    <row r="3294" spans="1:1" x14ac:dyDescent="0.45">
      <c r="A3294" s="3"/>
    </row>
    <row r="3295" spans="1:1" x14ac:dyDescent="0.45">
      <c r="A3295" s="3"/>
    </row>
    <row r="3296" spans="1:1" x14ac:dyDescent="0.45">
      <c r="A3296" s="3"/>
    </row>
    <row r="3297" spans="1:1" x14ac:dyDescent="0.45">
      <c r="A3297" s="3"/>
    </row>
    <row r="3298" spans="1:1" x14ac:dyDescent="0.45">
      <c r="A3298" s="3"/>
    </row>
    <row r="3299" spans="1:1" x14ac:dyDescent="0.45">
      <c r="A3299" s="3"/>
    </row>
    <row r="3300" spans="1:1" x14ac:dyDescent="0.45">
      <c r="A3300" s="3"/>
    </row>
    <row r="3301" spans="1:1" x14ac:dyDescent="0.45">
      <c r="A3301" s="3"/>
    </row>
    <row r="3302" spans="1:1" x14ac:dyDescent="0.45">
      <c r="A3302" s="3"/>
    </row>
    <row r="3303" spans="1:1" x14ac:dyDescent="0.45">
      <c r="A3303" s="3"/>
    </row>
    <row r="3304" spans="1:1" x14ac:dyDescent="0.45">
      <c r="A3304" s="3"/>
    </row>
    <row r="3305" spans="1:1" x14ac:dyDescent="0.45">
      <c r="A3305" s="3"/>
    </row>
    <row r="3306" spans="1:1" x14ac:dyDescent="0.45">
      <c r="A3306" s="3"/>
    </row>
    <row r="3307" spans="1:1" x14ac:dyDescent="0.45">
      <c r="A3307" s="3"/>
    </row>
    <row r="3308" spans="1:1" x14ac:dyDescent="0.45">
      <c r="A3308" s="3"/>
    </row>
    <row r="3309" spans="1:1" x14ac:dyDescent="0.45">
      <c r="A3309" s="3"/>
    </row>
    <row r="3310" spans="1:1" x14ac:dyDescent="0.45">
      <c r="A3310" s="3"/>
    </row>
    <row r="3311" spans="1:1" x14ac:dyDescent="0.45">
      <c r="A3311" s="3"/>
    </row>
    <row r="3312" spans="1:1" x14ac:dyDescent="0.45">
      <c r="A3312" s="3"/>
    </row>
    <row r="3313" spans="1:1" x14ac:dyDescent="0.45">
      <c r="A3313" s="3"/>
    </row>
    <row r="3314" spans="1:1" x14ac:dyDescent="0.45">
      <c r="A3314" s="3"/>
    </row>
    <row r="3315" spans="1:1" x14ac:dyDescent="0.45">
      <c r="A3315" s="3"/>
    </row>
    <row r="3316" spans="1:1" x14ac:dyDescent="0.45">
      <c r="A3316" s="3"/>
    </row>
    <row r="3317" spans="1:1" x14ac:dyDescent="0.45">
      <c r="A3317" s="3"/>
    </row>
    <row r="3318" spans="1:1" x14ac:dyDescent="0.45">
      <c r="A3318" s="3"/>
    </row>
    <row r="3319" spans="1:1" x14ac:dyDescent="0.45">
      <c r="A3319" s="3"/>
    </row>
    <row r="3320" spans="1:1" x14ac:dyDescent="0.45">
      <c r="A3320" s="3"/>
    </row>
    <row r="3321" spans="1:1" x14ac:dyDescent="0.45">
      <c r="A3321" s="3"/>
    </row>
    <row r="3322" spans="1:1" x14ac:dyDescent="0.45">
      <c r="A3322" s="3"/>
    </row>
    <row r="3323" spans="1:1" x14ac:dyDescent="0.45">
      <c r="A3323" s="3"/>
    </row>
    <row r="3324" spans="1:1" x14ac:dyDescent="0.45">
      <c r="A3324" s="3"/>
    </row>
    <row r="3325" spans="1:1" x14ac:dyDescent="0.45">
      <c r="A3325" s="3"/>
    </row>
    <row r="3326" spans="1:1" x14ac:dyDescent="0.45">
      <c r="A3326" s="3"/>
    </row>
    <row r="3327" spans="1:1" x14ac:dyDescent="0.45">
      <c r="A3327" s="3"/>
    </row>
    <row r="3328" spans="1:1" x14ac:dyDescent="0.45">
      <c r="A3328" s="3"/>
    </row>
    <row r="3329" spans="1:1" x14ac:dyDescent="0.45">
      <c r="A3329" s="3"/>
    </row>
    <row r="3330" spans="1:1" x14ac:dyDescent="0.45">
      <c r="A3330" s="3"/>
    </row>
    <row r="3331" spans="1:1" x14ac:dyDescent="0.45">
      <c r="A3331" s="3"/>
    </row>
    <row r="3332" spans="1:1" x14ac:dyDescent="0.45">
      <c r="A3332" s="3"/>
    </row>
    <row r="3333" spans="1:1" x14ac:dyDescent="0.45">
      <c r="A3333" s="3"/>
    </row>
    <row r="3334" spans="1:1" x14ac:dyDescent="0.45">
      <c r="A3334" s="3"/>
    </row>
    <row r="3335" spans="1:1" x14ac:dyDescent="0.45">
      <c r="A3335" s="3"/>
    </row>
    <row r="3336" spans="1:1" x14ac:dyDescent="0.45">
      <c r="A3336" s="3"/>
    </row>
    <row r="3337" spans="1:1" x14ac:dyDescent="0.45">
      <c r="A3337" s="3"/>
    </row>
    <row r="3338" spans="1:1" x14ac:dyDescent="0.45">
      <c r="A3338" s="3"/>
    </row>
    <row r="3339" spans="1:1" x14ac:dyDescent="0.45">
      <c r="A3339" s="3"/>
    </row>
    <row r="3340" spans="1:1" x14ac:dyDescent="0.45">
      <c r="A3340" s="3"/>
    </row>
    <row r="3341" spans="1:1" x14ac:dyDescent="0.45">
      <c r="A3341" s="3"/>
    </row>
    <row r="3342" spans="1:1" x14ac:dyDescent="0.45">
      <c r="A3342" s="3"/>
    </row>
    <row r="3343" spans="1:1" x14ac:dyDescent="0.45">
      <c r="A3343" s="3"/>
    </row>
    <row r="3344" spans="1:1" x14ac:dyDescent="0.45">
      <c r="A3344" s="3"/>
    </row>
    <row r="3345" spans="1:1" x14ac:dyDescent="0.45">
      <c r="A3345" s="3"/>
    </row>
    <row r="3346" spans="1:1" x14ac:dyDescent="0.45">
      <c r="A3346" s="3"/>
    </row>
    <row r="3347" spans="1:1" x14ac:dyDescent="0.45">
      <c r="A3347" s="3"/>
    </row>
    <row r="3348" spans="1:1" x14ac:dyDescent="0.45">
      <c r="A3348" s="3"/>
    </row>
    <row r="3349" spans="1:1" x14ac:dyDescent="0.45">
      <c r="A3349" s="3"/>
    </row>
    <row r="3350" spans="1:1" x14ac:dyDescent="0.45">
      <c r="A3350" s="3"/>
    </row>
    <row r="3351" spans="1:1" x14ac:dyDescent="0.45">
      <c r="A3351" s="3"/>
    </row>
    <row r="3352" spans="1:1" x14ac:dyDescent="0.45">
      <c r="A3352" s="3"/>
    </row>
    <row r="3353" spans="1:1" x14ac:dyDescent="0.45">
      <c r="A3353" s="3"/>
    </row>
    <row r="3354" spans="1:1" x14ac:dyDescent="0.45">
      <c r="A3354" s="3"/>
    </row>
    <row r="3355" spans="1:1" x14ac:dyDescent="0.45">
      <c r="A3355" s="3"/>
    </row>
    <row r="3356" spans="1:1" x14ac:dyDescent="0.45">
      <c r="A3356" s="3"/>
    </row>
    <row r="3357" spans="1:1" x14ac:dyDescent="0.45">
      <c r="A3357" s="3"/>
    </row>
    <row r="3358" spans="1:1" x14ac:dyDescent="0.45">
      <c r="A3358" s="3"/>
    </row>
    <row r="3359" spans="1:1" x14ac:dyDescent="0.45">
      <c r="A3359" s="3"/>
    </row>
    <row r="3360" spans="1:1" x14ac:dyDescent="0.45">
      <c r="A3360" s="3"/>
    </row>
    <row r="3361" spans="1:1" x14ac:dyDescent="0.45">
      <c r="A3361" s="3"/>
    </row>
    <row r="3362" spans="1:1" x14ac:dyDescent="0.45">
      <c r="A3362" s="3"/>
    </row>
    <row r="3363" spans="1:1" x14ac:dyDescent="0.45">
      <c r="A3363" s="3"/>
    </row>
    <row r="3364" spans="1:1" x14ac:dyDescent="0.45">
      <c r="A3364" s="3"/>
    </row>
    <row r="3365" spans="1:1" x14ac:dyDescent="0.45">
      <c r="A3365" s="3"/>
    </row>
    <row r="3366" spans="1:1" x14ac:dyDescent="0.45">
      <c r="A3366" s="3"/>
    </row>
    <row r="3367" spans="1:1" x14ac:dyDescent="0.45">
      <c r="A3367" s="3"/>
    </row>
    <row r="3368" spans="1:1" x14ac:dyDescent="0.45">
      <c r="A3368" s="3"/>
    </row>
    <row r="3369" spans="1:1" x14ac:dyDescent="0.45">
      <c r="A3369" s="3"/>
    </row>
    <row r="3370" spans="1:1" x14ac:dyDescent="0.45">
      <c r="A3370" s="3"/>
    </row>
    <row r="3371" spans="1:1" x14ac:dyDescent="0.45">
      <c r="A3371" s="3"/>
    </row>
    <row r="3372" spans="1:1" x14ac:dyDescent="0.45">
      <c r="A3372" s="3"/>
    </row>
    <row r="3373" spans="1:1" x14ac:dyDescent="0.45">
      <c r="A3373" s="3"/>
    </row>
    <row r="3374" spans="1:1" x14ac:dyDescent="0.45">
      <c r="A3374" s="3"/>
    </row>
    <row r="3375" spans="1:1" x14ac:dyDescent="0.45">
      <c r="A3375" s="3"/>
    </row>
    <row r="3376" spans="1:1" x14ac:dyDescent="0.45">
      <c r="A3376" s="3"/>
    </row>
    <row r="3377" spans="1:1" x14ac:dyDescent="0.45">
      <c r="A3377" s="3"/>
    </row>
    <row r="3378" spans="1:1" x14ac:dyDescent="0.45">
      <c r="A3378" s="3"/>
    </row>
    <row r="3379" spans="1:1" x14ac:dyDescent="0.45">
      <c r="A3379" s="3"/>
    </row>
    <row r="3380" spans="1:1" x14ac:dyDescent="0.45">
      <c r="A3380" s="3"/>
    </row>
    <row r="3381" spans="1:1" x14ac:dyDescent="0.45">
      <c r="A3381" s="3"/>
    </row>
    <row r="3382" spans="1:1" x14ac:dyDescent="0.45">
      <c r="A3382" s="3"/>
    </row>
    <row r="3383" spans="1:1" x14ac:dyDescent="0.45">
      <c r="A3383" s="3"/>
    </row>
    <row r="3384" spans="1:1" x14ac:dyDescent="0.45">
      <c r="A3384" s="3"/>
    </row>
    <row r="3385" spans="1:1" x14ac:dyDescent="0.45">
      <c r="A3385" s="3"/>
    </row>
    <row r="3386" spans="1:1" x14ac:dyDescent="0.45">
      <c r="A3386" s="3"/>
    </row>
    <row r="3387" spans="1:1" x14ac:dyDescent="0.45">
      <c r="A3387" s="3"/>
    </row>
    <row r="3388" spans="1:1" x14ac:dyDescent="0.45">
      <c r="A3388" s="3"/>
    </row>
    <row r="3389" spans="1:1" x14ac:dyDescent="0.45">
      <c r="A3389" s="3"/>
    </row>
    <row r="3390" spans="1:1" x14ac:dyDescent="0.45">
      <c r="A3390" s="3"/>
    </row>
    <row r="3391" spans="1:1" x14ac:dyDescent="0.45">
      <c r="A3391" s="3"/>
    </row>
    <row r="3392" spans="1:1" x14ac:dyDescent="0.45">
      <c r="A3392" s="3"/>
    </row>
    <row r="3393" spans="1:1" x14ac:dyDescent="0.45">
      <c r="A3393" s="3"/>
    </row>
    <row r="3394" spans="1:1" x14ac:dyDescent="0.45">
      <c r="A3394" s="3"/>
    </row>
    <row r="3395" spans="1:1" x14ac:dyDescent="0.45">
      <c r="A3395" s="3"/>
    </row>
    <row r="3396" spans="1:1" x14ac:dyDescent="0.45">
      <c r="A3396" s="3"/>
    </row>
    <row r="3397" spans="1:1" x14ac:dyDescent="0.45">
      <c r="A3397" s="3"/>
    </row>
    <row r="3398" spans="1:1" x14ac:dyDescent="0.45">
      <c r="A3398" s="3"/>
    </row>
    <row r="3399" spans="1:1" x14ac:dyDescent="0.45">
      <c r="A3399" s="3"/>
    </row>
    <row r="3400" spans="1:1" x14ac:dyDescent="0.45">
      <c r="A3400" s="3"/>
    </row>
    <row r="3401" spans="1:1" x14ac:dyDescent="0.45">
      <c r="A3401" s="3"/>
    </row>
    <row r="3402" spans="1:1" x14ac:dyDescent="0.45">
      <c r="A3402" s="3"/>
    </row>
    <row r="3403" spans="1:1" x14ac:dyDescent="0.45">
      <c r="A3403" s="3"/>
    </row>
    <row r="3404" spans="1:1" x14ac:dyDescent="0.45">
      <c r="A3404" s="3"/>
    </row>
    <row r="3405" spans="1:1" x14ac:dyDescent="0.45">
      <c r="A3405" s="3"/>
    </row>
    <row r="3406" spans="1:1" x14ac:dyDescent="0.45">
      <c r="A3406" s="3"/>
    </row>
    <row r="3407" spans="1:1" x14ac:dyDescent="0.45">
      <c r="A3407" s="3"/>
    </row>
    <row r="3408" spans="1:1" x14ac:dyDescent="0.45">
      <c r="A3408" s="3"/>
    </row>
    <row r="3409" spans="1:1" x14ac:dyDescent="0.45">
      <c r="A3409" s="3"/>
    </row>
    <row r="3410" spans="1:1" x14ac:dyDescent="0.45">
      <c r="A3410" s="3"/>
    </row>
    <row r="3411" spans="1:1" x14ac:dyDescent="0.45">
      <c r="A3411" s="3"/>
    </row>
    <row r="3412" spans="1:1" x14ac:dyDescent="0.45">
      <c r="A3412" s="3"/>
    </row>
    <row r="3413" spans="1:1" x14ac:dyDescent="0.45">
      <c r="A3413" s="3"/>
    </row>
    <row r="3414" spans="1:1" x14ac:dyDescent="0.45">
      <c r="A3414" s="3"/>
    </row>
    <row r="3415" spans="1:1" x14ac:dyDescent="0.45">
      <c r="A3415" s="3"/>
    </row>
    <row r="3416" spans="1:1" x14ac:dyDescent="0.45">
      <c r="A3416" s="3"/>
    </row>
    <row r="3417" spans="1:1" x14ac:dyDescent="0.45">
      <c r="A3417" s="3"/>
    </row>
    <row r="3418" spans="1:1" x14ac:dyDescent="0.45">
      <c r="A3418" s="3"/>
    </row>
    <row r="3419" spans="1:1" x14ac:dyDescent="0.45">
      <c r="A3419" s="3"/>
    </row>
    <row r="3420" spans="1:1" x14ac:dyDescent="0.45">
      <c r="A3420" s="3"/>
    </row>
    <row r="3421" spans="1:1" x14ac:dyDescent="0.45">
      <c r="A3421" s="3"/>
    </row>
    <row r="3422" spans="1:1" x14ac:dyDescent="0.45">
      <c r="A3422" s="3"/>
    </row>
    <row r="3423" spans="1:1" x14ac:dyDescent="0.45">
      <c r="A3423" s="3"/>
    </row>
    <row r="3424" spans="1:1" x14ac:dyDescent="0.45">
      <c r="A3424" s="3"/>
    </row>
    <row r="3425" spans="1:1" x14ac:dyDescent="0.45">
      <c r="A3425" s="3"/>
    </row>
    <row r="3426" spans="1:1" x14ac:dyDescent="0.45">
      <c r="A3426" s="3"/>
    </row>
    <row r="3427" spans="1:1" x14ac:dyDescent="0.45">
      <c r="A3427" s="3"/>
    </row>
    <row r="3428" spans="1:1" x14ac:dyDescent="0.45">
      <c r="A3428" s="3"/>
    </row>
    <row r="3429" spans="1:1" x14ac:dyDescent="0.45">
      <c r="A3429" s="3"/>
    </row>
    <row r="3430" spans="1:1" x14ac:dyDescent="0.45">
      <c r="A3430" s="3"/>
    </row>
    <row r="3431" spans="1:1" x14ac:dyDescent="0.45">
      <c r="A3431" s="3"/>
    </row>
    <row r="3432" spans="1:1" x14ac:dyDescent="0.45">
      <c r="A3432" s="3"/>
    </row>
    <row r="3433" spans="1:1" x14ac:dyDescent="0.45">
      <c r="A3433" s="3"/>
    </row>
    <row r="3434" spans="1:1" x14ac:dyDescent="0.45">
      <c r="A3434" s="3"/>
    </row>
    <row r="3435" spans="1:1" x14ac:dyDescent="0.45">
      <c r="A3435" s="3"/>
    </row>
    <row r="3436" spans="1:1" x14ac:dyDescent="0.45">
      <c r="A3436" s="3"/>
    </row>
    <row r="3437" spans="1:1" x14ac:dyDescent="0.45">
      <c r="A3437" s="3"/>
    </row>
    <row r="3438" spans="1:1" x14ac:dyDescent="0.45">
      <c r="A3438" s="3"/>
    </row>
    <row r="3439" spans="1:1" x14ac:dyDescent="0.45">
      <c r="A3439" s="3"/>
    </row>
    <row r="3440" spans="1:1" x14ac:dyDescent="0.45">
      <c r="A3440" s="3"/>
    </row>
    <row r="3441" spans="1:1" x14ac:dyDescent="0.45">
      <c r="A3441" s="3"/>
    </row>
    <row r="3442" spans="1:1" x14ac:dyDescent="0.45">
      <c r="A3442" s="3"/>
    </row>
    <row r="3443" spans="1:1" x14ac:dyDescent="0.45">
      <c r="A3443" s="3"/>
    </row>
    <row r="3444" spans="1:1" x14ac:dyDescent="0.45">
      <c r="A3444" s="3"/>
    </row>
    <row r="3445" spans="1:1" x14ac:dyDescent="0.45">
      <c r="A3445" s="3"/>
    </row>
    <row r="3446" spans="1:1" x14ac:dyDescent="0.45">
      <c r="A3446" s="3"/>
    </row>
    <row r="3447" spans="1:1" x14ac:dyDescent="0.45">
      <c r="A3447" s="3"/>
    </row>
    <row r="3448" spans="1:1" x14ac:dyDescent="0.45">
      <c r="A3448" s="3"/>
    </row>
    <row r="3449" spans="1:1" x14ac:dyDescent="0.45">
      <c r="A3449" s="3"/>
    </row>
    <row r="3450" spans="1:1" x14ac:dyDescent="0.45">
      <c r="A3450" s="3"/>
    </row>
    <row r="3451" spans="1:1" x14ac:dyDescent="0.45">
      <c r="A3451" s="3"/>
    </row>
    <row r="3452" spans="1:1" x14ac:dyDescent="0.45">
      <c r="A3452" s="3"/>
    </row>
    <row r="3453" spans="1:1" x14ac:dyDescent="0.45">
      <c r="A3453" s="3"/>
    </row>
    <row r="3454" spans="1:1" x14ac:dyDescent="0.45">
      <c r="A3454" s="3"/>
    </row>
    <row r="3455" spans="1:1" x14ac:dyDescent="0.45">
      <c r="A3455" s="3"/>
    </row>
    <row r="3456" spans="1:1" x14ac:dyDescent="0.45">
      <c r="A3456" s="3"/>
    </row>
    <row r="3457" spans="1:1" x14ac:dyDescent="0.45">
      <c r="A3457" s="3"/>
    </row>
    <row r="3458" spans="1:1" x14ac:dyDescent="0.45">
      <c r="A3458" s="3"/>
    </row>
    <row r="3459" spans="1:1" x14ac:dyDescent="0.45">
      <c r="A3459" s="3"/>
    </row>
    <row r="3460" spans="1:1" x14ac:dyDescent="0.45">
      <c r="A3460" s="3"/>
    </row>
    <row r="3461" spans="1:1" x14ac:dyDescent="0.45">
      <c r="A3461" s="3"/>
    </row>
    <row r="3462" spans="1:1" x14ac:dyDescent="0.45">
      <c r="A3462" s="3"/>
    </row>
    <row r="3463" spans="1:1" x14ac:dyDescent="0.45">
      <c r="A3463" s="3"/>
    </row>
    <row r="3464" spans="1:1" x14ac:dyDescent="0.45">
      <c r="A3464" s="3"/>
    </row>
    <row r="3465" spans="1:1" x14ac:dyDescent="0.45">
      <c r="A3465" s="3"/>
    </row>
    <row r="3466" spans="1:1" x14ac:dyDescent="0.45">
      <c r="A3466" s="3"/>
    </row>
    <row r="3467" spans="1:1" x14ac:dyDescent="0.45">
      <c r="A3467" s="3"/>
    </row>
    <row r="3468" spans="1:1" x14ac:dyDescent="0.45">
      <c r="A3468" s="3"/>
    </row>
    <row r="3469" spans="1:1" x14ac:dyDescent="0.45">
      <c r="A3469" s="3"/>
    </row>
    <row r="3470" spans="1:1" x14ac:dyDescent="0.45">
      <c r="A3470" s="3"/>
    </row>
    <row r="3471" spans="1:1" x14ac:dyDescent="0.45">
      <c r="A3471" s="3"/>
    </row>
    <row r="3472" spans="1:1" x14ac:dyDescent="0.45">
      <c r="A3472" s="3"/>
    </row>
    <row r="3473" spans="1:1" x14ac:dyDescent="0.45">
      <c r="A3473" s="3"/>
    </row>
    <row r="3474" spans="1:1" x14ac:dyDescent="0.45">
      <c r="A3474" s="3"/>
    </row>
    <row r="3475" spans="1:1" x14ac:dyDescent="0.45">
      <c r="A3475" s="3"/>
    </row>
    <row r="3476" spans="1:1" x14ac:dyDescent="0.45">
      <c r="A3476" s="3"/>
    </row>
    <row r="3477" spans="1:1" x14ac:dyDescent="0.45">
      <c r="A3477" s="3"/>
    </row>
    <row r="3478" spans="1:1" x14ac:dyDescent="0.45">
      <c r="A3478" s="3"/>
    </row>
    <row r="3479" spans="1:1" x14ac:dyDescent="0.45">
      <c r="A3479" s="3"/>
    </row>
    <row r="3480" spans="1:1" x14ac:dyDescent="0.45">
      <c r="A3480" s="3"/>
    </row>
    <row r="3481" spans="1:1" x14ac:dyDescent="0.45">
      <c r="A3481" s="3"/>
    </row>
    <row r="3482" spans="1:1" x14ac:dyDescent="0.45">
      <c r="A3482" s="3"/>
    </row>
    <row r="3483" spans="1:1" x14ac:dyDescent="0.45">
      <c r="A3483" s="3"/>
    </row>
    <row r="3484" spans="1:1" x14ac:dyDescent="0.45">
      <c r="A3484" s="3"/>
    </row>
    <row r="3485" spans="1:1" x14ac:dyDescent="0.45">
      <c r="A3485" s="3"/>
    </row>
    <row r="3486" spans="1:1" x14ac:dyDescent="0.45">
      <c r="A3486" s="3"/>
    </row>
    <row r="3487" spans="1:1" x14ac:dyDescent="0.45">
      <c r="A3487" s="3"/>
    </row>
    <row r="3488" spans="1:1" x14ac:dyDescent="0.45">
      <c r="A3488" s="3"/>
    </row>
    <row r="3489" spans="1:1" x14ac:dyDescent="0.45">
      <c r="A3489" s="3"/>
    </row>
    <row r="3490" spans="1:1" x14ac:dyDescent="0.45">
      <c r="A3490" s="3"/>
    </row>
    <row r="3491" spans="1:1" x14ac:dyDescent="0.45">
      <c r="A3491" s="3"/>
    </row>
    <row r="3492" spans="1:1" x14ac:dyDescent="0.45">
      <c r="A3492" s="3"/>
    </row>
    <row r="3493" spans="1:1" x14ac:dyDescent="0.45">
      <c r="A3493" s="3"/>
    </row>
    <row r="3494" spans="1:1" x14ac:dyDescent="0.45">
      <c r="A3494" s="3"/>
    </row>
    <row r="3495" spans="1:1" x14ac:dyDescent="0.45">
      <c r="A3495" s="3"/>
    </row>
    <row r="3496" spans="1:1" x14ac:dyDescent="0.45">
      <c r="A3496" s="3"/>
    </row>
    <row r="3497" spans="1:1" x14ac:dyDescent="0.45">
      <c r="A3497" s="3"/>
    </row>
    <row r="3498" spans="1:1" x14ac:dyDescent="0.45">
      <c r="A3498" s="3"/>
    </row>
    <row r="3499" spans="1:1" x14ac:dyDescent="0.45">
      <c r="A3499" s="3"/>
    </row>
    <row r="3500" spans="1:1" x14ac:dyDescent="0.45">
      <c r="A3500" s="3"/>
    </row>
    <row r="3501" spans="1:1" x14ac:dyDescent="0.45">
      <c r="A3501" s="3"/>
    </row>
    <row r="3502" spans="1:1" x14ac:dyDescent="0.45">
      <c r="A3502" s="3"/>
    </row>
    <row r="3503" spans="1:1" x14ac:dyDescent="0.45">
      <c r="A3503" s="3"/>
    </row>
    <row r="3504" spans="1:1" x14ac:dyDescent="0.45">
      <c r="A3504" s="3"/>
    </row>
    <row r="3505" spans="1:1" x14ac:dyDescent="0.45">
      <c r="A3505" s="3"/>
    </row>
    <row r="3506" spans="1:1" x14ac:dyDescent="0.45">
      <c r="A3506" s="3"/>
    </row>
    <row r="3507" spans="1:1" x14ac:dyDescent="0.45">
      <c r="A3507" s="3"/>
    </row>
    <row r="3508" spans="1:1" x14ac:dyDescent="0.45">
      <c r="A3508" s="3"/>
    </row>
    <row r="3509" spans="1:1" x14ac:dyDescent="0.45">
      <c r="A3509" s="3"/>
    </row>
    <row r="3510" spans="1:1" x14ac:dyDescent="0.45">
      <c r="A3510" s="3"/>
    </row>
    <row r="3511" spans="1:1" x14ac:dyDescent="0.45">
      <c r="A3511" s="3"/>
    </row>
    <row r="3512" spans="1:1" x14ac:dyDescent="0.45">
      <c r="A3512" s="3"/>
    </row>
    <row r="3513" spans="1:1" x14ac:dyDescent="0.45">
      <c r="A3513" s="3"/>
    </row>
    <row r="3514" spans="1:1" x14ac:dyDescent="0.45">
      <c r="A3514" s="3"/>
    </row>
    <row r="3515" spans="1:1" x14ac:dyDescent="0.45">
      <c r="A3515" s="3"/>
    </row>
    <row r="3516" spans="1:1" x14ac:dyDescent="0.45">
      <c r="A3516" s="3"/>
    </row>
    <row r="3517" spans="1:1" x14ac:dyDescent="0.45">
      <c r="A3517" s="3"/>
    </row>
    <row r="3518" spans="1:1" x14ac:dyDescent="0.45">
      <c r="A3518" s="3"/>
    </row>
    <row r="3519" spans="1:1" x14ac:dyDescent="0.45">
      <c r="A3519" s="3"/>
    </row>
    <row r="3520" spans="1:1" x14ac:dyDescent="0.45">
      <c r="A3520" s="3"/>
    </row>
    <row r="3521" spans="1:1" x14ac:dyDescent="0.45">
      <c r="A3521" s="3"/>
    </row>
    <row r="3522" spans="1:1" x14ac:dyDescent="0.45">
      <c r="A3522" s="3"/>
    </row>
    <row r="3523" spans="1:1" x14ac:dyDescent="0.45">
      <c r="A3523" s="3"/>
    </row>
    <row r="3524" spans="1:1" x14ac:dyDescent="0.45">
      <c r="A3524" s="3"/>
    </row>
    <row r="3525" spans="1:1" x14ac:dyDescent="0.45">
      <c r="A3525" s="3"/>
    </row>
    <row r="3526" spans="1:1" x14ac:dyDescent="0.45">
      <c r="A3526" s="3"/>
    </row>
    <row r="3527" spans="1:1" x14ac:dyDescent="0.45">
      <c r="A3527" s="3"/>
    </row>
    <row r="3528" spans="1:1" x14ac:dyDescent="0.45">
      <c r="A3528" s="3"/>
    </row>
    <row r="3529" spans="1:1" x14ac:dyDescent="0.45">
      <c r="A3529" s="3"/>
    </row>
    <row r="3530" spans="1:1" x14ac:dyDescent="0.45">
      <c r="A3530" s="3"/>
    </row>
    <row r="3531" spans="1:1" x14ac:dyDescent="0.45">
      <c r="A3531" s="3"/>
    </row>
    <row r="3532" spans="1:1" x14ac:dyDescent="0.45">
      <c r="A3532" s="3"/>
    </row>
    <row r="3533" spans="1:1" x14ac:dyDescent="0.45">
      <c r="A3533" s="3"/>
    </row>
    <row r="3534" spans="1:1" x14ac:dyDescent="0.45">
      <c r="A3534" s="3"/>
    </row>
    <row r="3535" spans="1:1" x14ac:dyDescent="0.45">
      <c r="A3535" s="3"/>
    </row>
    <row r="3536" spans="1:1" x14ac:dyDescent="0.45">
      <c r="A3536" s="3"/>
    </row>
    <row r="3537" spans="1:1" x14ac:dyDescent="0.45">
      <c r="A3537" s="3"/>
    </row>
    <row r="3538" spans="1:1" x14ac:dyDescent="0.45">
      <c r="A3538" s="3"/>
    </row>
    <row r="3539" spans="1:1" x14ac:dyDescent="0.45">
      <c r="A3539" s="3"/>
    </row>
    <row r="3540" spans="1:1" x14ac:dyDescent="0.45">
      <c r="A3540" s="3"/>
    </row>
    <row r="3541" spans="1:1" x14ac:dyDescent="0.45">
      <c r="A3541" s="3"/>
    </row>
    <row r="3542" spans="1:1" x14ac:dyDescent="0.45">
      <c r="A3542" s="3"/>
    </row>
    <row r="3543" spans="1:1" x14ac:dyDescent="0.45">
      <c r="A3543" s="3"/>
    </row>
    <row r="3544" spans="1:1" x14ac:dyDescent="0.45">
      <c r="A3544" s="3"/>
    </row>
    <row r="3545" spans="1:1" x14ac:dyDescent="0.45">
      <c r="A3545" s="3"/>
    </row>
    <row r="3546" spans="1:1" x14ac:dyDescent="0.45">
      <c r="A3546" s="3"/>
    </row>
    <row r="3547" spans="1:1" x14ac:dyDescent="0.45">
      <c r="A3547" s="3"/>
    </row>
    <row r="3548" spans="1:1" x14ac:dyDescent="0.45">
      <c r="A3548" s="3"/>
    </row>
    <row r="3549" spans="1:1" x14ac:dyDescent="0.45">
      <c r="A3549" s="3"/>
    </row>
    <row r="3550" spans="1:1" x14ac:dyDescent="0.45">
      <c r="A3550" s="3"/>
    </row>
    <row r="3551" spans="1:1" x14ac:dyDescent="0.45">
      <c r="A3551" s="3"/>
    </row>
    <row r="3552" spans="1:1" x14ac:dyDescent="0.45">
      <c r="A3552" s="3"/>
    </row>
    <row r="3553" spans="1:1" x14ac:dyDescent="0.45">
      <c r="A3553" s="3"/>
    </row>
    <row r="3554" spans="1:1" x14ac:dyDescent="0.45">
      <c r="A3554" s="3"/>
    </row>
    <row r="3555" spans="1:1" x14ac:dyDescent="0.45">
      <c r="A3555" s="3"/>
    </row>
    <row r="3556" spans="1:1" x14ac:dyDescent="0.45">
      <c r="A3556" s="3"/>
    </row>
    <row r="3557" spans="1:1" x14ac:dyDescent="0.45">
      <c r="A3557" s="3"/>
    </row>
    <row r="3558" spans="1:1" x14ac:dyDescent="0.45">
      <c r="A3558" s="3"/>
    </row>
    <row r="3559" spans="1:1" x14ac:dyDescent="0.45">
      <c r="A3559" s="3"/>
    </row>
    <row r="3560" spans="1:1" x14ac:dyDescent="0.45">
      <c r="A3560" s="3"/>
    </row>
    <row r="3561" spans="1:1" x14ac:dyDescent="0.45">
      <c r="A3561" s="3"/>
    </row>
    <row r="3562" spans="1:1" x14ac:dyDescent="0.45">
      <c r="A3562" s="3"/>
    </row>
    <row r="3563" spans="1:1" x14ac:dyDescent="0.45">
      <c r="A3563" s="3"/>
    </row>
    <row r="3564" spans="1:1" x14ac:dyDescent="0.45">
      <c r="A3564" s="3"/>
    </row>
    <row r="3565" spans="1:1" x14ac:dyDescent="0.45">
      <c r="A3565" s="3"/>
    </row>
    <row r="3566" spans="1:1" x14ac:dyDescent="0.45">
      <c r="A3566" s="3"/>
    </row>
    <row r="3567" spans="1:1" x14ac:dyDescent="0.45">
      <c r="A3567" s="3"/>
    </row>
    <row r="3568" spans="1:1" x14ac:dyDescent="0.45">
      <c r="A3568" s="3"/>
    </row>
    <row r="3569" spans="1:1" x14ac:dyDescent="0.45">
      <c r="A3569" s="3"/>
    </row>
    <row r="3570" spans="1:1" x14ac:dyDescent="0.45">
      <c r="A3570" s="3"/>
    </row>
    <row r="3571" spans="1:1" x14ac:dyDescent="0.45">
      <c r="A3571" s="3"/>
    </row>
    <row r="3572" spans="1:1" x14ac:dyDescent="0.45">
      <c r="A3572" s="3"/>
    </row>
    <row r="3573" spans="1:1" x14ac:dyDescent="0.45">
      <c r="A3573" s="3"/>
    </row>
    <row r="3574" spans="1:1" x14ac:dyDescent="0.45">
      <c r="A3574" s="3"/>
    </row>
    <row r="3575" spans="1:1" x14ac:dyDescent="0.45">
      <c r="A3575" s="3"/>
    </row>
    <row r="3576" spans="1:1" x14ac:dyDescent="0.45">
      <c r="A3576" s="3"/>
    </row>
    <row r="3577" spans="1:1" x14ac:dyDescent="0.45">
      <c r="A3577" s="3"/>
    </row>
    <row r="3578" spans="1:1" x14ac:dyDescent="0.45">
      <c r="A3578" s="3"/>
    </row>
    <row r="3579" spans="1:1" x14ac:dyDescent="0.45">
      <c r="A3579" s="3"/>
    </row>
    <row r="3580" spans="1:1" x14ac:dyDescent="0.45">
      <c r="A3580" s="3"/>
    </row>
  </sheetData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599C4-A817-448E-9E27-20696B49F386}">
  <dimension ref="A1:AB69"/>
  <sheetViews>
    <sheetView topLeftCell="F41" workbookViewId="0">
      <selection activeCell="M68" sqref="M68:AB68"/>
    </sheetView>
  </sheetViews>
  <sheetFormatPr defaultRowHeight="14.25" x14ac:dyDescent="0.45"/>
  <cols>
    <col min="1" max="1" width="12.06640625" style="3" bestFit="1" customWidth="1"/>
    <col min="2" max="2" width="17.06640625" bestFit="1" customWidth="1"/>
    <col min="3" max="3" width="19.796875" bestFit="1" customWidth="1"/>
    <col min="4" max="4" width="17.1328125" bestFit="1" customWidth="1"/>
    <col min="5" max="6" width="17.06640625" bestFit="1" customWidth="1"/>
    <col min="7" max="7" width="21.1328125" bestFit="1" customWidth="1"/>
    <col min="8" max="8" width="11.6640625" bestFit="1" customWidth="1"/>
    <col min="9" max="9" width="19.33203125" bestFit="1" customWidth="1"/>
    <col min="10" max="10" width="15.9296875" bestFit="1" customWidth="1"/>
    <col min="11" max="11" width="11.6640625" bestFit="1" customWidth="1"/>
    <col min="12" max="12" width="11.6640625" customWidth="1"/>
    <col min="23" max="23" width="11.46484375" bestFit="1" customWidth="1"/>
  </cols>
  <sheetData>
    <row r="1" spans="1:28" x14ac:dyDescent="0.45">
      <c r="A1" s="3" t="s">
        <v>0</v>
      </c>
      <c r="B1">
        <v>45973</v>
      </c>
    </row>
    <row r="2" spans="1:28" x14ac:dyDescent="0.45">
      <c r="A2" s="3" t="s">
        <v>1</v>
      </c>
      <c r="B2">
        <v>5</v>
      </c>
    </row>
    <row r="3" spans="1:28" x14ac:dyDescent="0.45">
      <c r="A3" s="3" t="s">
        <v>5</v>
      </c>
      <c r="B3">
        <v>44147</v>
      </c>
    </row>
    <row r="4" spans="1:28" x14ac:dyDescent="0.45">
      <c r="A4" s="3" t="s">
        <v>2</v>
      </c>
      <c r="B4" t="s">
        <v>451</v>
      </c>
    </row>
    <row r="5" spans="1:28" x14ac:dyDescent="0.45">
      <c r="B5" t="s">
        <v>392</v>
      </c>
      <c r="C5" t="s">
        <v>393</v>
      </c>
      <c r="D5" t="s">
        <v>394</v>
      </c>
      <c r="E5" t="s">
        <v>395</v>
      </c>
      <c r="F5" t="s">
        <v>396</v>
      </c>
      <c r="G5" t="s">
        <v>397</v>
      </c>
      <c r="H5" t="s">
        <v>13</v>
      </c>
      <c r="I5" t="s">
        <v>28</v>
      </c>
      <c r="J5" t="s">
        <v>385</v>
      </c>
      <c r="K5" t="s">
        <v>386</v>
      </c>
      <c r="M5" t="s">
        <v>520</v>
      </c>
    </row>
    <row r="6" spans="1:28" x14ac:dyDescent="0.45">
      <c r="B6" t="s">
        <v>3</v>
      </c>
      <c r="C6" t="s">
        <v>7</v>
      </c>
      <c r="D6" t="s">
        <v>8</v>
      </c>
      <c r="E6" t="s">
        <v>9</v>
      </c>
      <c r="F6" t="s">
        <v>10</v>
      </c>
      <c r="G6" t="s">
        <v>389</v>
      </c>
      <c r="H6" t="s">
        <v>14</v>
      </c>
      <c r="I6" t="s">
        <v>27</v>
      </c>
      <c r="J6" t="s">
        <v>383</v>
      </c>
      <c r="K6" t="s">
        <v>641</v>
      </c>
      <c r="M6" s="91" t="s">
        <v>519</v>
      </c>
      <c r="N6" s="72"/>
      <c r="O6" s="72"/>
      <c r="P6" s="72"/>
      <c r="Q6" s="72"/>
      <c r="R6" s="72"/>
      <c r="S6" s="72"/>
      <c r="T6" s="72"/>
      <c r="U6" s="72"/>
      <c r="V6" s="72"/>
    </row>
    <row r="7" spans="1:28" x14ac:dyDescent="0.45">
      <c r="A7" s="3" t="s">
        <v>4</v>
      </c>
      <c r="B7" t="s">
        <v>6</v>
      </c>
      <c r="H7" t="s">
        <v>15</v>
      </c>
      <c r="I7" t="s">
        <v>15</v>
      </c>
      <c r="J7" t="s">
        <v>15</v>
      </c>
      <c r="K7" t="s">
        <v>15</v>
      </c>
      <c r="M7" s="92" cm="1">
        <f t="array" ref="M7">_xll.ciqfunctions.udf.CIQ(M8,$M$6,$L$9)</f>
        <v>0.63495000000000001</v>
      </c>
      <c r="N7" s="92" cm="1">
        <f t="array" ref="N7">_xll.ciqfunctions.udf.CIQ(N8,$M$6,$L$9)</f>
        <v>0.48401</v>
      </c>
      <c r="O7" s="92" cm="1">
        <f t="array" ref="O7">_xll.ciqfunctions.udf.CIQ(O8,$M$6,$L$9)</f>
        <v>0.81325000000000003</v>
      </c>
      <c r="P7" s="92" cm="1">
        <f t="array" ref="P7">_xll.ciqfunctions.udf.CIQ(P8,$M$6,$L$9)</f>
        <v>0.7601</v>
      </c>
      <c r="Q7" s="92" cm="1">
        <f t="array" ref="Q7">_xll.ciqfunctions.udf.CIQ(Q8,$M$6,$L$9)</f>
        <v>0</v>
      </c>
      <c r="R7" s="92" cm="1">
        <f t="array" ref="R7">_xll.ciqfunctions.udf.CIQ(R8,$M$6,$L$9)</f>
        <v>1.0802</v>
      </c>
      <c r="S7" s="92" cm="1">
        <f t="array" ref="S7">_xll.ciqfunctions.udf.CIQ(S8,$M$6,$L$9)</f>
        <v>0</v>
      </c>
      <c r="T7" s="72" cm="1">
        <f t="array" ref="T7">_xll.ciqfunctions.udf.CIQ(T8,$M$6,$L$9)</f>
        <v>0</v>
      </c>
      <c r="U7" s="72" cm="1">
        <f t="array" ref="U7">_xll.ciqfunctions.udf.CIQ(U8,$M$6,$L$9)</f>
        <v>0</v>
      </c>
      <c r="V7" s="72" cm="1">
        <f t="array" ref="V7">_xll.ciqfunctions.udf.CIQ(V8,$M$6,$L$9)</f>
        <v>0</v>
      </c>
    </row>
    <row r="8" spans="1:28" x14ac:dyDescent="0.45">
      <c r="A8" s="3" t="s">
        <v>4</v>
      </c>
      <c r="B8" t="s">
        <v>6</v>
      </c>
      <c r="C8" t="s">
        <v>6</v>
      </c>
      <c r="D8" t="s">
        <v>6</v>
      </c>
      <c r="E8" t="s">
        <v>6</v>
      </c>
      <c r="F8" t="s">
        <v>6</v>
      </c>
      <c r="G8" t="s">
        <v>6</v>
      </c>
      <c r="H8" t="s">
        <v>15</v>
      </c>
      <c r="I8" t="s">
        <v>15</v>
      </c>
      <c r="J8" t="s">
        <v>15</v>
      </c>
      <c r="K8" t="s">
        <v>15</v>
      </c>
      <c r="L8" t="s">
        <v>462</v>
      </c>
      <c r="M8" t="s">
        <v>3</v>
      </c>
      <c r="N8" t="s">
        <v>7</v>
      </c>
      <c r="O8" t="s">
        <v>8</v>
      </c>
      <c r="P8" t="s">
        <v>9</v>
      </c>
      <c r="Q8" t="s">
        <v>10</v>
      </c>
      <c r="R8" t="s">
        <v>389</v>
      </c>
      <c r="S8" t="s">
        <v>14</v>
      </c>
      <c r="T8" t="s">
        <v>27</v>
      </c>
      <c r="U8" t="s">
        <v>383</v>
      </c>
      <c r="V8" t="s">
        <v>384</v>
      </c>
      <c r="W8" t="s">
        <v>403</v>
      </c>
      <c r="X8" t="s">
        <v>457</v>
      </c>
      <c r="Y8" t="s">
        <v>458</v>
      </c>
      <c r="Z8" t="s">
        <v>459</v>
      </c>
      <c r="AA8" t="s">
        <v>460</v>
      </c>
      <c r="AB8" t="s">
        <v>414</v>
      </c>
    </row>
    <row r="9" spans="1:28" x14ac:dyDescent="0.45">
      <c r="A9" s="3">
        <v>45930</v>
      </c>
      <c r="B9">
        <v>94.59</v>
      </c>
      <c r="C9">
        <v>111.77237</v>
      </c>
      <c r="D9">
        <v>155.29</v>
      </c>
      <c r="E9">
        <v>111.05368</v>
      </c>
      <c r="F9">
        <v>33.993290000000002</v>
      </c>
      <c r="G9">
        <v>35.06</v>
      </c>
      <c r="H9">
        <v>61.96</v>
      </c>
      <c r="I9">
        <v>4.8564999999999996</v>
      </c>
      <c r="J9">
        <v>682.82225000000005</v>
      </c>
      <c r="K9">
        <v>13085.09786</v>
      </c>
      <c r="L9" s="3">
        <f>A9</f>
        <v>45930</v>
      </c>
      <c r="M9" s="46">
        <f>B9/B10-1</f>
        <v>-4.4255835101545848E-2</v>
      </c>
      <c r="N9" s="46">
        <f t="shared" ref="N9:N67" si="0">C9/C10-1</f>
        <v>-1.3474520785793254E-2</v>
      </c>
      <c r="O9" s="46">
        <f t="shared" ref="O9:O67" si="1">D9/D10-1</f>
        <v>-3.3063511830635162E-2</v>
      </c>
      <c r="P9" s="46">
        <f t="shared" ref="P9:P67" si="2">E9/E10-1</f>
        <v>-0.10174654157590746</v>
      </c>
      <c r="Q9" s="46">
        <f t="shared" ref="Q9:Q67" si="3">F9/F10-1</f>
        <v>-2.1856612130163655E-2</v>
      </c>
      <c r="R9" s="46">
        <f t="shared" ref="R9:R67" si="4">G9/G10-1</f>
        <v>-2.2058630737037399E-2</v>
      </c>
      <c r="S9" s="46">
        <f t="shared" ref="S9:S67" si="5">H9/H10-1</f>
        <v>-3.2026245899078321E-2</v>
      </c>
      <c r="T9" s="46">
        <f t="shared" ref="T9:T67" si="6">I9/I10-1</f>
        <v>7.4803585260595051E-2</v>
      </c>
      <c r="U9" s="46">
        <f t="shared" ref="U9:V67" si="7">J9/J10-1</f>
        <v>-5.2031512062624685E-3</v>
      </c>
      <c r="V9" s="46">
        <f t="shared" ref="V9:V24" si="8">K9/K10-1</f>
        <v>2.3195512399542872E-2</v>
      </c>
      <c r="W9" s="46">
        <f>AVERAGE(N9:R9)</f>
        <v>-3.8439963411907384E-2</v>
      </c>
      <c r="X9" s="46">
        <f>Fama3!B5/100</f>
        <v>3.39E-2</v>
      </c>
      <c r="Y9" s="46">
        <f>Fama3!C5/100</f>
        <v>-1.84E-2</v>
      </c>
      <c r="Z9" s="46">
        <f>Fama3!D5/100</f>
        <v>-1.0500000000000001E-2</v>
      </c>
      <c r="AA9" s="46">
        <f>Fama3!E5/100</f>
        <v>3.3E-3</v>
      </c>
    </row>
    <row r="10" spans="1:28" x14ac:dyDescent="0.45">
      <c r="A10" s="3">
        <v>45898</v>
      </c>
      <c r="B10">
        <v>98.97</v>
      </c>
      <c r="C10">
        <v>113.29902</v>
      </c>
      <c r="D10">
        <v>160.6</v>
      </c>
      <c r="E10">
        <v>123.63290000000001</v>
      </c>
      <c r="F10">
        <v>34.752870000000001</v>
      </c>
      <c r="G10">
        <v>35.850819999999999</v>
      </c>
      <c r="H10">
        <v>64.010000000000005</v>
      </c>
      <c r="I10">
        <v>4.5185000000000004</v>
      </c>
      <c r="J10">
        <v>686.39365999999995</v>
      </c>
      <c r="K10">
        <v>12788.46291</v>
      </c>
      <c r="L10" s="3">
        <f t="shared" ref="L10:L68" si="9">A10</f>
        <v>45898</v>
      </c>
      <c r="M10" s="46">
        <f t="shared" ref="M10:M67" si="10">B10/B11-1</f>
        <v>4.6637941318055098E-2</v>
      </c>
      <c r="N10" s="46">
        <f t="shared" si="0"/>
        <v>3.3263247748665847E-2</v>
      </c>
      <c r="O10" s="46">
        <f t="shared" si="1"/>
        <v>7.0877129718560639E-2</v>
      </c>
      <c r="P10" s="46">
        <f t="shared" si="2"/>
        <v>3.9993337738389423E-2</v>
      </c>
      <c r="Q10" s="46">
        <f t="shared" si="3"/>
        <v>0.11166069351662666</v>
      </c>
      <c r="R10" s="46">
        <f t="shared" si="4"/>
        <v>8.6694735182945459E-2</v>
      </c>
      <c r="S10" s="46">
        <f t="shared" si="5"/>
        <v>-7.5801328328039319E-2</v>
      </c>
      <c r="T10" s="46">
        <f t="shared" si="6"/>
        <v>3.7662188540590336E-2</v>
      </c>
      <c r="U10" s="46">
        <f t="shared" si="7"/>
        <v>2.9218761913665681E-2</v>
      </c>
      <c r="V10" s="46">
        <f t="shared" si="8"/>
        <v>3.6146868375737329E-2</v>
      </c>
      <c r="W10" s="46">
        <f t="shared" ref="W10:W67" si="11">AVERAGE(N10:R10)</f>
        <v>6.8497828781037606E-2</v>
      </c>
      <c r="X10" s="46">
        <f>Fama3!B6/100</f>
        <v>1.84E-2</v>
      </c>
      <c r="Y10" s="46">
        <f>Fama3!C6/100</f>
        <v>3.8699999999999998E-2</v>
      </c>
      <c r="Z10" s="46">
        <f>Fama3!D6/100</f>
        <v>4.4199999999999996E-2</v>
      </c>
      <c r="AA10" s="46">
        <f>Fama3!E6/100</f>
        <v>3.8E-3</v>
      </c>
    </row>
    <row r="11" spans="1:28" x14ac:dyDescent="0.45">
      <c r="A11" s="3">
        <v>45869</v>
      </c>
      <c r="B11">
        <v>94.559920000000005</v>
      </c>
      <c r="C11">
        <v>109.65165</v>
      </c>
      <c r="D11">
        <v>149.97051999999999</v>
      </c>
      <c r="E11">
        <v>118.87855</v>
      </c>
      <c r="F11">
        <v>31.262119999999999</v>
      </c>
      <c r="G11">
        <v>32.990699999999997</v>
      </c>
      <c r="H11">
        <v>69.260000000000005</v>
      </c>
      <c r="I11">
        <v>4.3544999999999998</v>
      </c>
      <c r="J11">
        <v>666.90745000000004</v>
      </c>
      <c r="K11">
        <v>12342.32646</v>
      </c>
      <c r="L11" s="3">
        <f t="shared" si="9"/>
        <v>45869</v>
      </c>
      <c r="M11" s="46">
        <f t="shared" si="10"/>
        <v>6.2402492243758712E-2</v>
      </c>
      <c r="N11" s="46">
        <f t="shared" si="0"/>
        <v>3.5621539243846145E-2</v>
      </c>
      <c r="O11" s="46">
        <f t="shared" si="1"/>
        <v>5.9012502687772361E-2</v>
      </c>
      <c r="P11" s="46">
        <f t="shared" si="2"/>
        <v>1.1731134958647749E-2</v>
      </c>
      <c r="Q11" s="46">
        <f t="shared" si="3"/>
        <v>7.4173413296444224E-2</v>
      </c>
      <c r="R11" s="46">
        <f t="shared" si="4"/>
        <v>4.4325765746145107E-2</v>
      </c>
      <c r="S11" s="46">
        <f t="shared" si="5"/>
        <v>6.3738289049301233E-2</v>
      </c>
      <c r="T11" s="46">
        <f t="shared" si="6"/>
        <v>-0.14323659616330542</v>
      </c>
      <c r="U11" s="46">
        <f t="shared" si="7"/>
        <v>2.8097328666387922E-2</v>
      </c>
      <c r="V11" s="46">
        <f t="shared" si="8"/>
        <v>1.9909775674051611E-2</v>
      </c>
      <c r="W11" s="46">
        <f t="shared" si="11"/>
        <v>4.4972871186571117E-2</v>
      </c>
      <c r="X11" s="46">
        <f>Fama3!B7/100</f>
        <v>1.9799999999999998E-2</v>
      </c>
      <c r="Y11" s="46">
        <f>Fama3!C7/100</f>
        <v>2.7000000000000001E-3</v>
      </c>
      <c r="Z11" s="46">
        <f>Fama3!D7/100</f>
        <v>-1.2699999999999999E-2</v>
      </c>
      <c r="AA11" s="46">
        <f>Fama3!E7/100</f>
        <v>3.4000000000000002E-3</v>
      </c>
    </row>
    <row r="12" spans="1:28" x14ac:dyDescent="0.45">
      <c r="A12" s="3">
        <v>45838</v>
      </c>
      <c r="B12">
        <v>89.005740000000003</v>
      </c>
      <c r="C12">
        <v>105.88003999999999</v>
      </c>
      <c r="D12">
        <v>141.61355</v>
      </c>
      <c r="E12">
        <v>117.50014</v>
      </c>
      <c r="F12">
        <v>29.10342</v>
      </c>
      <c r="G12">
        <v>31.590430000000001</v>
      </c>
      <c r="H12">
        <v>65.11</v>
      </c>
      <c r="I12">
        <v>5.0824999999999996</v>
      </c>
      <c r="J12">
        <v>648.68124</v>
      </c>
      <c r="K12">
        <v>12101.39049</v>
      </c>
      <c r="L12" s="3">
        <f t="shared" si="9"/>
        <v>45838</v>
      </c>
      <c r="M12" s="46">
        <f t="shared" si="10"/>
        <v>5.143525832807061E-2</v>
      </c>
      <c r="N12" s="46">
        <f t="shared" si="0"/>
        <v>5.3763515770966164E-2</v>
      </c>
      <c r="O12" s="46">
        <f t="shared" si="1"/>
        <v>4.7476238026554318E-2</v>
      </c>
      <c r="P12" s="46">
        <f t="shared" si="2"/>
        <v>0.10168554875313718</v>
      </c>
      <c r="Q12" s="46">
        <f t="shared" si="3"/>
        <v>2.852205319767398E-2</v>
      </c>
      <c r="R12" s="46">
        <f t="shared" si="4"/>
        <v>5.862362705857449E-2</v>
      </c>
      <c r="S12" s="46">
        <f t="shared" si="5"/>
        <v>7.1064319789439168E-2</v>
      </c>
      <c r="T12" s="46">
        <f t="shared" si="6"/>
        <v>8.6584714056654022E-2</v>
      </c>
      <c r="U12" s="46">
        <f t="shared" si="7"/>
        <v>4.7374487864353609E-2</v>
      </c>
      <c r="V12" s="46">
        <f t="shared" si="8"/>
        <v>2.2210032853138495E-2</v>
      </c>
      <c r="W12" s="46">
        <f t="shared" si="11"/>
        <v>5.8014196561381223E-2</v>
      </c>
      <c r="X12" s="46">
        <f>Fama3!B8/100</f>
        <v>4.8600000000000004E-2</v>
      </c>
      <c r="Y12" s="46">
        <f>Fama3!C8/100</f>
        <v>8.3000000000000001E-3</v>
      </c>
      <c r="Z12" s="46">
        <f>Fama3!D8/100</f>
        <v>-1.6E-2</v>
      </c>
      <c r="AA12" s="46">
        <f>Fama3!E8/100</f>
        <v>3.4000000000000002E-3</v>
      </c>
    </row>
    <row r="13" spans="1:28" x14ac:dyDescent="0.45">
      <c r="A13" s="3">
        <v>45807</v>
      </c>
      <c r="B13">
        <v>84.651660000000007</v>
      </c>
      <c r="C13">
        <v>100.47799000000001</v>
      </c>
      <c r="D13">
        <v>135.19499999999999</v>
      </c>
      <c r="E13">
        <v>106.65488000000001</v>
      </c>
      <c r="F13">
        <v>28.29635</v>
      </c>
      <c r="G13">
        <v>29.84104</v>
      </c>
      <c r="H13">
        <v>60.79</v>
      </c>
      <c r="I13">
        <v>4.6775000000000002</v>
      </c>
      <c r="J13">
        <v>619.34031000000004</v>
      </c>
      <c r="K13">
        <v>11838.45795</v>
      </c>
      <c r="L13" s="3">
        <f t="shared" si="9"/>
        <v>45807</v>
      </c>
      <c r="M13" s="46">
        <f t="shared" si="10"/>
        <v>-3.4151901593817757E-2</v>
      </c>
      <c r="N13" s="46">
        <f t="shared" si="0"/>
        <v>-2.2605330292661985E-2</v>
      </c>
      <c r="O13" s="46">
        <f t="shared" si="1"/>
        <v>1.6941503015395654E-2</v>
      </c>
      <c r="P13" s="46">
        <f t="shared" si="2"/>
        <v>-1.5952102818289404E-2</v>
      </c>
      <c r="Q13" s="46">
        <f t="shared" si="3"/>
        <v>7.6708848910652438E-2</v>
      </c>
      <c r="R13" s="46">
        <f t="shared" si="4"/>
        <v>-4.932813631145061E-3</v>
      </c>
      <c r="S13" s="46">
        <f t="shared" si="5"/>
        <v>4.4322281394949314E-2</v>
      </c>
      <c r="T13" s="46">
        <f t="shared" si="6"/>
        <v>1.486222607940979E-2</v>
      </c>
      <c r="U13" s="46">
        <f t="shared" si="7"/>
        <v>3.0309548114975104E-3</v>
      </c>
      <c r="V13" s="46">
        <f t="shared" si="8"/>
        <v>5.0479124134485742E-2</v>
      </c>
      <c r="W13" s="46">
        <f t="shared" si="11"/>
        <v>1.0032021036790328E-2</v>
      </c>
      <c r="X13" s="46">
        <f>Fama3!B9/100</f>
        <v>6.0599999999999994E-2</v>
      </c>
      <c r="Y13" s="46">
        <f>Fama3!C9/100</f>
        <v>6.9999999999999993E-3</v>
      </c>
      <c r="Z13" s="46">
        <f>Fama3!D9/100</f>
        <v>-2.8799999999999999E-2</v>
      </c>
      <c r="AA13" s="46">
        <f>Fama3!E9/100</f>
        <v>3.8E-3</v>
      </c>
    </row>
    <row r="14" spans="1:28" x14ac:dyDescent="0.45">
      <c r="A14" s="3">
        <v>45777</v>
      </c>
      <c r="B14">
        <v>87.644900000000007</v>
      </c>
      <c r="C14">
        <v>102.80186</v>
      </c>
      <c r="D14">
        <v>132.94274999999999</v>
      </c>
      <c r="E14">
        <v>108.38383</v>
      </c>
      <c r="F14">
        <v>26.28041</v>
      </c>
      <c r="G14">
        <v>29.988969999999998</v>
      </c>
      <c r="H14">
        <v>58.21</v>
      </c>
      <c r="I14">
        <v>4.609</v>
      </c>
      <c r="J14">
        <v>617.46879000000001</v>
      </c>
      <c r="K14">
        <v>11269.579449999999</v>
      </c>
      <c r="L14" s="3">
        <f t="shared" si="9"/>
        <v>45777</v>
      </c>
      <c r="M14" s="46">
        <f t="shared" si="10"/>
        <v>-0.15139968621746425</v>
      </c>
      <c r="N14" s="46">
        <f t="shared" si="0"/>
        <v>-0.11183052305064789</v>
      </c>
      <c r="O14" s="46">
        <f t="shared" si="1"/>
        <v>-0.18668183882941869</v>
      </c>
      <c r="P14" s="46">
        <f t="shared" si="2"/>
        <v>-0.13178407901430933</v>
      </c>
      <c r="Q14" s="46">
        <f t="shared" si="3"/>
        <v>-0.18733342218514226</v>
      </c>
      <c r="R14" s="46">
        <f t="shared" si="4"/>
        <v>-0.18689833765294317</v>
      </c>
      <c r="S14" s="46">
        <f t="shared" si="5"/>
        <v>-0.18564633463905988</v>
      </c>
      <c r="T14" s="46">
        <f t="shared" si="6"/>
        <v>-8.4425903853794115E-2</v>
      </c>
      <c r="U14" s="46">
        <f t="shared" si="7"/>
        <v>-0.13731366238277121</v>
      </c>
      <c r="V14" s="46">
        <f t="shared" si="8"/>
        <v>6.2517824236641317E-2</v>
      </c>
      <c r="W14" s="46">
        <f t="shared" si="11"/>
        <v>-0.16090564014649228</v>
      </c>
      <c r="X14" s="46">
        <f>Fama3!B10/100</f>
        <v>-8.3999999999999995E-3</v>
      </c>
      <c r="Y14" s="46">
        <f>Fama3!C10/100</f>
        <v>-5.8999999999999999E-3</v>
      </c>
      <c r="Z14" s="46">
        <f>Fama3!D10/100</f>
        <v>-3.4000000000000002E-2</v>
      </c>
      <c r="AA14" s="46">
        <f>Fama3!E10/100</f>
        <v>3.4999999999999996E-3</v>
      </c>
    </row>
    <row r="15" spans="1:28" x14ac:dyDescent="0.45">
      <c r="A15" s="3">
        <v>45747</v>
      </c>
      <c r="B15">
        <v>103.28172000000001</v>
      </c>
      <c r="C15">
        <v>115.74576999999999</v>
      </c>
      <c r="D15">
        <v>163.45724999999999</v>
      </c>
      <c r="E15">
        <v>124.83511</v>
      </c>
      <c r="F15">
        <v>32.33849</v>
      </c>
      <c r="G15">
        <v>36.882190000000001</v>
      </c>
      <c r="H15">
        <v>71.48</v>
      </c>
      <c r="I15">
        <v>5.0339999999999998</v>
      </c>
      <c r="J15">
        <v>715.75121000000001</v>
      </c>
      <c r="K15">
        <v>10606.48508</v>
      </c>
      <c r="L15" s="3">
        <f t="shared" si="9"/>
        <v>45747</v>
      </c>
      <c r="M15" s="46">
        <f t="shared" si="10"/>
        <v>5.9203223337197519E-2</v>
      </c>
      <c r="N15" s="46">
        <f t="shared" si="0"/>
        <v>6.8265539447665669E-2</v>
      </c>
      <c r="O15" s="46">
        <f t="shared" si="1"/>
        <v>5.4658911207981387E-2</v>
      </c>
      <c r="P15" s="46">
        <f t="shared" si="2"/>
        <v>1.0241109424792283E-2</v>
      </c>
      <c r="Q15" s="46">
        <f t="shared" si="3"/>
        <v>2.022950241456134E-2</v>
      </c>
      <c r="R15" s="46">
        <f t="shared" si="4"/>
        <v>3.9965227522590796E-2</v>
      </c>
      <c r="S15" s="46">
        <f t="shared" si="5"/>
        <v>2.4655963302752326E-2</v>
      </c>
      <c r="T15" s="46">
        <f t="shared" si="6"/>
        <v>0.10686015831134554</v>
      </c>
      <c r="U15" s="46">
        <f t="shared" si="7"/>
        <v>3.7499404969911554E-2</v>
      </c>
      <c r="V15" s="46">
        <f t="shared" si="8"/>
        <v>-7.0340899658393186E-3</v>
      </c>
      <c r="W15" s="46">
        <f t="shared" si="11"/>
        <v>3.8672058003518292E-2</v>
      </c>
      <c r="X15" s="46">
        <f>Fama3!B11/100</f>
        <v>-6.3899999999999998E-2</v>
      </c>
      <c r="Y15" s="46">
        <f>Fama3!C11/100</f>
        <v>-2.76E-2</v>
      </c>
      <c r="Z15" s="46">
        <f>Fama3!D11/100</f>
        <v>2.8999999999999998E-2</v>
      </c>
      <c r="AA15" s="46">
        <f>Fama3!E11/100</f>
        <v>3.4000000000000002E-3</v>
      </c>
    </row>
    <row r="16" spans="1:28" x14ac:dyDescent="0.45">
      <c r="A16" s="3">
        <v>45716</v>
      </c>
      <c r="B16">
        <v>97.508880000000005</v>
      </c>
      <c r="C16">
        <v>108.34925</v>
      </c>
      <c r="D16">
        <v>154.98589000000001</v>
      </c>
      <c r="E16">
        <v>123.56962</v>
      </c>
      <c r="F16">
        <v>31.69727</v>
      </c>
      <c r="G16">
        <v>35.464829999999999</v>
      </c>
      <c r="H16">
        <v>69.760000000000005</v>
      </c>
      <c r="I16">
        <v>4.548</v>
      </c>
      <c r="J16">
        <v>689.88108</v>
      </c>
      <c r="K16">
        <v>10681.620559999999</v>
      </c>
      <c r="L16" s="3">
        <f t="shared" si="9"/>
        <v>45716</v>
      </c>
      <c r="M16" s="46">
        <f t="shared" si="10"/>
        <v>1.1379000145314233E-2</v>
      </c>
      <c r="N16" s="46">
        <f t="shared" si="0"/>
        <v>5.144447247884476E-2</v>
      </c>
      <c r="O16" s="46">
        <f t="shared" si="1"/>
        <v>7.5000752569034823E-2</v>
      </c>
      <c r="P16" s="46">
        <f t="shared" si="2"/>
        <v>9.1421685361618987E-3</v>
      </c>
      <c r="Q16" s="46">
        <f t="shared" si="3"/>
        <v>8.1143941985662993E-2</v>
      </c>
      <c r="R16" s="46">
        <f t="shared" si="4"/>
        <v>6.2170119946581393E-2</v>
      </c>
      <c r="S16" s="46">
        <f t="shared" si="5"/>
        <v>-3.8191093340686599E-2</v>
      </c>
      <c r="T16" s="46">
        <f t="shared" si="6"/>
        <v>6.2865155410142481E-2</v>
      </c>
      <c r="U16" s="46">
        <f t="shared" si="7"/>
        <v>3.2827539868775402E-2</v>
      </c>
      <c r="V16" s="46">
        <f t="shared" si="8"/>
        <v>-5.6704650118412525E-2</v>
      </c>
      <c r="W16" s="46">
        <f t="shared" si="11"/>
        <v>5.5780291103257176E-2</v>
      </c>
      <c r="X16" s="46">
        <f>Fama3!B12/100</f>
        <v>-2.4399999999999998E-2</v>
      </c>
      <c r="Y16" s="46">
        <f>Fama3!C12/100</f>
        <v>-5.79E-2</v>
      </c>
      <c r="Z16" s="46">
        <f>Fama3!D12/100</f>
        <v>4.9100000000000005E-2</v>
      </c>
      <c r="AA16" s="46">
        <f>Fama3!E12/100</f>
        <v>3.3E-3</v>
      </c>
    </row>
    <row r="17" spans="1:27" x14ac:dyDescent="0.45">
      <c r="A17" s="3">
        <v>45688</v>
      </c>
      <c r="B17">
        <v>96.411810000000003</v>
      </c>
      <c r="C17">
        <v>103.048</v>
      </c>
      <c r="D17">
        <v>144.17282</v>
      </c>
      <c r="E17">
        <v>122.45016</v>
      </c>
      <c r="F17">
        <v>29.318269999999998</v>
      </c>
      <c r="G17">
        <v>33.389029999999998</v>
      </c>
      <c r="H17">
        <v>72.53</v>
      </c>
      <c r="I17">
        <v>4.2789999999999999</v>
      </c>
      <c r="J17">
        <v>667.9538</v>
      </c>
      <c r="K17">
        <v>11323.72863</v>
      </c>
      <c r="L17" s="3">
        <f t="shared" si="9"/>
        <v>45688</v>
      </c>
      <c r="M17" s="46">
        <f t="shared" si="10"/>
        <v>-3.4284477436155036E-3</v>
      </c>
      <c r="N17" s="46">
        <f t="shared" si="0"/>
        <v>-6.8792175926014609E-3</v>
      </c>
      <c r="O17" s="46">
        <f t="shared" si="1"/>
        <v>3.0033126594860793E-2</v>
      </c>
      <c r="P17" s="46">
        <f t="shared" si="2"/>
        <v>3.3486174302511662E-2</v>
      </c>
      <c r="Q17" s="46">
        <f t="shared" si="3"/>
        <v>5.0744416784517909E-2</v>
      </c>
      <c r="R17" s="46">
        <f t="shared" si="4"/>
        <v>4.1857749677900902E-2</v>
      </c>
      <c r="S17" s="46">
        <f t="shared" si="5"/>
        <v>1.1293920803123303E-2</v>
      </c>
      <c r="T17" s="46">
        <f t="shared" si="6"/>
        <v>6.2709549236309226E-2</v>
      </c>
      <c r="U17" s="46">
        <f t="shared" si="7"/>
        <v>2.0016116147678842E-2</v>
      </c>
      <c r="V17" s="46">
        <f t="shared" si="8"/>
        <v>-1.3406017243591251E-2</v>
      </c>
      <c r="W17" s="46">
        <f t="shared" si="11"/>
        <v>2.984844995343796E-2</v>
      </c>
      <c r="X17" s="46">
        <f>Fama3!B13/100</f>
        <v>2.7999999999999997E-2</v>
      </c>
      <c r="Y17" s="46">
        <f>Fama3!C13/100</f>
        <v>-1.9699999999999999E-2</v>
      </c>
      <c r="Z17" s="46">
        <f>Fama3!D13/100</f>
        <v>1.6299999999999999E-2</v>
      </c>
      <c r="AA17" s="46">
        <f>Fama3!E13/100</f>
        <v>3.7000000000000002E-3</v>
      </c>
    </row>
    <row r="18" spans="1:27" x14ac:dyDescent="0.45">
      <c r="A18" s="3">
        <v>45657</v>
      </c>
      <c r="B18">
        <v>96.743489999999994</v>
      </c>
      <c r="C18">
        <v>103.76179999999999</v>
      </c>
      <c r="D18">
        <v>139.96911</v>
      </c>
      <c r="E18">
        <v>118.48263</v>
      </c>
      <c r="F18">
        <v>27.902380000000001</v>
      </c>
      <c r="G18">
        <v>32.04759</v>
      </c>
      <c r="H18">
        <v>71.72</v>
      </c>
      <c r="I18">
        <v>4.0265000000000004</v>
      </c>
      <c r="J18">
        <v>654.84631999999999</v>
      </c>
      <c r="K18">
        <v>11477.5975</v>
      </c>
      <c r="L18" s="3">
        <f t="shared" si="9"/>
        <v>45657</v>
      </c>
      <c r="M18" s="46">
        <f t="shared" si="10"/>
        <v>-8.4640973451193591E-2</v>
      </c>
      <c r="N18" s="46">
        <f t="shared" si="0"/>
        <v>-8.8080764972362613E-2</v>
      </c>
      <c r="O18" s="46">
        <f t="shared" si="1"/>
        <v>-0.10553941549948942</v>
      </c>
      <c r="P18" s="46">
        <f t="shared" si="2"/>
        <v>-8.0144083752854423E-2</v>
      </c>
      <c r="Q18" s="46">
        <f t="shared" si="3"/>
        <v>8.5294798022150786E-3</v>
      </c>
      <c r="R18" s="46">
        <f t="shared" si="4"/>
        <v>-0.13195423307738741</v>
      </c>
      <c r="S18" s="46">
        <f t="shared" si="5"/>
        <v>5.470588235294116E-2</v>
      </c>
      <c r="T18" s="46">
        <f t="shared" si="6"/>
        <v>-1.3233672344075353E-2</v>
      </c>
      <c r="U18" s="46">
        <f t="shared" si="7"/>
        <v>-9.558603730021098E-2</v>
      </c>
      <c r="V18" s="46">
        <f t="shared" si="8"/>
        <v>2.7597929349253425E-2</v>
      </c>
      <c r="W18" s="46">
        <f t="shared" si="11"/>
        <v>-7.9437803499975757E-2</v>
      </c>
      <c r="X18" s="46">
        <f>Fama3!B14/100</f>
        <v>-3.1699999999999999E-2</v>
      </c>
      <c r="Y18" s="46">
        <f>Fama3!C14/100</f>
        <v>-2.7099999999999999E-2</v>
      </c>
      <c r="Z18" s="46">
        <f>Fama3!D14/100</f>
        <v>-0.03</v>
      </c>
      <c r="AA18" s="46">
        <f>Fama3!E14/100</f>
        <v>3.7000000000000002E-3</v>
      </c>
    </row>
    <row r="19" spans="1:27" x14ac:dyDescent="0.45">
      <c r="A19" s="3">
        <v>45625</v>
      </c>
      <c r="B19">
        <v>105.68912</v>
      </c>
      <c r="C19">
        <v>113.78398</v>
      </c>
      <c r="D19">
        <v>156.48437999999999</v>
      </c>
      <c r="E19">
        <v>128.80564000000001</v>
      </c>
      <c r="F19">
        <v>27.666399999999999</v>
      </c>
      <c r="G19">
        <v>36.919240000000002</v>
      </c>
      <c r="H19">
        <v>68</v>
      </c>
      <c r="I19">
        <v>4.0804999999999998</v>
      </c>
      <c r="J19">
        <v>724.05596000000003</v>
      </c>
      <c r="K19">
        <v>11169.346659999999</v>
      </c>
      <c r="L19" s="3">
        <f t="shared" si="9"/>
        <v>45625</v>
      </c>
      <c r="M19" s="46">
        <f t="shared" si="10"/>
        <v>-4.0434157382993607E-3</v>
      </c>
      <c r="N19" s="46">
        <f t="shared" si="0"/>
        <v>1.8404661978541181E-2</v>
      </c>
      <c r="O19" s="46">
        <f t="shared" si="1"/>
        <v>9.9192536152117317E-2</v>
      </c>
      <c r="P19" s="46">
        <f t="shared" si="2"/>
        <v>9.2653280327265941E-2</v>
      </c>
      <c r="Q19" s="46">
        <f t="shared" si="3"/>
        <v>1.4201400344587389E-2</v>
      </c>
      <c r="R19" s="46">
        <f t="shared" si="4"/>
        <v>-1.8872738105646603E-2</v>
      </c>
      <c r="S19" s="46">
        <f t="shared" si="5"/>
        <v>-1.8192318798729512E-2</v>
      </c>
      <c r="T19" s="46">
        <f t="shared" si="6"/>
        <v>-5.9792626728110587E-2</v>
      </c>
      <c r="U19" s="46">
        <f t="shared" si="7"/>
        <v>6.2831207250496846E-2</v>
      </c>
      <c r="V19" s="46">
        <f t="shared" si="8"/>
        <v>-2.4184247390678815E-2</v>
      </c>
      <c r="W19" s="46">
        <f t="shared" si="11"/>
        <v>4.1115828139373048E-2</v>
      </c>
      <c r="X19" s="46">
        <f>Fama3!B15/100</f>
        <v>6.4899999999999999E-2</v>
      </c>
      <c r="Y19" s="46">
        <f>Fama3!C15/100</f>
        <v>4.4600000000000001E-2</v>
      </c>
      <c r="Z19" s="46">
        <f>Fama3!D15/100</f>
        <v>1.5E-3</v>
      </c>
      <c r="AA19" s="46">
        <f>Fama3!E15/100</f>
        <v>4.0000000000000001E-3</v>
      </c>
    </row>
    <row r="20" spans="1:27" x14ac:dyDescent="0.45">
      <c r="A20" s="3">
        <v>45596</v>
      </c>
      <c r="B20">
        <v>106.1182</v>
      </c>
      <c r="C20">
        <v>111.72767</v>
      </c>
      <c r="D20">
        <v>142.36303000000001</v>
      </c>
      <c r="E20">
        <v>117.88336</v>
      </c>
      <c r="F20">
        <v>27.279</v>
      </c>
      <c r="G20">
        <v>37.62941</v>
      </c>
      <c r="H20">
        <v>69.260000000000005</v>
      </c>
      <c r="I20">
        <v>4.34</v>
      </c>
      <c r="J20">
        <v>681.25207</v>
      </c>
      <c r="K20">
        <v>11446.16351</v>
      </c>
      <c r="L20" s="3">
        <f t="shared" si="9"/>
        <v>45596</v>
      </c>
      <c r="M20" s="46">
        <f t="shared" si="10"/>
        <v>4.0463459229063581E-2</v>
      </c>
      <c r="N20" s="46">
        <f t="shared" si="0"/>
        <v>-3.7535902132731502E-3</v>
      </c>
      <c r="O20" s="46">
        <f t="shared" si="1"/>
        <v>1.0524893902823074E-2</v>
      </c>
      <c r="P20" s="46">
        <f t="shared" si="2"/>
        <v>-7.5085651723627578E-4</v>
      </c>
      <c r="Q20" s="46">
        <f t="shared" si="3"/>
        <v>-6.4670400807540052E-2</v>
      </c>
      <c r="R20" s="46">
        <f t="shared" si="4"/>
        <v>-1.1247466331173905E-2</v>
      </c>
      <c r="S20" s="46">
        <f t="shared" si="5"/>
        <v>1.5989438169282666E-2</v>
      </c>
      <c r="T20" s="46">
        <f t="shared" si="6"/>
        <v>-4.678234131341974E-2</v>
      </c>
      <c r="U20" s="46">
        <f t="shared" si="7"/>
        <v>7.0644934559338513E-3</v>
      </c>
      <c r="V20" s="46">
        <f t="shared" si="8"/>
        <v>5.8281375412549297E-2</v>
      </c>
      <c r="W20" s="46">
        <f t="shared" si="11"/>
        <v>-1.3979483993280062E-2</v>
      </c>
      <c r="X20" s="46">
        <f>Fama3!B16/100</f>
        <v>-0.01</v>
      </c>
      <c r="Y20" s="46">
        <f>Fama3!C16/100</f>
        <v>-9.8999999999999991E-3</v>
      </c>
      <c r="Z20" s="46">
        <f>Fama3!D16/100</f>
        <v>8.6E-3</v>
      </c>
      <c r="AA20" s="46">
        <f>Fama3!E16/100</f>
        <v>3.9000000000000003E-3</v>
      </c>
    </row>
    <row r="21" spans="1:27" x14ac:dyDescent="0.45">
      <c r="A21" s="3">
        <v>45565</v>
      </c>
      <c r="B21">
        <v>101.99128</v>
      </c>
      <c r="C21">
        <v>112.14863</v>
      </c>
      <c r="D21">
        <v>140.88028</v>
      </c>
      <c r="E21">
        <v>117.97194</v>
      </c>
      <c r="F21">
        <v>29.165120000000002</v>
      </c>
      <c r="G21">
        <v>38.057459999999999</v>
      </c>
      <c r="H21">
        <v>68.17</v>
      </c>
      <c r="I21">
        <v>4.5529999999999999</v>
      </c>
      <c r="J21">
        <v>676.47312999999997</v>
      </c>
      <c r="K21">
        <v>10815.803599999999</v>
      </c>
      <c r="L21" s="3">
        <f t="shared" si="9"/>
        <v>45565</v>
      </c>
      <c r="M21" s="46">
        <f t="shared" si="10"/>
        <v>-7.4786838062241956E-2</v>
      </c>
      <c r="N21" s="46">
        <f t="shared" si="0"/>
        <v>-6.1047978029995509E-3</v>
      </c>
      <c r="O21" s="46">
        <f t="shared" si="1"/>
        <v>-4.5961733553647743E-3</v>
      </c>
      <c r="P21" s="46">
        <f t="shared" si="2"/>
        <v>-4.5722773637143943E-2</v>
      </c>
      <c r="Q21" s="46">
        <f t="shared" si="3"/>
        <v>-7.5677210632536407E-2</v>
      </c>
      <c r="R21" s="46">
        <f t="shared" si="4"/>
        <v>-0.11668149020161245</v>
      </c>
      <c r="S21" s="46">
        <f t="shared" si="5"/>
        <v>-7.3147518694765434E-2</v>
      </c>
      <c r="T21" s="46">
        <f t="shared" si="6"/>
        <v>9.2632589392848574E-2</v>
      </c>
      <c r="U21" s="46">
        <f t="shared" si="7"/>
        <v>-2.7862118499764388E-2</v>
      </c>
      <c r="V21" s="46">
        <f t="shared" si="8"/>
        <v>-9.3174660614931959E-3</v>
      </c>
      <c r="W21" s="46">
        <f t="shared" si="11"/>
        <v>-4.9756489125931426E-2</v>
      </c>
      <c r="X21" s="46">
        <f>Fama3!B17/100</f>
        <v>1.72E-2</v>
      </c>
      <c r="Y21" s="46">
        <f>Fama3!C17/100</f>
        <v>-1.2999999999999999E-3</v>
      </c>
      <c r="Z21" s="46">
        <f>Fama3!D17/100</f>
        <v>-2.7699999999999999E-2</v>
      </c>
      <c r="AA21" s="46">
        <f>Fama3!E17/100</f>
        <v>4.0000000000000001E-3</v>
      </c>
    </row>
    <row r="22" spans="1:27" x14ac:dyDescent="0.45">
      <c r="A22" s="3">
        <v>45534</v>
      </c>
      <c r="B22">
        <v>110.23544</v>
      </c>
      <c r="C22">
        <v>112.83748</v>
      </c>
      <c r="D22">
        <v>141.53077999999999</v>
      </c>
      <c r="E22">
        <v>123.62439000000001</v>
      </c>
      <c r="F22">
        <v>31.552959999999999</v>
      </c>
      <c r="G22">
        <v>43.08464</v>
      </c>
      <c r="H22">
        <v>73.55</v>
      </c>
      <c r="I22">
        <v>4.1669999999999998</v>
      </c>
      <c r="J22">
        <v>695.86130000000003</v>
      </c>
      <c r="K22">
        <v>10917.52729</v>
      </c>
      <c r="L22" s="3">
        <f t="shared" si="9"/>
        <v>45534</v>
      </c>
      <c r="M22" s="46">
        <f t="shared" si="10"/>
        <v>3.069347764885566E-2</v>
      </c>
      <c r="N22" s="46">
        <f t="shared" si="0"/>
        <v>2.525649868182267E-3</v>
      </c>
      <c r="O22" s="46">
        <f t="shared" si="1"/>
        <v>-6.7702058639260931E-2</v>
      </c>
      <c r="P22" s="46">
        <f t="shared" si="2"/>
        <v>1.5930610179358595E-2</v>
      </c>
      <c r="Q22" s="46">
        <f t="shared" si="3"/>
        <v>-2.6604971653879095E-2</v>
      </c>
      <c r="R22" s="46">
        <f t="shared" si="4"/>
        <v>-4.7841896897775071E-2</v>
      </c>
      <c r="S22" s="46">
        <f t="shared" si="5"/>
        <v>-5.5962007444487205E-2</v>
      </c>
      <c r="T22" s="46">
        <f t="shared" si="6"/>
        <v>-2.2746318687896228E-3</v>
      </c>
      <c r="U22" s="46">
        <f t="shared" si="7"/>
        <v>-2.3240299155224964E-2</v>
      </c>
      <c r="V22" s="46">
        <f t="shared" si="8"/>
        <v>2.1009318181426373E-2</v>
      </c>
      <c r="W22" s="46">
        <f t="shared" si="11"/>
        <v>-2.4738533428674846E-2</v>
      </c>
      <c r="X22" s="46">
        <f>Fama3!B18/100</f>
        <v>1.6E-2</v>
      </c>
      <c r="Y22" s="46">
        <f>Fama3!C18/100</f>
        <v>-3.49E-2</v>
      </c>
      <c r="Z22" s="46">
        <f>Fama3!D18/100</f>
        <v>-1.1000000000000001E-2</v>
      </c>
      <c r="AA22" s="46">
        <f>Fama3!E18/100</f>
        <v>4.7999999999999996E-3</v>
      </c>
    </row>
    <row r="23" spans="1:27" x14ac:dyDescent="0.45">
      <c r="A23" s="3">
        <v>45504</v>
      </c>
      <c r="B23">
        <v>106.95269</v>
      </c>
      <c r="C23">
        <v>112.55321000000001</v>
      </c>
      <c r="D23">
        <v>151.80852999999999</v>
      </c>
      <c r="E23">
        <v>121.68586000000001</v>
      </c>
      <c r="F23">
        <v>32.415370000000003</v>
      </c>
      <c r="G23">
        <v>45.249459999999999</v>
      </c>
      <c r="H23">
        <v>77.91</v>
      </c>
      <c r="I23">
        <v>4.1764999999999999</v>
      </c>
      <c r="J23">
        <v>712.41810999999996</v>
      </c>
      <c r="K23">
        <v>10692.87723</v>
      </c>
      <c r="L23" s="3">
        <f t="shared" si="9"/>
        <v>45504</v>
      </c>
      <c r="M23" s="46">
        <f t="shared" si="10"/>
        <v>-2.7802070752231289E-2</v>
      </c>
      <c r="N23" s="46">
        <f t="shared" si="0"/>
        <v>3.0142453975545491E-2</v>
      </c>
      <c r="O23" s="46">
        <f t="shared" si="1"/>
        <v>2.5891838826715974E-2</v>
      </c>
      <c r="P23" s="46">
        <f t="shared" si="2"/>
        <v>1.4407341794712591E-2</v>
      </c>
      <c r="Q23" s="46">
        <f t="shared" si="3"/>
        <v>-1.966751638934483E-2</v>
      </c>
      <c r="R23" s="46">
        <f t="shared" si="4"/>
        <v>-7.8058653077647255E-3</v>
      </c>
      <c r="S23" s="46">
        <f t="shared" si="5"/>
        <v>-4.451802796173665E-2</v>
      </c>
      <c r="T23" s="46">
        <f t="shared" si="6"/>
        <v>-4.8958214733006877E-2</v>
      </c>
      <c r="U23" s="46">
        <f t="shared" si="7"/>
        <v>2.0317084547548658E-2</v>
      </c>
      <c r="V23" s="46">
        <f t="shared" si="8"/>
        <v>2.3829656557774692E-2</v>
      </c>
      <c r="W23" s="46">
        <f t="shared" si="11"/>
        <v>8.5936505799729009E-3</v>
      </c>
      <c r="X23" s="46">
        <f>Fama3!B19/100</f>
        <v>1.2199999999999999E-2</v>
      </c>
      <c r="Y23" s="46">
        <f>Fama3!C19/100</f>
        <v>6.8099999999999994E-2</v>
      </c>
      <c r="Z23" s="46">
        <f>Fama3!D19/100</f>
        <v>5.62E-2</v>
      </c>
      <c r="AA23" s="46">
        <f>Fama3!E19/100</f>
        <v>4.5000000000000005E-3</v>
      </c>
    </row>
    <row r="24" spans="1:27" x14ac:dyDescent="0.45">
      <c r="A24" s="3">
        <v>45471</v>
      </c>
      <c r="B24">
        <v>110.01123</v>
      </c>
      <c r="C24">
        <v>109.25985</v>
      </c>
      <c r="D24">
        <v>147.97712999999999</v>
      </c>
      <c r="E24">
        <v>119.95759</v>
      </c>
      <c r="F24">
        <v>33.065689999999996</v>
      </c>
      <c r="G24">
        <v>45.605449999999998</v>
      </c>
      <c r="H24">
        <v>81.540000000000006</v>
      </c>
      <c r="I24">
        <v>4.3914999999999997</v>
      </c>
      <c r="J24">
        <v>698.23207000000002</v>
      </c>
      <c r="K24">
        <v>10444.00029</v>
      </c>
      <c r="L24" s="3">
        <f t="shared" si="9"/>
        <v>45471</v>
      </c>
      <c r="M24" s="46">
        <f t="shared" si="10"/>
        <v>-1.802884593927645E-2</v>
      </c>
      <c r="N24" s="46">
        <f t="shared" si="0"/>
        <v>-1.8250096234265989E-2</v>
      </c>
      <c r="O24" s="46">
        <f t="shared" si="1"/>
        <v>-3.6229184950477111E-2</v>
      </c>
      <c r="P24" s="46">
        <f t="shared" si="2"/>
        <v>1.0598183195072552E-2</v>
      </c>
      <c r="Q24" s="46">
        <f t="shared" si="3"/>
        <v>-3.9126900892214489E-2</v>
      </c>
      <c r="R24" s="46">
        <f t="shared" si="4"/>
        <v>-2.6786215391286561E-2</v>
      </c>
      <c r="S24" s="46">
        <f t="shared" si="5"/>
        <v>5.9098584231718654E-2</v>
      </c>
      <c r="T24" s="46">
        <f t="shared" si="6"/>
        <v>-4.5740982181660228E-2</v>
      </c>
      <c r="U24" s="46">
        <f t="shared" si="7"/>
        <v>-1.3858771910869483E-2</v>
      </c>
      <c r="V24" s="46">
        <f t="shared" si="8"/>
        <v>1.1916956360991326E-2</v>
      </c>
      <c r="W24" s="46">
        <f t="shared" si="11"/>
        <v>-2.1958842854634321E-2</v>
      </c>
      <c r="X24" s="46">
        <f>Fama3!B20/100</f>
        <v>2.7999999999999997E-2</v>
      </c>
      <c r="Y24" s="46">
        <f>Fama3!C20/100</f>
        <v>-0.03</v>
      </c>
      <c r="Z24" s="46">
        <f>Fama3!D20/100</f>
        <v>-3.3599999999999998E-2</v>
      </c>
      <c r="AA24" s="46">
        <f>Fama3!E20/100</f>
        <v>4.0999999999999995E-3</v>
      </c>
    </row>
    <row r="25" spans="1:27" x14ac:dyDescent="0.45">
      <c r="A25" s="3">
        <v>45443</v>
      </c>
      <c r="B25">
        <v>112.03102</v>
      </c>
      <c r="C25">
        <v>111.29092</v>
      </c>
      <c r="D25">
        <v>153.53975</v>
      </c>
      <c r="E25">
        <v>118.69959</v>
      </c>
      <c r="F25">
        <v>34.412129999999998</v>
      </c>
      <c r="G25">
        <v>46.860669999999999</v>
      </c>
      <c r="H25">
        <v>76.989999999999995</v>
      </c>
      <c r="I25">
        <v>4.6020000000000003</v>
      </c>
      <c r="J25">
        <v>708.04470000000003</v>
      </c>
      <c r="K25">
        <v>10321.00532</v>
      </c>
      <c r="L25" s="3">
        <f t="shared" si="9"/>
        <v>45443</v>
      </c>
      <c r="M25" s="46">
        <f t="shared" si="10"/>
        <v>-6.6860350588443973E-2</v>
      </c>
      <c r="N25" s="46">
        <f t="shared" si="0"/>
        <v>-4.866850461596739E-4</v>
      </c>
      <c r="O25" s="46">
        <f t="shared" si="1"/>
        <v>1.6549174736043781E-2</v>
      </c>
      <c r="P25" s="46">
        <f t="shared" si="2"/>
        <v>-5.7367748714815425E-2</v>
      </c>
      <c r="Q25" s="46">
        <f t="shared" si="3"/>
        <v>-1.9758016849091731E-2</v>
      </c>
      <c r="R25" s="46">
        <f t="shared" si="4"/>
        <v>-4.103163547608335E-2</v>
      </c>
      <c r="S25" s="46">
        <f t="shared" si="5"/>
        <v>-6.0295374099841426E-2</v>
      </c>
      <c r="T25" s="46">
        <f t="shared" si="6"/>
        <v>8.215576733486829E-3</v>
      </c>
      <c r="U25" s="46">
        <f t="shared" si="7"/>
        <v>-9.6577866132732115E-3</v>
      </c>
      <c r="V25" s="46">
        <f t="shared" si="7"/>
        <v>3.5518568584628429E-2</v>
      </c>
      <c r="W25" s="46">
        <f t="shared" si="11"/>
        <v>-2.0418982270021278E-2</v>
      </c>
      <c r="X25" s="46">
        <f>Fama3!B21/100</f>
        <v>4.3299999999999998E-2</v>
      </c>
      <c r="Y25" s="46">
        <f>Fama3!C21/100</f>
        <v>5.5000000000000005E-3</v>
      </c>
      <c r="Z25" s="46">
        <f>Fama3!D21/100</f>
        <v>-1.3100000000000001E-2</v>
      </c>
      <c r="AA25" s="46">
        <f>Fama3!E21/100</f>
        <v>4.4000000000000003E-3</v>
      </c>
    </row>
    <row r="26" spans="1:27" x14ac:dyDescent="0.45">
      <c r="A26" s="3">
        <v>45412</v>
      </c>
      <c r="B26">
        <v>120.05815</v>
      </c>
      <c r="C26">
        <v>111.34511000000001</v>
      </c>
      <c r="D26">
        <v>151.04015999999999</v>
      </c>
      <c r="E26">
        <v>125.92354</v>
      </c>
      <c r="F26">
        <v>35.10575</v>
      </c>
      <c r="G26">
        <v>48.86571</v>
      </c>
      <c r="H26">
        <v>81.93</v>
      </c>
      <c r="I26">
        <v>4.5644999999999998</v>
      </c>
      <c r="J26">
        <v>714.94952999999998</v>
      </c>
      <c r="K26">
        <v>9966.9920299999994</v>
      </c>
      <c r="L26" s="3">
        <f t="shared" si="9"/>
        <v>45412</v>
      </c>
      <c r="M26" s="46">
        <f t="shared" si="10"/>
        <v>-1.3042167243510816E-2</v>
      </c>
      <c r="N26" s="46">
        <f t="shared" si="0"/>
        <v>1.7463864282726949E-2</v>
      </c>
      <c r="O26" s="46">
        <f t="shared" si="1"/>
        <v>2.2378587256237648E-2</v>
      </c>
      <c r="P26" s="46">
        <f t="shared" si="2"/>
        <v>4.0556688789167961E-2</v>
      </c>
      <c r="Q26" s="46">
        <f t="shared" si="3"/>
        <v>2.8927772015228115E-2</v>
      </c>
      <c r="R26" s="46">
        <f t="shared" si="4"/>
        <v>1.9928229320532953E-2</v>
      </c>
      <c r="S26" s="46">
        <f t="shared" si="5"/>
        <v>-1.4909222075267459E-2</v>
      </c>
      <c r="T26" s="46">
        <f t="shared" si="6"/>
        <v>0.1391315198402796</v>
      </c>
      <c r="U26" s="46">
        <f t="shared" si="7"/>
        <v>-8.7248630061573795E-3</v>
      </c>
      <c r="V26" s="46">
        <f t="shared" si="7"/>
        <v>4.9115150817354847E-2</v>
      </c>
      <c r="W26" s="46">
        <f t="shared" si="11"/>
        <v>2.5851028332778726E-2</v>
      </c>
      <c r="X26" s="46">
        <f>Fama3!B22/100</f>
        <v>-4.6500000000000007E-2</v>
      </c>
      <c r="Y26" s="46">
        <f>Fama3!C22/100</f>
        <v>-2.3700000000000002E-2</v>
      </c>
      <c r="Z26" s="46">
        <f>Fama3!D22/100</f>
        <v>-4.5000000000000005E-3</v>
      </c>
      <c r="AA26" s="46">
        <f>Fama3!E22/100</f>
        <v>4.6999999999999993E-3</v>
      </c>
    </row>
    <row r="27" spans="1:27" x14ac:dyDescent="0.45">
      <c r="A27" s="3">
        <v>45379</v>
      </c>
      <c r="B27">
        <v>121.64466</v>
      </c>
      <c r="C27">
        <v>109.43397</v>
      </c>
      <c r="D27">
        <v>147.73408000000001</v>
      </c>
      <c r="E27">
        <v>121.01555</v>
      </c>
      <c r="F27">
        <v>34.118769999999998</v>
      </c>
      <c r="G27">
        <v>47.91093</v>
      </c>
      <c r="H27">
        <v>83.17</v>
      </c>
      <c r="I27">
        <v>4.0069999999999997</v>
      </c>
      <c r="J27">
        <v>721.24226999999996</v>
      </c>
      <c r="K27">
        <v>9500.3794600000001</v>
      </c>
      <c r="L27" s="3">
        <f t="shared" si="9"/>
        <v>45379</v>
      </c>
      <c r="M27" s="46">
        <f t="shared" si="10"/>
        <v>0.13097571182310586</v>
      </c>
      <c r="N27" s="46">
        <f t="shared" si="0"/>
        <v>0.11213169405465595</v>
      </c>
      <c r="O27" s="46">
        <f t="shared" si="1"/>
        <v>3.7694896063042549E-2</v>
      </c>
      <c r="P27" s="46">
        <f t="shared" si="2"/>
        <v>0.11689674398136929</v>
      </c>
      <c r="Q27" s="46">
        <f t="shared" si="3"/>
        <v>7.6879059155048557E-2</v>
      </c>
      <c r="R27" s="46">
        <f t="shared" si="4"/>
        <v>0.14957032913639945</v>
      </c>
      <c r="S27" s="46">
        <f t="shared" si="5"/>
        <v>6.273958599539986E-2</v>
      </c>
      <c r="T27" s="46">
        <f t="shared" si="6"/>
        <v>4.1590850012997116E-2</v>
      </c>
      <c r="U27" s="46">
        <f t="shared" si="7"/>
        <v>0.10426139844611115</v>
      </c>
      <c r="V27" s="46">
        <f t="shared" si="7"/>
        <v>-4.1075904825150555E-2</v>
      </c>
      <c r="W27" s="46">
        <f t="shared" si="11"/>
        <v>9.8634544478103159E-2</v>
      </c>
      <c r="X27" s="46">
        <f>Fama3!B23/100</f>
        <v>2.8399999999999998E-2</v>
      </c>
      <c r="Y27" s="46">
        <f>Fama3!C23/100</f>
        <v>-2.5000000000000001E-2</v>
      </c>
      <c r="Z27" s="46">
        <f>Fama3!D23/100</f>
        <v>4.1599999999999998E-2</v>
      </c>
      <c r="AA27" s="46">
        <f>Fama3!E23/100</f>
        <v>4.3E-3</v>
      </c>
    </row>
    <row r="28" spans="1:27" x14ac:dyDescent="0.45">
      <c r="A28" s="3">
        <v>45351</v>
      </c>
      <c r="B28">
        <v>107.55727</v>
      </c>
      <c r="C28">
        <v>98.400189999999995</v>
      </c>
      <c r="D28">
        <v>142.36754999999999</v>
      </c>
      <c r="E28">
        <v>108.34981000000001</v>
      </c>
      <c r="F28">
        <v>31.683009999999999</v>
      </c>
      <c r="G28">
        <v>41.677250000000001</v>
      </c>
      <c r="H28">
        <v>78.260000000000005</v>
      </c>
      <c r="I28">
        <v>3.847</v>
      </c>
      <c r="J28">
        <v>653.14450999999997</v>
      </c>
      <c r="K28">
        <v>9907.3320899999999</v>
      </c>
      <c r="L28" s="3">
        <f t="shared" si="9"/>
        <v>45351</v>
      </c>
      <c r="M28" s="46">
        <f t="shared" si="10"/>
        <v>1.3165552024394955E-2</v>
      </c>
      <c r="N28" s="46">
        <f t="shared" si="0"/>
        <v>2.6080860438048026E-2</v>
      </c>
      <c r="O28" s="46">
        <f t="shared" si="1"/>
        <v>4.2316341022314852E-2</v>
      </c>
      <c r="P28" s="46">
        <f t="shared" si="2"/>
        <v>5.8880061732944355E-3</v>
      </c>
      <c r="Q28" s="46">
        <f t="shared" si="3"/>
        <v>9.0333022605229019E-3</v>
      </c>
      <c r="R28" s="46">
        <f t="shared" si="4"/>
        <v>4.8548376668057891E-2</v>
      </c>
      <c r="S28" s="46">
        <f t="shared" si="5"/>
        <v>3.1773236651285508E-2</v>
      </c>
      <c r="T28" s="46">
        <f t="shared" si="6"/>
        <v>-1.5104966717869983E-2</v>
      </c>
      <c r="U28" s="46">
        <f t="shared" si="7"/>
        <v>2.5778405721691433E-2</v>
      </c>
      <c r="V28" s="46">
        <f t="shared" si="7"/>
        <v>3.1828014210129263E-2</v>
      </c>
      <c r="W28" s="46">
        <f t="shared" si="11"/>
        <v>2.637337731244762E-2</v>
      </c>
      <c r="X28" s="46">
        <f>Fama3!B24/100</f>
        <v>5.0700000000000002E-2</v>
      </c>
      <c r="Y28" s="46">
        <f>Fama3!C24/100</f>
        <v>-2.3999999999999998E-3</v>
      </c>
      <c r="Z28" s="46">
        <f>Fama3!D24/100</f>
        <v>-3.4300000000000004E-2</v>
      </c>
      <c r="AA28" s="46">
        <f>Fama3!E24/100</f>
        <v>4.1999999999999997E-3</v>
      </c>
    </row>
    <row r="29" spans="1:27" x14ac:dyDescent="0.45">
      <c r="A29" s="3">
        <v>45322</v>
      </c>
      <c r="B29">
        <v>106.15962</v>
      </c>
      <c r="C29">
        <v>95.899060000000006</v>
      </c>
      <c r="D29">
        <v>136.58766</v>
      </c>
      <c r="E29">
        <v>107.71558</v>
      </c>
      <c r="F29">
        <v>31.399370000000001</v>
      </c>
      <c r="G29">
        <v>39.747570000000003</v>
      </c>
      <c r="H29">
        <v>75.849999999999994</v>
      </c>
      <c r="I29">
        <v>3.9060000000000001</v>
      </c>
      <c r="J29">
        <v>636.73060999999996</v>
      </c>
      <c r="K29">
        <v>9601.7281500000008</v>
      </c>
      <c r="L29" s="3">
        <f t="shared" si="9"/>
        <v>45322</v>
      </c>
      <c r="M29" s="46">
        <f t="shared" si="10"/>
        <v>-3.6185131559021477E-2</v>
      </c>
      <c r="N29" s="46">
        <f t="shared" si="0"/>
        <v>2.830559525966847E-2</v>
      </c>
      <c r="O29" s="46">
        <f t="shared" si="1"/>
        <v>-1.1598270589359916E-2</v>
      </c>
      <c r="P29" s="46">
        <f t="shared" si="2"/>
        <v>-5.1762493907112739E-2</v>
      </c>
      <c r="Q29" s="46">
        <f t="shared" si="3"/>
        <v>-8.4745548624561851E-3</v>
      </c>
      <c r="R29" s="46">
        <f t="shared" si="4"/>
        <v>-7.2406213368015337E-2</v>
      </c>
      <c r="S29" s="46">
        <f t="shared" si="5"/>
        <v>5.8618283321702602E-2</v>
      </c>
      <c r="T29" s="46">
        <f t="shared" si="6"/>
        <v>3.9840637450199168E-3</v>
      </c>
      <c r="U29" s="46">
        <f t="shared" si="7"/>
        <v>-5.183110861754936E-3</v>
      </c>
      <c r="V29" s="46">
        <f t="shared" si="7"/>
        <v>5.2893008686458742E-2</v>
      </c>
      <c r="W29" s="46">
        <f t="shared" si="11"/>
        <v>-2.3187187493455143E-2</v>
      </c>
      <c r="X29" s="46">
        <f>Fama3!B25/100</f>
        <v>7.3000000000000001E-3</v>
      </c>
      <c r="Y29" s="46">
        <f>Fama3!C25/100</f>
        <v>-5.0700000000000002E-2</v>
      </c>
      <c r="Z29" s="46">
        <f>Fama3!D25/100</f>
        <v>-2.3799999999999998E-2</v>
      </c>
      <c r="AA29" s="46">
        <f>Fama3!E25/100</f>
        <v>4.6999999999999993E-3</v>
      </c>
    </row>
    <row r="30" spans="1:27" x14ac:dyDescent="0.45">
      <c r="A30" s="3">
        <v>45289</v>
      </c>
      <c r="B30">
        <v>110.14524</v>
      </c>
      <c r="C30">
        <v>93.259299999999996</v>
      </c>
      <c r="D30">
        <v>138.19042999999999</v>
      </c>
      <c r="E30">
        <v>113.59557</v>
      </c>
      <c r="F30">
        <v>31.667739999999998</v>
      </c>
      <c r="G30">
        <v>42.850189999999998</v>
      </c>
      <c r="H30">
        <v>71.650000000000006</v>
      </c>
      <c r="I30">
        <v>3.8904999999999998</v>
      </c>
      <c r="J30">
        <v>640.04804999999999</v>
      </c>
      <c r="K30">
        <v>9119.3768700000001</v>
      </c>
      <c r="L30" s="3">
        <f t="shared" si="9"/>
        <v>45289</v>
      </c>
      <c r="M30" s="46">
        <f t="shared" si="10"/>
        <v>4.3264038655335124E-3</v>
      </c>
      <c r="N30" s="46">
        <f t="shared" si="0"/>
        <v>-2.6863912376608012E-2</v>
      </c>
      <c r="O30" s="46">
        <f t="shared" si="1"/>
        <v>3.871862553727512E-2</v>
      </c>
      <c r="P30" s="46">
        <f t="shared" si="2"/>
        <v>-4.6241218597886657E-3</v>
      </c>
      <c r="Q30" s="46">
        <f t="shared" si="3"/>
        <v>-2.4524772277892626E-2</v>
      </c>
      <c r="R30" s="46">
        <f t="shared" si="4"/>
        <v>2.5189892557704541E-2</v>
      </c>
      <c r="S30" s="46">
        <f t="shared" si="5"/>
        <v>-5.6740389678778147E-2</v>
      </c>
      <c r="T30" s="46">
        <f t="shared" si="6"/>
        <v>1.6061634891616494E-2</v>
      </c>
      <c r="U30" s="46">
        <f t="shared" si="7"/>
        <v>-1.9265581626047856E-3</v>
      </c>
      <c r="V30" s="46">
        <f t="shared" si="7"/>
        <v>1.6531489784583187E-2</v>
      </c>
      <c r="W30" s="46">
        <f t="shared" si="11"/>
        <v>1.5791423161380714E-3</v>
      </c>
      <c r="X30" s="46">
        <f>Fama3!B26/100</f>
        <v>4.8499999999999995E-2</v>
      </c>
      <c r="Y30" s="46">
        <f>Fama3!C26/100</f>
        <v>6.3E-2</v>
      </c>
      <c r="Z30" s="46">
        <f>Fama3!D26/100</f>
        <v>4.8899999999999999E-2</v>
      </c>
      <c r="AA30" s="46">
        <f>Fama3!E26/100</f>
        <v>4.3E-3</v>
      </c>
    </row>
    <row r="31" spans="1:27" x14ac:dyDescent="0.45">
      <c r="A31" s="3">
        <v>45260</v>
      </c>
      <c r="B31">
        <v>109.67076</v>
      </c>
      <c r="C31">
        <v>95.833770000000001</v>
      </c>
      <c r="D31">
        <v>133.03933000000001</v>
      </c>
      <c r="E31">
        <v>114.12329</v>
      </c>
      <c r="F31">
        <v>32.463909999999998</v>
      </c>
      <c r="G31">
        <v>41.797319999999999</v>
      </c>
      <c r="H31">
        <v>75.959999999999994</v>
      </c>
      <c r="I31">
        <v>3.8290000000000002</v>
      </c>
      <c r="J31">
        <v>641.28351999999995</v>
      </c>
      <c r="K31">
        <v>8971.0716900000007</v>
      </c>
      <c r="L31" s="3">
        <f t="shared" si="9"/>
        <v>45260</v>
      </c>
      <c r="M31" s="46">
        <f t="shared" si="10"/>
        <v>-2.2283438664245314E-2</v>
      </c>
      <c r="N31" s="46">
        <f t="shared" si="0"/>
        <v>-2.0505512927581848E-2</v>
      </c>
      <c r="O31" s="46">
        <f t="shared" si="1"/>
        <v>-4.2868123470852781E-3</v>
      </c>
      <c r="P31" s="46">
        <f t="shared" si="2"/>
        <v>-2.5188065714370378E-2</v>
      </c>
      <c r="Q31" s="46">
        <f t="shared" si="3"/>
        <v>4.4828078070413557E-3</v>
      </c>
      <c r="R31" s="46">
        <f t="shared" si="4"/>
        <v>-3.4356919022170529E-2</v>
      </c>
      <c r="S31" s="46">
        <f t="shared" si="5"/>
        <v>-6.2453715132066212E-2</v>
      </c>
      <c r="T31" s="46">
        <f t="shared" si="6"/>
        <v>4.9328583173472218E-2</v>
      </c>
      <c r="U31" s="46">
        <f t="shared" si="7"/>
        <v>-1.6456004983335992E-2</v>
      </c>
      <c r="V31" s="46">
        <f t="shared" si="7"/>
        <v>4.5070104829980195E-2</v>
      </c>
      <c r="W31" s="46">
        <f t="shared" si="11"/>
        <v>-1.5970900440833335E-2</v>
      </c>
      <c r="X31" s="46">
        <f>Fama3!B27/100</f>
        <v>8.8800000000000004E-2</v>
      </c>
      <c r="Y31" s="46">
        <f>Fama3!C27/100</f>
        <v>-1E-3</v>
      </c>
      <c r="Z31" s="46">
        <f>Fama3!D27/100</f>
        <v>1.67E-2</v>
      </c>
      <c r="AA31" s="46">
        <f>Fama3!E27/100</f>
        <v>4.4000000000000003E-3</v>
      </c>
    </row>
    <row r="32" spans="1:27" x14ac:dyDescent="0.45">
      <c r="A32" s="3">
        <v>45230</v>
      </c>
      <c r="B32">
        <v>112.1703</v>
      </c>
      <c r="C32">
        <v>97.840029999999999</v>
      </c>
      <c r="D32">
        <v>133.6121</v>
      </c>
      <c r="E32">
        <v>117.07211</v>
      </c>
      <c r="F32">
        <v>32.319029999999998</v>
      </c>
      <c r="G32">
        <v>43.284439999999996</v>
      </c>
      <c r="H32">
        <v>81.02</v>
      </c>
      <c r="I32">
        <v>3.649</v>
      </c>
      <c r="J32">
        <v>652.01305000000002</v>
      </c>
      <c r="K32">
        <v>8584.1817200000005</v>
      </c>
      <c r="L32" s="3">
        <f t="shared" si="9"/>
        <v>45230</v>
      </c>
      <c r="M32" s="46">
        <f t="shared" si="10"/>
        <v>-8.3472941134868917E-3</v>
      </c>
      <c r="N32" s="46">
        <f t="shared" si="0"/>
        <v>-9.9761884147008595E-2</v>
      </c>
      <c r="O32" s="46">
        <f t="shared" si="1"/>
        <v>-0.13574898938361191</v>
      </c>
      <c r="P32" s="46">
        <f t="shared" si="2"/>
        <v>2.1539887526569323E-3</v>
      </c>
      <c r="Q32" s="46">
        <f t="shared" si="3"/>
        <v>-5.5268454168767689E-2</v>
      </c>
      <c r="R32" s="46">
        <f t="shared" si="4"/>
        <v>-2.3689785342052461E-2</v>
      </c>
      <c r="S32" s="46">
        <f t="shared" si="5"/>
        <v>-0.10761097037118639</v>
      </c>
      <c r="T32" s="46">
        <f t="shared" si="6"/>
        <v>-2.3678929765886259E-2</v>
      </c>
      <c r="U32" s="46">
        <f t="shared" si="7"/>
        <v>-6.0758909474183054E-2</v>
      </c>
      <c r="V32" s="46">
        <f t="shared" si="7"/>
        <v>9.068098742839914E-2</v>
      </c>
      <c r="W32" s="46">
        <f t="shared" si="11"/>
        <v>-6.2463024857756747E-2</v>
      </c>
      <c r="X32" s="46">
        <f>Fama3!B28/100</f>
        <v>-3.15E-2</v>
      </c>
      <c r="Y32" s="46">
        <f>Fama3!C28/100</f>
        <v>-3.8599999999999995E-2</v>
      </c>
      <c r="Z32" s="46">
        <f>Fama3!D28/100</f>
        <v>2E-3</v>
      </c>
      <c r="AA32" s="46">
        <f>Fama3!E28/100</f>
        <v>4.6999999999999993E-3</v>
      </c>
    </row>
    <row r="33" spans="1:27" x14ac:dyDescent="0.45">
      <c r="A33" s="3">
        <v>45198</v>
      </c>
      <c r="B33">
        <v>113.11450000000001</v>
      </c>
      <c r="C33">
        <v>108.68239</v>
      </c>
      <c r="D33">
        <v>154.59871999999999</v>
      </c>
      <c r="E33">
        <v>116.82048</v>
      </c>
      <c r="F33">
        <v>34.20975</v>
      </c>
      <c r="G33">
        <v>44.334719999999997</v>
      </c>
      <c r="H33">
        <v>90.79</v>
      </c>
      <c r="I33">
        <v>3.7374999999999998</v>
      </c>
      <c r="J33">
        <v>694.19136000000003</v>
      </c>
      <c r="K33">
        <v>7870.4789199999996</v>
      </c>
      <c r="L33" s="3">
        <f t="shared" si="9"/>
        <v>45198</v>
      </c>
      <c r="M33" s="46">
        <f t="shared" si="10"/>
        <v>1.1520646460368544E-2</v>
      </c>
      <c r="N33" s="46">
        <f t="shared" si="0"/>
        <v>5.7469189773404095E-2</v>
      </c>
      <c r="O33" s="46">
        <f t="shared" si="1"/>
        <v>4.6679021101927898E-2</v>
      </c>
      <c r="P33" s="46">
        <f t="shared" si="2"/>
        <v>-1.4461257907393055E-2</v>
      </c>
      <c r="Q33" s="46">
        <f t="shared" si="3"/>
        <v>4.1419958026298387E-2</v>
      </c>
      <c r="R33" s="46">
        <f t="shared" si="4"/>
        <v>-5.72328253040435E-2</v>
      </c>
      <c r="S33" s="46">
        <f t="shared" si="5"/>
        <v>8.5615209852923702E-2</v>
      </c>
      <c r="T33" s="46">
        <f t="shared" si="6"/>
        <v>-9.2776673293571976E-3</v>
      </c>
      <c r="U33" s="46">
        <f t="shared" si="7"/>
        <v>2.4650668298413336E-2</v>
      </c>
      <c r="V33" s="46">
        <f t="shared" si="7"/>
        <v>-2.1312784516718697E-2</v>
      </c>
      <c r="W33" s="46">
        <f t="shared" si="11"/>
        <v>1.4774817138038765E-2</v>
      </c>
      <c r="X33" s="46">
        <f>Fama3!B29/100</f>
        <v>-5.2300000000000006E-2</v>
      </c>
      <c r="Y33" s="46">
        <f>Fama3!C29/100</f>
        <v>-2.5099999999999997E-2</v>
      </c>
      <c r="Z33" s="46">
        <f>Fama3!D29/100</f>
        <v>1.49E-2</v>
      </c>
      <c r="AA33" s="46">
        <f>Fama3!E29/100</f>
        <v>4.3E-3</v>
      </c>
    </row>
    <row r="34" spans="1:27" x14ac:dyDescent="0.45">
      <c r="A34" s="3">
        <v>45169</v>
      </c>
      <c r="B34">
        <v>111.82619</v>
      </c>
      <c r="C34">
        <v>102.77594000000001</v>
      </c>
      <c r="D34">
        <v>147.70403999999999</v>
      </c>
      <c r="E34">
        <v>118.53464</v>
      </c>
      <c r="F34">
        <v>32.849139999999998</v>
      </c>
      <c r="G34">
        <v>47.026159999999997</v>
      </c>
      <c r="H34">
        <v>83.63</v>
      </c>
      <c r="I34">
        <v>3.7725</v>
      </c>
      <c r="J34">
        <v>677.49076000000002</v>
      </c>
      <c r="K34">
        <v>8041.8736399999998</v>
      </c>
      <c r="L34" s="3">
        <f t="shared" si="9"/>
        <v>45169</v>
      </c>
      <c r="M34" s="46">
        <f t="shared" si="10"/>
        <v>1.5528867184949391E-2</v>
      </c>
      <c r="N34" s="46">
        <f t="shared" si="0"/>
        <v>4.5332697036418734E-2</v>
      </c>
      <c r="O34" s="46">
        <f t="shared" si="1"/>
        <v>-6.182024659333929E-3</v>
      </c>
      <c r="P34" s="46">
        <f t="shared" si="2"/>
        <v>-2.9502763471334403E-2</v>
      </c>
      <c r="Q34" s="46">
        <f t="shared" si="3"/>
        <v>8.402964076277275E-3</v>
      </c>
      <c r="R34" s="46">
        <f t="shared" si="4"/>
        <v>-5.388887849416224E-2</v>
      </c>
      <c r="S34" s="46">
        <f t="shared" si="5"/>
        <v>2.2371638141809314E-2</v>
      </c>
      <c r="T34" s="46">
        <f t="shared" si="6"/>
        <v>-5.875748502994016E-2</v>
      </c>
      <c r="U34" s="46">
        <f t="shared" si="7"/>
        <v>1.2719133547845374E-2</v>
      </c>
      <c r="V34" s="46">
        <f t="shared" si="7"/>
        <v>-4.7990269488475845E-2</v>
      </c>
      <c r="W34" s="46">
        <f t="shared" si="11"/>
        <v>-7.1676011024269124E-3</v>
      </c>
      <c r="X34" s="46">
        <f>Fama3!B30/100</f>
        <v>-2.3599999999999999E-2</v>
      </c>
      <c r="Y34" s="46">
        <f>Fama3!C30/100</f>
        <v>-3.1400000000000004E-2</v>
      </c>
      <c r="Z34" s="46">
        <f>Fama3!D30/100</f>
        <v>-1.15E-2</v>
      </c>
      <c r="AA34" s="46">
        <f>Fama3!E30/100</f>
        <v>4.5000000000000005E-3</v>
      </c>
    </row>
    <row r="35" spans="1:27" x14ac:dyDescent="0.45">
      <c r="A35" s="3">
        <v>45138</v>
      </c>
      <c r="B35">
        <v>110.11621</v>
      </c>
      <c r="C35">
        <v>98.318879999999993</v>
      </c>
      <c r="D35">
        <v>148.62282999999999</v>
      </c>
      <c r="E35">
        <v>122.13805000000001</v>
      </c>
      <c r="F35">
        <v>32.575409999999998</v>
      </c>
      <c r="G35">
        <v>49.704689999999999</v>
      </c>
      <c r="H35">
        <v>81.8</v>
      </c>
      <c r="I35">
        <v>4.008</v>
      </c>
      <c r="J35">
        <v>668.98189000000002</v>
      </c>
      <c r="K35">
        <v>8447.2599200000004</v>
      </c>
      <c r="L35" s="3">
        <f t="shared" si="9"/>
        <v>45138</v>
      </c>
      <c r="M35" s="46">
        <f t="shared" si="10"/>
        <v>0.13618371315594757</v>
      </c>
      <c r="N35" s="46">
        <f t="shared" si="0"/>
        <v>-9.3259247996968497E-5</v>
      </c>
      <c r="O35" s="46">
        <f t="shared" si="1"/>
        <v>4.0101729557844745E-2</v>
      </c>
      <c r="P35" s="46">
        <f t="shared" si="2"/>
        <v>0.16592179741541924</v>
      </c>
      <c r="Q35" s="46">
        <f t="shared" si="3"/>
        <v>5.6956846203763734E-2</v>
      </c>
      <c r="R35" s="46">
        <f t="shared" si="4"/>
        <v>0.11708735158411399</v>
      </c>
      <c r="S35" s="46">
        <f t="shared" si="5"/>
        <v>0.15798414496036228</v>
      </c>
      <c r="T35" s="46">
        <f t="shared" si="6"/>
        <v>6.6099215321186344E-2</v>
      </c>
      <c r="U35" s="46">
        <f t="shared" si="7"/>
        <v>7.2847929471729911E-2</v>
      </c>
      <c r="V35" s="46">
        <f t="shared" si="7"/>
        <v>-1.6460274929841257E-2</v>
      </c>
      <c r="W35" s="46">
        <f t="shared" si="11"/>
        <v>7.5994893102628941E-2</v>
      </c>
      <c r="X35" s="46">
        <f>Fama3!B31/100</f>
        <v>3.2099999999999997E-2</v>
      </c>
      <c r="Y35" s="46">
        <f>Fama3!C31/100</f>
        <v>2.0499999999999997E-2</v>
      </c>
      <c r="Z35" s="46">
        <f>Fama3!D31/100</f>
        <v>4.0599999999999997E-2</v>
      </c>
      <c r="AA35" s="46">
        <f>Fama3!E31/100</f>
        <v>4.5000000000000005E-3</v>
      </c>
    </row>
    <row r="36" spans="1:27" x14ac:dyDescent="0.45">
      <c r="A36" s="3">
        <v>45107</v>
      </c>
      <c r="B36">
        <v>96.917609999999996</v>
      </c>
      <c r="C36">
        <v>98.328050000000005</v>
      </c>
      <c r="D36">
        <v>142.89259000000001</v>
      </c>
      <c r="E36">
        <v>104.75664</v>
      </c>
      <c r="F36">
        <v>30.82</v>
      </c>
      <c r="G36">
        <v>44.494900000000001</v>
      </c>
      <c r="H36">
        <v>70.64</v>
      </c>
      <c r="I36">
        <v>3.7595000000000001</v>
      </c>
      <c r="J36">
        <v>623.55705</v>
      </c>
      <c r="K36">
        <v>8588.6311499999993</v>
      </c>
      <c r="L36" s="3">
        <f t="shared" si="9"/>
        <v>45107</v>
      </c>
      <c r="M36" s="46">
        <f t="shared" si="10"/>
        <v>4.9673003416828454E-2</v>
      </c>
      <c r="N36" s="46">
        <f t="shared" si="0"/>
        <v>4.9618263570532006E-2</v>
      </c>
      <c r="O36" s="46">
        <f t="shared" si="1"/>
        <v>4.4681953152102105E-2</v>
      </c>
      <c r="P36" s="46">
        <f t="shared" si="2"/>
        <v>6.6641795208796095E-2</v>
      </c>
      <c r="Q36" s="46">
        <f t="shared" si="3"/>
        <v>4.6870377270752606E-2</v>
      </c>
      <c r="R36" s="46">
        <f t="shared" si="4"/>
        <v>6.3790008169409163E-2</v>
      </c>
      <c r="S36" s="46">
        <f t="shared" si="5"/>
        <v>3.7450433250110216E-2</v>
      </c>
      <c r="T36" s="46">
        <f t="shared" si="6"/>
        <v>3.3681605718999252E-2</v>
      </c>
      <c r="U36" s="46">
        <f t="shared" si="7"/>
        <v>6.4703769310952008E-2</v>
      </c>
      <c r="V36" s="46">
        <f t="shared" si="7"/>
        <v>3.1829040030162403E-2</v>
      </c>
      <c r="W36" s="46">
        <f t="shared" si="11"/>
        <v>5.4320479474318395E-2</v>
      </c>
      <c r="X36" s="46">
        <f>Fama3!B32/100</f>
        <v>6.4600000000000005E-2</v>
      </c>
      <c r="Y36" s="46">
        <f>Fama3!C32/100</f>
        <v>1.49E-2</v>
      </c>
      <c r="Z36" s="46">
        <f>Fama3!D32/100</f>
        <v>-1.2999999999999999E-3</v>
      </c>
      <c r="AA36" s="46">
        <f>Fama3!E32/100</f>
        <v>4.0000000000000001E-3</v>
      </c>
    </row>
    <row r="37" spans="1:27" x14ac:dyDescent="0.45">
      <c r="A37" s="3">
        <v>45077</v>
      </c>
      <c r="B37">
        <v>92.331239999999994</v>
      </c>
      <c r="C37">
        <v>93.679820000000007</v>
      </c>
      <c r="D37">
        <v>136.78094999999999</v>
      </c>
      <c r="E37">
        <v>98.211640000000003</v>
      </c>
      <c r="F37">
        <v>29.44013</v>
      </c>
      <c r="G37">
        <v>41.826770000000003</v>
      </c>
      <c r="H37">
        <v>68.09</v>
      </c>
      <c r="I37">
        <v>3.637</v>
      </c>
      <c r="J37">
        <v>585.66247999999996</v>
      </c>
      <c r="K37">
        <v>8323.6959000000006</v>
      </c>
      <c r="L37" s="3">
        <f t="shared" si="9"/>
        <v>45077</v>
      </c>
      <c r="M37" s="46">
        <f t="shared" si="10"/>
        <v>-2.991576466049406E-2</v>
      </c>
      <c r="N37" s="46">
        <f t="shared" si="0"/>
        <v>-0.12906317492968933</v>
      </c>
      <c r="O37" s="46">
        <f t="shared" si="1"/>
        <v>-9.7787708772011039E-2</v>
      </c>
      <c r="P37" s="46">
        <f t="shared" si="2"/>
        <v>-0.10195030167510311</v>
      </c>
      <c r="Q37" s="46">
        <f t="shared" si="3"/>
        <v>-0.15409460651493689</v>
      </c>
      <c r="R37" s="46">
        <f t="shared" si="4"/>
        <v>-0.13718889575578841</v>
      </c>
      <c r="S37" s="46">
        <f t="shared" si="5"/>
        <v>-0.11318051575931232</v>
      </c>
      <c r="T37" s="46">
        <f t="shared" si="6"/>
        <v>-6.5158719958874123E-2</v>
      </c>
      <c r="U37" s="46">
        <f t="shared" si="7"/>
        <v>-0.10612647992706437</v>
      </c>
      <c r="V37" s="46">
        <f t="shared" si="7"/>
        <v>6.5671223561701408E-2</v>
      </c>
      <c r="W37" s="46">
        <f t="shared" si="11"/>
        <v>-0.12401693752950575</v>
      </c>
      <c r="X37" s="46">
        <f>Fama3!B33/100</f>
        <v>3.4000000000000002E-3</v>
      </c>
      <c r="Y37" s="46">
        <f>Fama3!C33/100</f>
        <v>1.6E-2</v>
      </c>
      <c r="Z37" s="46">
        <f>Fama3!D33/100</f>
        <v>-7.7899999999999997E-2</v>
      </c>
      <c r="AA37" s="46">
        <f>Fama3!E33/100</f>
        <v>3.5999999999999999E-3</v>
      </c>
    </row>
    <row r="38" spans="1:27" x14ac:dyDescent="0.45">
      <c r="A38" s="3">
        <v>45044</v>
      </c>
      <c r="B38">
        <v>95.178579999999997</v>
      </c>
      <c r="C38">
        <v>107.56213</v>
      </c>
      <c r="D38">
        <v>151.60616999999999</v>
      </c>
      <c r="E38">
        <v>109.36103</v>
      </c>
      <c r="F38">
        <v>34.803100000000001</v>
      </c>
      <c r="G38">
        <v>48.477319999999999</v>
      </c>
      <c r="H38">
        <v>76.78</v>
      </c>
      <c r="I38">
        <v>3.8904999999999998</v>
      </c>
      <c r="J38">
        <v>655.19614000000001</v>
      </c>
      <c r="K38">
        <v>7810.7541199999996</v>
      </c>
      <c r="L38" s="3">
        <f t="shared" si="9"/>
        <v>45044</v>
      </c>
      <c r="M38" s="46">
        <f t="shared" si="10"/>
        <v>3.7093027804379952E-2</v>
      </c>
      <c r="N38" s="46">
        <f t="shared" si="0"/>
        <v>7.9153693785869228E-2</v>
      </c>
      <c r="O38" s="46">
        <f t="shared" si="1"/>
        <v>3.3218884237169899E-2</v>
      </c>
      <c r="P38" s="46">
        <f t="shared" si="2"/>
        <v>4.9300541656963848E-2</v>
      </c>
      <c r="Q38" s="46">
        <f t="shared" si="3"/>
        <v>6.1676378004879018E-2</v>
      </c>
      <c r="R38" s="46">
        <f t="shared" si="4"/>
        <v>5.5720194291130065E-2</v>
      </c>
      <c r="S38" s="46">
        <f t="shared" si="5"/>
        <v>1.4668957314655673E-2</v>
      </c>
      <c r="T38" s="46">
        <f t="shared" si="6"/>
        <v>-4.9822933203077291E-2</v>
      </c>
      <c r="U38" s="46">
        <f t="shared" si="7"/>
        <v>3.196581778945351E-2</v>
      </c>
      <c r="V38" s="46">
        <f t="shared" si="7"/>
        <v>3.78659731939468E-3</v>
      </c>
      <c r="W38" s="46">
        <f t="shared" si="11"/>
        <v>5.5813938395202413E-2</v>
      </c>
      <c r="X38" s="46">
        <f>Fama3!B34/100</f>
        <v>6.1999999999999998E-3</v>
      </c>
      <c r="Y38" s="46">
        <f>Fama3!C34/100</f>
        <v>-3.3700000000000001E-2</v>
      </c>
      <c r="Z38" s="46">
        <f>Fama3!D34/100</f>
        <v>-1.1999999999999999E-3</v>
      </c>
      <c r="AA38" s="46">
        <f>Fama3!E34/100</f>
        <v>3.4999999999999996E-3</v>
      </c>
    </row>
    <row r="39" spans="1:27" x14ac:dyDescent="0.45">
      <c r="A39" s="3">
        <v>45016</v>
      </c>
      <c r="B39">
        <v>91.774389999999997</v>
      </c>
      <c r="C39">
        <v>99.672669999999997</v>
      </c>
      <c r="D39">
        <v>146.7319</v>
      </c>
      <c r="E39">
        <v>104.22279</v>
      </c>
      <c r="F39">
        <v>32.781269999999999</v>
      </c>
      <c r="G39">
        <v>45.91872</v>
      </c>
      <c r="H39">
        <v>75.67</v>
      </c>
      <c r="I39">
        <v>4.0945</v>
      </c>
      <c r="J39">
        <v>634.90101000000004</v>
      </c>
      <c r="K39">
        <v>7781.2895099999996</v>
      </c>
      <c r="L39" s="3">
        <f t="shared" si="9"/>
        <v>45016</v>
      </c>
      <c r="M39" s="46">
        <f t="shared" si="10"/>
        <v>-3.4112906663270715E-2</v>
      </c>
      <c r="N39" s="46">
        <f t="shared" si="0"/>
        <v>-2.2745768514282894E-3</v>
      </c>
      <c r="O39" s="46">
        <f t="shared" si="1"/>
        <v>1.4865972059973531E-2</v>
      </c>
      <c r="P39" s="46">
        <f t="shared" si="2"/>
        <v>2.3619018061157293E-2</v>
      </c>
      <c r="Q39" s="46">
        <f t="shared" si="3"/>
        <v>-4.1919232068684642E-2</v>
      </c>
      <c r="R39" s="46">
        <f t="shared" si="4"/>
        <v>-4.4370180355182809E-2</v>
      </c>
      <c r="S39" s="46">
        <f t="shared" si="5"/>
        <v>-1.7910447761193993E-2</v>
      </c>
      <c r="T39" s="46">
        <f t="shared" si="6"/>
        <v>1.2226433549333837E-3</v>
      </c>
      <c r="U39" s="46">
        <f t="shared" si="7"/>
        <v>-4.8743836547500141E-3</v>
      </c>
      <c r="V39" s="46">
        <f t="shared" si="7"/>
        <v>1.531846262067349E-2</v>
      </c>
      <c r="W39" s="46">
        <f t="shared" si="11"/>
        <v>-1.0015799830832983E-2</v>
      </c>
      <c r="X39" s="46">
        <f>Fama3!B35/100</f>
        <v>2.4799999999999999E-2</v>
      </c>
      <c r="Y39" s="46">
        <f>Fama3!C35/100</f>
        <v>-5.4800000000000001E-2</v>
      </c>
      <c r="Z39" s="46">
        <f>Fama3!D35/100</f>
        <v>-9.0500000000000011E-2</v>
      </c>
      <c r="AA39" s="46">
        <f>Fama3!E35/100</f>
        <v>3.5999999999999999E-3</v>
      </c>
    </row>
    <row r="40" spans="1:27" x14ac:dyDescent="0.45">
      <c r="A40" s="3">
        <v>44985</v>
      </c>
      <c r="B40">
        <v>95.015649999999994</v>
      </c>
      <c r="C40">
        <v>99.899900000000002</v>
      </c>
      <c r="D40">
        <v>144.58253999999999</v>
      </c>
      <c r="E40">
        <v>101.81795</v>
      </c>
      <c r="F40">
        <v>34.215560000000004</v>
      </c>
      <c r="G40">
        <v>48.050739999999998</v>
      </c>
      <c r="H40">
        <v>77.05</v>
      </c>
      <c r="I40">
        <v>4.0895000000000001</v>
      </c>
      <c r="J40">
        <v>638.01092000000006</v>
      </c>
      <c r="K40">
        <v>7663.8904899999998</v>
      </c>
      <c r="L40" s="3">
        <f t="shared" si="9"/>
        <v>44985</v>
      </c>
      <c r="M40" s="46">
        <f t="shared" si="10"/>
        <v>-0.14818960937389347</v>
      </c>
      <c r="N40" s="46">
        <f t="shared" si="0"/>
        <v>-4.5291365612201484E-2</v>
      </c>
      <c r="O40" s="46">
        <f t="shared" si="1"/>
        <v>-6.7973560773528452E-2</v>
      </c>
      <c r="P40" s="46">
        <f t="shared" si="2"/>
        <v>-0.14540638289032537</v>
      </c>
      <c r="Q40" s="46">
        <f t="shared" si="3"/>
        <v>0.10358854737999179</v>
      </c>
      <c r="R40" s="46">
        <f t="shared" si="4"/>
        <v>-0.14737513585449713</v>
      </c>
      <c r="S40" s="46">
        <f t="shared" si="5"/>
        <v>-2.3075947762140281E-2</v>
      </c>
      <c r="T40" s="46">
        <f t="shared" si="6"/>
        <v>-3.2300047326076609E-2</v>
      </c>
      <c r="U40" s="46">
        <f t="shared" si="7"/>
        <v>-7.6136396134927842E-2</v>
      </c>
      <c r="V40" s="46">
        <f t="shared" si="7"/>
        <v>3.6215089666281619E-2</v>
      </c>
      <c r="W40" s="46">
        <f t="shared" si="11"/>
        <v>-6.0491579550112126E-2</v>
      </c>
      <c r="X40" s="46">
        <f>Fama3!B36/100</f>
        <v>-2.5699999999999997E-2</v>
      </c>
      <c r="Y40" s="46">
        <f>Fama3!C36/100</f>
        <v>1.0500000000000001E-2</v>
      </c>
      <c r="Z40" s="46">
        <f>Fama3!D36/100</f>
        <v>-8.0000000000000002E-3</v>
      </c>
      <c r="AA40" s="46">
        <f>Fama3!E36/100</f>
        <v>3.4000000000000002E-3</v>
      </c>
    </row>
    <row r="41" spans="1:27" x14ac:dyDescent="0.45">
      <c r="A41" s="3">
        <v>44957</v>
      </c>
      <c r="B41">
        <v>111.54554</v>
      </c>
      <c r="C41">
        <v>104.63915</v>
      </c>
      <c r="D41">
        <v>155.12708000000001</v>
      </c>
      <c r="E41">
        <v>119.14194999999999</v>
      </c>
      <c r="F41">
        <v>31.003910000000001</v>
      </c>
      <c r="G41">
        <v>56.356250000000003</v>
      </c>
      <c r="H41">
        <v>78.87</v>
      </c>
      <c r="I41">
        <v>4.226</v>
      </c>
      <c r="J41">
        <v>690.58995000000004</v>
      </c>
      <c r="K41">
        <v>7396.04216</v>
      </c>
      <c r="L41" s="3">
        <f t="shared" si="9"/>
        <v>44957</v>
      </c>
      <c r="M41" s="46">
        <f t="shared" si="10"/>
        <v>3.2796655734602442E-2</v>
      </c>
      <c r="N41" s="46">
        <f t="shared" si="0"/>
        <v>5.1767927290724769E-2</v>
      </c>
      <c r="O41" s="46">
        <f t="shared" si="1"/>
        <v>-3.0475201091277992E-2</v>
      </c>
      <c r="P41" s="46">
        <f t="shared" si="2"/>
        <v>2.7576443613894552E-2</v>
      </c>
      <c r="Q41" s="46">
        <f t="shared" si="3"/>
        <v>3.7217356279040548E-2</v>
      </c>
      <c r="R41" s="46">
        <f t="shared" si="4"/>
        <v>2.8125556421505493E-2</v>
      </c>
      <c r="S41" s="46">
        <f t="shared" si="5"/>
        <v>-1.7318714178918504E-2</v>
      </c>
      <c r="T41" s="46">
        <f t="shared" si="6"/>
        <v>0.10904080829287488</v>
      </c>
      <c r="U41" s="46">
        <f t="shared" si="7"/>
        <v>2.713844568667656E-2</v>
      </c>
      <c r="V41" s="46">
        <f t="shared" si="7"/>
        <v>-2.4913313593583286E-2</v>
      </c>
      <c r="W41" s="46">
        <f t="shared" si="11"/>
        <v>2.2842416502777473E-2</v>
      </c>
      <c r="X41" s="46">
        <f>Fama3!B37/100</f>
        <v>6.6100000000000006E-2</v>
      </c>
      <c r="Y41" s="46">
        <f>Fama3!C37/100</f>
        <v>5.0099999999999999E-2</v>
      </c>
      <c r="Z41" s="46">
        <f>Fama3!D37/100</f>
        <v>-3.9399999999999998E-2</v>
      </c>
      <c r="AA41" s="46">
        <f>Fama3!E37/100</f>
        <v>3.4999999999999996E-3</v>
      </c>
    </row>
    <row r="42" spans="1:27" x14ac:dyDescent="0.45">
      <c r="A42" s="3">
        <v>44925</v>
      </c>
      <c r="B42">
        <v>108.00339</v>
      </c>
      <c r="C42">
        <v>99.488820000000004</v>
      </c>
      <c r="D42">
        <v>160.00321</v>
      </c>
      <c r="E42">
        <v>115.94461</v>
      </c>
      <c r="F42">
        <v>29.89143</v>
      </c>
      <c r="G42">
        <v>54.81456</v>
      </c>
      <c r="H42">
        <v>80.260000000000005</v>
      </c>
      <c r="I42">
        <v>3.8105000000000002</v>
      </c>
      <c r="J42">
        <v>672.34358999999995</v>
      </c>
      <c r="K42">
        <v>7585.0098900000003</v>
      </c>
      <c r="L42" s="3">
        <f t="shared" si="9"/>
        <v>44925</v>
      </c>
      <c r="M42" s="46">
        <f t="shared" si="10"/>
        <v>-3.865132354865386E-2</v>
      </c>
      <c r="N42" s="46">
        <f t="shared" si="0"/>
        <v>-9.3408249523608822E-3</v>
      </c>
      <c r="O42" s="46">
        <f t="shared" si="1"/>
        <v>-2.0839004193662469E-2</v>
      </c>
      <c r="P42" s="46">
        <f t="shared" si="2"/>
        <v>-7.6570186397338147E-2</v>
      </c>
      <c r="Q42" s="46">
        <f t="shared" si="3"/>
        <v>-2.7019505226142826E-2</v>
      </c>
      <c r="R42" s="46">
        <f t="shared" si="4"/>
        <v>-8.2806589187756519E-2</v>
      </c>
      <c r="S42" s="46">
        <f t="shared" si="5"/>
        <v>-3.6002482929856638E-3</v>
      </c>
      <c r="T42" s="46">
        <f t="shared" si="6"/>
        <v>2.1718729052151886E-2</v>
      </c>
      <c r="U42" s="46">
        <f t="shared" si="7"/>
        <v>-3.1616834342750533E-2</v>
      </c>
      <c r="V42" s="46">
        <f t="shared" si="7"/>
        <v>6.2510071332126493E-2</v>
      </c>
      <c r="W42" s="46">
        <f t="shared" si="11"/>
        <v>-4.3315221991452171E-2</v>
      </c>
      <c r="X42" s="46">
        <f>Fama3!B38/100</f>
        <v>-6.3799999999999996E-2</v>
      </c>
      <c r="Y42" s="46">
        <f>Fama3!C38/100</f>
        <v>-7.6E-3</v>
      </c>
      <c r="Z42" s="46">
        <f>Fama3!D38/100</f>
        <v>1.34E-2</v>
      </c>
      <c r="AA42" s="46">
        <f>Fama3!E38/100</f>
        <v>3.3E-3</v>
      </c>
    </row>
    <row r="43" spans="1:27" x14ac:dyDescent="0.45">
      <c r="A43" s="3">
        <v>44895</v>
      </c>
      <c r="B43">
        <v>112.34569999999999</v>
      </c>
      <c r="C43">
        <v>100.42689</v>
      </c>
      <c r="D43">
        <v>163.40848</v>
      </c>
      <c r="E43">
        <v>125.55866</v>
      </c>
      <c r="F43">
        <v>30.721509999999999</v>
      </c>
      <c r="G43">
        <v>59.763359999999999</v>
      </c>
      <c r="H43">
        <v>80.55</v>
      </c>
      <c r="I43">
        <v>3.7294999999999998</v>
      </c>
      <c r="J43">
        <v>694.29499999999996</v>
      </c>
      <c r="K43">
        <v>7138.7651699999997</v>
      </c>
      <c r="L43" s="3">
        <f t="shared" si="9"/>
        <v>44895</v>
      </c>
      <c r="M43" s="46">
        <f t="shared" si="10"/>
        <v>-1.6718095110061837E-2</v>
      </c>
      <c r="N43" s="46">
        <f t="shared" si="0"/>
        <v>1.2871726004821893E-2</v>
      </c>
      <c r="O43" s="46">
        <f t="shared" si="1"/>
        <v>2.1160803358132307E-2</v>
      </c>
      <c r="P43" s="46">
        <f t="shared" si="2"/>
        <v>3.9627915880651621E-2</v>
      </c>
      <c r="Q43" s="46">
        <f t="shared" si="3"/>
        <v>9.0211643966869426E-2</v>
      </c>
      <c r="R43" s="46">
        <f t="shared" si="4"/>
        <v>-0.11415638144333107</v>
      </c>
      <c r="S43" s="46">
        <f t="shared" si="5"/>
        <v>-6.910897954466666E-2</v>
      </c>
      <c r="T43" s="46">
        <f t="shared" si="6"/>
        <v>0.10503703703703704</v>
      </c>
      <c r="U43" s="46">
        <f t="shared" si="7"/>
        <v>6.4687136374679266E-3</v>
      </c>
      <c r="V43" s="46">
        <f t="shared" si="7"/>
        <v>-5.8021777917540818E-2</v>
      </c>
      <c r="W43" s="46">
        <f t="shared" si="11"/>
        <v>9.9431415534288366E-3</v>
      </c>
      <c r="X43" s="46">
        <f>Fama3!B39/100</f>
        <v>4.6500000000000007E-2</v>
      </c>
      <c r="Y43" s="46">
        <f>Fama3!C39/100</f>
        <v>-3.5699999999999996E-2</v>
      </c>
      <c r="Z43" s="46">
        <f>Fama3!D39/100</f>
        <v>1.4800000000000001E-2</v>
      </c>
      <c r="AA43" s="46">
        <f>Fama3!E39/100</f>
        <v>2.8999999999999998E-3</v>
      </c>
    </row>
    <row r="44" spans="1:27" x14ac:dyDescent="0.45">
      <c r="A44" s="3">
        <v>44865</v>
      </c>
      <c r="B44">
        <v>114.25584000000001</v>
      </c>
      <c r="C44">
        <v>99.150649999999999</v>
      </c>
      <c r="D44">
        <v>160.02227999999999</v>
      </c>
      <c r="E44">
        <v>120.77269</v>
      </c>
      <c r="F44">
        <v>28.179400000000001</v>
      </c>
      <c r="G44">
        <v>67.464910000000003</v>
      </c>
      <c r="H44">
        <v>86.53</v>
      </c>
      <c r="I44">
        <v>3.375</v>
      </c>
      <c r="J44">
        <v>689.83267000000001</v>
      </c>
      <c r="K44">
        <v>7578.48218</v>
      </c>
      <c r="L44" s="3">
        <f t="shared" si="9"/>
        <v>44865</v>
      </c>
      <c r="M44" s="46">
        <f t="shared" si="10"/>
        <v>0.23206961263446813</v>
      </c>
      <c r="N44" s="46">
        <f t="shared" si="0"/>
        <v>0.26915593683318551</v>
      </c>
      <c r="O44" s="46">
        <f t="shared" si="1"/>
        <v>0.2591354673389934</v>
      </c>
      <c r="P44" s="46">
        <f t="shared" si="2"/>
        <v>0.22911334936766248</v>
      </c>
      <c r="Q44" s="46">
        <f t="shared" si="3"/>
        <v>0.1656744985279841</v>
      </c>
      <c r="R44" s="46">
        <f t="shared" si="4"/>
        <v>0.28637957409939507</v>
      </c>
      <c r="S44" s="46">
        <f t="shared" si="5"/>
        <v>9.9212398373983879E-2</v>
      </c>
      <c r="T44" s="46">
        <f t="shared" si="6"/>
        <v>-1.0989010989011061E-2</v>
      </c>
      <c r="U44" s="46">
        <f t="shared" si="7"/>
        <v>0.24842778933798693</v>
      </c>
      <c r="V44" s="46">
        <f t="shared" si="7"/>
        <v>5.5244222232585738E-2</v>
      </c>
      <c r="W44" s="46">
        <f t="shared" si="11"/>
        <v>0.24189176523344411</v>
      </c>
      <c r="X44" s="46">
        <f>Fama3!B40/100</f>
        <v>7.85E-2</v>
      </c>
      <c r="Y44" s="46">
        <f>Fama3!C40/100</f>
        <v>1E-4</v>
      </c>
      <c r="Z44" s="46">
        <f>Fama3!D40/100</f>
        <v>7.9699999999999993E-2</v>
      </c>
      <c r="AA44" s="46">
        <f>Fama3!E40/100</f>
        <v>2.3E-3</v>
      </c>
    </row>
    <row r="45" spans="1:27" x14ac:dyDescent="0.45">
      <c r="A45" s="3">
        <v>44834</v>
      </c>
      <c r="B45">
        <v>92.734889999999993</v>
      </c>
      <c r="C45">
        <v>78.1233</v>
      </c>
      <c r="D45">
        <v>127.08901</v>
      </c>
      <c r="E45">
        <v>98.260009999999994</v>
      </c>
      <c r="F45">
        <v>24.174330000000001</v>
      </c>
      <c r="G45">
        <v>52.445569999999996</v>
      </c>
      <c r="H45">
        <v>78.72</v>
      </c>
      <c r="I45">
        <v>3.4125000000000001</v>
      </c>
      <c r="J45">
        <v>552.56113000000005</v>
      </c>
      <c r="K45">
        <v>7181.7329300000001</v>
      </c>
      <c r="L45" s="3">
        <f t="shared" si="9"/>
        <v>44834</v>
      </c>
      <c r="M45" s="46">
        <f t="shared" si="10"/>
        <v>-5.1515643694706625E-2</v>
      </c>
      <c r="N45" s="46">
        <f t="shared" si="0"/>
        <v>-8.6619897470048612E-2</v>
      </c>
      <c r="O45" s="46">
        <f t="shared" si="1"/>
        <v>-9.1041334017554987E-2</v>
      </c>
      <c r="P45" s="46">
        <f t="shared" si="2"/>
        <v>-6.7515177787997538E-2</v>
      </c>
      <c r="Q45" s="46">
        <f t="shared" si="3"/>
        <v>-7.4254328052766772E-2</v>
      </c>
      <c r="R45" s="46">
        <f t="shared" si="4"/>
        <v>-0.1289488771875279</v>
      </c>
      <c r="S45" s="46">
        <f t="shared" si="5"/>
        <v>-0.12093802345058624</v>
      </c>
      <c r="T45" s="46">
        <f t="shared" si="6"/>
        <v>-3.0126474349864929E-2</v>
      </c>
      <c r="U45" s="46">
        <f t="shared" si="7"/>
        <v>-9.6826163468539894E-2</v>
      </c>
      <c r="V45" s="46">
        <f t="shared" si="7"/>
        <v>8.0631279999767935E-2</v>
      </c>
      <c r="W45" s="46">
        <f t="shared" si="11"/>
        <v>-8.9675922903179162E-2</v>
      </c>
      <c r="X45" s="46">
        <f>Fama3!B41/100</f>
        <v>-9.3399999999999997E-2</v>
      </c>
      <c r="Y45" s="46">
        <f>Fama3!C41/100</f>
        <v>-7.6E-3</v>
      </c>
      <c r="Z45" s="46">
        <f>Fama3!D41/100</f>
        <v>2.9999999999999997E-4</v>
      </c>
      <c r="AA45" s="46">
        <f>Fama3!E41/100</f>
        <v>1.9E-3</v>
      </c>
    </row>
    <row r="46" spans="1:27" x14ac:dyDescent="0.45">
      <c r="A46" s="3">
        <v>44804</v>
      </c>
      <c r="B46">
        <v>97.771659999999997</v>
      </c>
      <c r="C46">
        <v>85.532079999999993</v>
      </c>
      <c r="D46">
        <v>139.81825000000001</v>
      </c>
      <c r="E46">
        <v>105.37438</v>
      </c>
      <c r="F46">
        <v>26.11336</v>
      </c>
      <c r="G46">
        <v>60.209519999999998</v>
      </c>
      <c r="H46">
        <v>89.55</v>
      </c>
      <c r="I46">
        <v>3.5185</v>
      </c>
      <c r="J46">
        <v>611.79930999999999</v>
      </c>
      <c r="K46">
        <v>6645.8680800000002</v>
      </c>
      <c r="L46" s="3">
        <f t="shared" si="9"/>
        <v>44804</v>
      </c>
      <c r="M46" s="46">
        <f t="shared" si="10"/>
        <v>0.12842237296836645</v>
      </c>
      <c r="N46" s="46">
        <f t="shared" si="0"/>
        <v>-4.2425477173110293E-3</v>
      </c>
      <c r="O46" s="46">
        <f t="shared" si="1"/>
        <v>-2.6155999753714965E-2</v>
      </c>
      <c r="P46" s="46">
        <f t="shared" si="2"/>
        <v>9.0631125941596613E-2</v>
      </c>
      <c r="Q46" s="46">
        <f t="shared" si="3"/>
        <v>6.1946067726442733E-2</v>
      </c>
      <c r="R46" s="46">
        <f t="shared" si="4"/>
        <v>0.1236276461259449</v>
      </c>
      <c r="S46" s="46">
        <f t="shared" si="5"/>
        <v>-9.1969174609612736E-2</v>
      </c>
      <c r="T46" s="46">
        <f t="shared" si="6"/>
        <v>-1.5391073177557058E-2</v>
      </c>
      <c r="U46" s="46">
        <f t="shared" si="7"/>
        <v>2.1819392734288012E-2</v>
      </c>
      <c r="V46" s="46">
        <f t="shared" si="7"/>
        <v>-9.2487548148768806E-2</v>
      </c>
      <c r="W46" s="46">
        <f t="shared" si="11"/>
        <v>4.9161258464591649E-2</v>
      </c>
      <c r="X46" s="46">
        <f>Fama3!B42/100</f>
        <v>-3.7699999999999997E-2</v>
      </c>
      <c r="Y46" s="46">
        <f>Fama3!C42/100</f>
        <v>1.41E-2</v>
      </c>
      <c r="Z46" s="46">
        <f>Fama3!D42/100</f>
        <v>1.8E-3</v>
      </c>
      <c r="AA46" s="46">
        <f>Fama3!E42/100</f>
        <v>1.9E-3</v>
      </c>
    </row>
    <row r="47" spans="1:27" x14ac:dyDescent="0.45">
      <c r="A47" s="3">
        <v>44771</v>
      </c>
      <c r="B47">
        <v>86.644559999999998</v>
      </c>
      <c r="C47">
        <v>85.896500000000003</v>
      </c>
      <c r="D47">
        <v>143.57355999999999</v>
      </c>
      <c r="E47">
        <v>96.617800000000003</v>
      </c>
      <c r="F47">
        <v>24.5901</v>
      </c>
      <c r="G47">
        <v>53.584940000000003</v>
      </c>
      <c r="H47">
        <v>98.62</v>
      </c>
      <c r="I47">
        <v>3.5735000000000001</v>
      </c>
      <c r="J47">
        <v>598.73527000000001</v>
      </c>
      <c r="K47">
        <v>7323.1701300000004</v>
      </c>
      <c r="L47" s="3">
        <f t="shared" si="9"/>
        <v>44771</v>
      </c>
      <c r="M47" s="46">
        <f t="shared" si="10"/>
        <v>8.4845775077380781E-2</v>
      </c>
      <c r="N47" s="46">
        <f t="shared" si="0"/>
        <v>0.13183085778618042</v>
      </c>
      <c r="O47" s="46">
        <f t="shared" si="1"/>
        <v>0.1312335474090689</v>
      </c>
      <c r="P47" s="46">
        <f t="shared" si="2"/>
        <v>1.4719757890040652E-2</v>
      </c>
      <c r="Q47" s="46">
        <f t="shared" si="3"/>
        <v>3.6331292568325235E-2</v>
      </c>
      <c r="R47" s="46">
        <f t="shared" si="4"/>
        <v>0.14044651239211392</v>
      </c>
      <c r="S47" s="46">
        <f t="shared" si="5"/>
        <v>-6.7511346444780629E-2</v>
      </c>
      <c r="T47" s="46">
        <f t="shared" si="6"/>
        <v>-3.6792452830188616E-2</v>
      </c>
      <c r="U47" s="46">
        <f t="shared" si="7"/>
        <v>9.6102578905857827E-2</v>
      </c>
      <c r="V47" s="46">
        <f t="shared" si="7"/>
        <v>-4.1279406591634649E-2</v>
      </c>
      <c r="W47" s="46">
        <f t="shared" si="11"/>
        <v>9.0912393609145825E-2</v>
      </c>
      <c r="X47" s="46">
        <f>Fama3!B43/100</f>
        <v>9.5700000000000007E-2</v>
      </c>
      <c r="Y47" s="46">
        <f>Fama3!C43/100</f>
        <v>2.8399999999999998E-2</v>
      </c>
      <c r="Z47" s="46">
        <f>Fama3!D43/100</f>
        <v>-4.1500000000000002E-2</v>
      </c>
      <c r="AA47" s="46">
        <f>Fama3!E43/100</f>
        <v>8.0000000000000004E-4</v>
      </c>
    </row>
    <row r="48" spans="1:27" x14ac:dyDescent="0.45">
      <c r="A48" s="3">
        <v>44742</v>
      </c>
      <c r="B48">
        <v>79.868089999999995</v>
      </c>
      <c r="C48">
        <v>75.891639999999995</v>
      </c>
      <c r="D48">
        <v>126.9177</v>
      </c>
      <c r="E48">
        <v>95.216239999999999</v>
      </c>
      <c r="F48">
        <v>23.72803</v>
      </c>
      <c r="G48">
        <v>46.985930000000003</v>
      </c>
      <c r="H48">
        <v>105.76</v>
      </c>
      <c r="I48">
        <v>3.71</v>
      </c>
      <c r="J48">
        <v>546.24018000000001</v>
      </c>
      <c r="K48">
        <v>7638.4821400000001</v>
      </c>
      <c r="L48" s="3">
        <f t="shared" si="9"/>
        <v>44742</v>
      </c>
      <c r="M48" s="46">
        <f t="shared" si="10"/>
        <v>-0.19449185461213614</v>
      </c>
      <c r="N48" s="46">
        <f t="shared" si="0"/>
        <v>-0.10791660181990959</v>
      </c>
      <c r="O48" s="46">
        <f t="shared" si="1"/>
        <v>-0.17107522609052095</v>
      </c>
      <c r="P48" s="46">
        <f t="shared" si="2"/>
        <v>-0.18254741060250923</v>
      </c>
      <c r="Q48" s="46">
        <f t="shared" si="3"/>
        <v>-0.12418875539214902</v>
      </c>
      <c r="R48" s="46">
        <f t="shared" si="4"/>
        <v>-0.25201685599225554</v>
      </c>
      <c r="S48" s="46">
        <f t="shared" si="5"/>
        <v>-7.7701229615418144E-2</v>
      </c>
      <c r="T48" s="46">
        <f t="shared" si="6"/>
        <v>-0.13640595903165742</v>
      </c>
      <c r="U48" s="46">
        <f t="shared" si="7"/>
        <v>-0.16985360467974808</v>
      </c>
      <c r="V48" s="46">
        <f t="shared" si="7"/>
        <v>9.1877167906923463E-2</v>
      </c>
      <c r="W48" s="46">
        <f t="shared" si="11"/>
        <v>-0.16754896997946886</v>
      </c>
      <c r="X48" s="46">
        <f>Fama3!B44/100</f>
        <v>-8.4000000000000005E-2</v>
      </c>
      <c r="Y48" s="46">
        <f>Fama3!C44/100</f>
        <v>2.07E-2</v>
      </c>
      <c r="Z48" s="46">
        <f>Fama3!D44/100</f>
        <v>-0.06</v>
      </c>
      <c r="AA48" s="46">
        <f>Fama3!E44/100</f>
        <v>5.9999999999999995E-4</v>
      </c>
    </row>
    <row r="49" spans="1:28" x14ac:dyDescent="0.45">
      <c r="A49" s="3">
        <v>44712</v>
      </c>
      <c r="B49">
        <v>99.152429999999995</v>
      </c>
      <c r="C49">
        <v>85.072360000000003</v>
      </c>
      <c r="D49">
        <v>153.11124000000001</v>
      </c>
      <c r="E49">
        <v>116.47922</v>
      </c>
      <c r="F49">
        <v>27.09263</v>
      </c>
      <c r="G49">
        <v>62.816830000000003</v>
      </c>
      <c r="H49">
        <v>114.67</v>
      </c>
      <c r="I49">
        <v>4.2960000000000003</v>
      </c>
      <c r="J49">
        <v>658.00463999999999</v>
      </c>
      <c r="K49">
        <v>6995.7339199999997</v>
      </c>
      <c r="L49" s="3">
        <f t="shared" si="9"/>
        <v>44712</v>
      </c>
      <c r="M49" s="46">
        <f t="shared" si="10"/>
        <v>0.18157974830286894</v>
      </c>
      <c r="N49" s="46">
        <f t="shared" si="0"/>
        <v>0.13763458805317574</v>
      </c>
      <c r="O49" s="46">
        <f t="shared" si="1"/>
        <v>0.12399863368211439</v>
      </c>
      <c r="P49" s="46">
        <f t="shared" si="2"/>
        <v>0.17300452195868488</v>
      </c>
      <c r="Q49" s="46">
        <f t="shared" si="3"/>
        <v>0.13925049724360949</v>
      </c>
      <c r="R49" s="46">
        <f t="shared" si="4"/>
        <v>0.28760532269854044</v>
      </c>
      <c r="S49" s="46">
        <f t="shared" si="5"/>
        <v>9.5329066768554904E-2</v>
      </c>
      <c r="T49" s="46">
        <f t="shared" si="6"/>
        <v>-2.5518883974140816E-2</v>
      </c>
      <c r="U49" s="46">
        <f t="shared" si="7"/>
        <v>0.14953241002539608</v>
      </c>
      <c r="V49" s="46">
        <f t="shared" si="7"/>
        <v>-8.2956326460695284E-2</v>
      </c>
      <c r="W49" s="46">
        <f t="shared" si="11"/>
        <v>0.172298712727225</v>
      </c>
      <c r="X49" s="46">
        <f>Fama3!B45/100</f>
        <v>-3.4000000000000002E-3</v>
      </c>
      <c r="Y49" s="46">
        <f>Fama3!C45/100</f>
        <v>-1.84E-2</v>
      </c>
      <c r="Z49" s="46">
        <f>Fama3!D45/100</f>
        <v>8.4399999999999989E-2</v>
      </c>
      <c r="AA49" s="46">
        <f>Fama3!E45/100</f>
        <v>2.9999999999999997E-4</v>
      </c>
    </row>
    <row r="50" spans="1:28" x14ac:dyDescent="0.45">
      <c r="A50" s="3">
        <v>44680</v>
      </c>
      <c r="B50">
        <v>83.915139999999994</v>
      </c>
      <c r="C50">
        <v>74.78004</v>
      </c>
      <c r="D50">
        <v>136.22013000000001</v>
      </c>
      <c r="E50">
        <v>99.299890000000005</v>
      </c>
      <c r="F50">
        <v>23.781099999999999</v>
      </c>
      <c r="G50">
        <v>48.785780000000003</v>
      </c>
      <c r="H50">
        <v>104.69</v>
      </c>
      <c r="I50">
        <v>4.4085000000000001</v>
      </c>
      <c r="J50">
        <v>572.41069000000005</v>
      </c>
      <c r="K50">
        <v>7628.5722500000002</v>
      </c>
      <c r="L50" s="3">
        <f t="shared" si="9"/>
        <v>44680</v>
      </c>
      <c r="M50" s="46">
        <f t="shared" si="10"/>
        <v>-4.4800016755669803E-2</v>
      </c>
      <c r="N50" s="46">
        <f t="shared" si="0"/>
        <v>3.2207393240163196E-2</v>
      </c>
      <c r="O50" s="46">
        <f t="shared" si="1"/>
        <v>-3.7830828331369637E-2</v>
      </c>
      <c r="P50" s="46">
        <f t="shared" si="2"/>
        <v>-1.4784597246374487E-2</v>
      </c>
      <c r="Q50" s="46">
        <f t="shared" si="3"/>
        <v>-2.3129161162266487E-2</v>
      </c>
      <c r="R50" s="46">
        <f t="shared" si="4"/>
        <v>-1.6235435082760041E-2</v>
      </c>
      <c r="S50" s="46">
        <f t="shared" si="5"/>
        <v>4.397686477861984E-2</v>
      </c>
      <c r="T50" s="46">
        <f t="shared" si="6"/>
        <v>-7.2090086297621592E-2</v>
      </c>
      <c r="U50" s="46">
        <f t="shared" si="7"/>
        <v>-1.6353606369730156E-2</v>
      </c>
      <c r="V50" s="46">
        <f t="shared" si="7"/>
        <v>1.3000041562383213E-3</v>
      </c>
      <c r="W50" s="46">
        <f t="shared" si="11"/>
        <v>-1.1954525716521492E-2</v>
      </c>
      <c r="X50" s="46">
        <f>Fama3!B46/100</f>
        <v>-9.4100000000000003E-2</v>
      </c>
      <c r="Y50" s="46">
        <f>Fama3!C46/100</f>
        <v>-1.3500000000000002E-2</v>
      </c>
      <c r="Z50" s="46">
        <f>Fama3!D46/100</f>
        <v>6.1799999999999994E-2</v>
      </c>
      <c r="AA50" s="46">
        <f>Fama3!E46/100</f>
        <v>0</v>
      </c>
    </row>
    <row r="51" spans="1:28" x14ac:dyDescent="0.45">
      <c r="A51" s="3">
        <v>44651</v>
      </c>
      <c r="B51">
        <v>87.850859999999997</v>
      </c>
      <c r="C51">
        <v>72.446719999999999</v>
      </c>
      <c r="D51">
        <v>141.57606999999999</v>
      </c>
      <c r="E51">
        <v>100.79003</v>
      </c>
      <c r="F51">
        <v>24.344159999999999</v>
      </c>
      <c r="G51">
        <v>49.590910000000001</v>
      </c>
      <c r="H51">
        <v>100.28</v>
      </c>
      <c r="I51">
        <v>4.7510000000000003</v>
      </c>
      <c r="J51">
        <v>581.92729999999995</v>
      </c>
      <c r="K51">
        <v>7618.66795</v>
      </c>
      <c r="L51" s="3">
        <f t="shared" si="9"/>
        <v>44651</v>
      </c>
      <c r="M51" s="46">
        <f t="shared" si="10"/>
        <v>5.7335422869249308E-2</v>
      </c>
      <c r="N51" s="46">
        <f t="shared" si="0"/>
        <v>5.3175179818360174E-2</v>
      </c>
      <c r="O51" s="46">
        <f t="shared" si="1"/>
        <v>0.13076387704154935</v>
      </c>
      <c r="P51" s="46">
        <f t="shared" si="2"/>
        <v>4.6473088756963987E-2</v>
      </c>
      <c r="Q51" s="46">
        <f t="shared" si="3"/>
        <v>6.5043635299195657E-3</v>
      </c>
      <c r="R51" s="46">
        <f t="shared" si="4"/>
        <v>9.6157056593633161E-3</v>
      </c>
      <c r="S51" s="46">
        <f t="shared" si="5"/>
        <v>4.7638946928541648E-2</v>
      </c>
      <c r="T51" s="46">
        <f t="shared" si="6"/>
        <v>6.656190369289483E-2</v>
      </c>
      <c r="U51" s="46">
        <f t="shared" si="7"/>
        <v>8.7824459876283401E-2</v>
      </c>
      <c r="V51" s="46">
        <f t="shared" si="7"/>
        <v>-8.7428801835762626E-2</v>
      </c>
      <c r="W51" s="46">
        <f t="shared" si="11"/>
        <v>4.9306442961231281E-2</v>
      </c>
      <c r="X51" s="46">
        <f>Fama3!B47/100</f>
        <v>3.0800000000000001E-2</v>
      </c>
      <c r="Y51" s="46">
        <f>Fama3!C47/100</f>
        <v>-1.55E-2</v>
      </c>
      <c r="Z51" s="46">
        <f>Fama3!D47/100</f>
        <v>-1.9E-2</v>
      </c>
      <c r="AA51" s="46">
        <f>Fama3!E47/100</f>
        <v>0</v>
      </c>
    </row>
    <row r="52" spans="1:28" x14ac:dyDescent="0.45">
      <c r="A52" s="3">
        <v>44620</v>
      </c>
      <c r="B52">
        <v>83.087029999999999</v>
      </c>
      <c r="C52">
        <v>68.78886</v>
      </c>
      <c r="D52">
        <v>125.20392</v>
      </c>
      <c r="E52">
        <v>96.314019999999999</v>
      </c>
      <c r="F52">
        <v>24.18684</v>
      </c>
      <c r="G52">
        <v>49.118600000000001</v>
      </c>
      <c r="H52">
        <v>95.72</v>
      </c>
      <c r="I52">
        <v>4.4545000000000003</v>
      </c>
      <c r="J52">
        <v>534.94596000000001</v>
      </c>
      <c r="K52">
        <v>8348.5737499999996</v>
      </c>
      <c r="L52" s="3">
        <f t="shared" si="9"/>
        <v>44620</v>
      </c>
      <c r="M52" s="46">
        <f t="shared" si="10"/>
        <v>7.5797282456277149E-2</v>
      </c>
      <c r="N52" s="46">
        <f t="shared" si="0"/>
        <v>4.3830373159988945E-2</v>
      </c>
      <c r="O52" s="46">
        <f t="shared" si="1"/>
        <v>0.10798644723676198</v>
      </c>
      <c r="P52" s="46">
        <f t="shared" si="2"/>
        <v>3.0857541134379662E-2</v>
      </c>
      <c r="Q52" s="46">
        <f t="shared" si="3"/>
        <v>-4.582681091726204E-2</v>
      </c>
      <c r="R52" s="46">
        <f t="shared" si="4"/>
        <v>0.17757565455965163</v>
      </c>
      <c r="S52" s="46">
        <f t="shared" si="5"/>
        <v>8.5876347135564357E-2</v>
      </c>
      <c r="T52" s="46">
        <f t="shared" si="6"/>
        <v>3.0061278760550536E-2</v>
      </c>
      <c r="U52" s="46">
        <f t="shared" si="7"/>
        <v>6.3665583321534047E-2</v>
      </c>
      <c r="V52" s="46">
        <f t="shared" si="7"/>
        <v>3.6722769171593672E-2</v>
      </c>
      <c r="W52" s="46">
        <f t="shared" si="11"/>
        <v>6.2884641034704036E-2</v>
      </c>
      <c r="X52" s="46">
        <f>Fama3!B48/100</f>
        <v>-2.2799999999999997E-2</v>
      </c>
      <c r="Y52" s="46">
        <f>Fama3!C48/100</f>
        <v>2.1600000000000001E-2</v>
      </c>
      <c r="Z52" s="46">
        <f>Fama3!D48/100</f>
        <v>3.0600000000000002E-2</v>
      </c>
      <c r="AA52" s="46">
        <f>Fama3!E48/100</f>
        <v>0</v>
      </c>
    </row>
    <row r="53" spans="1:28" x14ac:dyDescent="0.45">
      <c r="A53" s="3">
        <v>44592</v>
      </c>
      <c r="B53">
        <v>77.232979999999998</v>
      </c>
      <c r="C53">
        <v>65.900419999999997</v>
      </c>
      <c r="D53">
        <v>113.00131</v>
      </c>
      <c r="E53">
        <v>93.430970000000002</v>
      </c>
      <c r="F53">
        <v>25.348479999999999</v>
      </c>
      <c r="G53">
        <v>41.71163</v>
      </c>
      <c r="H53">
        <v>88.15</v>
      </c>
      <c r="I53">
        <v>4.3244999999999996</v>
      </c>
      <c r="J53">
        <v>502.92683</v>
      </c>
      <c r="K53">
        <v>8052.85077</v>
      </c>
      <c r="L53" s="3">
        <f t="shared" si="9"/>
        <v>44592</v>
      </c>
      <c r="M53" s="46">
        <f t="shared" si="10"/>
        <v>0.22776391216016423</v>
      </c>
      <c r="N53" s="46">
        <f t="shared" si="0"/>
        <v>0.24137929735365615</v>
      </c>
      <c r="O53" s="46">
        <f t="shared" si="1"/>
        <v>0.1191308950031682</v>
      </c>
      <c r="P53" s="46">
        <f t="shared" si="2"/>
        <v>0.26420740309354818</v>
      </c>
      <c r="Q53" s="46">
        <f t="shared" si="3"/>
        <v>0.16109658062890775</v>
      </c>
      <c r="R53" s="46">
        <f t="shared" si="4"/>
        <v>0.14801366443421471</v>
      </c>
      <c r="S53" s="46">
        <f t="shared" si="5"/>
        <v>0.17205158888445693</v>
      </c>
      <c r="T53" s="46">
        <f t="shared" si="6"/>
        <v>-3.1141480900638618E-2</v>
      </c>
      <c r="U53" s="46">
        <f t="shared" si="7"/>
        <v>0.18969347050436713</v>
      </c>
      <c r="V53" s="46">
        <f t="shared" si="7"/>
        <v>-3.0367273159837449E-2</v>
      </c>
      <c r="W53" s="46">
        <f t="shared" si="11"/>
        <v>0.18676556810269901</v>
      </c>
      <c r="X53" s="46">
        <f>Fama3!B49/100</f>
        <v>-6.1600000000000002E-2</v>
      </c>
      <c r="Y53" s="46">
        <f>Fama3!C49/100</f>
        <v>-5.9299999999999999E-2</v>
      </c>
      <c r="Z53" s="46">
        <f>Fama3!D49/100</f>
        <v>0.12859999999999999</v>
      </c>
      <c r="AA53" s="46">
        <f>Fama3!E49/100</f>
        <v>0</v>
      </c>
    </row>
    <row r="54" spans="1:28" x14ac:dyDescent="0.45">
      <c r="A54" s="3">
        <v>44561</v>
      </c>
      <c r="B54">
        <v>62.9054</v>
      </c>
      <c r="C54">
        <v>53.086449999999999</v>
      </c>
      <c r="D54">
        <v>100.97238</v>
      </c>
      <c r="E54">
        <v>73.904780000000002</v>
      </c>
      <c r="F54">
        <v>21.831499999999998</v>
      </c>
      <c r="G54">
        <v>36.333739999999999</v>
      </c>
      <c r="H54">
        <v>75.209999999999994</v>
      </c>
      <c r="I54">
        <v>4.4634999999999998</v>
      </c>
      <c r="J54">
        <v>422.73647999999997</v>
      </c>
      <c r="K54">
        <v>8305.0525699999998</v>
      </c>
      <c r="L54" s="3">
        <f t="shared" si="9"/>
        <v>44561</v>
      </c>
      <c r="M54" s="46">
        <f t="shared" si="10"/>
        <v>3.2087283790942944E-2</v>
      </c>
      <c r="N54" s="46">
        <f t="shared" si="0"/>
        <v>2.2560239066647725E-2</v>
      </c>
      <c r="O54" s="46">
        <f t="shared" si="1"/>
        <v>3.9691664602159671E-2</v>
      </c>
      <c r="P54" s="46">
        <f t="shared" si="2"/>
        <v>4.4771279158401622E-2</v>
      </c>
      <c r="Q54" s="46">
        <f t="shared" si="3"/>
        <v>2.5808855556959998E-2</v>
      </c>
      <c r="R54" s="46">
        <f t="shared" si="4"/>
        <v>6.7275809965150479E-2</v>
      </c>
      <c r="S54" s="46">
        <f t="shared" si="5"/>
        <v>0.13644605621033534</v>
      </c>
      <c r="T54" s="46">
        <f t="shared" si="6"/>
        <v>4.3361383824217059E-2</v>
      </c>
      <c r="U54" s="46">
        <f t="shared" si="7"/>
        <v>2.9309086166846354E-2</v>
      </c>
      <c r="V54" s="46">
        <f t="shared" si="7"/>
        <v>-5.19988554656583E-2</v>
      </c>
      <c r="W54" s="46">
        <f t="shared" si="11"/>
        <v>4.00215696698639E-2</v>
      </c>
      <c r="X54" s="46">
        <f>Fama3!B50/100</f>
        <v>3.2300000000000002E-2</v>
      </c>
      <c r="Y54" s="46">
        <f>Fama3!C50/100</f>
        <v>-1.6299999999999999E-2</v>
      </c>
      <c r="Z54" s="46">
        <f>Fama3!D50/100</f>
        <v>3.2599999999999997E-2</v>
      </c>
      <c r="AA54" s="46">
        <f>Fama3!E50/100</f>
        <v>1E-4</v>
      </c>
      <c r="AB54">
        <v>1</v>
      </c>
    </row>
    <row r="55" spans="1:28" x14ac:dyDescent="0.45">
      <c r="A55" s="3">
        <v>44530</v>
      </c>
      <c r="B55">
        <v>60.949689999999997</v>
      </c>
      <c r="C55">
        <v>51.915230000000001</v>
      </c>
      <c r="D55">
        <v>97.117620000000002</v>
      </c>
      <c r="E55">
        <v>70.737759999999994</v>
      </c>
      <c r="F55">
        <v>21.282229999999998</v>
      </c>
      <c r="G55">
        <v>34.043439999999997</v>
      </c>
      <c r="H55">
        <v>66.180000000000007</v>
      </c>
      <c r="I55">
        <v>4.2779999999999996</v>
      </c>
      <c r="J55">
        <v>410.69925999999998</v>
      </c>
      <c r="K55">
        <v>8760.5933999999997</v>
      </c>
      <c r="L55" s="3">
        <f t="shared" si="9"/>
        <v>44530</v>
      </c>
      <c r="M55" s="46">
        <f t="shared" si="10"/>
        <v>-5.8531378714050897E-2</v>
      </c>
      <c r="N55" s="46">
        <f t="shared" si="0"/>
        <v>-5.9342428641523615E-2</v>
      </c>
      <c r="O55" s="46">
        <f t="shared" si="1"/>
        <v>-2.7555303910820061E-3</v>
      </c>
      <c r="P55" s="46">
        <f t="shared" si="2"/>
        <v>-5.9052635261476416E-2</v>
      </c>
      <c r="Q55" s="46">
        <f t="shared" si="3"/>
        <v>-8.7863252112523993E-2</v>
      </c>
      <c r="R55" s="46">
        <f t="shared" si="4"/>
        <v>4.9401017174961259E-2</v>
      </c>
      <c r="S55" s="46">
        <f t="shared" si="5"/>
        <v>-0.20808902716285738</v>
      </c>
      <c r="T55" s="46">
        <f t="shared" si="6"/>
        <v>-2.0604395604395753E-2</v>
      </c>
      <c r="U55" s="46">
        <f t="shared" si="7"/>
        <v>-5.8449095739255608E-2</v>
      </c>
      <c r="V55" s="46">
        <f t="shared" si="7"/>
        <v>4.4455113564633386E-2</v>
      </c>
      <c r="W55" s="46">
        <f t="shared" si="11"/>
        <v>-3.1922565846328951E-2</v>
      </c>
      <c r="X55" s="46">
        <f>Fama3!B51/100</f>
        <v>-1.5800000000000002E-2</v>
      </c>
      <c r="Y55" s="46">
        <f>Fama3!C51/100</f>
        <v>-1.3100000000000001E-2</v>
      </c>
      <c r="Z55" s="46">
        <f>Fama3!D51/100</f>
        <v>-3.7000000000000002E-3</v>
      </c>
      <c r="AA55" s="46">
        <f>Fama3!E51/100</f>
        <v>0</v>
      </c>
      <c r="AB55">
        <v>1</v>
      </c>
    </row>
    <row r="56" spans="1:28" x14ac:dyDescent="0.45">
      <c r="A56" s="3">
        <v>44498</v>
      </c>
      <c r="B56">
        <v>64.738950000000003</v>
      </c>
      <c r="C56">
        <v>55.190359999999998</v>
      </c>
      <c r="D56">
        <v>97.38597</v>
      </c>
      <c r="E56">
        <v>75.177170000000004</v>
      </c>
      <c r="F56">
        <v>23.332280000000001</v>
      </c>
      <c r="G56">
        <v>32.440829999999998</v>
      </c>
      <c r="H56">
        <v>83.57</v>
      </c>
      <c r="I56">
        <v>4.3680000000000003</v>
      </c>
      <c r="J56">
        <v>436.19443000000001</v>
      </c>
      <c r="K56">
        <v>8387.7165100000002</v>
      </c>
      <c r="L56" s="3">
        <f t="shared" si="9"/>
        <v>44498</v>
      </c>
      <c r="M56" s="46">
        <f t="shared" si="10"/>
        <v>0.1057622179825064</v>
      </c>
      <c r="N56" s="46">
        <f t="shared" si="0"/>
        <v>9.6055892726637282E-2</v>
      </c>
      <c r="O56" s="46">
        <f t="shared" si="1"/>
        <v>0.12853619356882739</v>
      </c>
      <c r="P56" s="46">
        <f t="shared" si="2"/>
        <v>0.15714205015179039</v>
      </c>
      <c r="Q56" s="46">
        <f t="shared" si="3"/>
        <v>5.3420777224857607E-2</v>
      </c>
      <c r="R56" s="46">
        <f t="shared" si="4"/>
        <v>0.128696263916114</v>
      </c>
      <c r="S56" s="46">
        <f t="shared" si="5"/>
        <v>0.11382113821138207</v>
      </c>
      <c r="T56" s="46">
        <f t="shared" si="6"/>
        <v>6.8231841526045445E-2</v>
      </c>
      <c r="U56" s="46">
        <f t="shared" si="7"/>
        <v>0.10183475258467167</v>
      </c>
      <c r="V56" s="46">
        <f t="shared" si="7"/>
        <v>-7.3502623357307728E-3</v>
      </c>
      <c r="W56" s="46">
        <f t="shared" si="11"/>
        <v>0.11277023551764534</v>
      </c>
      <c r="X56" s="46">
        <f>Fama3!B52/100</f>
        <v>6.6299999999999998E-2</v>
      </c>
      <c r="Y56" s="46">
        <f>Fama3!C52/100</f>
        <v>-2.2700000000000001E-2</v>
      </c>
      <c r="Z56" s="46">
        <f>Fama3!D52/100</f>
        <v>-5.3E-3</v>
      </c>
      <c r="AA56" s="46">
        <f>Fama3!E52/100</f>
        <v>0</v>
      </c>
      <c r="AB56">
        <v>1</v>
      </c>
    </row>
    <row r="57" spans="1:28" x14ac:dyDescent="0.45">
      <c r="A57" s="3">
        <v>44469</v>
      </c>
      <c r="B57">
        <v>58.546900000000001</v>
      </c>
      <c r="C57">
        <v>50.3536</v>
      </c>
      <c r="D57">
        <v>86.294060000000002</v>
      </c>
      <c r="E57">
        <v>64.967969999999994</v>
      </c>
      <c r="F57">
        <v>22.149059999999999</v>
      </c>
      <c r="G57">
        <v>28.741859999999999</v>
      </c>
      <c r="H57">
        <v>75.03</v>
      </c>
      <c r="I57">
        <v>4.0890000000000004</v>
      </c>
      <c r="J57">
        <v>395.88008000000002</v>
      </c>
      <c r="K57">
        <v>8449.8249400000004</v>
      </c>
      <c r="L57" s="3">
        <f t="shared" si="9"/>
        <v>44469</v>
      </c>
      <c r="M57" s="46">
        <f t="shared" si="10"/>
        <v>0.22042145228879173</v>
      </c>
      <c r="N57" s="46">
        <f t="shared" si="0"/>
        <v>7.8870161956079876E-2</v>
      </c>
      <c r="O57" s="46">
        <f t="shared" si="1"/>
        <v>4.8362097850138674E-2</v>
      </c>
      <c r="P57" s="46">
        <f t="shared" si="2"/>
        <v>0.18883289266884207</v>
      </c>
      <c r="Q57" s="46">
        <f t="shared" si="3"/>
        <v>0.11733470815895775</v>
      </c>
      <c r="R57" s="46">
        <f t="shared" si="4"/>
        <v>0.2227519241993916</v>
      </c>
      <c r="S57" s="46">
        <f t="shared" si="5"/>
        <v>9.532846715328458E-2</v>
      </c>
      <c r="T57" s="46">
        <f t="shared" si="6"/>
        <v>-6.2155963302752304E-2</v>
      </c>
      <c r="U57" s="46">
        <f t="shared" si="7"/>
        <v>9.281729223736046E-2</v>
      </c>
      <c r="V57" s="46">
        <f t="shared" si="7"/>
        <v>6.9786201355717115E-2</v>
      </c>
      <c r="W57" s="46">
        <f t="shared" si="11"/>
        <v>0.131230356966682</v>
      </c>
      <c r="X57" s="46">
        <f>Fama3!B53/100</f>
        <v>-4.4000000000000004E-2</v>
      </c>
      <c r="Y57" s="46">
        <f>Fama3!C53/100</f>
        <v>6.6E-3</v>
      </c>
      <c r="Z57" s="46">
        <f>Fama3!D53/100</f>
        <v>5.1200000000000002E-2</v>
      </c>
      <c r="AA57" s="46">
        <f>Fama3!E53/100</f>
        <v>0</v>
      </c>
      <c r="AB57">
        <v>1</v>
      </c>
    </row>
    <row r="58" spans="1:28" x14ac:dyDescent="0.45">
      <c r="A58" s="3">
        <v>44439</v>
      </c>
      <c r="B58">
        <v>47.97269</v>
      </c>
      <c r="C58">
        <v>46.672530000000002</v>
      </c>
      <c r="D58">
        <v>82.313220000000001</v>
      </c>
      <c r="E58">
        <v>54.648530000000001</v>
      </c>
      <c r="F58">
        <v>19.823119999999999</v>
      </c>
      <c r="G58">
        <v>23.505880000000001</v>
      </c>
      <c r="H58">
        <v>68.5</v>
      </c>
      <c r="I58">
        <v>4.3600000000000003</v>
      </c>
      <c r="J58">
        <v>362.25641999999999</v>
      </c>
      <c r="K58">
        <v>7898.6108899999999</v>
      </c>
      <c r="L58" s="3">
        <f t="shared" si="9"/>
        <v>44439</v>
      </c>
      <c r="M58" s="46">
        <f t="shared" si="10"/>
        <v>-9.454154566868489E-3</v>
      </c>
      <c r="N58" s="46">
        <f t="shared" si="0"/>
        <v>-3.8645113051430702E-2</v>
      </c>
      <c r="O58" s="46">
        <f t="shared" si="1"/>
        <v>-3.6689224179547231E-2</v>
      </c>
      <c r="P58" s="46">
        <f t="shared" si="2"/>
        <v>-7.3291316887613034E-2</v>
      </c>
      <c r="Q58" s="46">
        <f t="shared" si="3"/>
        <v>2.4254264427853833E-2</v>
      </c>
      <c r="R58" s="46">
        <f t="shared" si="4"/>
        <v>0.14357578210746746</v>
      </c>
      <c r="S58" s="46">
        <f t="shared" si="5"/>
        <v>-7.36984448951995E-2</v>
      </c>
      <c r="T58" s="46">
        <f t="shared" si="6"/>
        <v>-2.7328499721137711E-2</v>
      </c>
      <c r="U58" s="46">
        <f t="shared" si="7"/>
        <v>-2.8768740811671689E-2</v>
      </c>
      <c r="V58" s="46">
        <f t="shared" si="7"/>
        <v>-4.6827788823446737E-2</v>
      </c>
      <c r="W58" s="46">
        <f t="shared" si="11"/>
        <v>3.8408784833460661E-3</v>
      </c>
      <c r="X58" s="46">
        <f>Fama3!B54/100</f>
        <v>2.9399999999999999E-2</v>
      </c>
      <c r="Y58" s="46">
        <f>Fama3!C54/100</f>
        <v>-3.2000000000000002E-3</v>
      </c>
      <c r="Z58" s="46">
        <f>Fama3!D54/100</f>
        <v>-2.3E-3</v>
      </c>
      <c r="AA58" s="46">
        <f>Fama3!E54/100</f>
        <v>0</v>
      </c>
      <c r="AB58">
        <v>1</v>
      </c>
    </row>
    <row r="59" spans="1:28" x14ac:dyDescent="0.45">
      <c r="A59" s="3">
        <v>44407</v>
      </c>
      <c r="B59">
        <v>48.43056</v>
      </c>
      <c r="C59">
        <v>48.548699999999997</v>
      </c>
      <c r="D59">
        <v>85.448250000000002</v>
      </c>
      <c r="E59">
        <v>58.970559999999999</v>
      </c>
      <c r="F59">
        <v>19.35371</v>
      </c>
      <c r="G59">
        <v>20.55472</v>
      </c>
      <c r="H59">
        <v>73.95</v>
      </c>
      <c r="I59">
        <v>4.4824999999999999</v>
      </c>
      <c r="J59">
        <v>372.98678000000001</v>
      </c>
      <c r="K59">
        <v>8286.6566999999995</v>
      </c>
      <c r="L59" s="3">
        <f t="shared" si="9"/>
        <v>44407</v>
      </c>
      <c r="M59" s="46">
        <f t="shared" si="10"/>
        <v>-7.2436455066644756E-2</v>
      </c>
      <c r="N59" s="46">
        <f t="shared" si="0"/>
        <v>-8.7349479126719531E-2</v>
      </c>
      <c r="O59" s="46">
        <f t="shared" si="1"/>
        <v>-2.7973991259208408E-2</v>
      </c>
      <c r="P59" s="46">
        <f t="shared" si="2"/>
        <v>-0.1110348664884131</v>
      </c>
      <c r="Q59" s="46">
        <f t="shared" si="3"/>
        <v>-8.4784275115491359E-2</v>
      </c>
      <c r="R59" s="46">
        <f t="shared" si="4"/>
        <v>-0.11476550764184612</v>
      </c>
      <c r="S59" s="46">
        <f t="shared" si="5"/>
        <v>6.5332788893426308E-3</v>
      </c>
      <c r="T59" s="46">
        <f t="shared" si="6"/>
        <v>4.511541151783649E-2</v>
      </c>
      <c r="U59" s="46">
        <f t="shared" si="7"/>
        <v>-8.4395553961796321E-2</v>
      </c>
      <c r="V59" s="46">
        <f t="shared" si="7"/>
        <v>2.9980599057431556E-2</v>
      </c>
      <c r="W59" s="46">
        <f t="shared" si="11"/>
        <v>-8.5181623926335701E-2</v>
      </c>
      <c r="X59" s="46">
        <f>Fama3!B55/100</f>
        <v>1.34E-2</v>
      </c>
      <c r="Y59" s="46">
        <f>Fama3!C55/100</f>
        <v>-3.9300000000000002E-2</v>
      </c>
      <c r="Z59" s="46">
        <f>Fama3!D55/100</f>
        <v>-1.7899999999999999E-2</v>
      </c>
      <c r="AA59" s="46">
        <f>Fama3!E55/100</f>
        <v>0</v>
      </c>
      <c r="AB59">
        <v>1</v>
      </c>
    </row>
    <row r="60" spans="1:28" x14ac:dyDescent="0.45">
      <c r="A60" s="3">
        <v>44377</v>
      </c>
      <c r="B60">
        <v>52.21266</v>
      </c>
      <c r="C60">
        <v>53.195279999999997</v>
      </c>
      <c r="D60">
        <v>87.90737</v>
      </c>
      <c r="E60">
        <v>66.336190000000002</v>
      </c>
      <c r="F60">
        <v>21.146609999999999</v>
      </c>
      <c r="G60">
        <v>23.219519999999999</v>
      </c>
      <c r="H60">
        <v>73.47</v>
      </c>
      <c r="I60">
        <v>4.2889999999999997</v>
      </c>
      <c r="J60">
        <v>407.36671999999999</v>
      </c>
      <c r="K60">
        <v>8045.44931</v>
      </c>
      <c r="L60" s="3">
        <f t="shared" si="9"/>
        <v>44377</v>
      </c>
      <c r="M60" s="46">
        <f t="shared" si="10"/>
        <v>9.2572663052564952E-2</v>
      </c>
      <c r="N60" s="46">
        <f t="shared" si="0"/>
        <v>8.0692208208544836E-2</v>
      </c>
      <c r="O60" s="46">
        <f t="shared" si="1"/>
        <v>9.1531355053906527E-3</v>
      </c>
      <c r="P60" s="46">
        <f t="shared" si="2"/>
        <v>3.8585982761676352E-2</v>
      </c>
      <c r="Q60" s="46">
        <f t="shared" si="3"/>
        <v>7.2437915971443889E-3</v>
      </c>
      <c r="R60" s="46">
        <f t="shared" si="4"/>
        <v>0.11188409350362782</v>
      </c>
      <c r="S60" s="46">
        <f t="shared" si="5"/>
        <v>0.10781061519903501</v>
      </c>
      <c r="T60" s="46">
        <f t="shared" si="6"/>
        <v>-8.3057188669161008E-2</v>
      </c>
      <c r="U60" s="46">
        <f t="shared" si="7"/>
        <v>4.5021506139592438E-2</v>
      </c>
      <c r="V60" s="46">
        <f t="shared" si="7"/>
        <v>2.3453291999374626E-2</v>
      </c>
      <c r="W60" s="46">
        <f t="shared" si="11"/>
        <v>4.9511842315276812E-2</v>
      </c>
      <c r="X60" s="46">
        <f>Fama3!B56/100</f>
        <v>2.7400000000000001E-2</v>
      </c>
      <c r="Y60" s="46">
        <f>Fama3!C56/100</f>
        <v>1.7000000000000001E-2</v>
      </c>
      <c r="Z60" s="46">
        <f>Fama3!D56/100</f>
        <v>-7.8600000000000003E-2</v>
      </c>
      <c r="AA60" s="46">
        <f>Fama3!E56/100</f>
        <v>0</v>
      </c>
      <c r="AB60">
        <v>1</v>
      </c>
    </row>
    <row r="61" spans="1:28" x14ac:dyDescent="0.45">
      <c r="A61" s="3">
        <v>44344</v>
      </c>
      <c r="B61">
        <v>47.788730000000001</v>
      </c>
      <c r="C61">
        <v>49.22334</v>
      </c>
      <c r="D61">
        <v>87.110039999999998</v>
      </c>
      <c r="E61">
        <v>63.871639999999999</v>
      </c>
      <c r="F61">
        <v>20.994530000000001</v>
      </c>
      <c r="G61">
        <v>20.883040000000001</v>
      </c>
      <c r="H61">
        <v>66.319999999999993</v>
      </c>
      <c r="I61">
        <v>4.6775000000000002</v>
      </c>
      <c r="J61">
        <v>389.81659000000002</v>
      </c>
      <c r="K61">
        <v>7861.0810799999999</v>
      </c>
      <c r="L61" s="3">
        <f t="shared" si="9"/>
        <v>44344</v>
      </c>
      <c r="M61" s="46">
        <f t="shared" si="10"/>
        <v>9.8430391128841332E-2</v>
      </c>
      <c r="N61" s="46">
        <f t="shared" si="0"/>
        <v>3.4596953884109993E-2</v>
      </c>
      <c r="O61" s="46">
        <f t="shared" si="1"/>
        <v>1.9311801614937396E-2</v>
      </c>
      <c r="P61" s="46">
        <f t="shared" si="2"/>
        <v>9.098312871306069E-2</v>
      </c>
      <c r="Q61" s="46">
        <f t="shared" si="3"/>
        <v>5.4737028252714426E-2</v>
      </c>
      <c r="R61" s="46">
        <f t="shared" si="4"/>
        <v>0.13601345610066851</v>
      </c>
      <c r="S61" s="46">
        <f t="shared" si="5"/>
        <v>4.3095312991506596E-2</v>
      </c>
      <c r="T61" s="46">
        <f t="shared" si="6"/>
        <v>4.6888988361683204E-2</v>
      </c>
      <c r="U61" s="46">
        <f t="shared" si="7"/>
        <v>4.9020120199995354E-2</v>
      </c>
      <c r="V61" s="46">
        <f t="shared" si="7"/>
        <v>2.3005150965854648E-2</v>
      </c>
      <c r="W61" s="46">
        <f t="shared" si="11"/>
        <v>6.71284737130982E-2</v>
      </c>
      <c r="X61" s="46">
        <f>Fama3!B57/100</f>
        <v>3.0000000000000001E-3</v>
      </c>
      <c r="Y61" s="46">
        <f>Fama3!C57/100</f>
        <v>-2E-3</v>
      </c>
      <c r="Z61" s="46">
        <f>Fama3!D57/100</f>
        <v>7.0400000000000004E-2</v>
      </c>
      <c r="AA61" s="46">
        <f>Fama3!E57/100</f>
        <v>0</v>
      </c>
      <c r="AB61">
        <v>1</v>
      </c>
    </row>
    <row r="62" spans="1:28" x14ac:dyDescent="0.45">
      <c r="A62" s="3">
        <v>44316</v>
      </c>
      <c r="B62">
        <v>43.50638</v>
      </c>
      <c r="C62">
        <v>47.577309999999997</v>
      </c>
      <c r="D62">
        <v>85.45966</v>
      </c>
      <c r="E62">
        <v>58.545029999999997</v>
      </c>
      <c r="F62">
        <v>19.904990000000002</v>
      </c>
      <c r="G62">
        <v>18.382739999999998</v>
      </c>
      <c r="H62">
        <v>63.58</v>
      </c>
      <c r="I62">
        <v>4.468</v>
      </c>
      <c r="J62">
        <v>371.60068000000001</v>
      </c>
      <c r="K62">
        <v>7684.3025399999997</v>
      </c>
      <c r="L62" s="3">
        <f t="shared" si="9"/>
        <v>44316</v>
      </c>
      <c r="M62" s="46">
        <f t="shared" si="10"/>
        <v>-3.4547908471698197E-2</v>
      </c>
      <c r="N62" s="46">
        <f t="shared" si="0"/>
        <v>2.5255288562757716E-2</v>
      </c>
      <c r="O62" s="46">
        <f t="shared" si="1"/>
        <v>-1.641373306425975E-2</v>
      </c>
      <c r="P62" s="46">
        <f t="shared" si="2"/>
        <v>2.0986141835820815E-2</v>
      </c>
      <c r="Q62" s="46">
        <f t="shared" si="3"/>
        <v>3.3264864253170545E-2</v>
      </c>
      <c r="R62" s="46">
        <f t="shared" si="4"/>
        <v>7.0023096946639329E-2</v>
      </c>
      <c r="S62" s="46">
        <f t="shared" si="5"/>
        <v>7.4712643678160884E-2</v>
      </c>
      <c r="T62" s="46">
        <f t="shared" si="6"/>
        <v>0.11825804029533238</v>
      </c>
      <c r="U62" s="46">
        <f t="shared" si="7"/>
        <v>4.6338516434276666E-3</v>
      </c>
      <c r="V62" s="46">
        <f t="shared" si="7"/>
        <v>6.5344831542428761E-3</v>
      </c>
      <c r="W62" s="46">
        <f t="shared" si="11"/>
        <v>2.6623131706825731E-2</v>
      </c>
      <c r="X62" s="46">
        <f>Fama3!B58/100</f>
        <v>4.9500000000000002E-2</v>
      </c>
      <c r="Y62" s="46">
        <f>Fama3!C58/100</f>
        <v>-3.1899999999999998E-2</v>
      </c>
      <c r="Z62" s="46">
        <f>Fama3!D58/100</f>
        <v>-1.0200000000000001E-2</v>
      </c>
      <c r="AA62" s="46">
        <f>Fama3!E58/100</f>
        <v>0</v>
      </c>
      <c r="AB62">
        <v>1</v>
      </c>
    </row>
    <row r="63" spans="1:28" x14ac:dyDescent="0.45">
      <c r="A63" s="3">
        <v>44286</v>
      </c>
      <c r="B63">
        <v>45.063220000000001</v>
      </c>
      <c r="C63">
        <v>46.405329999999999</v>
      </c>
      <c r="D63">
        <v>86.885779999999997</v>
      </c>
      <c r="E63">
        <v>57.341650000000001</v>
      </c>
      <c r="F63">
        <v>19.26417</v>
      </c>
      <c r="G63">
        <v>17.179760000000002</v>
      </c>
      <c r="H63">
        <v>59.16</v>
      </c>
      <c r="I63">
        <v>3.9954999999999998</v>
      </c>
      <c r="J63">
        <v>369.88668000000001</v>
      </c>
      <c r="K63">
        <v>7634.4155799999999</v>
      </c>
      <c r="L63" s="3">
        <f t="shared" si="9"/>
        <v>44286</v>
      </c>
      <c r="M63" s="46">
        <f t="shared" si="10"/>
        <v>1.8458178961459293E-2</v>
      </c>
      <c r="N63" s="46">
        <f t="shared" si="0"/>
        <v>2.6852880389805156E-2</v>
      </c>
      <c r="O63" s="46">
        <f t="shared" si="1"/>
        <v>4.7900003606137664E-2</v>
      </c>
      <c r="P63" s="46">
        <f t="shared" si="2"/>
        <v>0.12345106241831272</v>
      </c>
      <c r="Q63" s="46">
        <f t="shared" si="3"/>
        <v>-2.4581029886638905E-3</v>
      </c>
      <c r="R63" s="46">
        <f t="shared" si="4"/>
        <v>2.6894491393212983E-2</v>
      </c>
      <c r="S63" s="46">
        <f t="shared" si="5"/>
        <v>-3.8048780487804912E-2</v>
      </c>
      <c r="T63" s="46">
        <f t="shared" si="6"/>
        <v>-2.3701893708002575E-2</v>
      </c>
      <c r="U63" s="46">
        <f t="shared" si="7"/>
        <v>2.6920814335609E-2</v>
      </c>
      <c r="V63" s="46">
        <f t="shared" si="7"/>
        <v>5.3085846562554773E-2</v>
      </c>
      <c r="W63" s="46">
        <f t="shared" si="11"/>
        <v>4.4528066963760923E-2</v>
      </c>
      <c r="X63" s="46">
        <f>Fama3!B59/100</f>
        <v>3.1600000000000003E-2</v>
      </c>
      <c r="Y63" s="46">
        <f>Fama3!C59/100</f>
        <v>-2.3300000000000001E-2</v>
      </c>
      <c r="Z63" s="46">
        <f>Fama3!D59/100</f>
        <v>7.3499999999999996E-2</v>
      </c>
      <c r="AA63" s="46">
        <f>Fama3!E59/100</f>
        <v>0</v>
      </c>
      <c r="AB63">
        <v>1</v>
      </c>
    </row>
    <row r="64" spans="1:28" x14ac:dyDescent="0.45">
      <c r="A64" s="3">
        <v>44253</v>
      </c>
      <c r="B64">
        <v>44.246510000000001</v>
      </c>
      <c r="C64">
        <v>45.191800000000001</v>
      </c>
      <c r="D64">
        <v>82.914190000000005</v>
      </c>
      <c r="E64">
        <v>51.04063</v>
      </c>
      <c r="F64">
        <v>19.311640000000001</v>
      </c>
      <c r="G64">
        <v>16.72982</v>
      </c>
      <c r="H64">
        <v>61.5</v>
      </c>
      <c r="I64">
        <v>4.0925000000000002</v>
      </c>
      <c r="J64">
        <v>360.19006999999999</v>
      </c>
      <c r="K64">
        <v>7249.5662199999997</v>
      </c>
      <c r="L64" s="3">
        <f t="shared" si="9"/>
        <v>44253</v>
      </c>
      <c r="M64" s="46">
        <f t="shared" si="10"/>
        <v>0.31120817286435476</v>
      </c>
      <c r="N64" s="46">
        <f t="shared" si="0"/>
        <v>0.23312501927107454</v>
      </c>
      <c r="O64" s="46">
        <f t="shared" si="1"/>
        <v>0.19029981234093762</v>
      </c>
      <c r="P64" s="46">
        <f t="shared" si="2"/>
        <v>0.26687587400697654</v>
      </c>
      <c r="Q64" s="46">
        <f t="shared" si="3"/>
        <v>0.11319499606293304</v>
      </c>
      <c r="R64" s="46">
        <f t="shared" si="4"/>
        <v>0.30862741263664284</v>
      </c>
      <c r="S64" s="46">
        <f t="shared" si="5"/>
        <v>0.17816091954022983</v>
      </c>
      <c r="T64" s="46">
        <f t="shared" si="6"/>
        <v>0.15087176602924646</v>
      </c>
      <c r="U64" s="46">
        <f t="shared" si="7"/>
        <v>0.2147435007829106</v>
      </c>
      <c r="V64" s="46">
        <f t="shared" si="7"/>
        <v>4.3388582903555406E-2</v>
      </c>
      <c r="W64" s="46">
        <f t="shared" si="11"/>
        <v>0.22242462286371292</v>
      </c>
      <c r="X64" s="46">
        <f>Fama3!B60/100</f>
        <v>2.81E-2</v>
      </c>
      <c r="Y64" s="46">
        <f>Fama3!C60/100</f>
        <v>2.0199999999999999E-2</v>
      </c>
      <c r="Z64" s="46">
        <f>Fama3!D60/100</f>
        <v>7.2000000000000008E-2</v>
      </c>
      <c r="AA64" s="46">
        <f>Fama3!E60/100</f>
        <v>0</v>
      </c>
      <c r="AB64">
        <v>1</v>
      </c>
    </row>
    <row r="65" spans="1:28" x14ac:dyDescent="0.45">
      <c r="A65" s="3">
        <v>44225</v>
      </c>
      <c r="B65">
        <v>33.744840000000003</v>
      </c>
      <c r="C65">
        <v>36.64819</v>
      </c>
      <c r="D65">
        <v>69.658240000000006</v>
      </c>
      <c r="E65">
        <v>40.288580000000003</v>
      </c>
      <c r="F65">
        <v>17.347940000000001</v>
      </c>
      <c r="G65">
        <v>12.78425</v>
      </c>
      <c r="H65">
        <v>52.2</v>
      </c>
      <c r="I65">
        <v>3.556</v>
      </c>
      <c r="J65">
        <v>296.51533000000001</v>
      </c>
      <c r="K65">
        <v>6948.0980900000004</v>
      </c>
      <c r="L65" s="3">
        <f t="shared" si="9"/>
        <v>44225</v>
      </c>
      <c r="M65" s="46">
        <f t="shared" si="10"/>
        <v>1.0002634145647171E-3</v>
      </c>
      <c r="N65" s="46">
        <f t="shared" si="0"/>
        <v>8.7821672733835232E-2</v>
      </c>
      <c r="O65" s="46">
        <f t="shared" si="1"/>
        <v>8.881013193559939E-3</v>
      </c>
      <c r="P65" s="46">
        <f t="shared" si="2"/>
        <v>2.8233389897946326E-2</v>
      </c>
      <c r="Q65" s="46">
        <f t="shared" si="3"/>
        <v>8.2845994773009357E-2</v>
      </c>
      <c r="R65" s="46">
        <f t="shared" si="4"/>
        <v>4.1112724471289663E-2</v>
      </c>
      <c r="S65" s="46">
        <f t="shared" si="5"/>
        <v>7.5845012366034581E-2</v>
      </c>
      <c r="T65" s="46">
        <f t="shared" si="6"/>
        <v>1.0514350667803374E-2</v>
      </c>
      <c r="U65" s="46">
        <f t="shared" si="7"/>
        <v>3.6254558061154407E-2</v>
      </c>
      <c r="V65" s="46">
        <f t="shared" si="7"/>
        <v>2.7129436030761456E-2</v>
      </c>
      <c r="W65" s="46">
        <f t="shared" si="11"/>
        <v>4.9778959013928106E-2</v>
      </c>
      <c r="X65" s="46">
        <f>Fama3!B61/100</f>
        <v>-7.000000000000001E-4</v>
      </c>
      <c r="Y65" s="46">
        <f>Fama3!C61/100</f>
        <v>7.1399999999999991E-2</v>
      </c>
      <c r="Z65" s="46">
        <f>Fama3!D61/100</f>
        <v>3.2199999999999999E-2</v>
      </c>
      <c r="AA65" s="46">
        <f>Fama3!E61/100</f>
        <v>0</v>
      </c>
      <c r="AB65">
        <v>1</v>
      </c>
    </row>
    <row r="66" spans="1:28" x14ac:dyDescent="0.45">
      <c r="A66" s="3">
        <v>44196</v>
      </c>
      <c r="B66">
        <v>33.711120000000001</v>
      </c>
      <c r="C66">
        <v>33.689520000000002</v>
      </c>
      <c r="D66">
        <v>69.045050000000003</v>
      </c>
      <c r="E66">
        <v>39.18233</v>
      </c>
      <c r="F66">
        <v>16.020689999999998</v>
      </c>
      <c r="G66">
        <v>12.27941</v>
      </c>
      <c r="H66">
        <v>48.52</v>
      </c>
      <c r="I66">
        <v>3.5190000000000001</v>
      </c>
      <c r="J66">
        <v>286.14139999999998</v>
      </c>
      <c r="K66">
        <v>6764.57888</v>
      </c>
      <c r="L66" s="3">
        <f t="shared" si="9"/>
        <v>44196</v>
      </c>
      <c r="M66" s="46">
        <f t="shared" si="10"/>
        <v>1.0869408767493871E-2</v>
      </c>
      <c r="N66" s="46">
        <f t="shared" si="0"/>
        <v>8.1038273599956856E-2</v>
      </c>
      <c r="O66" s="46">
        <f t="shared" si="1"/>
        <v>-3.1314563198874934E-2</v>
      </c>
      <c r="P66" s="46">
        <f t="shared" si="2"/>
        <v>6.3779826417094121E-2</v>
      </c>
      <c r="Q66" s="46">
        <f t="shared" si="3"/>
        <v>4.9080031798459434E-2</v>
      </c>
      <c r="R66" s="46">
        <f t="shared" si="4"/>
        <v>0.13806145827154648</v>
      </c>
      <c r="S66" s="46">
        <f t="shared" si="5"/>
        <v>7.0136744596382972E-2</v>
      </c>
      <c r="T66" s="46">
        <f t="shared" si="6"/>
        <v>2.8796959508843756E-2</v>
      </c>
      <c r="U66" s="46">
        <f t="shared" si="7"/>
        <v>4.2720578562419842E-2</v>
      </c>
      <c r="V66" s="46">
        <f t="shared" si="7"/>
        <v>-1.04080482202632E-2</v>
      </c>
      <c r="W66" s="46">
        <f t="shared" si="11"/>
        <v>6.0129005377636394E-2</v>
      </c>
      <c r="X66" s="46">
        <f>Fama3!B62/100</f>
        <v>4.6300000000000001E-2</v>
      </c>
      <c r="Y66" s="46">
        <f>Fama3!C62/100</f>
        <v>5.0099999999999999E-2</v>
      </c>
      <c r="Z66" s="46">
        <f>Fama3!D62/100</f>
        <v>-1.6799999999999999E-2</v>
      </c>
      <c r="AA66" s="46">
        <f>Fama3!E62/100</f>
        <v>1E-4</v>
      </c>
      <c r="AB66">
        <v>1</v>
      </c>
    </row>
    <row r="67" spans="1:28" x14ac:dyDescent="0.45">
      <c r="A67" s="3">
        <v>44165</v>
      </c>
      <c r="B67">
        <v>33.348640000000003</v>
      </c>
      <c r="C67">
        <v>31.16404</v>
      </c>
      <c r="D67">
        <v>71.277060000000006</v>
      </c>
      <c r="E67">
        <v>36.833120000000001</v>
      </c>
      <c r="F67">
        <v>15.271179999999999</v>
      </c>
      <c r="G67">
        <v>10.789759999999999</v>
      </c>
      <c r="H67">
        <v>45.34</v>
      </c>
      <c r="I67">
        <v>3.4205000000000001</v>
      </c>
      <c r="J67">
        <v>274.41809999999998</v>
      </c>
      <c r="K67">
        <v>6835.7254400000002</v>
      </c>
      <c r="L67" s="3">
        <f t="shared" si="9"/>
        <v>44165</v>
      </c>
      <c r="M67" s="46">
        <f t="shared" si="10"/>
        <v>0</v>
      </c>
      <c r="N67" s="46">
        <f t="shared" si="0"/>
        <v>0</v>
      </c>
      <c r="O67" s="46">
        <f t="shared" si="1"/>
        <v>0</v>
      </c>
      <c r="P67" s="46">
        <f t="shared" si="2"/>
        <v>0</v>
      </c>
      <c r="Q67" s="46">
        <f t="shared" si="3"/>
        <v>0</v>
      </c>
      <c r="R67" s="46">
        <f t="shared" si="4"/>
        <v>0</v>
      </c>
      <c r="S67" s="46">
        <f t="shared" si="5"/>
        <v>0</v>
      </c>
      <c r="T67" s="46">
        <f t="shared" si="6"/>
        <v>0</v>
      </c>
      <c r="U67" s="46">
        <f t="shared" si="7"/>
        <v>0</v>
      </c>
      <c r="V67" s="46">
        <f t="shared" si="7"/>
        <v>3.8049805835205008E-2</v>
      </c>
      <c r="W67" s="46">
        <f t="shared" si="11"/>
        <v>0</v>
      </c>
      <c r="X67" s="46">
        <f>Fama3!B63/100</f>
        <v>0.1245</v>
      </c>
      <c r="Y67" s="46">
        <f>Fama3!C63/100</f>
        <v>5.8099999999999999E-2</v>
      </c>
      <c r="Z67" s="46">
        <f>Fama3!D63/100</f>
        <v>2.0899999999999998E-2</v>
      </c>
      <c r="AA67" s="46">
        <f>Fama3!E63/100</f>
        <v>1E-4</v>
      </c>
      <c r="AB67">
        <v>1</v>
      </c>
    </row>
    <row r="68" spans="1:28" x14ac:dyDescent="0.45">
      <c r="A68" s="3">
        <v>44165</v>
      </c>
      <c r="B68">
        <v>33.348640000000003</v>
      </c>
      <c r="C68">
        <v>31.16404</v>
      </c>
      <c r="D68">
        <v>71.277060000000006</v>
      </c>
      <c r="E68">
        <v>36.833120000000001</v>
      </c>
      <c r="F68">
        <v>15.271179999999999</v>
      </c>
      <c r="G68">
        <v>10.789759999999999</v>
      </c>
      <c r="H68">
        <v>45.34</v>
      </c>
      <c r="I68">
        <v>3.4205000000000001</v>
      </c>
      <c r="J68">
        <v>274.41809999999998</v>
      </c>
      <c r="K68">
        <v>6585.1613299999999</v>
      </c>
      <c r="L68" s="3">
        <f t="shared" si="9"/>
        <v>44165</v>
      </c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</row>
    <row r="69" spans="1:28" x14ac:dyDescent="0.45">
      <c r="L69" s="3"/>
      <c r="W69" s="46"/>
      <c r="X69" s="46"/>
      <c r="Y69" s="46"/>
      <c r="Z69" s="46"/>
      <c r="AA69" s="46"/>
    </row>
  </sheetData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53530-4C88-4975-BADE-8DCF1DFA2500}">
  <dimension ref="A1:J382"/>
  <sheetViews>
    <sheetView topLeftCell="A374" workbookViewId="0">
      <selection activeCell="B12" sqref="B12"/>
    </sheetView>
  </sheetViews>
  <sheetFormatPr defaultRowHeight="14.25" x14ac:dyDescent="0.45"/>
  <cols>
    <col min="1" max="1" width="17.796875" customWidth="1"/>
    <col min="2" max="2" width="19.73046875" customWidth="1"/>
    <col min="3" max="3" width="11.73046875" bestFit="1" customWidth="1"/>
    <col min="4" max="4" width="11.73046875" customWidth="1"/>
    <col min="5" max="5" width="16.796875" customWidth="1"/>
    <col min="6" max="6" width="12.33203125" bestFit="1" customWidth="1"/>
    <col min="7" max="7" width="14.73046875" customWidth="1"/>
    <col min="8" max="8" width="16" bestFit="1" customWidth="1"/>
  </cols>
  <sheetData>
    <row r="1" spans="1:6" ht="15.75" x14ac:dyDescent="0.5">
      <c r="A1" s="78" t="s">
        <v>471</v>
      </c>
    </row>
    <row r="2" spans="1:6" x14ac:dyDescent="0.45">
      <c r="B2" t="s">
        <v>464</v>
      </c>
      <c r="C2" t="s">
        <v>492</v>
      </c>
      <c r="D2" t="s">
        <v>493</v>
      </c>
      <c r="E2" t="s">
        <v>494</v>
      </c>
      <c r="F2" t="s">
        <v>495</v>
      </c>
    </row>
    <row r="3" spans="1:6" x14ac:dyDescent="0.45">
      <c r="A3" t="s">
        <v>3</v>
      </c>
      <c r="B3">
        <v>1.9E-2</v>
      </c>
      <c r="C3">
        <v>0.66400000000000003</v>
      </c>
      <c r="D3">
        <v>2.1000000000000001E-2</v>
      </c>
      <c r="E3">
        <v>2.1000000000000001E-2</v>
      </c>
      <c r="F3">
        <v>7.2999999999999995E-2</v>
      </c>
    </row>
    <row r="4" spans="1:6" x14ac:dyDescent="0.45">
      <c r="A4" t="s">
        <v>7</v>
      </c>
      <c r="B4">
        <v>2.1000000000000001E-2</v>
      </c>
      <c r="C4">
        <v>0.52200000000000002</v>
      </c>
      <c r="D4">
        <v>0.02</v>
      </c>
      <c r="E4">
        <v>0.02</v>
      </c>
      <c r="F4">
        <v>7.4999999999999997E-2</v>
      </c>
    </row>
    <row r="5" spans="1:6" x14ac:dyDescent="0.45">
      <c r="A5" t="s">
        <v>8</v>
      </c>
      <c r="B5">
        <v>1.0999999999999999E-2</v>
      </c>
      <c r="C5">
        <v>0.83599999999999997</v>
      </c>
      <c r="D5">
        <v>0</v>
      </c>
      <c r="E5">
        <v>0</v>
      </c>
      <c r="F5">
        <v>0.2</v>
      </c>
    </row>
    <row r="6" spans="1:6" x14ac:dyDescent="0.45">
      <c r="A6" t="s">
        <v>9</v>
      </c>
      <c r="B6">
        <v>0.02</v>
      </c>
      <c r="C6">
        <v>0.76700000000000002</v>
      </c>
      <c r="D6">
        <v>6.0000000000000001E-3</v>
      </c>
      <c r="E6">
        <v>6.0000000000000001E-3</v>
      </c>
      <c r="F6">
        <v>0.106</v>
      </c>
    </row>
    <row r="7" spans="1:6" x14ac:dyDescent="0.45">
      <c r="A7" t="s">
        <v>10</v>
      </c>
      <c r="B7">
        <v>1.2999999999999999E-2</v>
      </c>
      <c r="C7">
        <v>0.56000000000000005</v>
      </c>
      <c r="D7">
        <v>1.0999999999999999E-2</v>
      </c>
      <c r="E7">
        <v>1.0999999999999999E-2</v>
      </c>
      <c r="F7">
        <v>0.09</v>
      </c>
    </row>
    <row r="8" spans="1:6" x14ac:dyDescent="0.45">
      <c r="A8" t="s">
        <v>389</v>
      </c>
      <c r="B8">
        <v>2.1999999999999999E-2</v>
      </c>
      <c r="C8">
        <v>1.135</v>
      </c>
      <c r="D8">
        <v>2E-3</v>
      </c>
      <c r="E8">
        <v>2E-3</v>
      </c>
      <c r="F8">
        <v>0.14399999999999999</v>
      </c>
    </row>
    <row r="9" spans="1:6" x14ac:dyDescent="0.45">
      <c r="A9" t="s">
        <v>14</v>
      </c>
      <c r="B9">
        <v>7.0000000000000001E-3</v>
      </c>
      <c r="C9">
        <v>0.42299999999999999</v>
      </c>
      <c r="D9">
        <v>0.09</v>
      </c>
      <c r="E9">
        <v>0.09</v>
      </c>
      <c r="F9">
        <v>3.2000000000000001E-2</v>
      </c>
    </row>
    <row r="10" spans="1:6" x14ac:dyDescent="0.45">
      <c r="A10" t="s">
        <v>27</v>
      </c>
      <c r="B10">
        <v>5.0000000000000001E-3</v>
      </c>
      <c r="C10">
        <v>0.46300000000000002</v>
      </c>
      <c r="D10">
        <v>8.9999999999999993E-3</v>
      </c>
      <c r="E10">
        <v>8.9999999999999993E-3</v>
      </c>
      <c r="F10">
        <v>9.7000000000000003E-2</v>
      </c>
    </row>
    <row r="11" spans="1:6" x14ac:dyDescent="0.45">
      <c r="A11" t="s">
        <v>383</v>
      </c>
      <c r="B11">
        <v>1.2999999999999999E-2</v>
      </c>
      <c r="C11">
        <v>0.75</v>
      </c>
      <c r="D11">
        <v>1E-3</v>
      </c>
      <c r="E11">
        <v>1E-3</v>
      </c>
      <c r="F11">
        <v>0.17100000000000001</v>
      </c>
    </row>
    <row r="12" spans="1:6" x14ac:dyDescent="0.45">
      <c r="A12" t="s">
        <v>384</v>
      </c>
      <c r="B12">
        <v>2E-3</v>
      </c>
      <c r="C12">
        <v>0.96299999999999997</v>
      </c>
      <c r="D12">
        <v>0</v>
      </c>
      <c r="E12">
        <v>0</v>
      </c>
      <c r="F12">
        <v>0.98499999999999999</v>
      </c>
    </row>
    <row r="13" spans="1:6" x14ac:dyDescent="0.45">
      <c r="A13" t="s">
        <v>403</v>
      </c>
      <c r="B13">
        <v>1.7000000000000001E-2</v>
      </c>
      <c r="C13">
        <v>0.76400000000000001</v>
      </c>
      <c r="D13">
        <v>1E-3</v>
      </c>
      <c r="E13">
        <v>1E-3</v>
      </c>
      <c r="F13">
        <v>0.14899999999999999</v>
      </c>
    </row>
    <row r="16" spans="1:6" ht="15.75" x14ac:dyDescent="0.5">
      <c r="A16" s="78" t="s">
        <v>472</v>
      </c>
    </row>
    <row r="17" spans="1:9" x14ac:dyDescent="0.45">
      <c r="B17" t="s">
        <v>464</v>
      </c>
      <c r="C17" t="s">
        <v>492</v>
      </c>
      <c r="D17" t="s">
        <v>474</v>
      </c>
      <c r="E17" t="s">
        <v>475</v>
      </c>
      <c r="F17" t="s">
        <v>493</v>
      </c>
      <c r="G17" t="s">
        <v>494</v>
      </c>
      <c r="H17" t="s">
        <v>495</v>
      </c>
    </row>
    <row r="18" spans="1:9" x14ac:dyDescent="0.45">
      <c r="A18" t="s">
        <v>3</v>
      </c>
      <c r="B18">
        <v>7.0000000000000001E-3</v>
      </c>
      <c r="C18">
        <v>0.86799999999999999</v>
      </c>
      <c r="D18">
        <v>-8.7999999999999995E-2</v>
      </c>
      <c r="E18">
        <v>1.3640000000000001</v>
      </c>
      <c r="F18">
        <v>1E-3</v>
      </c>
      <c r="G18">
        <v>6.0000000000000001E-3</v>
      </c>
      <c r="H18">
        <v>0.35099999999999998</v>
      </c>
    </row>
    <row r="19" spans="1:9" x14ac:dyDescent="0.45">
      <c r="A19" t="s">
        <v>7</v>
      </c>
      <c r="B19">
        <v>1.0999999999999999E-2</v>
      </c>
      <c r="C19">
        <v>0.70799999999999996</v>
      </c>
      <c r="D19">
        <v>-0.17</v>
      </c>
      <c r="E19">
        <v>1.113</v>
      </c>
      <c r="F19">
        <v>0</v>
      </c>
      <c r="G19">
        <v>0</v>
      </c>
      <c r="H19">
        <v>0.38300000000000001</v>
      </c>
    </row>
    <row r="20" spans="1:9" x14ac:dyDescent="0.45">
      <c r="A20" t="s">
        <v>8</v>
      </c>
      <c r="B20">
        <v>1E-3</v>
      </c>
      <c r="C20">
        <v>1.0169999999999999</v>
      </c>
      <c r="D20">
        <v>-0.13300000000000001</v>
      </c>
      <c r="E20">
        <v>1.125</v>
      </c>
      <c r="F20">
        <v>0</v>
      </c>
      <c r="G20">
        <v>0</v>
      </c>
      <c r="H20">
        <v>0.49099999999999999</v>
      </c>
    </row>
    <row r="21" spans="1:9" x14ac:dyDescent="0.45">
      <c r="A21" t="s">
        <v>9</v>
      </c>
      <c r="B21">
        <v>6.0000000000000001E-3</v>
      </c>
      <c r="C21">
        <v>1.006</v>
      </c>
      <c r="D21">
        <v>-0.14699999999999999</v>
      </c>
      <c r="E21">
        <v>1.536</v>
      </c>
      <c r="F21">
        <v>0</v>
      </c>
      <c r="G21">
        <v>0</v>
      </c>
      <c r="H21">
        <v>0.47699999999999998</v>
      </c>
    </row>
    <row r="22" spans="1:9" x14ac:dyDescent="0.45">
      <c r="A22" t="s">
        <v>10</v>
      </c>
      <c r="B22">
        <v>3.0000000000000001E-3</v>
      </c>
      <c r="C22">
        <v>0.73</v>
      </c>
      <c r="D22">
        <v>-0.13600000000000001</v>
      </c>
      <c r="E22">
        <v>1.048</v>
      </c>
      <c r="F22">
        <v>0</v>
      </c>
      <c r="G22">
        <v>0</v>
      </c>
      <c r="H22">
        <v>0.36599999999999999</v>
      </c>
    </row>
    <row r="23" spans="1:9" x14ac:dyDescent="0.45">
      <c r="A23" t="s">
        <v>389</v>
      </c>
      <c r="B23">
        <v>8.9999999999999993E-3</v>
      </c>
      <c r="C23">
        <v>1.3009999999999999</v>
      </c>
      <c r="D23">
        <v>0.33200000000000002</v>
      </c>
      <c r="E23">
        <v>1.71</v>
      </c>
      <c r="F23">
        <v>0</v>
      </c>
      <c r="G23">
        <v>1E-3</v>
      </c>
      <c r="H23">
        <v>0.42599999999999999</v>
      </c>
    </row>
    <row r="24" spans="1:9" x14ac:dyDescent="0.45">
      <c r="A24" t="s">
        <v>14</v>
      </c>
      <c r="B24">
        <v>-1E-3</v>
      </c>
      <c r="C24">
        <v>0.58299999999999996</v>
      </c>
      <c r="D24">
        <v>-0.26800000000000002</v>
      </c>
      <c r="E24">
        <v>0.77500000000000002</v>
      </c>
      <c r="F24">
        <v>2.1000000000000001E-2</v>
      </c>
      <c r="G24">
        <v>2.1000000000000001E-2</v>
      </c>
      <c r="H24">
        <v>0.13800000000000001</v>
      </c>
    </row>
    <row r="25" spans="1:9" x14ac:dyDescent="0.45">
      <c r="A25" t="s">
        <v>27</v>
      </c>
      <c r="B25">
        <v>0</v>
      </c>
      <c r="C25">
        <v>0.57799999999999996</v>
      </c>
      <c r="D25">
        <v>-0.32600000000000001</v>
      </c>
      <c r="E25">
        <v>0.36299999999999999</v>
      </c>
      <c r="F25">
        <v>2E-3</v>
      </c>
      <c r="G25">
        <v>2E-3</v>
      </c>
      <c r="H25">
        <v>0.14099999999999999</v>
      </c>
    </row>
    <row r="26" spans="1:9" x14ac:dyDescent="0.45">
      <c r="A26" t="s">
        <v>383</v>
      </c>
      <c r="B26">
        <v>3.0000000000000001E-3</v>
      </c>
      <c r="C26">
        <v>0.93700000000000006</v>
      </c>
      <c r="D26">
        <v>-0.11799999999999999</v>
      </c>
      <c r="E26">
        <v>1.194</v>
      </c>
      <c r="F26">
        <v>0</v>
      </c>
      <c r="G26">
        <v>0</v>
      </c>
      <c r="H26">
        <v>0.53</v>
      </c>
    </row>
    <row r="27" spans="1:9" x14ac:dyDescent="0.45">
      <c r="A27" t="s">
        <v>384</v>
      </c>
      <c r="B27">
        <v>1E-3</v>
      </c>
      <c r="C27">
        <v>0.995</v>
      </c>
      <c r="D27">
        <v>-0.154</v>
      </c>
      <c r="E27">
        <v>6.0000000000000001E-3</v>
      </c>
      <c r="F27">
        <v>0</v>
      </c>
      <c r="G27">
        <v>0</v>
      </c>
      <c r="H27">
        <v>0.995</v>
      </c>
    </row>
    <row r="28" spans="1:9" x14ac:dyDescent="0.45">
      <c r="A28" t="s">
        <v>403</v>
      </c>
      <c r="B28">
        <v>6.0000000000000001E-3</v>
      </c>
      <c r="C28">
        <v>0.95199999999999996</v>
      </c>
      <c r="D28">
        <v>-5.0999999999999997E-2</v>
      </c>
      <c r="E28">
        <v>1.306</v>
      </c>
      <c r="F28">
        <v>0</v>
      </c>
      <c r="G28">
        <v>0</v>
      </c>
      <c r="H28">
        <v>0.51700000000000002</v>
      </c>
    </row>
    <row r="31" spans="1:9" ht="15.75" x14ac:dyDescent="0.5">
      <c r="A31" s="78" t="s">
        <v>473</v>
      </c>
    </row>
    <row r="32" spans="1:9" x14ac:dyDescent="0.45">
      <c r="B32" t="s">
        <v>464</v>
      </c>
      <c r="C32" t="s">
        <v>492</v>
      </c>
      <c r="D32" t="s">
        <v>474</v>
      </c>
      <c r="E32" t="s">
        <v>475</v>
      </c>
      <c r="F32" t="s">
        <v>496</v>
      </c>
      <c r="G32" t="s">
        <v>493</v>
      </c>
      <c r="H32" t="s">
        <v>494</v>
      </c>
      <c r="I32" t="s">
        <v>495</v>
      </c>
    </row>
    <row r="33" spans="1:9" x14ac:dyDescent="0.45">
      <c r="A33" t="s">
        <v>3</v>
      </c>
      <c r="B33">
        <v>2E-3</v>
      </c>
      <c r="C33">
        <v>0.83799999999999997</v>
      </c>
      <c r="D33">
        <v>-0.124</v>
      </c>
      <c r="E33">
        <v>1.329</v>
      </c>
      <c r="F33">
        <v>0.02</v>
      </c>
      <c r="G33">
        <v>2E-3</v>
      </c>
      <c r="H33">
        <v>8.0000000000000002E-3</v>
      </c>
      <c r="I33">
        <v>0.34599999999999997</v>
      </c>
    </row>
    <row r="34" spans="1:9" x14ac:dyDescent="0.45">
      <c r="A34" t="s">
        <v>7</v>
      </c>
      <c r="B34">
        <v>0.01</v>
      </c>
      <c r="C34">
        <v>0.70399999999999996</v>
      </c>
      <c r="D34">
        <v>-0.17599999999999999</v>
      </c>
      <c r="E34">
        <v>1.1080000000000001</v>
      </c>
      <c r="F34">
        <v>3.0000000000000001E-3</v>
      </c>
      <c r="G34">
        <v>1E-3</v>
      </c>
      <c r="H34">
        <v>0</v>
      </c>
      <c r="I34">
        <v>0.372</v>
      </c>
    </row>
    <row r="35" spans="1:9" x14ac:dyDescent="0.45">
      <c r="A35" t="s">
        <v>8</v>
      </c>
      <c r="B35">
        <v>2E-3</v>
      </c>
      <c r="C35">
        <v>1.024</v>
      </c>
      <c r="D35">
        <v>-0.124</v>
      </c>
      <c r="E35">
        <v>1.1339999999999999</v>
      </c>
      <c r="F35">
        <v>-5.0000000000000001E-3</v>
      </c>
      <c r="G35">
        <v>0</v>
      </c>
      <c r="H35">
        <v>0</v>
      </c>
      <c r="I35">
        <v>0.48299999999999998</v>
      </c>
    </row>
    <row r="36" spans="1:9" x14ac:dyDescent="0.45">
      <c r="A36" t="s">
        <v>9</v>
      </c>
      <c r="B36">
        <v>1E-3</v>
      </c>
      <c r="C36">
        <v>0.96899999999999997</v>
      </c>
      <c r="D36">
        <v>-0.191</v>
      </c>
      <c r="E36">
        <v>1.4930000000000001</v>
      </c>
      <c r="F36">
        <v>2.5000000000000001E-2</v>
      </c>
      <c r="G36">
        <v>0</v>
      </c>
      <c r="H36">
        <v>0</v>
      </c>
      <c r="I36">
        <v>0.47799999999999998</v>
      </c>
    </row>
    <row r="37" spans="1:9" x14ac:dyDescent="0.45">
      <c r="A37" t="s">
        <v>10</v>
      </c>
      <c r="B37">
        <v>4.0000000000000001E-3</v>
      </c>
      <c r="C37">
        <v>0.73299999999999998</v>
      </c>
      <c r="D37">
        <v>-0.13400000000000001</v>
      </c>
      <c r="E37">
        <v>1.0509999999999999</v>
      </c>
      <c r="F37">
        <v>-2E-3</v>
      </c>
      <c r="G37">
        <v>0</v>
      </c>
      <c r="H37">
        <v>0</v>
      </c>
      <c r="I37">
        <v>0.35399999999999998</v>
      </c>
    </row>
    <row r="38" spans="1:9" x14ac:dyDescent="0.45">
      <c r="A38" t="s">
        <v>389</v>
      </c>
      <c r="B38">
        <v>-7.0000000000000001E-3</v>
      </c>
      <c r="C38">
        <v>1.198</v>
      </c>
      <c r="D38">
        <v>0.20799999999999999</v>
      </c>
      <c r="E38">
        <v>1.59</v>
      </c>
      <c r="F38">
        <v>7.0999999999999994E-2</v>
      </c>
      <c r="G38">
        <v>0</v>
      </c>
      <c r="H38">
        <v>1E-3</v>
      </c>
      <c r="I38">
        <v>0.46800000000000003</v>
      </c>
    </row>
    <row r="39" spans="1:9" x14ac:dyDescent="0.45">
      <c r="A39" t="s">
        <v>14</v>
      </c>
      <c r="B39">
        <v>-8.9999999999999993E-3</v>
      </c>
      <c r="C39">
        <v>0.53100000000000003</v>
      </c>
      <c r="D39">
        <v>-0.33</v>
      </c>
      <c r="E39">
        <v>0.71499999999999997</v>
      </c>
      <c r="F39">
        <v>3.5000000000000003E-2</v>
      </c>
      <c r="G39">
        <v>3.5999999999999997E-2</v>
      </c>
      <c r="H39">
        <v>3.5999999999999997E-2</v>
      </c>
      <c r="I39">
        <v>0.151</v>
      </c>
    </row>
    <row r="40" spans="1:9" x14ac:dyDescent="0.45">
      <c r="A40" t="s">
        <v>27</v>
      </c>
      <c r="B40">
        <v>-3.0000000000000001E-3</v>
      </c>
      <c r="C40">
        <v>0.55800000000000005</v>
      </c>
      <c r="D40">
        <v>-0.35099999999999998</v>
      </c>
      <c r="E40">
        <v>0.34</v>
      </c>
      <c r="F40">
        <v>1.4E-2</v>
      </c>
      <c r="G40">
        <v>3.0000000000000001E-3</v>
      </c>
      <c r="H40">
        <v>3.0000000000000001E-3</v>
      </c>
      <c r="I40">
        <v>0.13400000000000001</v>
      </c>
    </row>
    <row r="41" spans="1:9" x14ac:dyDescent="0.45">
      <c r="A41" t="s">
        <v>383</v>
      </c>
      <c r="B41">
        <v>3.0000000000000001E-3</v>
      </c>
      <c r="C41">
        <v>0.93600000000000005</v>
      </c>
      <c r="D41">
        <v>-0.11899999999999999</v>
      </c>
      <c r="E41">
        <v>1.1930000000000001</v>
      </c>
      <c r="F41">
        <v>0</v>
      </c>
      <c r="G41">
        <v>0</v>
      </c>
      <c r="H41">
        <v>0</v>
      </c>
      <c r="I41">
        <v>0.52100000000000002</v>
      </c>
    </row>
    <row r="42" spans="1:9" x14ac:dyDescent="0.45">
      <c r="A42" t="s">
        <v>384</v>
      </c>
      <c r="B42">
        <v>2E-3</v>
      </c>
      <c r="C42">
        <v>0.996</v>
      </c>
      <c r="D42">
        <v>-0.152</v>
      </c>
      <c r="E42">
        <v>8.0000000000000002E-3</v>
      </c>
      <c r="F42">
        <v>-1E-3</v>
      </c>
      <c r="G42">
        <v>0</v>
      </c>
      <c r="H42">
        <v>0</v>
      </c>
      <c r="I42">
        <v>0.995</v>
      </c>
    </row>
    <row r="43" spans="1:9" x14ac:dyDescent="0.45">
      <c r="A43" t="s">
        <v>403</v>
      </c>
      <c r="B43">
        <v>2E-3</v>
      </c>
      <c r="C43">
        <v>0.92500000000000004</v>
      </c>
      <c r="D43">
        <v>-8.3000000000000004E-2</v>
      </c>
      <c r="E43">
        <v>1.2749999999999999</v>
      </c>
      <c r="F43">
        <v>1.7999999999999999E-2</v>
      </c>
      <c r="G43">
        <v>0</v>
      </c>
      <c r="H43">
        <v>0</v>
      </c>
      <c r="I43">
        <v>0.51700000000000002</v>
      </c>
    </row>
    <row r="48" spans="1:9" ht="18" x14ac:dyDescent="0.55000000000000004">
      <c r="A48" s="77" t="s">
        <v>476</v>
      </c>
    </row>
    <row r="49" spans="1:10" x14ac:dyDescent="0.45">
      <c r="A49" t="s">
        <v>477</v>
      </c>
    </row>
    <row r="50" spans="1:10" x14ac:dyDescent="0.45">
      <c r="A50" s="76" t="s">
        <v>516</v>
      </c>
    </row>
    <row r="51" spans="1:10" x14ac:dyDescent="0.45">
      <c r="A51" t="s">
        <v>517</v>
      </c>
    </row>
    <row r="52" spans="1:10" x14ac:dyDescent="0.45">
      <c r="A52" t="s">
        <v>518</v>
      </c>
    </row>
    <row r="54" spans="1:10" ht="17.25" x14ac:dyDescent="0.55000000000000004">
      <c r="A54" s="79" t="s">
        <v>497</v>
      </c>
      <c r="B54" s="80"/>
      <c r="C54" s="80"/>
      <c r="D54" s="80"/>
      <c r="E54" s="80"/>
      <c r="F54" s="80"/>
      <c r="G54" s="80"/>
      <c r="H54" s="80"/>
      <c r="I54" s="80"/>
      <c r="J54" s="80"/>
    </row>
    <row r="56" spans="1:10" x14ac:dyDescent="0.45">
      <c r="A56" s="81" t="s">
        <v>498</v>
      </c>
      <c r="B56" s="80"/>
      <c r="C56" s="80"/>
      <c r="D56" s="80"/>
      <c r="E56" s="80"/>
      <c r="F56" s="80"/>
      <c r="G56" s="80"/>
      <c r="H56" s="80"/>
      <c r="I56" s="80"/>
      <c r="J56" s="80"/>
    </row>
    <row r="57" spans="1:10" x14ac:dyDescent="0.45">
      <c r="A57" s="76" t="s">
        <v>499</v>
      </c>
    </row>
    <row r="58" spans="1:10" x14ac:dyDescent="0.45">
      <c r="A58" s="80"/>
      <c r="B58" s="80" t="s">
        <v>500</v>
      </c>
      <c r="C58" t="s">
        <v>479</v>
      </c>
    </row>
    <row r="59" spans="1:10" x14ac:dyDescent="0.45">
      <c r="A59" s="80">
        <v>0</v>
      </c>
      <c r="B59" s="80" t="s">
        <v>501</v>
      </c>
      <c r="C59">
        <v>2.1160000000000001</v>
      </c>
    </row>
    <row r="60" spans="1:10" x14ac:dyDescent="0.45">
      <c r="A60" s="80">
        <v>1</v>
      </c>
      <c r="B60" s="80" t="s">
        <v>502</v>
      </c>
      <c r="C60">
        <v>0.82599999999999996</v>
      </c>
    </row>
    <row r="61" spans="1:10" x14ac:dyDescent="0.45">
      <c r="A61" s="80">
        <v>2</v>
      </c>
      <c r="B61" s="80" t="s">
        <v>503</v>
      </c>
      <c r="C61" t="s">
        <v>512</v>
      </c>
    </row>
    <row r="63" spans="1:10" x14ac:dyDescent="0.45">
      <c r="A63" s="76" t="s">
        <v>505</v>
      </c>
    </row>
    <row r="64" spans="1:10" x14ac:dyDescent="0.45">
      <c r="A64" s="80"/>
      <c r="B64" s="80" t="s">
        <v>478</v>
      </c>
      <c r="C64" t="s">
        <v>479</v>
      </c>
    </row>
    <row r="65" spans="1:8" x14ac:dyDescent="0.45">
      <c r="A65" s="80">
        <v>0</v>
      </c>
      <c r="B65" s="80" t="s">
        <v>480</v>
      </c>
      <c r="C65">
        <v>8.8999999999999996E-2</v>
      </c>
    </row>
    <row r="66" spans="1:8" x14ac:dyDescent="0.45">
      <c r="A66" s="80">
        <v>1</v>
      </c>
      <c r="B66" s="80" t="s">
        <v>481</v>
      </c>
      <c r="C66">
        <v>7.2999999999999995E-2</v>
      </c>
    </row>
    <row r="67" spans="1:8" x14ac:dyDescent="0.45">
      <c r="A67" s="80">
        <v>2</v>
      </c>
      <c r="B67" s="80" t="s">
        <v>482</v>
      </c>
      <c r="C67">
        <v>5.6509999999999998</v>
      </c>
    </row>
    <row r="68" spans="1:8" x14ac:dyDescent="0.45">
      <c r="A68" s="80">
        <v>3</v>
      </c>
      <c r="B68" s="80" t="s">
        <v>483</v>
      </c>
      <c r="C68">
        <v>2.1000000000000001E-2</v>
      </c>
    </row>
    <row r="69" spans="1:8" x14ac:dyDescent="0.45">
      <c r="A69" s="80">
        <v>4</v>
      </c>
      <c r="B69" s="80" t="s">
        <v>484</v>
      </c>
      <c r="C69">
        <v>-102.967</v>
      </c>
    </row>
    <row r="70" spans="1:8" x14ac:dyDescent="0.45">
      <c r="A70" s="80">
        <v>5</v>
      </c>
      <c r="B70" s="80" t="s">
        <v>485</v>
      </c>
      <c r="C70">
        <v>-98.778000000000006</v>
      </c>
    </row>
    <row r="71" spans="1:8" x14ac:dyDescent="0.45">
      <c r="A71" s="80">
        <v>6</v>
      </c>
      <c r="B71" s="80" t="s">
        <v>486</v>
      </c>
      <c r="C71">
        <v>60</v>
      </c>
    </row>
    <row r="73" spans="1:8" x14ac:dyDescent="0.45">
      <c r="A73" s="76" t="s">
        <v>506</v>
      </c>
    </row>
    <row r="74" spans="1:8" x14ac:dyDescent="0.45">
      <c r="A74" s="80"/>
      <c r="B74" s="80" t="s">
        <v>487</v>
      </c>
      <c r="C74" s="80" t="s">
        <v>507</v>
      </c>
      <c r="D74" s="80" t="s">
        <v>508</v>
      </c>
      <c r="E74" s="80" t="s">
        <v>509</v>
      </c>
      <c r="F74" s="80" t="s">
        <v>488</v>
      </c>
      <c r="G74" s="80" t="s">
        <v>489</v>
      </c>
      <c r="H74" t="s">
        <v>490</v>
      </c>
    </row>
    <row r="75" spans="1:8" x14ac:dyDescent="0.45">
      <c r="A75" s="80">
        <v>0</v>
      </c>
      <c r="B75" s="80" t="s">
        <v>463</v>
      </c>
      <c r="C75" s="80">
        <v>1.9E-2</v>
      </c>
      <c r="D75" s="80">
        <v>1.2999999999999999E-2</v>
      </c>
      <c r="E75" s="80">
        <v>1.3939999999999999</v>
      </c>
      <c r="F75" s="80">
        <v>0.16900000000000001</v>
      </c>
      <c r="G75" s="80">
        <v>-8.0000000000000002E-3</v>
      </c>
      <c r="H75">
        <v>4.4999999999999998E-2</v>
      </c>
    </row>
    <row r="76" spans="1:8" x14ac:dyDescent="0.45">
      <c r="A76" s="80">
        <v>1</v>
      </c>
      <c r="B76" s="80" t="s">
        <v>457</v>
      </c>
      <c r="C76" s="80">
        <v>0.66400000000000003</v>
      </c>
      <c r="D76" s="80">
        <v>0.27900000000000003</v>
      </c>
      <c r="E76" s="80">
        <v>2.3769999999999998</v>
      </c>
      <c r="F76" s="80">
        <v>2.1000000000000001E-2</v>
      </c>
      <c r="G76" s="80">
        <v>0.105</v>
      </c>
      <c r="H76">
        <v>1.2230000000000001</v>
      </c>
    </row>
    <row r="78" spans="1:8" x14ac:dyDescent="0.45">
      <c r="A78" s="76" t="s">
        <v>491</v>
      </c>
    </row>
    <row r="79" spans="1:8" x14ac:dyDescent="0.45">
      <c r="A79" s="80"/>
      <c r="B79" s="80" t="s">
        <v>424</v>
      </c>
      <c r="C79" s="80" t="s">
        <v>465</v>
      </c>
      <c r="D79" s="80" t="s">
        <v>466</v>
      </c>
      <c r="E79" s="80" t="s">
        <v>425</v>
      </c>
      <c r="F79" t="s">
        <v>467</v>
      </c>
    </row>
    <row r="80" spans="1:8" x14ac:dyDescent="0.45">
      <c r="A80" s="80" t="s">
        <v>468</v>
      </c>
      <c r="B80" s="80">
        <v>1</v>
      </c>
      <c r="C80" s="80">
        <v>5.8000000000000003E-2</v>
      </c>
      <c r="D80" s="80">
        <v>5.8000000000000003E-2</v>
      </c>
      <c r="E80" s="80">
        <v>5.6509999999999998</v>
      </c>
      <c r="F80">
        <v>2.1000000000000001E-2</v>
      </c>
    </row>
    <row r="81" spans="1:10" x14ac:dyDescent="0.45">
      <c r="A81" s="80" t="s">
        <v>469</v>
      </c>
      <c r="B81" s="80">
        <v>58</v>
      </c>
      <c r="C81" s="80">
        <v>0.59099999999999997</v>
      </c>
      <c r="D81" s="80">
        <v>0.01</v>
      </c>
      <c r="E81" s="80"/>
    </row>
    <row r="82" spans="1:10" x14ac:dyDescent="0.45">
      <c r="A82" s="80" t="s">
        <v>470</v>
      </c>
      <c r="B82" s="80">
        <v>59</v>
      </c>
      <c r="C82" s="80">
        <v>0.64800000000000002</v>
      </c>
      <c r="D82" s="80"/>
      <c r="E82" s="80"/>
    </row>
    <row r="85" spans="1:10" x14ac:dyDescent="0.45">
      <c r="A85" s="81" t="s">
        <v>511</v>
      </c>
      <c r="B85" s="80"/>
      <c r="C85" s="80"/>
      <c r="D85" s="80"/>
      <c r="E85" s="80"/>
      <c r="F85" s="80"/>
      <c r="G85" s="80"/>
      <c r="H85" s="80"/>
      <c r="I85" s="80"/>
      <c r="J85" s="80"/>
    </row>
    <row r="86" spans="1:10" x14ac:dyDescent="0.45">
      <c r="A86" s="76" t="s">
        <v>499</v>
      </c>
    </row>
    <row r="87" spans="1:10" x14ac:dyDescent="0.45">
      <c r="A87" s="80"/>
      <c r="B87" s="80" t="s">
        <v>500</v>
      </c>
      <c r="C87" t="s">
        <v>479</v>
      </c>
    </row>
    <row r="88" spans="1:10" x14ac:dyDescent="0.45">
      <c r="A88" s="80">
        <v>0</v>
      </c>
      <c r="B88" s="80" t="s">
        <v>501</v>
      </c>
      <c r="C88">
        <v>2.2509999999999999</v>
      </c>
    </row>
    <row r="89" spans="1:10" x14ac:dyDescent="0.45">
      <c r="A89" s="80">
        <v>1</v>
      </c>
      <c r="B89" s="80" t="s">
        <v>502</v>
      </c>
      <c r="C89">
        <v>0.02</v>
      </c>
    </row>
    <row r="90" spans="1:10" x14ac:dyDescent="0.45">
      <c r="A90" s="80">
        <v>2</v>
      </c>
      <c r="B90" s="80" t="s">
        <v>503</v>
      </c>
      <c r="C90" t="s">
        <v>504</v>
      </c>
    </row>
    <row r="92" spans="1:10" x14ac:dyDescent="0.45">
      <c r="A92" s="76" t="s">
        <v>505</v>
      </c>
    </row>
    <row r="93" spans="1:10" x14ac:dyDescent="0.45">
      <c r="A93" s="80"/>
      <c r="B93" s="80" t="s">
        <v>478</v>
      </c>
      <c r="C93" t="s">
        <v>479</v>
      </c>
    </row>
    <row r="94" spans="1:10" x14ac:dyDescent="0.45">
      <c r="A94" s="80">
        <v>0</v>
      </c>
      <c r="B94" s="80" t="s">
        <v>480</v>
      </c>
      <c r="C94">
        <v>0.38400000000000001</v>
      </c>
    </row>
    <row r="95" spans="1:10" x14ac:dyDescent="0.45">
      <c r="A95" s="80">
        <v>1</v>
      </c>
      <c r="B95" s="80" t="s">
        <v>481</v>
      </c>
      <c r="C95">
        <v>0.35099999999999998</v>
      </c>
    </row>
    <row r="96" spans="1:10" x14ac:dyDescent="0.45">
      <c r="A96" s="80">
        <v>2</v>
      </c>
      <c r="B96" s="80" t="s">
        <v>482</v>
      </c>
      <c r="C96">
        <v>11.624000000000001</v>
      </c>
    </row>
    <row r="97" spans="1:8" x14ac:dyDescent="0.45">
      <c r="A97" s="80">
        <v>3</v>
      </c>
      <c r="B97" s="80" t="s">
        <v>483</v>
      </c>
      <c r="C97">
        <v>0</v>
      </c>
    </row>
    <row r="98" spans="1:8" x14ac:dyDescent="0.45">
      <c r="A98" s="80">
        <v>4</v>
      </c>
      <c r="B98" s="80" t="s">
        <v>484</v>
      </c>
      <c r="C98">
        <v>-122.435</v>
      </c>
    </row>
    <row r="99" spans="1:8" x14ac:dyDescent="0.45">
      <c r="A99" s="80">
        <v>5</v>
      </c>
      <c r="B99" s="80" t="s">
        <v>485</v>
      </c>
      <c r="C99">
        <v>-114.05800000000001</v>
      </c>
    </row>
    <row r="100" spans="1:8" x14ac:dyDescent="0.45">
      <c r="A100" s="80">
        <v>6</v>
      </c>
      <c r="B100" s="80" t="s">
        <v>486</v>
      </c>
      <c r="C100">
        <v>60</v>
      </c>
    </row>
    <row r="102" spans="1:8" x14ac:dyDescent="0.45">
      <c r="A102" s="76" t="s">
        <v>506</v>
      </c>
    </row>
    <row r="103" spans="1:8" x14ac:dyDescent="0.45">
      <c r="A103" s="80"/>
      <c r="B103" s="80" t="s">
        <v>487</v>
      </c>
      <c r="C103" s="80" t="s">
        <v>507</v>
      </c>
      <c r="D103" s="80" t="s">
        <v>508</v>
      </c>
      <c r="E103" s="80" t="s">
        <v>509</v>
      </c>
      <c r="F103" s="80" t="s">
        <v>488</v>
      </c>
      <c r="G103" s="80" t="s">
        <v>489</v>
      </c>
      <c r="H103" t="s">
        <v>490</v>
      </c>
    </row>
    <row r="104" spans="1:8" x14ac:dyDescent="0.45">
      <c r="A104" s="80">
        <v>0</v>
      </c>
      <c r="B104" s="80" t="s">
        <v>463</v>
      </c>
      <c r="C104" s="80">
        <v>7.0000000000000001E-3</v>
      </c>
      <c r="D104" s="80">
        <v>1.2E-2</v>
      </c>
      <c r="E104" s="80">
        <v>0.58899999999999997</v>
      </c>
      <c r="F104" s="80">
        <v>0.55800000000000005</v>
      </c>
      <c r="G104" s="80">
        <v>-1.6E-2</v>
      </c>
      <c r="H104">
        <v>0.03</v>
      </c>
    </row>
    <row r="105" spans="1:8" x14ac:dyDescent="0.45">
      <c r="A105" s="80">
        <v>1</v>
      </c>
      <c r="B105" s="80" t="s">
        <v>457</v>
      </c>
      <c r="C105" s="80">
        <v>0.86799999999999999</v>
      </c>
      <c r="D105" s="80">
        <v>0.248</v>
      </c>
      <c r="E105" s="80">
        <v>3.4929999999999999</v>
      </c>
      <c r="F105" s="80">
        <v>1E-3</v>
      </c>
      <c r="G105" s="80">
        <v>0.37</v>
      </c>
      <c r="H105">
        <v>1.3660000000000001</v>
      </c>
    </row>
    <row r="106" spans="1:8" x14ac:dyDescent="0.45">
      <c r="A106" s="80">
        <v>2</v>
      </c>
      <c r="B106" s="80" t="s">
        <v>458</v>
      </c>
      <c r="C106" s="80">
        <v>-8.7999999999999995E-2</v>
      </c>
      <c r="D106" s="80">
        <v>0.36399999999999999</v>
      </c>
      <c r="E106" s="80">
        <v>-0.24299999999999999</v>
      </c>
      <c r="F106" s="80">
        <v>0.80900000000000005</v>
      </c>
      <c r="G106" s="80">
        <v>-0.81699999999999995</v>
      </c>
      <c r="H106">
        <v>0.64</v>
      </c>
    </row>
    <row r="107" spans="1:8" x14ac:dyDescent="0.45">
      <c r="A107" s="80">
        <v>3</v>
      </c>
      <c r="B107" s="80" t="s">
        <v>459</v>
      </c>
      <c r="C107" s="80">
        <v>1.3640000000000001</v>
      </c>
      <c r="D107" s="80">
        <v>0.26400000000000001</v>
      </c>
      <c r="E107" s="80">
        <v>5.1749999999999998</v>
      </c>
      <c r="F107" s="80">
        <v>0</v>
      </c>
      <c r="G107" s="80">
        <v>0.83599999999999997</v>
      </c>
      <c r="H107">
        <v>1.8919999999999999</v>
      </c>
    </row>
    <row r="109" spans="1:8" x14ac:dyDescent="0.45">
      <c r="A109" s="76" t="s">
        <v>510</v>
      </c>
    </row>
    <row r="110" spans="1:8" x14ac:dyDescent="0.45">
      <c r="A110" s="82"/>
      <c r="B110" s="82" t="s">
        <v>487</v>
      </c>
      <c r="C110" s="82" t="s">
        <v>507</v>
      </c>
      <c r="D110" s="82" t="s">
        <v>508</v>
      </c>
      <c r="E110" s="82" t="s">
        <v>509</v>
      </c>
      <c r="F110" s="82" t="s">
        <v>488</v>
      </c>
      <c r="G110" s="82" t="s">
        <v>489</v>
      </c>
      <c r="H110" t="s">
        <v>490</v>
      </c>
    </row>
    <row r="111" spans="1:8" x14ac:dyDescent="0.45">
      <c r="A111" s="82">
        <v>0</v>
      </c>
      <c r="B111" s="82" t="s">
        <v>463</v>
      </c>
      <c r="C111" s="82">
        <v>7.0000000000000001E-3</v>
      </c>
      <c r="D111" s="82">
        <v>0.01</v>
      </c>
      <c r="E111" s="82">
        <v>0.68300000000000005</v>
      </c>
      <c r="F111" s="82">
        <v>0.498</v>
      </c>
      <c r="G111" s="82">
        <v>-1.2999999999999999E-2</v>
      </c>
      <c r="H111">
        <v>2.7E-2</v>
      </c>
    </row>
    <row r="112" spans="1:8" x14ac:dyDescent="0.45">
      <c r="A112" s="82">
        <v>1</v>
      </c>
      <c r="B112" s="82" t="s">
        <v>457</v>
      </c>
      <c r="C112" s="82">
        <v>0.86799999999999999</v>
      </c>
      <c r="D112" s="82">
        <v>0.30299999999999999</v>
      </c>
      <c r="E112" s="82">
        <v>2.8650000000000002</v>
      </c>
      <c r="F112" s="82">
        <v>6.0000000000000001E-3</v>
      </c>
      <c r="G112" s="82">
        <v>0.26100000000000001</v>
      </c>
      <c r="H112">
        <v>1.4750000000000001</v>
      </c>
    </row>
    <row r="113" spans="1:10" x14ac:dyDescent="0.45">
      <c r="A113" s="82">
        <v>2</v>
      </c>
      <c r="B113" s="82" t="s">
        <v>458</v>
      </c>
      <c r="C113" s="82">
        <v>-8.7999999999999995E-2</v>
      </c>
      <c r="D113" s="82">
        <v>0.33800000000000002</v>
      </c>
      <c r="E113" s="82">
        <v>-0.26100000000000001</v>
      </c>
      <c r="F113" s="82">
        <v>0.79500000000000004</v>
      </c>
      <c r="G113" s="82">
        <v>-0.76600000000000001</v>
      </c>
      <c r="H113">
        <v>0.59</v>
      </c>
    </row>
    <row r="114" spans="1:10" x14ac:dyDescent="0.45">
      <c r="A114" s="82">
        <v>3</v>
      </c>
      <c r="B114" s="82" t="s">
        <v>459</v>
      </c>
      <c r="C114" s="82">
        <v>1.3640000000000001</v>
      </c>
      <c r="D114" s="82">
        <v>0.26200000000000001</v>
      </c>
      <c r="E114" s="82">
        <v>5.21</v>
      </c>
      <c r="F114" s="82">
        <v>0</v>
      </c>
      <c r="G114" s="82">
        <v>0.83899999999999997</v>
      </c>
      <c r="H114">
        <v>1.8879999999999999</v>
      </c>
    </row>
    <row r="116" spans="1:10" x14ac:dyDescent="0.45">
      <c r="A116" s="76" t="s">
        <v>491</v>
      </c>
    </row>
    <row r="117" spans="1:10" x14ac:dyDescent="0.45">
      <c r="A117" s="80"/>
      <c r="B117" s="80" t="s">
        <v>424</v>
      </c>
      <c r="C117" s="80" t="s">
        <v>465</v>
      </c>
      <c r="D117" s="80" t="s">
        <v>466</v>
      </c>
      <c r="E117" s="80" t="s">
        <v>425</v>
      </c>
      <c r="F117" t="s">
        <v>467</v>
      </c>
    </row>
    <row r="118" spans="1:10" x14ac:dyDescent="0.45">
      <c r="A118" s="80" t="s">
        <v>468</v>
      </c>
      <c r="B118" s="80">
        <v>3</v>
      </c>
      <c r="C118" s="80">
        <v>0.249</v>
      </c>
      <c r="D118" s="80">
        <v>8.3000000000000004E-2</v>
      </c>
      <c r="E118" s="80">
        <v>11.624000000000001</v>
      </c>
      <c r="F118">
        <v>0</v>
      </c>
    </row>
    <row r="119" spans="1:10" x14ac:dyDescent="0.45">
      <c r="A119" s="80" t="s">
        <v>469</v>
      </c>
      <c r="B119" s="80">
        <v>56</v>
      </c>
      <c r="C119" s="80">
        <v>0.4</v>
      </c>
      <c r="D119" s="80">
        <v>7.0000000000000001E-3</v>
      </c>
      <c r="E119" s="80"/>
    </row>
    <row r="120" spans="1:10" x14ac:dyDescent="0.45">
      <c r="A120" s="80" t="s">
        <v>470</v>
      </c>
      <c r="B120" s="80">
        <v>59</v>
      </c>
      <c r="C120" s="80">
        <v>0.64800000000000002</v>
      </c>
      <c r="D120" s="80"/>
      <c r="E120" s="80"/>
    </row>
    <row r="123" spans="1:10" x14ac:dyDescent="0.45">
      <c r="A123" s="81" t="s">
        <v>513</v>
      </c>
      <c r="B123" s="80"/>
      <c r="C123" s="80"/>
      <c r="D123" s="80"/>
      <c r="E123" s="80"/>
      <c r="F123" s="80"/>
      <c r="G123" s="80"/>
      <c r="H123" s="80"/>
      <c r="I123" s="80"/>
      <c r="J123" s="80"/>
    </row>
    <row r="124" spans="1:10" x14ac:dyDescent="0.45">
      <c r="A124" s="76" t="s">
        <v>499</v>
      </c>
    </row>
    <row r="125" spans="1:10" x14ac:dyDescent="0.45">
      <c r="A125" s="80"/>
      <c r="B125" s="80" t="s">
        <v>500</v>
      </c>
      <c r="C125" t="s">
        <v>479</v>
      </c>
    </row>
    <row r="126" spans="1:10" x14ac:dyDescent="0.45">
      <c r="A126" s="80">
        <v>0</v>
      </c>
      <c r="B126" s="80" t="s">
        <v>501</v>
      </c>
      <c r="C126">
        <v>2.294</v>
      </c>
    </row>
    <row r="127" spans="1:10" x14ac:dyDescent="0.45">
      <c r="A127" s="80">
        <v>1</v>
      </c>
      <c r="B127" s="80" t="s">
        <v>502</v>
      </c>
      <c r="C127">
        <v>1E-3</v>
      </c>
    </row>
    <row r="128" spans="1:10" x14ac:dyDescent="0.45">
      <c r="A128" s="80">
        <v>2</v>
      </c>
      <c r="B128" s="80" t="s">
        <v>503</v>
      </c>
      <c r="C128" t="s">
        <v>504</v>
      </c>
    </row>
    <row r="130" spans="1:8" x14ac:dyDescent="0.45">
      <c r="A130" s="76" t="s">
        <v>505</v>
      </c>
    </row>
    <row r="131" spans="1:8" x14ac:dyDescent="0.45">
      <c r="A131" s="80"/>
      <c r="B131" s="80" t="s">
        <v>478</v>
      </c>
      <c r="C131" t="s">
        <v>479</v>
      </c>
    </row>
    <row r="132" spans="1:8" x14ac:dyDescent="0.45">
      <c r="A132" s="80">
        <v>0</v>
      </c>
      <c r="B132" s="80" t="s">
        <v>480</v>
      </c>
      <c r="C132">
        <v>0.39</v>
      </c>
    </row>
    <row r="133" spans="1:8" x14ac:dyDescent="0.45">
      <c r="A133" s="80">
        <v>1</v>
      </c>
      <c r="B133" s="80" t="s">
        <v>481</v>
      </c>
      <c r="C133">
        <v>0.34599999999999997</v>
      </c>
    </row>
    <row r="134" spans="1:8" x14ac:dyDescent="0.45">
      <c r="A134" s="80">
        <v>2</v>
      </c>
      <c r="B134" s="80" t="s">
        <v>482</v>
      </c>
      <c r="C134">
        <v>8.8049999999999997</v>
      </c>
    </row>
    <row r="135" spans="1:8" x14ac:dyDescent="0.45">
      <c r="A135" s="80">
        <v>3</v>
      </c>
      <c r="B135" s="80" t="s">
        <v>483</v>
      </c>
      <c r="C135">
        <v>0</v>
      </c>
    </row>
    <row r="136" spans="1:8" x14ac:dyDescent="0.45">
      <c r="A136" s="80">
        <v>4</v>
      </c>
      <c r="B136" s="80" t="s">
        <v>484</v>
      </c>
      <c r="C136">
        <v>-121.084</v>
      </c>
    </row>
    <row r="137" spans="1:8" x14ac:dyDescent="0.45">
      <c r="A137" s="80">
        <v>5</v>
      </c>
      <c r="B137" s="80" t="s">
        <v>485</v>
      </c>
      <c r="C137">
        <v>-110.61199999999999</v>
      </c>
    </row>
    <row r="138" spans="1:8" x14ac:dyDescent="0.45">
      <c r="A138" s="80">
        <v>6</v>
      </c>
      <c r="B138" s="80" t="s">
        <v>486</v>
      </c>
      <c r="C138">
        <v>60</v>
      </c>
    </row>
    <row r="140" spans="1:8" x14ac:dyDescent="0.45">
      <c r="A140" s="76" t="s">
        <v>506</v>
      </c>
    </row>
    <row r="141" spans="1:8" x14ac:dyDescent="0.45">
      <c r="A141" s="80"/>
      <c r="B141" s="80" t="s">
        <v>487</v>
      </c>
      <c r="C141" s="80" t="s">
        <v>507</v>
      </c>
      <c r="D141" s="80" t="s">
        <v>508</v>
      </c>
      <c r="E141" s="80" t="s">
        <v>509</v>
      </c>
      <c r="F141" s="80" t="s">
        <v>488</v>
      </c>
      <c r="G141" s="80" t="s">
        <v>489</v>
      </c>
      <c r="H141" t="s">
        <v>490</v>
      </c>
    </row>
    <row r="142" spans="1:8" x14ac:dyDescent="0.45">
      <c r="A142" s="80">
        <v>0</v>
      </c>
      <c r="B142" s="80" t="s">
        <v>463</v>
      </c>
      <c r="C142" s="80">
        <v>2E-3</v>
      </c>
      <c r="D142" s="80">
        <v>1.2999999999999999E-2</v>
      </c>
      <c r="E142" s="80">
        <v>0.17</v>
      </c>
      <c r="F142" s="80">
        <v>0.86599999999999999</v>
      </c>
      <c r="G142" s="80">
        <v>-2.4E-2</v>
      </c>
      <c r="H142">
        <v>2.8000000000000001E-2</v>
      </c>
    </row>
    <row r="143" spans="1:8" x14ac:dyDescent="0.45">
      <c r="A143" s="80">
        <v>1</v>
      </c>
      <c r="B143" s="80" t="s">
        <v>457</v>
      </c>
      <c r="C143" s="80">
        <v>0.83799999999999997</v>
      </c>
      <c r="D143" s="80">
        <v>0.252</v>
      </c>
      <c r="E143" s="80">
        <v>3.323</v>
      </c>
      <c r="F143" s="80">
        <v>2E-3</v>
      </c>
      <c r="G143" s="80">
        <v>0.33300000000000002</v>
      </c>
      <c r="H143">
        <v>1.3440000000000001</v>
      </c>
    </row>
    <row r="144" spans="1:8" x14ac:dyDescent="0.45">
      <c r="A144" s="80">
        <v>2</v>
      </c>
      <c r="B144" s="80" t="s">
        <v>458</v>
      </c>
      <c r="C144" s="80">
        <v>-0.124</v>
      </c>
      <c r="D144" s="80">
        <v>0.36799999999999999</v>
      </c>
      <c r="E144" s="80">
        <v>-0.33700000000000002</v>
      </c>
      <c r="F144" s="80">
        <v>0.73699999999999999</v>
      </c>
      <c r="G144" s="80">
        <v>-0.86099999999999999</v>
      </c>
      <c r="H144">
        <v>0.61299999999999999</v>
      </c>
    </row>
    <row r="145" spans="1:8" x14ac:dyDescent="0.45">
      <c r="A145" s="80">
        <v>3</v>
      </c>
      <c r="B145" s="80" t="s">
        <v>459</v>
      </c>
      <c r="C145" s="80">
        <v>1.329</v>
      </c>
      <c r="D145" s="80">
        <v>0.26800000000000002</v>
      </c>
      <c r="E145" s="80">
        <v>4.9569999999999999</v>
      </c>
      <c r="F145" s="80">
        <v>0</v>
      </c>
      <c r="G145" s="80">
        <v>0.79200000000000004</v>
      </c>
      <c r="H145">
        <v>1.867</v>
      </c>
    </row>
    <row r="146" spans="1:8" x14ac:dyDescent="0.45">
      <c r="A146" s="80">
        <v>4</v>
      </c>
      <c r="B146" s="80" t="s">
        <v>414</v>
      </c>
      <c r="C146" s="80">
        <v>0.02</v>
      </c>
      <c r="D146" s="80">
        <v>2.5999999999999999E-2</v>
      </c>
      <c r="E146" s="80">
        <v>0.77300000000000002</v>
      </c>
      <c r="F146" s="80">
        <v>0.443</v>
      </c>
      <c r="G146" s="80">
        <v>-3.2000000000000001E-2</v>
      </c>
      <c r="H146">
        <v>7.2999999999999995E-2</v>
      </c>
    </row>
    <row r="148" spans="1:8" x14ac:dyDescent="0.45">
      <c r="A148" s="76" t="s">
        <v>510</v>
      </c>
    </row>
    <row r="149" spans="1:8" x14ac:dyDescent="0.45">
      <c r="A149" s="82"/>
      <c r="B149" s="82" t="s">
        <v>487</v>
      </c>
      <c r="C149" s="82" t="s">
        <v>507</v>
      </c>
      <c r="D149" s="82" t="s">
        <v>508</v>
      </c>
      <c r="E149" s="82" t="s">
        <v>509</v>
      </c>
      <c r="F149" s="82" t="s">
        <v>488</v>
      </c>
      <c r="G149" s="82" t="s">
        <v>489</v>
      </c>
      <c r="H149" t="s">
        <v>490</v>
      </c>
    </row>
    <row r="150" spans="1:8" x14ac:dyDescent="0.45">
      <c r="A150" s="82">
        <v>0</v>
      </c>
      <c r="B150" s="82" t="s">
        <v>463</v>
      </c>
      <c r="C150" s="82">
        <v>2E-3</v>
      </c>
      <c r="D150" s="82">
        <v>0.01</v>
      </c>
      <c r="E150" s="82">
        <v>0.21299999999999999</v>
      </c>
      <c r="F150" s="82">
        <v>0.83199999999999996</v>
      </c>
      <c r="G150" s="82">
        <v>-1.9E-2</v>
      </c>
      <c r="H150">
        <v>2.3E-2</v>
      </c>
    </row>
    <row r="151" spans="1:8" x14ac:dyDescent="0.45">
      <c r="A151" s="82">
        <v>1</v>
      </c>
      <c r="B151" s="82" t="s">
        <v>457</v>
      </c>
      <c r="C151" s="82">
        <v>0.83799999999999997</v>
      </c>
      <c r="D151" s="82">
        <v>0.30299999999999999</v>
      </c>
      <c r="E151" s="82">
        <v>2.7639999999999998</v>
      </c>
      <c r="F151" s="82">
        <v>8.0000000000000002E-3</v>
      </c>
      <c r="G151" s="82">
        <v>0.23100000000000001</v>
      </c>
      <c r="H151">
        <v>1.446</v>
      </c>
    </row>
    <row r="152" spans="1:8" x14ac:dyDescent="0.45">
      <c r="A152" s="82">
        <v>2</v>
      </c>
      <c r="B152" s="82" t="s">
        <v>458</v>
      </c>
      <c r="C152" s="82">
        <v>-0.124</v>
      </c>
      <c r="D152" s="82">
        <v>0.34300000000000003</v>
      </c>
      <c r="E152" s="82">
        <v>-0.36099999999999999</v>
      </c>
      <c r="F152" s="82">
        <v>0.71899999999999997</v>
      </c>
      <c r="G152" s="82">
        <v>-0.81200000000000006</v>
      </c>
      <c r="H152">
        <v>0.56399999999999995</v>
      </c>
    </row>
    <row r="153" spans="1:8" x14ac:dyDescent="0.45">
      <c r="A153" s="82">
        <v>3</v>
      </c>
      <c r="B153" s="82" t="s">
        <v>459</v>
      </c>
      <c r="C153" s="82">
        <v>1.329</v>
      </c>
      <c r="D153" s="82">
        <v>0.26100000000000001</v>
      </c>
      <c r="E153" s="82">
        <v>5.0960000000000001</v>
      </c>
      <c r="F153" s="82">
        <v>0</v>
      </c>
      <c r="G153" s="82">
        <v>0.80700000000000005</v>
      </c>
      <c r="H153">
        <v>1.8520000000000001</v>
      </c>
    </row>
    <row r="154" spans="1:8" x14ac:dyDescent="0.45">
      <c r="A154" s="82">
        <v>4</v>
      </c>
      <c r="B154" s="82" t="s">
        <v>414</v>
      </c>
      <c r="C154" s="82">
        <v>0.02</v>
      </c>
      <c r="D154" s="82">
        <v>2.8000000000000001E-2</v>
      </c>
      <c r="E154" s="82">
        <v>0.73499999999999999</v>
      </c>
      <c r="F154" s="82">
        <v>0.46500000000000002</v>
      </c>
      <c r="G154" s="82">
        <v>-3.5000000000000003E-2</v>
      </c>
      <c r="H154">
        <v>7.5999999999999998E-2</v>
      </c>
    </row>
    <row r="156" spans="1:8" x14ac:dyDescent="0.45">
      <c r="A156" s="76" t="s">
        <v>491</v>
      </c>
    </row>
    <row r="157" spans="1:8" x14ac:dyDescent="0.45">
      <c r="A157" s="80"/>
      <c r="B157" s="80" t="s">
        <v>424</v>
      </c>
      <c r="C157" s="80" t="s">
        <v>465</v>
      </c>
      <c r="D157" s="80" t="s">
        <v>466</v>
      </c>
      <c r="E157" s="80" t="s">
        <v>425</v>
      </c>
      <c r="F157" t="s">
        <v>467</v>
      </c>
    </row>
    <row r="158" spans="1:8" x14ac:dyDescent="0.45">
      <c r="A158" s="80" t="s">
        <v>468</v>
      </c>
      <c r="B158" s="80">
        <v>4</v>
      </c>
      <c r="C158" s="80">
        <v>0.253</v>
      </c>
      <c r="D158" s="80">
        <v>6.3E-2</v>
      </c>
      <c r="E158" s="80">
        <v>8.8049999999999997</v>
      </c>
      <c r="F158">
        <v>0</v>
      </c>
    </row>
    <row r="159" spans="1:8" x14ac:dyDescent="0.45">
      <c r="A159" s="80" t="s">
        <v>469</v>
      </c>
      <c r="B159" s="80">
        <v>55</v>
      </c>
      <c r="C159" s="80">
        <v>0.39500000000000002</v>
      </c>
      <c r="D159" s="80">
        <v>7.0000000000000001E-3</v>
      </c>
      <c r="E159" s="80"/>
    </row>
    <row r="160" spans="1:8" x14ac:dyDescent="0.45">
      <c r="A160" s="80" t="s">
        <v>470</v>
      </c>
      <c r="B160" s="80">
        <v>59</v>
      </c>
      <c r="C160" s="80">
        <v>0.64800000000000002</v>
      </c>
      <c r="D160" s="80"/>
      <c r="E160" s="80"/>
    </row>
    <row r="165" spans="1:10" ht="17.25" x14ac:dyDescent="0.55000000000000004">
      <c r="A165" s="83" t="s">
        <v>514</v>
      </c>
      <c r="B165" s="84"/>
      <c r="C165" s="84"/>
      <c r="D165" s="84"/>
      <c r="E165" s="84"/>
      <c r="F165" s="84"/>
      <c r="G165" s="84"/>
      <c r="H165" s="84"/>
      <c r="I165" s="84"/>
      <c r="J165" s="84"/>
    </row>
    <row r="167" spans="1:10" x14ac:dyDescent="0.45">
      <c r="A167" s="85" t="s">
        <v>498</v>
      </c>
      <c r="B167" s="84"/>
      <c r="C167" s="84"/>
      <c r="D167" s="84"/>
      <c r="E167" s="84"/>
      <c r="F167" s="84"/>
      <c r="G167" s="84"/>
      <c r="H167" s="84"/>
      <c r="I167" s="84"/>
      <c r="J167" s="84"/>
    </row>
    <row r="168" spans="1:10" x14ac:dyDescent="0.45">
      <c r="A168" s="76" t="s">
        <v>499</v>
      </c>
    </row>
    <row r="169" spans="1:10" x14ac:dyDescent="0.45">
      <c r="A169" s="84"/>
      <c r="B169" s="84" t="s">
        <v>500</v>
      </c>
      <c r="C169" t="s">
        <v>479</v>
      </c>
    </row>
    <row r="170" spans="1:10" x14ac:dyDescent="0.45">
      <c r="A170" s="84">
        <v>0</v>
      </c>
      <c r="B170" s="84" t="s">
        <v>501</v>
      </c>
      <c r="C170">
        <v>1.9670000000000001</v>
      </c>
    </row>
    <row r="171" spans="1:10" x14ac:dyDescent="0.45">
      <c r="A171" s="84">
        <v>1</v>
      </c>
      <c r="B171" s="84" t="s">
        <v>502</v>
      </c>
      <c r="C171">
        <v>0.755</v>
      </c>
    </row>
    <row r="172" spans="1:10" x14ac:dyDescent="0.45">
      <c r="A172" s="84">
        <v>2</v>
      </c>
      <c r="B172" s="84" t="s">
        <v>503</v>
      </c>
      <c r="C172" t="s">
        <v>512</v>
      </c>
    </row>
    <row r="174" spans="1:10" x14ac:dyDescent="0.45">
      <c r="A174" s="76" t="s">
        <v>505</v>
      </c>
    </row>
    <row r="175" spans="1:10" x14ac:dyDescent="0.45">
      <c r="A175" s="84"/>
      <c r="B175" s="84" t="s">
        <v>478</v>
      </c>
      <c r="C175" t="s">
        <v>479</v>
      </c>
    </row>
    <row r="176" spans="1:10" x14ac:dyDescent="0.45">
      <c r="A176" s="84">
        <v>0</v>
      </c>
      <c r="B176" s="84" t="s">
        <v>480</v>
      </c>
      <c r="C176">
        <v>0.185</v>
      </c>
    </row>
    <row r="177" spans="1:8" x14ac:dyDescent="0.45">
      <c r="A177" s="84">
        <v>1</v>
      </c>
      <c r="B177" s="84" t="s">
        <v>481</v>
      </c>
      <c r="C177">
        <v>0.17100000000000001</v>
      </c>
    </row>
    <row r="178" spans="1:8" x14ac:dyDescent="0.45">
      <c r="A178" s="84">
        <v>2</v>
      </c>
      <c r="B178" s="84" t="s">
        <v>482</v>
      </c>
      <c r="C178">
        <v>13.163</v>
      </c>
    </row>
    <row r="179" spans="1:8" x14ac:dyDescent="0.45">
      <c r="A179" s="84">
        <v>3</v>
      </c>
      <c r="B179" s="84" t="s">
        <v>483</v>
      </c>
      <c r="C179">
        <v>1E-3</v>
      </c>
    </row>
    <row r="180" spans="1:8" x14ac:dyDescent="0.45">
      <c r="A180" s="84">
        <v>4</v>
      </c>
      <c r="B180" s="84" t="s">
        <v>484</v>
      </c>
      <c r="C180">
        <v>-139.10599999999999</v>
      </c>
    </row>
    <row r="181" spans="1:8" x14ac:dyDescent="0.45">
      <c r="A181" s="84">
        <v>5</v>
      </c>
      <c r="B181" s="84" t="s">
        <v>485</v>
      </c>
      <c r="C181">
        <v>-134.917</v>
      </c>
    </row>
    <row r="182" spans="1:8" x14ac:dyDescent="0.45">
      <c r="A182" s="84">
        <v>6</v>
      </c>
      <c r="B182" s="84" t="s">
        <v>486</v>
      </c>
      <c r="C182">
        <v>60</v>
      </c>
    </row>
    <row r="184" spans="1:8" x14ac:dyDescent="0.45">
      <c r="A184" s="76" t="s">
        <v>506</v>
      </c>
    </row>
    <row r="185" spans="1:8" x14ac:dyDescent="0.45">
      <c r="A185" s="84"/>
      <c r="B185" s="84" t="s">
        <v>487</v>
      </c>
      <c r="C185" s="84" t="s">
        <v>507</v>
      </c>
      <c r="D185" s="84" t="s">
        <v>508</v>
      </c>
      <c r="E185" s="84" t="s">
        <v>509</v>
      </c>
      <c r="F185" s="84" t="s">
        <v>488</v>
      </c>
      <c r="G185" s="84" t="s">
        <v>489</v>
      </c>
      <c r="H185" t="s">
        <v>490</v>
      </c>
    </row>
    <row r="186" spans="1:8" x14ac:dyDescent="0.45">
      <c r="A186" s="84">
        <v>0</v>
      </c>
      <c r="B186" s="84" t="s">
        <v>463</v>
      </c>
      <c r="C186" s="84">
        <v>1.2999999999999999E-2</v>
      </c>
      <c r="D186" s="84">
        <v>0.01</v>
      </c>
      <c r="E186" s="84">
        <v>1.36</v>
      </c>
      <c r="F186" s="84">
        <v>0.17899999999999999</v>
      </c>
      <c r="G186" s="84">
        <v>-6.0000000000000001E-3</v>
      </c>
      <c r="H186">
        <v>3.3000000000000002E-2</v>
      </c>
    </row>
    <row r="187" spans="1:8" x14ac:dyDescent="0.45">
      <c r="A187" s="84">
        <v>1</v>
      </c>
      <c r="B187" s="84" t="s">
        <v>457</v>
      </c>
      <c r="C187" s="84">
        <v>0.75</v>
      </c>
      <c r="D187" s="84">
        <v>0.20699999999999999</v>
      </c>
      <c r="E187" s="84">
        <v>3.6280000000000001</v>
      </c>
      <c r="F187" s="84">
        <v>1E-3</v>
      </c>
      <c r="G187" s="84">
        <v>0.33600000000000002</v>
      </c>
      <c r="H187">
        <v>1.163</v>
      </c>
    </row>
    <row r="189" spans="1:8" x14ac:dyDescent="0.45">
      <c r="A189" s="76" t="s">
        <v>491</v>
      </c>
    </row>
    <row r="190" spans="1:8" x14ac:dyDescent="0.45">
      <c r="A190" s="84"/>
      <c r="B190" s="84" t="s">
        <v>424</v>
      </c>
      <c r="C190" s="84" t="s">
        <v>465</v>
      </c>
      <c r="D190" s="84" t="s">
        <v>466</v>
      </c>
      <c r="E190" s="84" t="s">
        <v>425</v>
      </c>
      <c r="F190" t="s">
        <v>467</v>
      </c>
    </row>
    <row r="191" spans="1:8" x14ac:dyDescent="0.45">
      <c r="A191" s="84" t="s">
        <v>468</v>
      </c>
      <c r="B191" s="84">
        <v>1</v>
      </c>
      <c r="C191" s="84">
        <v>7.2999999999999995E-2</v>
      </c>
      <c r="D191" s="84">
        <v>7.2999999999999995E-2</v>
      </c>
      <c r="E191" s="84">
        <v>13.163</v>
      </c>
      <c r="F191">
        <v>1E-3</v>
      </c>
    </row>
    <row r="192" spans="1:8" x14ac:dyDescent="0.45">
      <c r="A192" s="84" t="s">
        <v>469</v>
      </c>
      <c r="B192" s="84">
        <v>58</v>
      </c>
      <c r="C192" s="84">
        <v>0.32300000000000001</v>
      </c>
      <c r="D192" s="84">
        <v>6.0000000000000001E-3</v>
      </c>
      <c r="E192" s="84"/>
    </row>
    <row r="193" spans="1:10" x14ac:dyDescent="0.45">
      <c r="A193" s="84" t="s">
        <v>470</v>
      </c>
      <c r="B193" s="84">
        <v>59</v>
      </c>
      <c r="C193" s="84">
        <v>0.39700000000000002</v>
      </c>
      <c r="D193" s="84"/>
      <c r="E193" s="84"/>
    </row>
    <row r="196" spans="1:10" x14ac:dyDescent="0.45">
      <c r="A196" s="85" t="s">
        <v>511</v>
      </c>
      <c r="B196" s="84"/>
      <c r="C196" s="84"/>
      <c r="D196" s="84"/>
      <c r="E196" s="84"/>
      <c r="F196" s="84"/>
      <c r="G196" s="84"/>
      <c r="H196" s="84"/>
      <c r="I196" s="84"/>
      <c r="J196" s="84"/>
    </row>
    <row r="197" spans="1:10" x14ac:dyDescent="0.45">
      <c r="A197" s="76" t="s">
        <v>499</v>
      </c>
    </row>
    <row r="198" spans="1:10" x14ac:dyDescent="0.45">
      <c r="A198" s="84"/>
      <c r="B198" s="84" t="s">
        <v>500</v>
      </c>
      <c r="C198" t="s">
        <v>479</v>
      </c>
    </row>
    <row r="199" spans="1:10" x14ac:dyDescent="0.45">
      <c r="A199" s="84">
        <v>0</v>
      </c>
      <c r="B199" s="84" t="s">
        <v>501</v>
      </c>
      <c r="C199">
        <v>2.0760000000000001</v>
      </c>
    </row>
    <row r="200" spans="1:10" x14ac:dyDescent="0.45">
      <c r="A200" s="84">
        <v>1</v>
      </c>
      <c r="B200" s="84" t="s">
        <v>502</v>
      </c>
      <c r="C200">
        <v>3.4000000000000002E-2</v>
      </c>
    </row>
    <row r="201" spans="1:10" x14ac:dyDescent="0.45">
      <c r="A201" s="84">
        <v>2</v>
      </c>
      <c r="B201" s="84" t="s">
        <v>503</v>
      </c>
      <c r="C201" t="s">
        <v>504</v>
      </c>
    </row>
    <row r="203" spans="1:10" x14ac:dyDescent="0.45">
      <c r="A203" s="76" t="s">
        <v>505</v>
      </c>
    </row>
    <row r="204" spans="1:10" x14ac:dyDescent="0.45">
      <c r="A204" s="84"/>
      <c r="B204" s="84" t="s">
        <v>478</v>
      </c>
      <c r="C204" t="s">
        <v>479</v>
      </c>
    </row>
    <row r="205" spans="1:10" x14ac:dyDescent="0.45">
      <c r="A205" s="84">
        <v>0</v>
      </c>
      <c r="B205" s="84" t="s">
        <v>480</v>
      </c>
      <c r="C205">
        <v>0.55400000000000005</v>
      </c>
    </row>
    <row r="206" spans="1:10" x14ac:dyDescent="0.45">
      <c r="A206" s="84">
        <v>1</v>
      </c>
      <c r="B206" s="84" t="s">
        <v>481</v>
      </c>
      <c r="C206">
        <v>0.53</v>
      </c>
    </row>
    <row r="207" spans="1:10" x14ac:dyDescent="0.45">
      <c r="A207" s="84">
        <v>2</v>
      </c>
      <c r="B207" s="84" t="s">
        <v>482</v>
      </c>
      <c r="C207">
        <v>23.17</v>
      </c>
    </row>
    <row r="208" spans="1:10" x14ac:dyDescent="0.45">
      <c r="A208" s="84">
        <v>3</v>
      </c>
      <c r="B208" s="84" t="s">
        <v>483</v>
      </c>
      <c r="C208">
        <v>0</v>
      </c>
    </row>
    <row r="209" spans="1:8" x14ac:dyDescent="0.45">
      <c r="A209" s="84">
        <v>4</v>
      </c>
      <c r="B209" s="84" t="s">
        <v>484</v>
      </c>
      <c r="C209">
        <v>-171.25700000000001</v>
      </c>
    </row>
    <row r="210" spans="1:8" x14ac:dyDescent="0.45">
      <c r="A210" s="84">
        <v>5</v>
      </c>
      <c r="B210" s="84" t="s">
        <v>485</v>
      </c>
      <c r="C210">
        <v>-162.87899999999999</v>
      </c>
    </row>
    <row r="211" spans="1:8" x14ac:dyDescent="0.45">
      <c r="A211" s="84">
        <v>6</v>
      </c>
      <c r="B211" s="84" t="s">
        <v>486</v>
      </c>
      <c r="C211">
        <v>60</v>
      </c>
    </row>
    <row r="213" spans="1:8" x14ac:dyDescent="0.45">
      <c r="A213" s="76" t="s">
        <v>506</v>
      </c>
    </row>
    <row r="214" spans="1:8" x14ac:dyDescent="0.45">
      <c r="A214" s="84"/>
      <c r="B214" s="84" t="s">
        <v>487</v>
      </c>
      <c r="C214" s="84" t="s">
        <v>507</v>
      </c>
      <c r="D214" s="84" t="s">
        <v>508</v>
      </c>
      <c r="E214" s="84" t="s">
        <v>509</v>
      </c>
      <c r="F214" s="84" t="s">
        <v>488</v>
      </c>
      <c r="G214" s="84" t="s">
        <v>489</v>
      </c>
      <c r="H214" t="s">
        <v>490</v>
      </c>
    </row>
    <row r="215" spans="1:8" x14ac:dyDescent="0.45">
      <c r="A215" s="84">
        <v>0</v>
      </c>
      <c r="B215" s="84" t="s">
        <v>463</v>
      </c>
      <c r="C215" s="84">
        <v>3.0000000000000001E-3</v>
      </c>
      <c r="D215" s="84">
        <v>8.0000000000000002E-3</v>
      </c>
      <c r="E215" s="84">
        <v>0.378</v>
      </c>
      <c r="F215" s="84">
        <v>0.70699999999999996</v>
      </c>
      <c r="G215" s="84">
        <v>-1.2E-2</v>
      </c>
      <c r="H215">
        <v>1.7999999999999999E-2</v>
      </c>
    </row>
    <row r="216" spans="1:8" x14ac:dyDescent="0.45">
      <c r="A216" s="84">
        <v>1</v>
      </c>
      <c r="B216" s="84" t="s">
        <v>457</v>
      </c>
      <c r="C216" s="84">
        <v>0.93700000000000006</v>
      </c>
      <c r="D216" s="84">
        <v>0.16500000000000001</v>
      </c>
      <c r="E216" s="84">
        <v>5.6619999999999999</v>
      </c>
      <c r="F216" s="84">
        <v>0</v>
      </c>
      <c r="G216" s="84">
        <v>0.60499999999999998</v>
      </c>
      <c r="H216">
        <v>1.268</v>
      </c>
    </row>
    <row r="217" spans="1:8" x14ac:dyDescent="0.45">
      <c r="A217" s="84">
        <v>2</v>
      </c>
      <c r="B217" s="84" t="s">
        <v>458</v>
      </c>
      <c r="C217" s="84">
        <v>-0.11799999999999999</v>
      </c>
      <c r="D217" s="84">
        <v>0.24199999999999999</v>
      </c>
      <c r="E217" s="84">
        <v>-0.48899999999999999</v>
      </c>
      <c r="F217" s="84">
        <v>0.627</v>
      </c>
      <c r="G217" s="84">
        <v>-0.60299999999999998</v>
      </c>
      <c r="H217">
        <v>0.36699999999999999</v>
      </c>
    </row>
    <row r="218" spans="1:8" x14ac:dyDescent="0.45">
      <c r="A218" s="84">
        <v>3</v>
      </c>
      <c r="B218" s="84" t="s">
        <v>459</v>
      </c>
      <c r="C218" s="84">
        <v>1.194</v>
      </c>
      <c r="D218" s="84">
        <v>0.17499999999999999</v>
      </c>
      <c r="E218" s="84">
        <v>6.8040000000000003</v>
      </c>
      <c r="F218" s="84">
        <v>0</v>
      </c>
      <c r="G218" s="84">
        <v>0.84199999999999997</v>
      </c>
      <c r="H218">
        <v>1.5449999999999999</v>
      </c>
    </row>
    <row r="220" spans="1:8" x14ac:dyDescent="0.45">
      <c r="A220" s="76" t="s">
        <v>510</v>
      </c>
    </row>
    <row r="221" spans="1:8" x14ac:dyDescent="0.45">
      <c r="A221" s="89"/>
      <c r="B221" s="89" t="s">
        <v>487</v>
      </c>
      <c r="C221" s="89" t="s">
        <v>507</v>
      </c>
      <c r="D221" s="89" t="s">
        <v>508</v>
      </c>
      <c r="E221" s="89" t="s">
        <v>509</v>
      </c>
      <c r="F221" s="89" t="s">
        <v>488</v>
      </c>
      <c r="G221" s="89" t="s">
        <v>489</v>
      </c>
      <c r="H221" t="s">
        <v>490</v>
      </c>
    </row>
    <row r="222" spans="1:8" x14ac:dyDescent="0.45">
      <c r="A222" s="89">
        <v>0</v>
      </c>
      <c r="B222" s="89" t="s">
        <v>463</v>
      </c>
      <c r="C222" s="89">
        <v>3.0000000000000001E-3</v>
      </c>
      <c r="D222" s="89">
        <v>6.0000000000000001E-3</v>
      </c>
      <c r="E222" s="89">
        <v>0.47299999999999998</v>
      </c>
      <c r="F222" s="89">
        <v>0.63800000000000001</v>
      </c>
      <c r="G222" s="89">
        <v>-8.9999999999999993E-3</v>
      </c>
      <c r="H222">
        <v>1.4999999999999999E-2</v>
      </c>
    </row>
    <row r="223" spans="1:8" x14ac:dyDescent="0.45">
      <c r="A223" s="89">
        <v>1</v>
      </c>
      <c r="B223" s="89" t="s">
        <v>457</v>
      </c>
      <c r="C223" s="89">
        <v>0.93700000000000006</v>
      </c>
      <c r="D223" s="89">
        <v>0.182</v>
      </c>
      <c r="E223" s="89">
        <v>5.1349999999999998</v>
      </c>
      <c r="F223" s="89">
        <v>0</v>
      </c>
      <c r="G223" s="89">
        <v>0.57099999999999995</v>
      </c>
      <c r="H223">
        <v>1.302</v>
      </c>
    </row>
    <row r="224" spans="1:8" x14ac:dyDescent="0.45">
      <c r="A224" s="89">
        <v>2</v>
      </c>
      <c r="B224" s="89" t="s">
        <v>458</v>
      </c>
      <c r="C224" s="89">
        <v>-0.11799999999999999</v>
      </c>
      <c r="D224" s="89">
        <v>0.23</v>
      </c>
      <c r="E224" s="89">
        <v>-0.51500000000000001</v>
      </c>
      <c r="F224" s="89">
        <v>0.60799999999999998</v>
      </c>
      <c r="G224" s="89">
        <v>-0.57899999999999996</v>
      </c>
      <c r="H224">
        <v>0.34200000000000003</v>
      </c>
    </row>
    <row r="225" spans="1:10" x14ac:dyDescent="0.45">
      <c r="A225" s="89">
        <v>3</v>
      </c>
      <c r="B225" s="89" t="s">
        <v>459</v>
      </c>
      <c r="C225" s="89">
        <v>1.194</v>
      </c>
      <c r="D225" s="89">
        <v>0.20100000000000001</v>
      </c>
      <c r="E225" s="89">
        <v>5.9340000000000002</v>
      </c>
      <c r="F225" s="89">
        <v>0</v>
      </c>
      <c r="G225" s="89">
        <v>0.79100000000000004</v>
      </c>
      <c r="H225">
        <v>1.597</v>
      </c>
    </row>
    <row r="227" spans="1:10" x14ac:dyDescent="0.45">
      <c r="A227" s="76" t="s">
        <v>491</v>
      </c>
    </row>
    <row r="228" spans="1:10" x14ac:dyDescent="0.45">
      <c r="A228" s="84"/>
      <c r="B228" s="84" t="s">
        <v>424</v>
      </c>
      <c r="C228" s="84" t="s">
        <v>465</v>
      </c>
      <c r="D228" s="84" t="s">
        <v>466</v>
      </c>
      <c r="E228" s="84" t="s">
        <v>425</v>
      </c>
      <c r="F228" t="s">
        <v>467</v>
      </c>
    </row>
    <row r="229" spans="1:10" x14ac:dyDescent="0.45">
      <c r="A229" s="84" t="s">
        <v>468</v>
      </c>
      <c r="B229" s="84">
        <v>3</v>
      </c>
      <c r="C229" s="84">
        <v>0.22</v>
      </c>
      <c r="D229" s="84">
        <v>7.2999999999999995E-2</v>
      </c>
      <c r="E229" s="84">
        <v>23.17</v>
      </c>
      <c r="F229">
        <v>0</v>
      </c>
    </row>
    <row r="230" spans="1:10" x14ac:dyDescent="0.45">
      <c r="A230" s="84" t="s">
        <v>469</v>
      </c>
      <c r="B230" s="84">
        <v>56</v>
      </c>
      <c r="C230" s="84">
        <v>0.17699999999999999</v>
      </c>
      <c r="D230" s="84">
        <v>3.0000000000000001E-3</v>
      </c>
      <c r="E230" s="84"/>
    </row>
    <row r="231" spans="1:10" x14ac:dyDescent="0.45">
      <c r="A231" s="84" t="s">
        <v>470</v>
      </c>
      <c r="B231" s="84">
        <v>59</v>
      </c>
      <c r="C231" s="84">
        <v>0.39700000000000002</v>
      </c>
      <c r="D231" s="84"/>
      <c r="E231" s="84"/>
    </row>
    <row r="234" spans="1:10" x14ac:dyDescent="0.45">
      <c r="A234" s="85" t="s">
        <v>513</v>
      </c>
      <c r="B234" s="84"/>
      <c r="C234" s="84"/>
      <c r="D234" s="84"/>
      <c r="E234" s="84"/>
      <c r="F234" s="84"/>
      <c r="G234" s="84"/>
      <c r="H234" s="84"/>
      <c r="I234" s="84"/>
      <c r="J234" s="84"/>
    </row>
    <row r="235" spans="1:10" x14ac:dyDescent="0.45">
      <c r="A235" s="76" t="s">
        <v>499</v>
      </c>
    </row>
    <row r="236" spans="1:10" x14ac:dyDescent="0.45">
      <c r="A236" s="84"/>
      <c r="B236" s="84" t="s">
        <v>500</v>
      </c>
      <c r="C236" t="s">
        <v>479</v>
      </c>
    </row>
    <row r="237" spans="1:10" x14ac:dyDescent="0.45">
      <c r="A237" s="84">
        <v>0</v>
      </c>
      <c r="B237" s="84" t="s">
        <v>501</v>
      </c>
      <c r="C237">
        <v>2.0760000000000001</v>
      </c>
    </row>
    <row r="238" spans="1:10" x14ac:dyDescent="0.45">
      <c r="A238" s="84">
        <v>1</v>
      </c>
      <c r="B238" s="84" t="s">
        <v>502</v>
      </c>
      <c r="C238">
        <v>1.2E-2</v>
      </c>
    </row>
    <row r="239" spans="1:10" x14ac:dyDescent="0.45">
      <c r="A239" s="84">
        <v>2</v>
      </c>
      <c r="B239" s="84" t="s">
        <v>503</v>
      </c>
      <c r="C239" t="s">
        <v>504</v>
      </c>
    </row>
    <row r="241" spans="1:8" x14ac:dyDescent="0.45">
      <c r="A241" s="76" t="s">
        <v>505</v>
      </c>
    </row>
    <row r="242" spans="1:8" x14ac:dyDescent="0.45">
      <c r="A242" s="84"/>
      <c r="B242" s="84" t="s">
        <v>478</v>
      </c>
      <c r="C242" t="s">
        <v>479</v>
      </c>
    </row>
    <row r="243" spans="1:8" x14ac:dyDescent="0.45">
      <c r="A243" s="84">
        <v>0</v>
      </c>
      <c r="B243" s="84" t="s">
        <v>480</v>
      </c>
      <c r="C243">
        <v>0.55400000000000005</v>
      </c>
    </row>
    <row r="244" spans="1:8" x14ac:dyDescent="0.45">
      <c r="A244" s="84">
        <v>1</v>
      </c>
      <c r="B244" s="84" t="s">
        <v>481</v>
      </c>
      <c r="C244">
        <v>0.52100000000000002</v>
      </c>
    </row>
    <row r="245" spans="1:8" x14ac:dyDescent="0.45">
      <c r="A245" s="84">
        <v>2</v>
      </c>
      <c r="B245" s="84" t="s">
        <v>482</v>
      </c>
      <c r="C245">
        <v>17.067</v>
      </c>
    </row>
    <row r="246" spans="1:8" x14ac:dyDescent="0.45">
      <c r="A246" s="84">
        <v>3</v>
      </c>
      <c r="B246" s="84" t="s">
        <v>483</v>
      </c>
      <c r="C246">
        <v>0</v>
      </c>
    </row>
    <row r="247" spans="1:8" x14ac:dyDescent="0.45">
      <c r="A247" s="84">
        <v>4</v>
      </c>
      <c r="B247" s="84" t="s">
        <v>484</v>
      </c>
      <c r="C247">
        <v>-169.25700000000001</v>
      </c>
    </row>
    <row r="248" spans="1:8" x14ac:dyDescent="0.45">
      <c r="A248" s="84">
        <v>5</v>
      </c>
      <c r="B248" s="84" t="s">
        <v>485</v>
      </c>
      <c r="C248">
        <v>-158.785</v>
      </c>
    </row>
    <row r="249" spans="1:8" x14ac:dyDescent="0.45">
      <c r="A249" s="84">
        <v>6</v>
      </c>
      <c r="B249" s="84" t="s">
        <v>486</v>
      </c>
      <c r="C249">
        <v>60</v>
      </c>
    </row>
    <row r="251" spans="1:8" x14ac:dyDescent="0.45">
      <c r="A251" s="76" t="s">
        <v>506</v>
      </c>
    </row>
    <row r="252" spans="1:8" x14ac:dyDescent="0.45">
      <c r="A252" s="84"/>
      <c r="B252" s="84" t="s">
        <v>487</v>
      </c>
      <c r="C252" s="84" t="s">
        <v>507</v>
      </c>
      <c r="D252" s="84" t="s">
        <v>508</v>
      </c>
      <c r="E252" s="84" t="s">
        <v>509</v>
      </c>
      <c r="F252" s="84" t="s">
        <v>488</v>
      </c>
      <c r="G252" s="84" t="s">
        <v>489</v>
      </c>
      <c r="H252" t="s">
        <v>490</v>
      </c>
    </row>
    <row r="253" spans="1:8" x14ac:dyDescent="0.45">
      <c r="A253" s="84">
        <v>0</v>
      </c>
      <c r="B253" s="84" t="s">
        <v>463</v>
      </c>
      <c r="C253" s="84">
        <v>3.0000000000000001E-3</v>
      </c>
      <c r="D253" s="84">
        <v>8.9999999999999993E-3</v>
      </c>
      <c r="E253" s="84">
        <v>0.32800000000000001</v>
      </c>
      <c r="F253" s="84">
        <v>0.74399999999999999</v>
      </c>
      <c r="G253" s="84">
        <v>-1.4999999999999999E-2</v>
      </c>
      <c r="H253">
        <v>0.02</v>
      </c>
    </row>
    <row r="254" spans="1:8" x14ac:dyDescent="0.45">
      <c r="A254" s="84">
        <v>1</v>
      </c>
      <c r="B254" s="84" t="s">
        <v>457</v>
      </c>
      <c r="C254" s="84">
        <v>0.93600000000000005</v>
      </c>
      <c r="D254" s="84">
        <v>0.16900000000000001</v>
      </c>
      <c r="E254" s="84">
        <v>5.5449999999999999</v>
      </c>
      <c r="F254" s="84">
        <v>0</v>
      </c>
      <c r="G254" s="84">
        <v>0.59799999999999998</v>
      </c>
      <c r="H254">
        <v>1.2749999999999999</v>
      </c>
    </row>
    <row r="255" spans="1:8" x14ac:dyDescent="0.45">
      <c r="A255" s="84">
        <v>2</v>
      </c>
      <c r="B255" s="84" t="s">
        <v>458</v>
      </c>
      <c r="C255" s="84">
        <v>-0.11899999999999999</v>
      </c>
      <c r="D255" s="84">
        <v>0.246</v>
      </c>
      <c r="E255" s="84">
        <v>-0.48199999999999998</v>
      </c>
      <c r="F255" s="84">
        <v>0.63100000000000001</v>
      </c>
      <c r="G255" s="84">
        <v>-0.61199999999999999</v>
      </c>
      <c r="H255">
        <v>0.375</v>
      </c>
    </row>
    <row r="256" spans="1:8" x14ac:dyDescent="0.45">
      <c r="A256" s="84">
        <v>3</v>
      </c>
      <c r="B256" s="84" t="s">
        <v>459</v>
      </c>
      <c r="C256" s="84">
        <v>1.1930000000000001</v>
      </c>
      <c r="D256" s="84">
        <v>0.18</v>
      </c>
      <c r="E256" s="84">
        <v>6.6479999999999997</v>
      </c>
      <c r="F256" s="84">
        <v>0</v>
      </c>
      <c r="G256" s="84">
        <v>0.83399999999999996</v>
      </c>
      <c r="H256">
        <v>1.5529999999999999</v>
      </c>
    </row>
    <row r="257" spans="1:8" x14ac:dyDescent="0.45">
      <c r="A257" s="84">
        <v>4</v>
      </c>
      <c r="B257" s="84" t="s">
        <v>414</v>
      </c>
      <c r="C257" s="84">
        <v>0</v>
      </c>
      <c r="D257" s="84">
        <v>1.7999999999999999E-2</v>
      </c>
      <c r="E257" s="84">
        <v>1.2999999999999999E-2</v>
      </c>
      <c r="F257" s="84">
        <v>0.99</v>
      </c>
      <c r="G257" s="84">
        <v>-3.5000000000000003E-2</v>
      </c>
      <c r="H257">
        <v>3.5000000000000003E-2</v>
      </c>
    </row>
    <row r="259" spans="1:8" x14ac:dyDescent="0.45">
      <c r="A259" s="76" t="s">
        <v>510</v>
      </c>
    </row>
    <row r="260" spans="1:8" x14ac:dyDescent="0.45">
      <c r="A260" s="89"/>
      <c r="B260" s="89" t="s">
        <v>487</v>
      </c>
      <c r="C260" s="89" t="s">
        <v>507</v>
      </c>
      <c r="D260" s="89" t="s">
        <v>508</v>
      </c>
      <c r="E260" s="89" t="s">
        <v>509</v>
      </c>
      <c r="F260" s="89" t="s">
        <v>488</v>
      </c>
      <c r="G260" s="89" t="s">
        <v>489</v>
      </c>
      <c r="H260" t="s">
        <v>490</v>
      </c>
    </row>
    <row r="261" spans="1:8" x14ac:dyDescent="0.45">
      <c r="A261" s="89">
        <v>0</v>
      </c>
      <c r="B261" s="89" t="s">
        <v>463</v>
      </c>
      <c r="C261" s="89">
        <v>3.0000000000000001E-3</v>
      </c>
      <c r="D261" s="89">
        <v>7.0000000000000001E-3</v>
      </c>
      <c r="E261" s="89">
        <v>0.39800000000000002</v>
      </c>
      <c r="F261" s="89">
        <v>0.69199999999999995</v>
      </c>
      <c r="G261" s="89">
        <v>-1.2E-2</v>
      </c>
      <c r="H261">
        <v>1.7000000000000001E-2</v>
      </c>
    </row>
    <row r="262" spans="1:8" x14ac:dyDescent="0.45">
      <c r="A262" s="89">
        <v>1</v>
      </c>
      <c r="B262" s="89" t="s">
        <v>457</v>
      </c>
      <c r="C262" s="89">
        <v>0.93600000000000005</v>
      </c>
      <c r="D262" s="89">
        <v>0.185</v>
      </c>
      <c r="E262" s="89">
        <v>5.056</v>
      </c>
      <c r="F262" s="89">
        <v>0</v>
      </c>
      <c r="G262" s="89">
        <v>0.56499999999999995</v>
      </c>
      <c r="H262">
        <v>1.3069999999999999</v>
      </c>
    </row>
    <row r="263" spans="1:8" x14ac:dyDescent="0.45">
      <c r="A263" s="89">
        <v>2</v>
      </c>
      <c r="B263" s="89" t="s">
        <v>458</v>
      </c>
      <c r="C263" s="89">
        <v>-0.11899999999999999</v>
      </c>
      <c r="D263" s="89">
        <v>0.23400000000000001</v>
      </c>
      <c r="E263" s="89">
        <v>-0.50900000000000001</v>
      </c>
      <c r="F263" s="89">
        <v>0.61299999999999999</v>
      </c>
      <c r="G263" s="89">
        <v>-0.58699999999999997</v>
      </c>
      <c r="H263">
        <v>0.34899999999999998</v>
      </c>
    </row>
    <row r="264" spans="1:8" x14ac:dyDescent="0.45">
      <c r="A264" s="89">
        <v>3</v>
      </c>
      <c r="B264" s="89" t="s">
        <v>459</v>
      </c>
      <c r="C264" s="89">
        <v>1.1930000000000001</v>
      </c>
      <c r="D264" s="89">
        <v>0.21</v>
      </c>
      <c r="E264" s="89">
        <v>5.6840000000000002</v>
      </c>
      <c r="F264" s="89">
        <v>0</v>
      </c>
      <c r="G264" s="89">
        <v>0.77300000000000002</v>
      </c>
      <c r="H264">
        <v>1.6140000000000001</v>
      </c>
    </row>
    <row r="265" spans="1:8" x14ac:dyDescent="0.45">
      <c r="A265" s="89">
        <v>4</v>
      </c>
      <c r="B265" s="89" t="s">
        <v>414</v>
      </c>
      <c r="C265" s="89">
        <v>0</v>
      </c>
      <c r="D265" s="89">
        <v>1.9E-2</v>
      </c>
      <c r="E265" s="89">
        <v>1.2E-2</v>
      </c>
      <c r="F265" s="89">
        <v>0.99</v>
      </c>
      <c r="G265" s="89">
        <v>-3.7999999999999999E-2</v>
      </c>
      <c r="H265">
        <v>3.7999999999999999E-2</v>
      </c>
    </row>
    <row r="267" spans="1:8" x14ac:dyDescent="0.45">
      <c r="A267" s="76" t="s">
        <v>491</v>
      </c>
    </row>
    <row r="268" spans="1:8" x14ac:dyDescent="0.45">
      <c r="A268" s="84"/>
      <c r="B268" s="84" t="s">
        <v>424</v>
      </c>
      <c r="C268" s="84" t="s">
        <v>465</v>
      </c>
      <c r="D268" s="84" t="s">
        <v>466</v>
      </c>
      <c r="E268" s="84" t="s">
        <v>425</v>
      </c>
      <c r="F268" t="s">
        <v>467</v>
      </c>
    </row>
    <row r="269" spans="1:8" x14ac:dyDescent="0.45">
      <c r="A269" s="84" t="s">
        <v>468</v>
      </c>
      <c r="B269" s="84">
        <v>4</v>
      </c>
      <c r="C269" s="84">
        <v>0.22</v>
      </c>
      <c r="D269" s="84">
        <v>5.5E-2</v>
      </c>
      <c r="E269" s="84">
        <v>17.067</v>
      </c>
      <c r="F269">
        <v>0</v>
      </c>
    </row>
    <row r="270" spans="1:8" x14ac:dyDescent="0.45">
      <c r="A270" s="84" t="s">
        <v>469</v>
      </c>
      <c r="B270" s="84">
        <v>55</v>
      </c>
      <c r="C270" s="84">
        <v>0.17699999999999999</v>
      </c>
      <c r="D270" s="84">
        <v>3.0000000000000001E-3</v>
      </c>
      <c r="E270" s="84"/>
    </row>
    <row r="271" spans="1:8" x14ac:dyDescent="0.45">
      <c r="A271" s="84" t="s">
        <v>470</v>
      </c>
      <c r="B271" s="84">
        <v>59</v>
      </c>
      <c r="C271" s="84">
        <v>0.39700000000000002</v>
      </c>
      <c r="D271" s="84"/>
      <c r="E271" s="84"/>
    </row>
    <row r="276" spans="1:10" ht="17.25" x14ac:dyDescent="0.55000000000000004">
      <c r="A276" s="86" t="s">
        <v>515</v>
      </c>
      <c r="B276" s="87"/>
      <c r="C276" s="87"/>
      <c r="D276" s="87"/>
      <c r="E276" s="87"/>
      <c r="F276" s="87"/>
      <c r="G276" s="87"/>
      <c r="H276" s="87"/>
      <c r="I276" s="87"/>
      <c r="J276" s="87"/>
    </row>
    <row r="278" spans="1:10" x14ac:dyDescent="0.45">
      <c r="A278" s="88" t="s">
        <v>498</v>
      </c>
      <c r="B278" s="87"/>
      <c r="C278" s="87"/>
      <c r="D278" s="87"/>
      <c r="E278" s="87"/>
      <c r="F278" s="87"/>
      <c r="G278" s="87"/>
      <c r="H278" s="87"/>
      <c r="I278" s="87"/>
      <c r="J278" s="87"/>
    </row>
    <row r="279" spans="1:10" x14ac:dyDescent="0.45">
      <c r="A279" s="76" t="s">
        <v>499</v>
      </c>
    </row>
    <row r="280" spans="1:10" x14ac:dyDescent="0.45">
      <c r="A280" s="87"/>
      <c r="B280" s="87" t="s">
        <v>500</v>
      </c>
      <c r="C280" t="s">
        <v>479</v>
      </c>
    </row>
    <row r="281" spans="1:10" x14ac:dyDescent="0.45">
      <c r="A281" s="87">
        <v>0</v>
      </c>
      <c r="B281" s="87" t="s">
        <v>501</v>
      </c>
      <c r="C281">
        <v>1.931</v>
      </c>
    </row>
    <row r="282" spans="1:10" x14ac:dyDescent="0.45">
      <c r="A282" s="87">
        <v>1</v>
      </c>
      <c r="B282" s="87" t="s">
        <v>502</v>
      </c>
      <c r="C282">
        <v>0.76</v>
      </c>
    </row>
    <row r="283" spans="1:10" x14ac:dyDescent="0.45">
      <c r="A283" s="87">
        <v>2</v>
      </c>
      <c r="B283" s="87" t="s">
        <v>503</v>
      </c>
      <c r="C283" t="s">
        <v>512</v>
      </c>
    </row>
    <row r="285" spans="1:10" x14ac:dyDescent="0.45">
      <c r="A285" s="76" t="s">
        <v>505</v>
      </c>
    </row>
    <row r="286" spans="1:10" x14ac:dyDescent="0.45">
      <c r="A286" s="87"/>
      <c r="B286" s="87" t="s">
        <v>478</v>
      </c>
      <c r="C286" t="s">
        <v>479</v>
      </c>
    </row>
    <row r="287" spans="1:10" x14ac:dyDescent="0.45">
      <c r="A287" s="87">
        <v>0</v>
      </c>
      <c r="B287" s="87" t="s">
        <v>480</v>
      </c>
      <c r="C287">
        <v>0.16400000000000001</v>
      </c>
    </row>
    <row r="288" spans="1:10" x14ac:dyDescent="0.45">
      <c r="A288" s="87">
        <v>1</v>
      </c>
      <c r="B288" s="87" t="s">
        <v>481</v>
      </c>
      <c r="C288">
        <v>0.14899999999999999</v>
      </c>
    </row>
    <row r="289" spans="1:8" x14ac:dyDescent="0.45">
      <c r="A289" s="87">
        <v>2</v>
      </c>
      <c r="B289" s="87" t="s">
        <v>482</v>
      </c>
      <c r="C289">
        <v>11.365</v>
      </c>
    </row>
    <row r="290" spans="1:8" x14ac:dyDescent="0.45">
      <c r="A290" s="87">
        <v>3</v>
      </c>
      <c r="B290" s="87" t="s">
        <v>483</v>
      </c>
      <c r="C290">
        <v>1E-3</v>
      </c>
    </row>
    <row r="291" spans="1:8" x14ac:dyDescent="0.45">
      <c r="A291" s="87">
        <v>4</v>
      </c>
      <c r="B291" s="87" t="s">
        <v>484</v>
      </c>
      <c r="C291">
        <v>-128.078</v>
      </c>
    </row>
    <row r="292" spans="1:8" x14ac:dyDescent="0.45">
      <c r="A292" s="87">
        <v>5</v>
      </c>
      <c r="B292" s="87" t="s">
        <v>485</v>
      </c>
      <c r="C292">
        <v>-123.889</v>
      </c>
    </row>
    <row r="293" spans="1:8" x14ac:dyDescent="0.45">
      <c r="A293" s="87">
        <v>6</v>
      </c>
      <c r="B293" s="87" t="s">
        <v>486</v>
      </c>
      <c r="C293">
        <v>60</v>
      </c>
    </row>
    <row r="295" spans="1:8" x14ac:dyDescent="0.45">
      <c r="A295" s="76" t="s">
        <v>506</v>
      </c>
    </row>
    <row r="296" spans="1:8" x14ac:dyDescent="0.45">
      <c r="A296" s="87"/>
      <c r="B296" s="87" t="s">
        <v>487</v>
      </c>
      <c r="C296" s="87" t="s">
        <v>507</v>
      </c>
      <c r="D296" s="87" t="s">
        <v>508</v>
      </c>
      <c r="E296" s="87" t="s">
        <v>509</v>
      </c>
      <c r="F296" s="87" t="s">
        <v>488</v>
      </c>
      <c r="G296" s="87" t="s">
        <v>489</v>
      </c>
      <c r="H296" t="s">
        <v>490</v>
      </c>
    </row>
    <row r="297" spans="1:8" x14ac:dyDescent="0.45">
      <c r="A297" s="87">
        <v>0</v>
      </c>
      <c r="B297" s="87" t="s">
        <v>463</v>
      </c>
      <c r="C297" s="87">
        <v>1.7000000000000001E-2</v>
      </c>
      <c r="D297" s="87">
        <v>1.0999999999999999E-2</v>
      </c>
      <c r="E297" s="87">
        <v>1.5980000000000001</v>
      </c>
      <c r="F297" s="87">
        <v>0.11600000000000001</v>
      </c>
      <c r="G297" s="87">
        <v>-4.0000000000000001E-3</v>
      </c>
      <c r="H297">
        <v>3.9E-2</v>
      </c>
    </row>
    <row r="298" spans="1:8" x14ac:dyDescent="0.45">
      <c r="A298" s="87">
        <v>1</v>
      </c>
      <c r="B298" s="87" t="s">
        <v>457</v>
      </c>
      <c r="C298" s="87">
        <v>0.76400000000000001</v>
      </c>
      <c r="D298" s="87">
        <v>0.22700000000000001</v>
      </c>
      <c r="E298" s="87">
        <v>3.371</v>
      </c>
      <c r="F298" s="87">
        <v>1E-3</v>
      </c>
      <c r="G298" s="87">
        <v>0.31</v>
      </c>
      <c r="H298">
        <v>1.2170000000000001</v>
      </c>
    </row>
    <row r="300" spans="1:8" x14ac:dyDescent="0.45">
      <c r="A300" s="76" t="s">
        <v>491</v>
      </c>
    </row>
    <row r="301" spans="1:8" x14ac:dyDescent="0.45">
      <c r="A301" s="87"/>
      <c r="B301" s="87" t="s">
        <v>424</v>
      </c>
      <c r="C301" s="87" t="s">
        <v>465</v>
      </c>
      <c r="D301" s="87" t="s">
        <v>466</v>
      </c>
      <c r="E301" s="87" t="s">
        <v>425</v>
      </c>
      <c r="F301" t="s">
        <v>467</v>
      </c>
    </row>
    <row r="302" spans="1:8" x14ac:dyDescent="0.45">
      <c r="A302" s="87" t="s">
        <v>468</v>
      </c>
      <c r="B302" s="87">
        <v>1</v>
      </c>
      <c r="C302" s="87">
        <v>7.5999999999999998E-2</v>
      </c>
      <c r="D302" s="87">
        <v>7.5999999999999998E-2</v>
      </c>
      <c r="E302" s="87">
        <v>11.365</v>
      </c>
      <c r="F302">
        <v>1E-3</v>
      </c>
    </row>
    <row r="303" spans="1:8" x14ac:dyDescent="0.45">
      <c r="A303" s="87" t="s">
        <v>469</v>
      </c>
      <c r="B303" s="87">
        <v>58</v>
      </c>
      <c r="C303" s="87">
        <v>0.38900000000000001</v>
      </c>
      <c r="D303" s="87">
        <v>7.0000000000000001E-3</v>
      </c>
      <c r="E303" s="87"/>
    </row>
    <row r="304" spans="1:8" x14ac:dyDescent="0.45">
      <c r="A304" s="87" t="s">
        <v>470</v>
      </c>
      <c r="B304" s="87">
        <v>59</v>
      </c>
      <c r="C304" s="87">
        <v>0.46500000000000002</v>
      </c>
      <c r="D304" s="87"/>
      <c r="E304" s="87"/>
    </row>
    <row r="307" spans="1:10" x14ac:dyDescent="0.45">
      <c r="A307" s="88" t="s">
        <v>511</v>
      </c>
      <c r="B307" s="87"/>
      <c r="C307" s="87"/>
      <c r="D307" s="87"/>
      <c r="E307" s="87"/>
      <c r="F307" s="87"/>
      <c r="G307" s="87"/>
      <c r="H307" s="87"/>
      <c r="I307" s="87"/>
      <c r="J307" s="87"/>
    </row>
    <row r="308" spans="1:10" x14ac:dyDescent="0.45">
      <c r="A308" s="76" t="s">
        <v>499</v>
      </c>
    </row>
    <row r="309" spans="1:10" x14ac:dyDescent="0.45">
      <c r="A309" s="87"/>
      <c r="B309" s="87" t="s">
        <v>500</v>
      </c>
      <c r="C309" t="s">
        <v>479</v>
      </c>
    </row>
    <row r="310" spans="1:10" x14ac:dyDescent="0.45">
      <c r="A310" s="87">
        <v>0</v>
      </c>
      <c r="B310" s="87" t="s">
        <v>501</v>
      </c>
      <c r="C310">
        <v>2.0110000000000001</v>
      </c>
    </row>
    <row r="311" spans="1:10" x14ac:dyDescent="0.45">
      <c r="A311" s="87">
        <v>1</v>
      </c>
      <c r="B311" s="87" t="s">
        <v>502</v>
      </c>
      <c r="C311">
        <v>2.8000000000000001E-2</v>
      </c>
    </row>
    <row r="312" spans="1:10" x14ac:dyDescent="0.45">
      <c r="A312" s="87">
        <v>2</v>
      </c>
      <c r="B312" s="87" t="s">
        <v>503</v>
      </c>
      <c r="C312" t="s">
        <v>504</v>
      </c>
    </row>
    <row r="314" spans="1:10" x14ac:dyDescent="0.45">
      <c r="A314" s="76" t="s">
        <v>505</v>
      </c>
    </row>
    <row r="315" spans="1:10" x14ac:dyDescent="0.45">
      <c r="A315" s="87"/>
      <c r="B315" s="87" t="s">
        <v>478</v>
      </c>
      <c r="C315" t="s">
        <v>479</v>
      </c>
    </row>
    <row r="316" spans="1:10" x14ac:dyDescent="0.45">
      <c r="A316" s="87">
        <v>0</v>
      </c>
      <c r="B316" s="87" t="s">
        <v>480</v>
      </c>
      <c r="C316">
        <v>0.54200000000000004</v>
      </c>
    </row>
    <row r="317" spans="1:10" x14ac:dyDescent="0.45">
      <c r="A317" s="87">
        <v>1</v>
      </c>
      <c r="B317" s="87" t="s">
        <v>481</v>
      </c>
      <c r="C317">
        <v>0.51700000000000002</v>
      </c>
    </row>
    <row r="318" spans="1:10" x14ac:dyDescent="0.45">
      <c r="A318" s="87">
        <v>2</v>
      </c>
      <c r="B318" s="87" t="s">
        <v>482</v>
      </c>
      <c r="C318">
        <v>22.074000000000002</v>
      </c>
    </row>
    <row r="319" spans="1:10" x14ac:dyDescent="0.45">
      <c r="A319" s="87">
        <v>3</v>
      </c>
      <c r="B319" s="87" t="s">
        <v>483</v>
      </c>
      <c r="C319">
        <v>0</v>
      </c>
    </row>
    <row r="320" spans="1:10" x14ac:dyDescent="0.45">
      <c r="A320" s="87">
        <v>4</v>
      </c>
      <c r="B320" s="87" t="s">
        <v>484</v>
      </c>
      <c r="C320">
        <v>-160.16999999999999</v>
      </c>
    </row>
    <row r="321" spans="1:8" x14ac:dyDescent="0.45">
      <c r="A321" s="87">
        <v>5</v>
      </c>
      <c r="B321" s="87" t="s">
        <v>485</v>
      </c>
      <c r="C321">
        <v>-151.79300000000001</v>
      </c>
    </row>
    <row r="322" spans="1:8" x14ac:dyDescent="0.45">
      <c r="A322" s="87">
        <v>6</v>
      </c>
      <c r="B322" s="87" t="s">
        <v>486</v>
      </c>
      <c r="C322">
        <v>60</v>
      </c>
    </row>
    <row r="324" spans="1:8" x14ac:dyDescent="0.45">
      <c r="A324" s="76" t="s">
        <v>506</v>
      </c>
    </row>
    <row r="325" spans="1:8" x14ac:dyDescent="0.45">
      <c r="A325" s="87"/>
      <c r="B325" s="87" t="s">
        <v>487</v>
      </c>
      <c r="C325" s="87" t="s">
        <v>507</v>
      </c>
      <c r="D325" s="87" t="s">
        <v>508</v>
      </c>
      <c r="E325" s="87" t="s">
        <v>509</v>
      </c>
      <c r="F325" s="87" t="s">
        <v>488</v>
      </c>
      <c r="G325" s="87" t="s">
        <v>489</v>
      </c>
      <c r="H325" t="s">
        <v>490</v>
      </c>
    </row>
    <row r="326" spans="1:8" x14ac:dyDescent="0.45">
      <c r="A326" s="87">
        <v>0</v>
      </c>
      <c r="B326" s="87" t="s">
        <v>463</v>
      </c>
      <c r="C326" s="87">
        <v>6.0000000000000001E-3</v>
      </c>
      <c r="D326" s="87">
        <v>8.0000000000000002E-3</v>
      </c>
      <c r="E326" s="87">
        <v>0.72799999999999998</v>
      </c>
      <c r="F326" s="87">
        <v>0.47</v>
      </c>
      <c r="G326" s="87">
        <v>-1.0999999999999999E-2</v>
      </c>
      <c r="H326">
        <v>2.3E-2</v>
      </c>
    </row>
    <row r="327" spans="1:8" x14ac:dyDescent="0.45">
      <c r="A327" s="87">
        <v>1</v>
      </c>
      <c r="B327" s="87" t="s">
        <v>457</v>
      </c>
      <c r="C327" s="87">
        <v>0.95199999999999996</v>
      </c>
      <c r="D327" s="87">
        <v>0.18099999999999999</v>
      </c>
      <c r="E327" s="87">
        <v>5.25</v>
      </c>
      <c r="F327" s="87">
        <v>0</v>
      </c>
      <c r="G327" s="87">
        <v>0.58899999999999997</v>
      </c>
      <c r="H327">
        <v>1.3160000000000001</v>
      </c>
    </row>
    <row r="328" spans="1:8" x14ac:dyDescent="0.45">
      <c r="A328" s="87">
        <v>2</v>
      </c>
      <c r="B328" s="87" t="s">
        <v>458</v>
      </c>
      <c r="C328" s="87">
        <v>-5.0999999999999997E-2</v>
      </c>
      <c r="D328" s="87">
        <v>0.26600000000000001</v>
      </c>
      <c r="E328" s="87">
        <v>-0.192</v>
      </c>
      <c r="F328" s="87">
        <v>0.84899999999999998</v>
      </c>
      <c r="G328" s="87">
        <v>-0.58299999999999996</v>
      </c>
      <c r="H328">
        <v>0.48099999999999998</v>
      </c>
    </row>
    <row r="329" spans="1:8" x14ac:dyDescent="0.45">
      <c r="A329" s="87">
        <v>3</v>
      </c>
      <c r="B329" s="87" t="s">
        <v>459</v>
      </c>
      <c r="C329" s="87">
        <v>1.306</v>
      </c>
      <c r="D329" s="87">
        <v>0.192</v>
      </c>
      <c r="E329" s="87">
        <v>6.7889999999999997</v>
      </c>
      <c r="F329" s="87">
        <v>0</v>
      </c>
      <c r="G329" s="87">
        <v>0.92100000000000004</v>
      </c>
      <c r="H329">
        <v>1.6919999999999999</v>
      </c>
    </row>
    <row r="331" spans="1:8" x14ac:dyDescent="0.45">
      <c r="A331" s="76" t="s">
        <v>510</v>
      </c>
    </row>
    <row r="332" spans="1:8" x14ac:dyDescent="0.45">
      <c r="A332" s="90"/>
      <c r="B332" s="90" t="s">
        <v>487</v>
      </c>
      <c r="C332" s="90" t="s">
        <v>507</v>
      </c>
      <c r="D332" s="90" t="s">
        <v>508</v>
      </c>
      <c r="E332" s="90" t="s">
        <v>509</v>
      </c>
      <c r="F332" s="90" t="s">
        <v>488</v>
      </c>
      <c r="G332" s="90" t="s">
        <v>489</v>
      </c>
      <c r="H332" t="s">
        <v>490</v>
      </c>
    </row>
    <row r="333" spans="1:8" x14ac:dyDescent="0.45">
      <c r="A333" s="90">
        <v>0</v>
      </c>
      <c r="B333" s="90" t="s">
        <v>463</v>
      </c>
      <c r="C333" s="90">
        <v>6.0000000000000001E-3</v>
      </c>
      <c r="D333" s="90">
        <v>7.0000000000000001E-3</v>
      </c>
      <c r="E333" s="90">
        <v>0.878</v>
      </c>
      <c r="F333" s="90">
        <v>0.38400000000000001</v>
      </c>
      <c r="G333" s="90">
        <v>-8.0000000000000002E-3</v>
      </c>
      <c r="H333">
        <v>0.02</v>
      </c>
    </row>
    <row r="334" spans="1:8" x14ac:dyDescent="0.45">
      <c r="A334" s="90">
        <v>1</v>
      </c>
      <c r="B334" s="90" t="s">
        <v>457</v>
      </c>
      <c r="C334" s="90">
        <v>0.95199999999999996</v>
      </c>
      <c r="D334" s="90">
        <v>0.218</v>
      </c>
      <c r="E334" s="90">
        <v>4.3620000000000001</v>
      </c>
      <c r="F334" s="90">
        <v>0</v>
      </c>
      <c r="G334" s="90">
        <v>0.51500000000000001</v>
      </c>
      <c r="H334">
        <v>1.39</v>
      </c>
    </row>
    <row r="335" spans="1:8" x14ac:dyDescent="0.45">
      <c r="A335" s="90">
        <v>2</v>
      </c>
      <c r="B335" s="90" t="s">
        <v>458</v>
      </c>
      <c r="C335" s="90">
        <v>-5.0999999999999997E-2</v>
      </c>
      <c r="D335" s="90">
        <v>0.25800000000000001</v>
      </c>
      <c r="E335" s="90">
        <v>-0.19800000000000001</v>
      </c>
      <c r="F335" s="90">
        <v>0.84399999999999997</v>
      </c>
      <c r="G335" s="90">
        <v>-0.56699999999999995</v>
      </c>
      <c r="H335">
        <v>0.46500000000000002</v>
      </c>
    </row>
    <row r="336" spans="1:8" x14ac:dyDescent="0.45">
      <c r="A336" s="90">
        <v>3</v>
      </c>
      <c r="B336" s="90" t="s">
        <v>459</v>
      </c>
      <c r="C336" s="90">
        <v>1.306</v>
      </c>
      <c r="D336" s="90">
        <v>0.20200000000000001</v>
      </c>
      <c r="E336" s="90">
        <v>6.4740000000000002</v>
      </c>
      <c r="F336" s="90">
        <v>0</v>
      </c>
      <c r="G336" s="90">
        <v>0.90200000000000002</v>
      </c>
      <c r="H336">
        <v>1.7110000000000001</v>
      </c>
    </row>
    <row r="338" spans="1:10" x14ac:dyDescent="0.45">
      <c r="A338" s="76" t="s">
        <v>491</v>
      </c>
    </row>
    <row r="339" spans="1:10" x14ac:dyDescent="0.45">
      <c r="A339" s="87"/>
      <c r="B339" s="87" t="s">
        <v>424</v>
      </c>
      <c r="C339" s="87" t="s">
        <v>465</v>
      </c>
      <c r="D339" s="87" t="s">
        <v>466</v>
      </c>
      <c r="E339" s="87" t="s">
        <v>425</v>
      </c>
      <c r="F339" t="s">
        <v>467</v>
      </c>
    </row>
    <row r="340" spans="1:10" x14ac:dyDescent="0.45">
      <c r="A340" s="87" t="s">
        <v>468</v>
      </c>
      <c r="B340" s="87">
        <v>3</v>
      </c>
      <c r="C340" s="87">
        <v>0.252</v>
      </c>
      <c r="D340" s="87">
        <v>8.4000000000000005E-2</v>
      </c>
      <c r="E340" s="87">
        <v>22.074000000000002</v>
      </c>
      <c r="F340">
        <v>0</v>
      </c>
    </row>
    <row r="341" spans="1:10" x14ac:dyDescent="0.45">
      <c r="A341" s="87" t="s">
        <v>469</v>
      </c>
      <c r="B341" s="87">
        <v>56</v>
      </c>
      <c r="C341" s="87">
        <v>0.21299999999999999</v>
      </c>
      <c r="D341" s="87">
        <v>4.0000000000000001E-3</v>
      </c>
      <c r="E341" s="87"/>
    </row>
    <row r="342" spans="1:10" x14ac:dyDescent="0.45">
      <c r="A342" s="87" t="s">
        <v>470</v>
      </c>
      <c r="B342" s="87">
        <v>59</v>
      </c>
      <c r="C342" s="87">
        <v>0.46500000000000002</v>
      </c>
      <c r="D342" s="87"/>
      <c r="E342" s="87"/>
    </row>
    <row r="345" spans="1:10" x14ac:dyDescent="0.45">
      <c r="A345" s="88" t="s">
        <v>513</v>
      </c>
      <c r="B345" s="87"/>
      <c r="C345" s="87"/>
      <c r="D345" s="87"/>
      <c r="E345" s="87"/>
      <c r="F345" s="87"/>
      <c r="G345" s="87"/>
      <c r="H345" s="87"/>
      <c r="I345" s="87"/>
      <c r="J345" s="87"/>
    </row>
    <row r="346" spans="1:10" x14ac:dyDescent="0.45">
      <c r="A346" s="76" t="s">
        <v>499</v>
      </c>
    </row>
    <row r="347" spans="1:10" x14ac:dyDescent="0.45">
      <c r="A347" s="87"/>
      <c r="B347" s="87" t="s">
        <v>500</v>
      </c>
      <c r="C347" t="s">
        <v>479</v>
      </c>
    </row>
    <row r="348" spans="1:10" x14ac:dyDescent="0.45">
      <c r="A348" s="87">
        <v>0</v>
      </c>
      <c r="B348" s="87" t="s">
        <v>501</v>
      </c>
      <c r="C348">
        <v>2.0750000000000002</v>
      </c>
    </row>
    <row r="349" spans="1:10" x14ac:dyDescent="0.45">
      <c r="A349" s="87">
        <v>1</v>
      </c>
      <c r="B349" s="87" t="s">
        <v>502</v>
      </c>
      <c r="C349">
        <v>1.2999999999999999E-2</v>
      </c>
    </row>
    <row r="350" spans="1:10" x14ac:dyDescent="0.45">
      <c r="A350" s="87">
        <v>2</v>
      </c>
      <c r="B350" s="87" t="s">
        <v>503</v>
      </c>
      <c r="C350" t="s">
        <v>504</v>
      </c>
    </row>
    <row r="352" spans="1:10" x14ac:dyDescent="0.45">
      <c r="A352" s="76" t="s">
        <v>505</v>
      </c>
    </row>
    <row r="353" spans="1:8" x14ac:dyDescent="0.45">
      <c r="A353" s="87"/>
      <c r="B353" s="87" t="s">
        <v>478</v>
      </c>
      <c r="C353" t="s">
        <v>479</v>
      </c>
    </row>
    <row r="354" spans="1:8" x14ac:dyDescent="0.45">
      <c r="A354" s="87">
        <v>0</v>
      </c>
      <c r="B354" s="87" t="s">
        <v>480</v>
      </c>
      <c r="C354">
        <v>0.54900000000000004</v>
      </c>
    </row>
    <row r="355" spans="1:8" x14ac:dyDescent="0.45">
      <c r="A355" s="87">
        <v>1</v>
      </c>
      <c r="B355" s="87" t="s">
        <v>481</v>
      </c>
      <c r="C355">
        <v>0.51700000000000002</v>
      </c>
    </row>
    <row r="356" spans="1:8" x14ac:dyDescent="0.45">
      <c r="A356" s="87">
        <v>2</v>
      </c>
      <c r="B356" s="87" t="s">
        <v>482</v>
      </c>
      <c r="C356">
        <v>16.766999999999999</v>
      </c>
    </row>
    <row r="357" spans="1:8" x14ac:dyDescent="0.45">
      <c r="A357" s="87">
        <v>3</v>
      </c>
      <c r="B357" s="87" t="s">
        <v>483</v>
      </c>
      <c r="C357">
        <v>0</v>
      </c>
    </row>
    <row r="358" spans="1:8" x14ac:dyDescent="0.45">
      <c r="A358" s="87">
        <v>4</v>
      </c>
      <c r="B358" s="87" t="s">
        <v>484</v>
      </c>
      <c r="C358">
        <v>-159.17500000000001</v>
      </c>
    </row>
    <row r="359" spans="1:8" x14ac:dyDescent="0.45">
      <c r="A359" s="87">
        <v>5</v>
      </c>
      <c r="B359" s="87" t="s">
        <v>485</v>
      </c>
      <c r="C359">
        <v>-148.703</v>
      </c>
    </row>
    <row r="360" spans="1:8" x14ac:dyDescent="0.45">
      <c r="A360" s="87">
        <v>6</v>
      </c>
      <c r="B360" s="87" t="s">
        <v>486</v>
      </c>
      <c r="C360">
        <v>60</v>
      </c>
    </row>
    <row r="362" spans="1:8" x14ac:dyDescent="0.45">
      <c r="A362" s="76" t="s">
        <v>506</v>
      </c>
    </row>
    <row r="363" spans="1:8" x14ac:dyDescent="0.45">
      <c r="A363" s="87"/>
      <c r="B363" s="87" t="s">
        <v>487</v>
      </c>
      <c r="C363" s="87" t="s">
        <v>507</v>
      </c>
      <c r="D363" s="87" t="s">
        <v>508</v>
      </c>
      <c r="E363" s="87" t="s">
        <v>509</v>
      </c>
      <c r="F363" s="87" t="s">
        <v>488</v>
      </c>
      <c r="G363" s="87" t="s">
        <v>489</v>
      </c>
      <c r="H363" t="s">
        <v>490</v>
      </c>
    </row>
    <row r="364" spans="1:8" x14ac:dyDescent="0.45">
      <c r="A364" s="87">
        <v>0</v>
      </c>
      <c r="B364" s="87" t="s">
        <v>463</v>
      </c>
      <c r="C364" s="87">
        <v>2E-3</v>
      </c>
      <c r="D364" s="87">
        <v>8.9999999999999993E-3</v>
      </c>
      <c r="E364" s="87">
        <v>0.20799999999999999</v>
      </c>
      <c r="F364" s="87">
        <v>0.83599999999999997</v>
      </c>
      <c r="G364" s="87">
        <v>-1.7000000000000001E-2</v>
      </c>
      <c r="H364">
        <v>2.1000000000000001E-2</v>
      </c>
    </row>
    <row r="365" spans="1:8" x14ac:dyDescent="0.45">
      <c r="A365" s="87">
        <v>1</v>
      </c>
      <c r="B365" s="87" t="s">
        <v>457</v>
      </c>
      <c r="C365" s="87">
        <v>0.92500000000000004</v>
      </c>
      <c r="D365" s="87">
        <v>0.184</v>
      </c>
      <c r="E365" s="87">
        <v>5.0389999999999997</v>
      </c>
      <c r="F365" s="87">
        <v>0</v>
      </c>
      <c r="G365" s="87">
        <v>0.55700000000000005</v>
      </c>
      <c r="H365">
        <v>1.294</v>
      </c>
    </row>
    <row r="366" spans="1:8" x14ac:dyDescent="0.45">
      <c r="A366" s="87">
        <v>2</v>
      </c>
      <c r="B366" s="87" t="s">
        <v>458</v>
      </c>
      <c r="C366" s="87">
        <v>-8.3000000000000004E-2</v>
      </c>
      <c r="D366" s="87">
        <v>0.26800000000000002</v>
      </c>
      <c r="E366" s="87">
        <v>-0.311</v>
      </c>
      <c r="F366" s="87">
        <v>0.75700000000000001</v>
      </c>
      <c r="G366" s="87">
        <v>-0.62</v>
      </c>
      <c r="H366">
        <v>0.45400000000000001</v>
      </c>
    </row>
    <row r="367" spans="1:8" x14ac:dyDescent="0.45">
      <c r="A367" s="87">
        <v>3</v>
      </c>
      <c r="B367" s="87" t="s">
        <v>459</v>
      </c>
      <c r="C367" s="87">
        <v>1.2749999999999999</v>
      </c>
      <c r="D367" s="87">
        <v>0.19500000000000001</v>
      </c>
      <c r="E367" s="87">
        <v>6.5309999999999997</v>
      </c>
      <c r="F367" s="87">
        <v>0</v>
      </c>
      <c r="G367" s="87">
        <v>0.88400000000000001</v>
      </c>
      <c r="H367">
        <v>1.6659999999999999</v>
      </c>
    </row>
    <row r="368" spans="1:8" x14ac:dyDescent="0.45">
      <c r="A368" s="87">
        <v>4</v>
      </c>
      <c r="B368" s="87" t="s">
        <v>414</v>
      </c>
      <c r="C368" s="87">
        <v>1.7999999999999999E-2</v>
      </c>
      <c r="D368" s="87">
        <v>1.9E-2</v>
      </c>
      <c r="E368" s="87">
        <v>0.96399999999999997</v>
      </c>
      <c r="F368" s="87">
        <v>0.33900000000000002</v>
      </c>
      <c r="G368" s="87">
        <v>-0.02</v>
      </c>
      <c r="H368">
        <v>5.7000000000000002E-2</v>
      </c>
    </row>
    <row r="370" spans="1:8" x14ac:dyDescent="0.45">
      <c r="A370" s="76" t="s">
        <v>510</v>
      </c>
    </row>
    <row r="371" spans="1:8" x14ac:dyDescent="0.45">
      <c r="A371" s="90"/>
      <c r="B371" s="90" t="s">
        <v>487</v>
      </c>
      <c r="C371" s="90" t="s">
        <v>507</v>
      </c>
      <c r="D371" s="90" t="s">
        <v>508</v>
      </c>
      <c r="E371" s="90" t="s">
        <v>509</v>
      </c>
      <c r="F371" s="90" t="s">
        <v>488</v>
      </c>
      <c r="G371" s="90" t="s">
        <v>489</v>
      </c>
      <c r="H371" t="s">
        <v>490</v>
      </c>
    </row>
    <row r="372" spans="1:8" x14ac:dyDescent="0.45">
      <c r="A372" s="90">
        <v>0</v>
      </c>
      <c r="B372" s="90" t="s">
        <v>463</v>
      </c>
      <c r="C372" s="90">
        <v>2E-3</v>
      </c>
      <c r="D372" s="90">
        <v>8.0000000000000002E-3</v>
      </c>
      <c r="E372" s="90">
        <v>0.251</v>
      </c>
      <c r="F372" s="90">
        <v>0.80300000000000005</v>
      </c>
      <c r="G372" s="90">
        <v>-1.4E-2</v>
      </c>
      <c r="H372">
        <v>1.7999999999999999E-2</v>
      </c>
    </row>
    <row r="373" spans="1:8" x14ac:dyDescent="0.45">
      <c r="A373" s="90">
        <v>1</v>
      </c>
      <c r="B373" s="90" t="s">
        <v>457</v>
      </c>
      <c r="C373" s="90">
        <v>0.92500000000000004</v>
      </c>
      <c r="D373" s="90">
        <v>0.217</v>
      </c>
      <c r="E373" s="90">
        <v>4.2679999999999998</v>
      </c>
      <c r="F373" s="90">
        <v>0</v>
      </c>
      <c r="G373" s="90">
        <v>0.49099999999999999</v>
      </c>
      <c r="H373">
        <v>1.36</v>
      </c>
    </row>
    <row r="374" spans="1:8" x14ac:dyDescent="0.45">
      <c r="A374" s="90">
        <v>2</v>
      </c>
      <c r="B374" s="90" t="s">
        <v>458</v>
      </c>
      <c r="C374" s="90">
        <v>-8.3000000000000004E-2</v>
      </c>
      <c r="D374" s="90">
        <v>0.255</v>
      </c>
      <c r="E374" s="90">
        <v>-0.32700000000000001</v>
      </c>
      <c r="F374" s="90">
        <v>0.745</v>
      </c>
      <c r="G374" s="90">
        <v>-0.59299999999999997</v>
      </c>
      <c r="H374">
        <v>0.42699999999999999</v>
      </c>
    </row>
    <row r="375" spans="1:8" x14ac:dyDescent="0.45">
      <c r="A375" s="90">
        <v>3</v>
      </c>
      <c r="B375" s="90" t="s">
        <v>459</v>
      </c>
      <c r="C375" s="90">
        <v>1.2749999999999999</v>
      </c>
      <c r="D375" s="90">
        <v>0.20499999999999999</v>
      </c>
      <c r="E375" s="90">
        <v>6.2080000000000002</v>
      </c>
      <c r="F375" s="90">
        <v>0</v>
      </c>
      <c r="G375" s="90">
        <v>0.86399999999999999</v>
      </c>
      <c r="H375">
        <v>1.6870000000000001</v>
      </c>
    </row>
    <row r="376" spans="1:8" x14ac:dyDescent="0.45">
      <c r="A376" s="90">
        <v>4</v>
      </c>
      <c r="B376" s="90" t="s">
        <v>414</v>
      </c>
      <c r="C376" s="90">
        <v>1.7999999999999999E-2</v>
      </c>
      <c r="D376" s="90">
        <v>0.02</v>
      </c>
      <c r="E376" s="90">
        <v>0.92500000000000004</v>
      </c>
      <c r="F376" s="90">
        <v>0.35899999999999999</v>
      </c>
      <c r="G376" s="90">
        <v>-2.1000000000000001E-2</v>
      </c>
      <c r="H376">
        <v>5.8000000000000003E-2</v>
      </c>
    </row>
    <row r="378" spans="1:8" x14ac:dyDescent="0.45">
      <c r="A378" s="76" t="s">
        <v>491</v>
      </c>
    </row>
    <row r="379" spans="1:8" x14ac:dyDescent="0.45">
      <c r="A379" s="87"/>
      <c r="B379" s="87" t="s">
        <v>424</v>
      </c>
      <c r="C379" s="87" t="s">
        <v>465</v>
      </c>
      <c r="D379" s="87" t="s">
        <v>466</v>
      </c>
      <c r="E379" s="87" t="s">
        <v>425</v>
      </c>
      <c r="F379" t="s">
        <v>467</v>
      </c>
    </row>
    <row r="380" spans="1:8" x14ac:dyDescent="0.45">
      <c r="A380" s="87" t="s">
        <v>468</v>
      </c>
      <c r="B380" s="87">
        <v>4</v>
      </c>
      <c r="C380" s="87">
        <v>0.255</v>
      </c>
      <c r="D380" s="87">
        <v>6.4000000000000001E-2</v>
      </c>
      <c r="E380" s="87">
        <v>16.766999999999999</v>
      </c>
      <c r="F380">
        <v>0</v>
      </c>
    </row>
    <row r="381" spans="1:8" x14ac:dyDescent="0.45">
      <c r="A381" s="87" t="s">
        <v>469</v>
      </c>
      <c r="B381" s="87">
        <v>55</v>
      </c>
      <c r="C381" s="87">
        <v>0.20899999999999999</v>
      </c>
      <c r="D381" s="87">
        <v>4.0000000000000001E-3</v>
      </c>
      <c r="E381" s="87"/>
    </row>
    <row r="382" spans="1:8" x14ac:dyDescent="0.45">
      <c r="A382" s="87" t="s">
        <v>470</v>
      </c>
      <c r="B382" s="87">
        <v>59</v>
      </c>
      <c r="C382" s="87">
        <v>0.46500000000000002</v>
      </c>
      <c r="D382" s="87"/>
      <c r="E382" s="87"/>
    </row>
  </sheetData>
  <phoneticPr fontId="7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74F6C-DA38-4F64-BC2A-72EFD42C4C80}">
  <dimension ref="A1:L269"/>
  <sheetViews>
    <sheetView workbookViewId="0">
      <selection activeCell="L12" sqref="L12"/>
    </sheetView>
  </sheetViews>
  <sheetFormatPr defaultRowHeight="14.25" x14ac:dyDescent="0.45"/>
  <cols>
    <col min="1" max="1" width="12.06640625" style="3" bestFit="1" customWidth="1"/>
    <col min="2" max="3" width="12.33203125" style="68" bestFit="1" customWidth="1"/>
    <col min="5" max="5" width="14.33203125" customWidth="1"/>
    <col min="7" max="7" width="10" customWidth="1"/>
    <col min="9" max="9" width="29.33203125" bestFit="1" customWidth="1"/>
    <col min="10" max="10" width="18.33203125" bestFit="1" customWidth="1"/>
    <col min="11" max="11" width="9.06640625" style="47"/>
  </cols>
  <sheetData>
    <row r="1" spans="1:12" x14ac:dyDescent="0.45">
      <c r="A1" s="3" t="s">
        <v>0</v>
      </c>
      <c r="J1">
        <v>5.0999999999999996</v>
      </c>
      <c r="K1" s="47" t="s">
        <v>3</v>
      </c>
      <c r="L1" t="s">
        <v>386</v>
      </c>
    </row>
    <row r="2" spans="1:12" x14ac:dyDescent="0.45">
      <c r="A2" s="3" t="s">
        <v>1</v>
      </c>
      <c r="J2" t="s">
        <v>1414</v>
      </c>
      <c r="K2" s="47">
        <f>F9*52</f>
        <v>0.27858996161334743</v>
      </c>
      <c r="L2" s="47">
        <f t="shared" ref="L2" si="0">G9*52</f>
        <v>0.14942277004834015</v>
      </c>
    </row>
    <row r="3" spans="1:12" x14ac:dyDescent="0.45">
      <c r="A3" s="3" t="s">
        <v>5</v>
      </c>
      <c r="B3" s="68">
        <v>9</v>
      </c>
      <c r="J3" t="s">
        <v>1415</v>
      </c>
      <c r="K3" s="47">
        <f>F11*SQRT(52)</f>
        <v>0.35896947218377012</v>
      </c>
      <c r="L3" s="47">
        <f t="shared" ref="L3" si="1">G11*SQRT(52)</f>
        <v>0.16169248969138303</v>
      </c>
    </row>
    <row r="4" spans="1:12" x14ac:dyDescent="0.45">
      <c r="A4" s="3" t="s">
        <v>2</v>
      </c>
      <c r="B4" s="68">
        <v>269</v>
      </c>
      <c r="I4" t="s">
        <v>1417</v>
      </c>
      <c r="J4">
        <v>1</v>
      </c>
      <c r="K4" s="93">
        <f>($J4-K$2)/K$3</f>
        <v>2.009669607830427</v>
      </c>
      <c r="L4" s="93">
        <f t="shared" ref="L4:L6" si="2">($J4-L$2)/L$3</f>
        <v>5.2604621994201946</v>
      </c>
    </row>
    <row r="5" spans="1:12" x14ac:dyDescent="0.45">
      <c r="I5" t="s">
        <v>1416</v>
      </c>
      <c r="J5">
        <v>0</v>
      </c>
      <c r="K5" s="93">
        <f t="shared" ref="K5:K6" si="3">($J5-K$2)/K$3</f>
        <v>-0.77608260089238623</v>
      </c>
      <c r="L5" s="93">
        <f t="shared" si="2"/>
        <v>-0.9241169477539638</v>
      </c>
    </row>
    <row r="6" spans="1:12" x14ac:dyDescent="0.45">
      <c r="B6" s="68" t="s">
        <v>3</v>
      </c>
      <c r="C6" s="68" t="s">
        <v>386</v>
      </c>
      <c r="E6" t="s">
        <v>1413</v>
      </c>
      <c r="F6" t="s">
        <v>3</v>
      </c>
      <c r="G6" t="s">
        <v>386</v>
      </c>
      <c r="I6" s="63">
        <v>0.5</v>
      </c>
      <c r="J6">
        <v>0.5</v>
      </c>
      <c r="K6" s="93">
        <f t="shared" si="3"/>
        <v>0.61679350346902018</v>
      </c>
      <c r="L6" s="93">
        <f t="shared" si="2"/>
        <v>2.1681726258331153</v>
      </c>
    </row>
    <row r="7" spans="1:12" x14ac:dyDescent="0.45">
      <c r="A7" s="3" t="s">
        <v>4</v>
      </c>
      <c r="E7" t="str" cm="1">
        <f t="array" ref="E7:E17">_xlfn.XLOOKUP(E6,'1-W'!$X$8:$AI$8,'1-W'!$X$9:$AI$19)</f>
        <v>Min</v>
      </c>
      <c r="F7" s="68" cm="1">
        <f t="array" ref="F7:F17">_xlfn.XLOOKUP(F6,'1-W'!$X$8:$AI$8,'1-W'!$X$9:$AI$19)</f>
        <v>-0.19763758379366858</v>
      </c>
      <c r="G7" s="68" cm="1">
        <f t="array" ref="G7:G17">_xlfn.XLOOKUP(G6,'1-W'!$X$8:$AI$8,'1-W'!$X$9:$AI$19)</f>
        <v>-9.0599797471280108E-2</v>
      </c>
    </row>
    <row r="8" spans="1:12" x14ac:dyDescent="0.45">
      <c r="A8" s="3" t="s">
        <v>4</v>
      </c>
      <c r="B8" s="68" t="s">
        <v>398</v>
      </c>
      <c r="E8" t="str">
        <v>Max</v>
      </c>
      <c r="F8" s="68">
        <v>0.15800277543867258</v>
      </c>
      <c r="G8" s="68">
        <v>6.6110222389675677E-2</v>
      </c>
      <c r="I8" t="s">
        <v>1419</v>
      </c>
      <c r="J8">
        <v>1</v>
      </c>
      <c r="K8" s="47">
        <f>_xlfn.NORM.S.DIST(K4,1)</f>
        <v>0.97776691566565088</v>
      </c>
      <c r="L8" s="47">
        <f t="shared" ref="L8:L10" si="4">_xlfn.NORM.S.DIST(L4,1)</f>
        <v>0.99999992815312844</v>
      </c>
    </row>
    <row r="9" spans="1:12" x14ac:dyDescent="0.45">
      <c r="A9" s="3">
        <v>45968</v>
      </c>
      <c r="B9" s="68">
        <v>-2.2844924600495142E-2</v>
      </c>
      <c r="C9" s="68">
        <v>-1.6156793954615445E-2</v>
      </c>
      <c r="E9" t="str">
        <v xml:space="preserve">Mean </v>
      </c>
      <c r="F9" s="68">
        <v>5.3574992617951428E-3</v>
      </c>
      <c r="G9" s="68">
        <v>2.8735148086219257E-3</v>
      </c>
      <c r="J9">
        <v>0</v>
      </c>
      <c r="K9" s="47">
        <f t="shared" ref="K9" si="5">_xlfn.NORM.S.DIST(K5,1)</f>
        <v>0.21885010808642358</v>
      </c>
      <c r="L9" s="47">
        <f t="shared" si="4"/>
        <v>0.1777127151840617</v>
      </c>
    </row>
    <row r="10" spans="1:12" x14ac:dyDescent="0.45">
      <c r="A10" s="3">
        <v>45961</v>
      </c>
      <c r="B10" s="68">
        <v>9.4286038850390774E-3</v>
      </c>
      <c r="C10" s="68">
        <v>7.2089504322421227E-3</v>
      </c>
      <c r="E10" t="str">
        <v>Medium</v>
      </c>
      <c r="F10" s="68">
        <v>5.0756683387018775E-3</v>
      </c>
      <c r="G10" s="68">
        <v>4.4297329942891706E-3</v>
      </c>
      <c r="J10">
        <v>0.5</v>
      </c>
      <c r="K10" s="47">
        <f t="shared" ref="K10" si="6">_xlfn.NORM.S.DIST(K6,1)</f>
        <v>0.73131453120980883</v>
      </c>
      <c r="L10" s="47">
        <f t="shared" si="4"/>
        <v>0.98492722262566179</v>
      </c>
    </row>
    <row r="11" spans="1:12" x14ac:dyDescent="0.45">
      <c r="A11" s="3">
        <v>45954</v>
      </c>
      <c r="B11" s="68">
        <v>1.7923219241443133E-2</v>
      </c>
      <c r="C11" s="68">
        <v>1.9224728111935985E-2</v>
      </c>
      <c r="E11" t="str">
        <v>Standard Deviation</v>
      </c>
      <c r="F11" s="68">
        <v>4.9780109164801058E-2</v>
      </c>
      <c r="G11" s="68">
        <v>2.2422713939989004E-2</v>
      </c>
    </row>
    <row r="12" spans="1:12" x14ac:dyDescent="0.45">
      <c r="A12" s="3">
        <v>45947</v>
      </c>
      <c r="B12" s="68">
        <v>-1.3235965312642595E-2</v>
      </c>
      <c r="C12" s="68">
        <v>1.7096855014920864E-2</v>
      </c>
      <c r="E12" t="str">
        <v>Skewness</v>
      </c>
      <c r="F12" s="68">
        <v>-7.8221223909694146E-2</v>
      </c>
      <c r="G12" s="68">
        <v>-0.16692565548610025</v>
      </c>
      <c r="I12" t="s">
        <v>1418</v>
      </c>
      <c r="J12" t="s">
        <v>1420</v>
      </c>
      <c r="K12" s="47">
        <f>1-K8</f>
        <v>2.2233084334349118E-2</v>
      </c>
      <c r="L12" s="47">
        <f>1-L8</f>
        <v>7.1846871563252535E-8</v>
      </c>
    </row>
    <row r="13" spans="1:12" x14ac:dyDescent="0.45">
      <c r="A13" s="3">
        <v>45940</v>
      </c>
      <c r="B13" s="68">
        <v>-6.9243840271877577E-2</v>
      </c>
      <c r="C13" s="68">
        <v>-2.4144208591569738E-2</v>
      </c>
      <c r="E13" t="str">
        <v>Excesssive Kurtosis</v>
      </c>
      <c r="F13" s="68">
        <v>1.3432181033159072</v>
      </c>
      <c r="G13" s="68">
        <v>1.2901672001432392</v>
      </c>
      <c r="J13" t="s">
        <v>1421</v>
      </c>
      <c r="K13" s="47">
        <f>K9</f>
        <v>0.21885010808642358</v>
      </c>
      <c r="L13" s="47">
        <f>L9</f>
        <v>0.1777127151840617</v>
      </c>
    </row>
    <row r="14" spans="1:12" x14ac:dyDescent="0.45">
      <c r="A14" s="3">
        <v>45933</v>
      </c>
      <c r="B14" s="68">
        <v>-4.3866774979691381E-2</v>
      </c>
      <c r="C14" s="68">
        <v>1.1044323602237061E-2</v>
      </c>
      <c r="E14" t="str">
        <v>95% CI-Lower</v>
      </c>
      <c r="F14" s="68">
        <v>-9.2709315792862942E-2</v>
      </c>
      <c r="G14" s="68">
        <v>-4.129923165315641E-2</v>
      </c>
      <c r="J14" t="s">
        <v>1422</v>
      </c>
      <c r="K14" s="47">
        <f>K10</f>
        <v>0.73131453120980883</v>
      </c>
      <c r="L14" s="47">
        <f>L10</f>
        <v>0.98492722262566179</v>
      </c>
    </row>
    <row r="15" spans="1:12" x14ac:dyDescent="0.45">
      <c r="A15" s="3">
        <v>45926</v>
      </c>
      <c r="B15" s="68">
        <v>7.1366405570060909E-2</v>
      </c>
      <c r="C15" s="68">
        <v>-3.0132123189809956E-3</v>
      </c>
      <c r="E15" t="str">
        <v xml:space="preserve">                -Upper</v>
      </c>
      <c r="F15" s="68">
        <v>0.10342431431645323</v>
      </c>
      <c r="G15" s="68">
        <v>4.7046261270400264E-2</v>
      </c>
    </row>
    <row r="16" spans="1:12" x14ac:dyDescent="0.45">
      <c r="A16" s="3">
        <v>45919</v>
      </c>
      <c r="B16" s="68">
        <v>-5.5176890619929031E-3</v>
      </c>
      <c r="C16" s="68">
        <v>1.2369929550778869E-2</v>
      </c>
      <c r="E16" t="str">
        <v>T-Statistics (&gt;0)</v>
      </c>
      <c r="F16" s="68">
        <v>1.7353734517502144</v>
      </c>
      <c r="G16" s="68">
        <v>2.0663883143374844</v>
      </c>
    </row>
    <row r="17" spans="1:7" x14ac:dyDescent="0.45">
      <c r="A17" s="3">
        <v>45912</v>
      </c>
      <c r="B17" s="68">
        <v>-5.5944055944056048E-3</v>
      </c>
      <c r="C17" s="68">
        <v>1.5974255996635156E-2</v>
      </c>
      <c r="E17" t="str">
        <v>P value one tail</v>
      </c>
      <c r="F17" s="68">
        <v>0.95806794159675124</v>
      </c>
      <c r="G17" s="68">
        <v>0.98010700594795219</v>
      </c>
    </row>
    <row r="18" spans="1:7" x14ac:dyDescent="0.45">
      <c r="A18" s="3">
        <v>45905</v>
      </c>
      <c r="B18" s="68">
        <v>-6.0826513084773159E-2</v>
      </c>
      <c r="C18" s="68">
        <v>3.6006258742242725E-3</v>
      </c>
    </row>
    <row r="19" spans="1:7" x14ac:dyDescent="0.45">
      <c r="A19" s="3">
        <v>45898</v>
      </c>
      <c r="B19" s="68">
        <v>2.2628642281462996E-2</v>
      </c>
      <c r="C19" s="68">
        <v>-8.8907349367095545E-4</v>
      </c>
    </row>
    <row r="20" spans="1:7" x14ac:dyDescent="0.45">
      <c r="A20" s="3">
        <v>45891</v>
      </c>
      <c r="B20" s="68">
        <v>2.3585404547858291E-2</v>
      </c>
      <c r="C20" s="68">
        <v>2.9042170514637089E-3</v>
      </c>
    </row>
    <row r="21" spans="1:7" x14ac:dyDescent="0.45">
      <c r="A21" s="3">
        <v>45884</v>
      </c>
      <c r="B21" s="68">
        <v>1.5120845009996442E-2</v>
      </c>
      <c r="C21" s="68">
        <v>9.7447327498063618E-3</v>
      </c>
    </row>
    <row r="22" spans="1:7" x14ac:dyDescent="0.45">
      <c r="A22" s="3">
        <v>45877</v>
      </c>
      <c r="B22" s="68">
        <v>1.2397578592326708E-2</v>
      </c>
      <c r="C22" s="68">
        <v>2.4390948478772101E-2</v>
      </c>
    </row>
    <row r="23" spans="1:7" x14ac:dyDescent="0.45">
      <c r="A23" s="3">
        <v>45870</v>
      </c>
      <c r="B23" s="68">
        <v>-2.3064758082216863E-2</v>
      </c>
      <c r="C23" s="68">
        <v>-2.3488225652993133E-2</v>
      </c>
    </row>
    <row r="24" spans="1:7" x14ac:dyDescent="0.45">
      <c r="A24" s="3">
        <v>45863</v>
      </c>
      <c r="B24" s="68">
        <v>3.6119629632196615E-2</v>
      </c>
      <c r="C24" s="68">
        <v>1.4671413811980338E-2</v>
      </c>
    </row>
    <row r="25" spans="1:7" x14ac:dyDescent="0.45">
      <c r="A25" s="3">
        <v>45856</v>
      </c>
      <c r="B25" s="68">
        <v>-4.152288397558046E-2</v>
      </c>
      <c r="C25" s="68">
        <v>6.0360718597598506E-3</v>
      </c>
    </row>
    <row r="26" spans="1:7" x14ac:dyDescent="0.45">
      <c r="A26" s="3">
        <v>45849</v>
      </c>
      <c r="B26" s="68">
        <v>2.0602065361868815E-2</v>
      </c>
      <c r="C26" s="68">
        <v>-2.9974718781267118E-3</v>
      </c>
    </row>
    <row r="27" spans="1:7" x14ac:dyDescent="0.45">
      <c r="A27" s="3">
        <v>45841</v>
      </c>
      <c r="B27" s="68">
        <v>3.8926462968267961E-2</v>
      </c>
      <c r="C27" s="68">
        <v>1.7422949821900735E-2</v>
      </c>
    </row>
    <row r="28" spans="1:7" x14ac:dyDescent="0.45">
      <c r="A28" s="3">
        <v>45835</v>
      </c>
      <c r="B28" s="68">
        <v>-4.7734744648472383E-2</v>
      </c>
      <c r="C28" s="68">
        <v>3.4485258000124919E-2</v>
      </c>
    </row>
    <row r="29" spans="1:7" x14ac:dyDescent="0.45">
      <c r="A29" s="3">
        <v>45828</v>
      </c>
      <c r="B29" s="68">
        <v>-2.3411648070131519E-2</v>
      </c>
      <c r="C29" s="68">
        <v>-1.328311738147625E-3</v>
      </c>
    </row>
    <row r="30" spans="1:7" x14ac:dyDescent="0.45">
      <c r="A30" s="3">
        <v>45821</v>
      </c>
      <c r="B30" s="68">
        <v>0.11167155802186102</v>
      </c>
      <c r="C30" s="68">
        <v>-3.6818188876153179E-3</v>
      </c>
    </row>
    <row r="31" spans="1:7" x14ac:dyDescent="0.45">
      <c r="A31" s="3">
        <v>45814</v>
      </c>
      <c r="B31" s="68">
        <v>2.1909788892503723E-2</v>
      </c>
      <c r="C31" s="68">
        <v>1.5265138398753875E-2</v>
      </c>
    </row>
    <row r="32" spans="1:7" x14ac:dyDescent="0.45">
      <c r="A32" s="3">
        <v>45807</v>
      </c>
      <c r="B32" s="68">
        <v>1.8781444184055029E-3</v>
      </c>
      <c r="C32" s="68">
        <v>1.8905164495643056E-2</v>
      </c>
    </row>
    <row r="33" spans="1:3" x14ac:dyDescent="0.45">
      <c r="A33" s="3">
        <v>45800</v>
      </c>
      <c r="B33" s="68">
        <v>-7.0485503262867288E-2</v>
      </c>
      <c r="C33" s="68">
        <v>-2.5918017383150693E-2</v>
      </c>
    </row>
    <row r="34" spans="1:3" x14ac:dyDescent="0.45">
      <c r="A34" s="3">
        <v>45793</v>
      </c>
      <c r="B34" s="68">
        <v>4.334574060068852E-2</v>
      </c>
      <c r="C34" s="68">
        <v>5.3150454990796847E-2</v>
      </c>
    </row>
    <row r="35" spans="1:3" x14ac:dyDescent="0.45">
      <c r="A35" s="3">
        <v>45786</v>
      </c>
      <c r="B35" s="68">
        <v>-3.0849976178290217E-2</v>
      </c>
      <c r="C35" s="68">
        <v>-4.5324572124126883E-3</v>
      </c>
    </row>
    <row r="36" spans="1:3" x14ac:dyDescent="0.45">
      <c r="A36" s="3">
        <v>45779</v>
      </c>
      <c r="B36" s="68">
        <v>-3.3798637855139146E-3</v>
      </c>
      <c r="C36" s="68">
        <v>2.9327710594232226E-2</v>
      </c>
    </row>
    <row r="37" spans="1:3" x14ac:dyDescent="0.45">
      <c r="A37" s="3">
        <v>45772</v>
      </c>
      <c r="B37" s="68">
        <v>3.0793462618680101E-2</v>
      </c>
      <c r="C37" s="68">
        <v>4.6004331577510271E-2</v>
      </c>
    </row>
    <row r="38" spans="1:3" x14ac:dyDescent="0.45">
      <c r="A38" s="3">
        <v>45764</v>
      </c>
      <c r="B38" s="68">
        <v>2.9980315461096474E-2</v>
      </c>
      <c r="C38" s="68">
        <v>-1.49436195729028E-2</v>
      </c>
    </row>
    <row r="39" spans="1:3" x14ac:dyDescent="0.45">
      <c r="A39" s="3">
        <v>45758</v>
      </c>
      <c r="B39" s="68">
        <v>1.1588261093868901E-3</v>
      </c>
      <c r="C39" s="68">
        <v>5.7183891655689711E-2</v>
      </c>
    </row>
    <row r="40" spans="1:3" x14ac:dyDescent="0.45">
      <c r="A40" s="3">
        <v>45751</v>
      </c>
      <c r="B40" s="68">
        <v>-0.15707730145907273</v>
      </c>
      <c r="C40" s="68">
        <v>-9.0599797471280108E-2</v>
      </c>
    </row>
    <row r="41" spans="1:3" x14ac:dyDescent="0.45">
      <c r="A41" s="3">
        <v>45744</v>
      </c>
      <c r="B41" s="68">
        <v>4.4153110007749685E-3</v>
      </c>
      <c r="C41" s="68">
        <v>-1.5226804695582463E-2</v>
      </c>
    </row>
    <row r="42" spans="1:3" x14ac:dyDescent="0.45">
      <c r="A42" s="3">
        <v>45737</v>
      </c>
      <c r="B42" s="68">
        <v>3.0015150208827945E-2</v>
      </c>
      <c r="C42" s="68">
        <v>5.261849629941473E-3</v>
      </c>
    </row>
    <row r="43" spans="1:3" x14ac:dyDescent="0.45">
      <c r="A43" s="3">
        <v>45730</v>
      </c>
      <c r="B43" s="68">
        <v>9.1801853250143894E-2</v>
      </c>
      <c r="C43" s="68">
        <v>-2.2405266679060842E-2</v>
      </c>
    </row>
    <row r="44" spans="1:3" x14ac:dyDescent="0.45">
      <c r="A44" s="3">
        <v>45723</v>
      </c>
      <c r="B44" s="68">
        <v>-8.593043013108137E-2</v>
      </c>
      <c r="C44" s="68">
        <v>-3.0733136705343278E-2</v>
      </c>
    </row>
    <row r="45" spans="1:3" x14ac:dyDescent="0.45">
      <c r="A45" s="3">
        <v>45716</v>
      </c>
      <c r="B45" s="68">
        <v>1.2354479509786742E-2</v>
      </c>
      <c r="C45" s="68">
        <v>-9.6063931225980337E-3</v>
      </c>
    </row>
    <row r="46" spans="1:3" x14ac:dyDescent="0.45">
      <c r="A46" s="3">
        <v>45709</v>
      </c>
      <c r="B46" s="68">
        <v>1.7452701435097806E-2</v>
      </c>
      <c r="C46" s="68">
        <v>-1.636552230562327E-2</v>
      </c>
    </row>
    <row r="47" spans="1:3" x14ac:dyDescent="0.45">
      <c r="A47" s="3">
        <v>45702</v>
      </c>
      <c r="B47" s="68">
        <v>-1.34085004467277E-2</v>
      </c>
      <c r="C47" s="68">
        <v>1.5078845982875455E-2</v>
      </c>
    </row>
    <row r="48" spans="1:3" x14ac:dyDescent="0.45">
      <c r="A48" s="3">
        <v>45695</v>
      </c>
      <c r="B48" s="68">
        <v>-4.7556414509799527E-3</v>
      </c>
      <c r="C48" s="68">
        <v>-2.3065663349843835E-3</v>
      </c>
    </row>
    <row r="49" spans="1:3" x14ac:dyDescent="0.45">
      <c r="A49" s="3">
        <v>45688</v>
      </c>
      <c r="B49" s="68">
        <v>-2.9460910437362431E-2</v>
      </c>
      <c r="C49" s="68">
        <v>-9.8856310945081294E-3</v>
      </c>
    </row>
    <row r="50" spans="1:3" x14ac:dyDescent="0.45">
      <c r="A50" s="3">
        <v>45681</v>
      </c>
      <c r="B50" s="68">
        <v>-3.7978195631146461E-2</v>
      </c>
      <c r="C50" s="68">
        <v>1.7548198059642584E-2</v>
      </c>
    </row>
    <row r="51" spans="1:3" x14ac:dyDescent="0.45">
      <c r="A51" s="3">
        <v>45674</v>
      </c>
      <c r="B51" s="68">
        <v>3.8559655302123685E-2</v>
      </c>
      <c r="C51" s="68">
        <v>2.9209682041551277E-2</v>
      </c>
    </row>
    <row r="52" spans="1:3" x14ac:dyDescent="0.45">
      <c r="A52" s="3">
        <v>45667</v>
      </c>
      <c r="B52" s="68">
        <v>8.2104913264522406E-3</v>
      </c>
      <c r="C52" s="68">
        <v>-1.9213242655538032E-2</v>
      </c>
    </row>
    <row r="53" spans="1:3" x14ac:dyDescent="0.45">
      <c r="A53" s="3">
        <v>45660</v>
      </c>
      <c r="B53" s="68">
        <v>4.3025201658322798E-2</v>
      </c>
      <c r="C53" s="68">
        <v>-4.6031560904667979E-3</v>
      </c>
    </row>
    <row r="54" spans="1:3" x14ac:dyDescent="0.45">
      <c r="A54" s="3">
        <v>45653</v>
      </c>
      <c r="B54" s="68">
        <v>1.8923386016060029E-2</v>
      </c>
      <c r="C54" s="68">
        <v>6.9018803344551571E-3</v>
      </c>
    </row>
    <row r="55" spans="1:3" x14ac:dyDescent="0.45">
      <c r="A55" s="3">
        <v>45646</v>
      </c>
      <c r="B55" s="68">
        <v>-5.8404296048746862E-2</v>
      </c>
      <c r="C55" s="68">
        <v>-1.9716687865381499E-2</v>
      </c>
    </row>
    <row r="56" spans="1:3" x14ac:dyDescent="0.45">
      <c r="A56" s="3">
        <v>45639</v>
      </c>
      <c r="B56" s="68">
        <v>-2.131369768328728E-2</v>
      </c>
      <c r="C56" s="68">
        <v>-6.2236265832250615E-3</v>
      </c>
    </row>
    <row r="57" spans="1:3" x14ac:dyDescent="0.45">
      <c r="A57" s="3">
        <v>45632</v>
      </c>
      <c r="B57" s="68">
        <v>-4.7258601453016191E-2</v>
      </c>
      <c r="C57" s="68">
        <v>9.8306493613946611E-3</v>
      </c>
    </row>
    <row r="58" spans="1:3" x14ac:dyDescent="0.45">
      <c r="A58" s="3">
        <v>45625</v>
      </c>
      <c r="B58" s="68">
        <v>-3.0514509472398865E-2</v>
      </c>
      <c r="C58" s="68">
        <v>1.0725556716302487E-2</v>
      </c>
    </row>
    <row r="59" spans="1:3" x14ac:dyDescent="0.45">
      <c r="A59" s="3">
        <v>45618</v>
      </c>
      <c r="B59" s="68">
        <v>-5.0747578777846636E-3</v>
      </c>
      <c r="C59" s="68">
        <v>1.7094408144857187E-2</v>
      </c>
    </row>
    <row r="60" spans="1:3" x14ac:dyDescent="0.45">
      <c r="A60" s="3">
        <v>45611</v>
      </c>
      <c r="B60" s="68">
        <v>6.5417289793459066E-3</v>
      </c>
      <c r="C60" s="68">
        <v>-2.0590965551023577E-2</v>
      </c>
    </row>
    <row r="61" spans="1:3" x14ac:dyDescent="0.45">
      <c r="A61" s="3">
        <v>45604</v>
      </c>
      <c r="B61" s="68">
        <v>4.2004737951500726E-2</v>
      </c>
      <c r="C61" s="68">
        <v>4.6780825481404165E-2</v>
      </c>
    </row>
    <row r="62" spans="1:3" x14ac:dyDescent="0.45">
      <c r="A62" s="3">
        <v>45597</v>
      </c>
      <c r="B62" s="68">
        <v>3.1369550170755822E-2</v>
      </c>
      <c r="C62" s="68">
        <v>-1.3560800256616767E-2</v>
      </c>
    </row>
    <row r="63" spans="1:3" x14ac:dyDescent="0.45">
      <c r="A63" s="3">
        <v>45590</v>
      </c>
      <c r="B63" s="68">
        <v>-1.0504342668280042E-2</v>
      </c>
      <c r="C63" s="68">
        <v>-9.5960540317416854E-3</v>
      </c>
    </row>
    <row r="64" spans="1:3" x14ac:dyDescent="0.45">
      <c r="A64" s="3">
        <v>45583</v>
      </c>
      <c r="B64" s="68">
        <v>-4.362391748092953E-2</v>
      </c>
      <c r="C64" s="68">
        <v>8.6523077286020378E-3</v>
      </c>
    </row>
    <row r="65" spans="1:3" x14ac:dyDescent="0.45">
      <c r="A65" s="3">
        <v>45576</v>
      </c>
      <c r="B65" s="68">
        <v>-3.5358768284749043E-2</v>
      </c>
      <c r="C65" s="68">
        <v>1.1267864634847191E-2</v>
      </c>
    </row>
    <row r="66" spans="1:3" x14ac:dyDescent="0.45">
      <c r="A66" s="3">
        <v>45569</v>
      </c>
      <c r="B66" s="68">
        <v>9.3773832841935967E-2</v>
      </c>
      <c r="C66" s="68">
        <v>2.5217645383557308E-3</v>
      </c>
    </row>
    <row r="67" spans="1:3" x14ac:dyDescent="0.45">
      <c r="A67" s="3">
        <v>45562</v>
      </c>
      <c r="B67" s="68">
        <v>-4.6873533475719986E-2</v>
      </c>
      <c r="C67" s="68">
        <v>6.3259510899174032E-3</v>
      </c>
    </row>
    <row r="68" spans="1:3" x14ac:dyDescent="0.45">
      <c r="A68" s="3">
        <v>45555</v>
      </c>
      <c r="B68" s="68">
        <v>6.1545846445007601E-2</v>
      </c>
      <c r="C68" s="68">
        <v>1.3820146738957373E-2</v>
      </c>
    </row>
    <row r="69" spans="1:3" x14ac:dyDescent="0.45">
      <c r="A69" s="3">
        <v>45548</v>
      </c>
      <c r="B69" s="68">
        <v>-2.3769094880095265E-2</v>
      </c>
      <c r="C69" s="68">
        <v>4.0469470187510792E-2</v>
      </c>
    </row>
    <row r="70" spans="1:3" x14ac:dyDescent="0.45">
      <c r="A70" s="3">
        <v>45541</v>
      </c>
      <c r="B70" s="68">
        <v>-6.8283666305500201E-2</v>
      </c>
      <c r="C70" s="68">
        <v>-4.2281518834945131E-2</v>
      </c>
    </row>
    <row r="71" spans="1:3" x14ac:dyDescent="0.45">
      <c r="A71" s="3">
        <v>45534</v>
      </c>
      <c r="B71" s="68">
        <v>2.145420547238186E-2</v>
      </c>
      <c r="C71" s="68">
        <v>2.6564070412042895E-3</v>
      </c>
    </row>
    <row r="72" spans="1:3" x14ac:dyDescent="0.45">
      <c r="A72" s="3">
        <v>45527</v>
      </c>
      <c r="B72" s="68">
        <v>1.9787948727925109E-3</v>
      </c>
      <c r="C72" s="68">
        <v>1.4618876571602879E-2</v>
      </c>
    </row>
    <row r="73" spans="1:3" x14ac:dyDescent="0.45">
      <c r="A73" s="3">
        <v>45520</v>
      </c>
      <c r="B73" s="68">
        <v>3.106739106669032E-2</v>
      </c>
      <c r="C73" s="68">
        <v>3.9752742538921693E-2</v>
      </c>
    </row>
    <row r="74" spans="1:3" x14ac:dyDescent="0.45">
      <c r="A74" s="3">
        <v>45513</v>
      </c>
      <c r="B74" s="68">
        <v>2.6850757725664032E-2</v>
      </c>
      <c r="C74" s="68">
        <v>-2.9594478449979089E-4</v>
      </c>
    </row>
    <row r="75" spans="1:3" x14ac:dyDescent="0.45">
      <c r="A75" s="3">
        <v>45506</v>
      </c>
      <c r="B75" s="68">
        <v>-4.5913798627122415E-2</v>
      </c>
      <c r="C75" s="68">
        <v>-2.0513037581700977E-2</v>
      </c>
    </row>
    <row r="76" spans="1:3" x14ac:dyDescent="0.45">
      <c r="A76" s="3">
        <v>45499</v>
      </c>
      <c r="B76" s="68">
        <v>-3.0520343349543788E-2</v>
      </c>
      <c r="C76" s="68">
        <v>-8.2457730341276569E-3</v>
      </c>
    </row>
    <row r="77" spans="1:3" x14ac:dyDescent="0.45">
      <c r="A77" s="3">
        <v>45492</v>
      </c>
      <c r="B77" s="68">
        <v>1.0694679034650267E-2</v>
      </c>
      <c r="C77" s="68">
        <v>-1.9528267850026704E-2</v>
      </c>
    </row>
    <row r="78" spans="1:3" x14ac:dyDescent="0.45">
      <c r="A78" s="3">
        <v>45485</v>
      </c>
      <c r="B78" s="68">
        <v>5.2421623681895291E-3</v>
      </c>
      <c r="C78" s="68">
        <v>8.8011882763010529E-3</v>
      </c>
    </row>
    <row r="79" spans="1:3" x14ac:dyDescent="0.45">
      <c r="A79" s="3">
        <v>45478</v>
      </c>
      <c r="B79" s="68">
        <v>-1.5999275710307015E-2</v>
      </c>
      <c r="C79" s="68">
        <v>1.9700417129520531E-2</v>
      </c>
    </row>
    <row r="80" spans="1:3" x14ac:dyDescent="0.45">
      <c r="A80" s="3">
        <v>45471</v>
      </c>
      <c r="B80" s="68">
        <v>2.730369179926484E-2</v>
      </c>
      <c r="C80" s="68">
        <v>-6.1685757337559544E-4</v>
      </c>
    </row>
    <row r="81" spans="1:3" x14ac:dyDescent="0.45">
      <c r="A81" s="3">
        <v>45464</v>
      </c>
      <c r="B81" s="68">
        <v>1.7826132289496366E-2</v>
      </c>
      <c r="C81" s="68">
        <v>6.2294609924036237E-3</v>
      </c>
    </row>
    <row r="82" spans="1:3" x14ac:dyDescent="0.45">
      <c r="A82" s="3">
        <v>45457</v>
      </c>
      <c r="B82" s="68">
        <v>-2.3303566007879084E-2</v>
      </c>
      <c r="C82" s="68">
        <v>1.6089664539884474E-2</v>
      </c>
    </row>
    <row r="83" spans="1:3" x14ac:dyDescent="0.45">
      <c r="A83" s="3">
        <v>45450</v>
      </c>
      <c r="B83" s="68">
        <v>-3.8461490397927345E-2</v>
      </c>
      <c r="C83" s="68">
        <v>1.3437123215999991E-2</v>
      </c>
    </row>
    <row r="84" spans="1:3" x14ac:dyDescent="0.45">
      <c r="A84" s="3">
        <v>45443</v>
      </c>
      <c r="B84" s="68">
        <v>-6.5671670378741887E-3</v>
      </c>
      <c r="C84" s="68">
        <v>-4.9847478774939225E-3</v>
      </c>
    </row>
    <row r="85" spans="1:3" x14ac:dyDescent="0.45">
      <c r="A85" s="3">
        <v>45436</v>
      </c>
      <c r="B85" s="68">
        <v>-3.6644488535319097E-2</v>
      </c>
      <c r="C85" s="68">
        <v>4.0233217817231548E-4</v>
      </c>
    </row>
    <row r="86" spans="1:3" x14ac:dyDescent="0.45">
      <c r="A86" s="3">
        <v>45429</v>
      </c>
      <c r="B86" s="68">
        <v>-1.6405463643680562E-3</v>
      </c>
      <c r="C86" s="68">
        <v>1.5855009375842277E-2</v>
      </c>
    </row>
    <row r="87" spans="1:3" x14ac:dyDescent="0.45">
      <c r="A87" s="3">
        <v>45422</v>
      </c>
      <c r="B87" s="68">
        <v>3.726900548501666E-3</v>
      </c>
      <c r="C87" s="68">
        <v>1.8812358616937086E-2</v>
      </c>
    </row>
    <row r="88" spans="1:3" x14ac:dyDescent="0.45">
      <c r="A88" s="3">
        <v>45415</v>
      </c>
      <c r="B88" s="68">
        <v>-6.1501796364851646E-2</v>
      </c>
      <c r="C88" s="68">
        <v>5.568509472067662E-3</v>
      </c>
    </row>
    <row r="89" spans="1:3" x14ac:dyDescent="0.45">
      <c r="A89" s="3">
        <v>45408</v>
      </c>
      <c r="B89" s="68">
        <v>6.6470588996445645E-3</v>
      </c>
      <c r="C89" s="68">
        <v>2.6765292201754498E-2</v>
      </c>
    </row>
    <row r="90" spans="1:3" x14ac:dyDescent="0.45">
      <c r="A90" s="3">
        <v>45401</v>
      </c>
      <c r="B90" s="68">
        <v>-1.3871957419625436E-2</v>
      </c>
      <c r="C90" s="68">
        <v>-3.0398565305397085E-2</v>
      </c>
    </row>
    <row r="91" spans="1:3" x14ac:dyDescent="0.45">
      <c r="A91" s="3">
        <v>45394</v>
      </c>
      <c r="B91" s="68">
        <v>-1.7375661378978391E-2</v>
      </c>
      <c r="C91" s="68">
        <v>-1.532870798222663E-2</v>
      </c>
    </row>
    <row r="92" spans="1:3" x14ac:dyDescent="0.45">
      <c r="A92" s="3">
        <v>45387</v>
      </c>
      <c r="B92" s="68">
        <v>4.9025744327782173E-2</v>
      </c>
      <c r="C92" s="68">
        <v>-9.3741513009079069E-3</v>
      </c>
    </row>
    <row r="93" spans="1:3" x14ac:dyDescent="0.45">
      <c r="A93" s="3">
        <v>45379</v>
      </c>
      <c r="B93" s="68">
        <v>3.4544414350292429E-2</v>
      </c>
      <c r="C93" s="68">
        <v>3.9592018721958944E-3</v>
      </c>
    </row>
    <row r="94" spans="1:3" x14ac:dyDescent="0.45">
      <c r="A94" s="3">
        <v>45373</v>
      </c>
      <c r="B94" s="68">
        <v>2.4908387615939054E-2</v>
      </c>
      <c r="C94" s="68">
        <v>2.3036723753498078E-2</v>
      </c>
    </row>
    <row r="95" spans="1:3" x14ac:dyDescent="0.45">
      <c r="A95" s="3">
        <v>45366</v>
      </c>
      <c r="B95" s="68">
        <v>6.2300856570803864E-2</v>
      </c>
      <c r="C95" s="68">
        <v>-1.0396560923391363E-3</v>
      </c>
    </row>
    <row r="96" spans="1:3" x14ac:dyDescent="0.45">
      <c r="A96" s="3">
        <v>45359</v>
      </c>
      <c r="B96" s="68">
        <v>-1.0854261691487621E-2</v>
      </c>
      <c r="C96" s="68">
        <v>-2.3690029850995664E-3</v>
      </c>
    </row>
    <row r="97" spans="1:3" x14ac:dyDescent="0.45">
      <c r="A97" s="3">
        <v>45352</v>
      </c>
      <c r="B97" s="68">
        <v>2.448202582120329E-2</v>
      </c>
      <c r="C97" s="68">
        <v>9.7849640233411694E-3</v>
      </c>
    </row>
    <row r="98" spans="1:3" x14ac:dyDescent="0.45">
      <c r="A98" s="3">
        <v>45345</v>
      </c>
      <c r="B98" s="68">
        <v>8.5014841330202096E-3</v>
      </c>
      <c r="C98" s="68">
        <v>1.6737239085197864E-2</v>
      </c>
    </row>
    <row r="99" spans="1:3" x14ac:dyDescent="0.45">
      <c r="A99" s="3">
        <v>45338</v>
      </c>
      <c r="B99" s="68">
        <v>1.7881067862453026E-3</v>
      </c>
      <c r="C99" s="68">
        <v>-3.6956719085288192E-3</v>
      </c>
    </row>
    <row r="100" spans="1:3" x14ac:dyDescent="0.45">
      <c r="A100" s="3">
        <v>45331</v>
      </c>
      <c r="B100" s="68">
        <v>4.7907793000994126E-3</v>
      </c>
      <c r="C100" s="68">
        <v>1.3907275303434607E-2</v>
      </c>
    </row>
    <row r="101" spans="1:3" x14ac:dyDescent="0.45">
      <c r="A101" s="3">
        <v>45324</v>
      </c>
      <c r="B101" s="68">
        <v>-1.4256452389056373E-2</v>
      </c>
      <c r="C101" s="68">
        <v>1.3991800330693138E-2</v>
      </c>
    </row>
    <row r="102" spans="1:3" x14ac:dyDescent="0.45">
      <c r="A102" s="3">
        <v>45317</v>
      </c>
      <c r="B102" s="68">
        <v>4.0419073930432425E-2</v>
      </c>
      <c r="C102" s="68">
        <v>1.0633099300134452E-2</v>
      </c>
    </row>
    <row r="103" spans="1:3" x14ac:dyDescent="0.45">
      <c r="A103" s="3">
        <v>45310</v>
      </c>
      <c r="B103" s="68">
        <v>-3.4288285755526338E-2</v>
      </c>
      <c r="C103" s="68">
        <v>1.1825020680413578E-2</v>
      </c>
    </row>
    <row r="104" spans="1:3" x14ac:dyDescent="0.45">
      <c r="A104" s="3">
        <v>45303</v>
      </c>
      <c r="B104" s="68">
        <v>-4.1448607799333237E-2</v>
      </c>
      <c r="C104" s="68">
        <v>1.864510879179937E-2</v>
      </c>
    </row>
    <row r="105" spans="1:3" x14ac:dyDescent="0.45">
      <c r="A105" s="3">
        <v>45296</v>
      </c>
      <c r="B105" s="68">
        <v>3.9631308624865635E-3</v>
      </c>
      <c r="C105" s="68">
        <v>-1.507591786951834E-2</v>
      </c>
    </row>
    <row r="106" spans="1:3" x14ac:dyDescent="0.45">
      <c r="A106" s="3">
        <v>45289</v>
      </c>
      <c r="B106" s="68">
        <v>-1.3513523195927912E-2</v>
      </c>
      <c r="C106" s="68">
        <v>3.3705150737945999E-3</v>
      </c>
    </row>
    <row r="107" spans="1:3" x14ac:dyDescent="0.45">
      <c r="A107" s="3">
        <v>45282</v>
      </c>
      <c r="B107" s="68">
        <v>2.7239387436249318E-2</v>
      </c>
      <c r="C107" s="68">
        <v>7.6595112198400983E-3</v>
      </c>
    </row>
    <row r="108" spans="1:3" x14ac:dyDescent="0.45">
      <c r="A108" s="3">
        <v>45275</v>
      </c>
      <c r="B108" s="68">
        <v>2.2039800499147111E-2</v>
      </c>
      <c r="C108" s="68">
        <v>2.518795189788503E-2</v>
      </c>
    </row>
    <row r="109" spans="1:3" x14ac:dyDescent="0.45">
      <c r="A109" s="3">
        <v>45268</v>
      </c>
      <c r="B109" s="68">
        <v>-2.7423336352132788E-2</v>
      </c>
      <c r="C109" s="68">
        <v>2.2992957975604966E-3</v>
      </c>
    </row>
    <row r="110" spans="1:3" x14ac:dyDescent="0.45">
      <c r="A110" s="3">
        <v>45261</v>
      </c>
      <c r="B110" s="68">
        <v>-2.2512921228773353E-3</v>
      </c>
      <c r="C110" s="68">
        <v>8.1500175976112477E-3</v>
      </c>
    </row>
    <row r="111" spans="1:3" x14ac:dyDescent="0.45">
      <c r="A111" s="3">
        <v>45254</v>
      </c>
      <c r="B111" s="68">
        <v>7.8540911698445903E-3</v>
      </c>
      <c r="C111" s="68">
        <v>1.0181138882641383E-2</v>
      </c>
    </row>
    <row r="112" spans="1:3" x14ac:dyDescent="0.45">
      <c r="A112" s="3">
        <v>45247</v>
      </c>
      <c r="B112" s="68">
        <v>-3.8250863516404721E-3</v>
      </c>
      <c r="C112" s="68">
        <v>2.2882165261548071E-2</v>
      </c>
    </row>
    <row r="113" spans="1:3" x14ac:dyDescent="0.45">
      <c r="A113" s="3">
        <v>45240</v>
      </c>
      <c r="B113" s="68">
        <v>-3.4572067659886407E-2</v>
      </c>
      <c r="C113" s="68">
        <v>1.3371687575318703E-2</v>
      </c>
    </row>
    <row r="114" spans="1:3" x14ac:dyDescent="0.45">
      <c r="A114" s="3">
        <v>45233</v>
      </c>
      <c r="B114" s="68">
        <v>1.6553487306173009E-2</v>
      </c>
      <c r="C114" s="68">
        <v>5.8726646923001002E-2</v>
      </c>
    </row>
    <row r="115" spans="1:3" x14ac:dyDescent="0.45">
      <c r="A115" s="3">
        <v>45226</v>
      </c>
      <c r="B115" s="68">
        <v>-5.0459475705194823E-2</v>
      </c>
      <c r="C115" s="68">
        <v>-2.5237891387655753E-2</v>
      </c>
    </row>
    <row r="116" spans="1:3" x14ac:dyDescent="0.45">
      <c r="A116" s="3">
        <v>45219</v>
      </c>
      <c r="B116" s="68">
        <v>-6.4071288225201473E-3</v>
      </c>
      <c r="C116" s="68">
        <v>-2.3843210731680831E-2</v>
      </c>
    </row>
    <row r="117" spans="1:3" x14ac:dyDescent="0.45">
      <c r="A117" s="3">
        <v>45212</v>
      </c>
      <c r="B117" s="68">
        <v>8.2632414381147878E-2</v>
      </c>
      <c r="C117" s="68">
        <v>4.6009620262048578E-3</v>
      </c>
    </row>
    <row r="118" spans="1:3" x14ac:dyDescent="0.45">
      <c r="A118" s="3">
        <v>45205</v>
      </c>
      <c r="B118" s="68">
        <v>-3.7312192512896303E-2</v>
      </c>
      <c r="C118" s="68">
        <v>5.0706205823944916E-3</v>
      </c>
    </row>
    <row r="119" spans="1:3" x14ac:dyDescent="0.45">
      <c r="A119" s="3">
        <v>45198</v>
      </c>
      <c r="B119" s="68">
        <v>1.0417128189150304E-2</v>
      </c>
      <c r="C119" s="68">
        <v>-7.2252153429870347E-3</v>
      </c>
    </row>
    <row r="120" spans="1:3" x14ac:dyDescent="0.45">
      <c r="A120" s="3">
        <v>45191</v>
      </c>
      <c r="B120" s="68">
        <v>-3.5688253274876014E-2</v>
      </c>
      <c r="C120" s="68">
        <v>-2.9180748826766911E-2</v>
      </c>
    </row>
    <row r="121" spans="1:3" x14ac:dyDescent="0.45">
      <c r="A121" s="3">
        <v>45184</v>
      </c>
      <c r="B121" s="68">
        <v>6.9263612681651487E-3</v>
      </c>
      <c r="C121" s="68">
        <v>-1.3508728548334847E-3</v>
      </c>
    </row>
    <row r="122" spans="1:3" x14ac:dyDescent="0.45">
      <c r="A122" s="3">
        <v>45177</v>
      </c>
      <c r="B122" s="68">
        <v>4.7485807374196831E-3</v>
      </c>
      <c r="C122" s="68">
        <v>-1.2713438917331343E-2</v>
      </c>
    </row>
    <row r="123" spans="1:3" x14ac:dyDescent="0.45">
      <c r="A123" s="3">
        <v>45170</v>
      </c>
      <c r="B123" s="68">
        <v>4.8232137785540807E-2</v>
      </c>
      <c r="C123" s="68">
        <v>2.533429163807277E-2</v>
      </c>
    </row>
    <row r="124" spans="1:3" x14ac:dyDescent="0.45">
      <c r="A124" s="3">
        <v>45163</v>
      </c>
      <c r="B124" s="68">
        <v>-6.56493527766977E-3</v>
      </c>
      <c r="C124" s="68">
        <v>8.3794830304828594E-3</v>
      </c>
    </row>
    <row r="125" spans="1:3" x14ac:dyDescent="0.45">
      <c r="A125" s="3">
        <v>45156</v>
      </c>
      <c r="B125" s="68">
        <v>-8.0852701079159317E-5</v>
      </c>
      <c r="C125" s="68">
        <v>-2.0696061838822333E-2</v>
      </c>
    </row>
    <row r="126" spans="1:3" x14ac:dyDescent="0.45">
      <c r="A126" s="3">
        <v>45149</v>
      </c>
      <c r="B126" s="68">
        <v>3.6056613613302035E-2</v>
      </c>
      <c r="C126" s="68">
        <v>-2.8499421566982042E-3</v>
      </c>
    </row>
    <row r="127" spans="1:3" x14ac:dyDescent="0.45">
      <c r="A127" s="3">
        <v>45142</v>
      </c>
      <c r="B127" s="68">
        <v>-1.91494370760803E-2</v>
      </c>
      <c r="C127" s="68">
        <v>-2.2612656334219938E-2</v>
      </c>
    </row>
    <row r="128" spans="1:3" x14ac:dyDescent="0.45">
      <c r="A128" s="3">
        <v>45135</v>
      </c>
      <c r="B128" s="68">
        <v>2.692887065583216E-2</v>
      </c>
      <c r="C128" s="68">
        <v>1.0267512365327303E-2</v>
      </c>
    </row>
    <row r="129" spans="1:3" x14ac:dyDescent="0.45">
      <c r="A129" s="3">
        <v>45128</v>
      </c>
      <c r="B129" s="68">
        <v>5.4159995280157247E-2</v>
      </c>
      <c r="C129" s="68">
        <v>6.9436735440371322E-3</v>
      </c>
    </row>
    <row r="130" spans="1:3" x14ac:dyDescent="0.45">
      <c r="A130" s="3">
        <v>45121</v>
      </c>
      <c r="B130" s="68">
        <v>3.7392290871733902E-2</v>
      </c>
      <c r="C130" s="68">
        <v>2.4335573302981528E-2</v>
      </c>
    </row>
    <row r="131" spans="1:3" x14ac:dyDescent="0.45">
      <c r="A131" s="3">
        <v>45114</v>
      </c>
      <c r="B131" s="68">
        <v>-3.667651317443732E-3</v>
      </c>
      <c r="C131" s="68">
        <v>-1.1269945601929066E-2</v>
      </c>
    </row>
    <row r="132" spans="1:3" x14ac:dyDescent="0.45">
      <c r="A132" s="3">
        <v>45107</v>
      </c>
      <c r="B132" s="68">
        <v>3.7552578781055557E-2</v>
      </c>
      <c r="C132" s="68">
        <v>2.3593239997386828E-2</v>
      </c>
    </row>
    <row r="133" spans="1:3" x14ac:dyDescent="0.45">
      <c r="A133" s="3">
        <v>45100</v>
      </c>
      <c r="B133" s="68">
        <v>-4.2508556294828415E-2</v>
      </c>
      <c r="C133" s="68">
        <v>-1.3776488866490189E-2</v>
      </c>
    </row>
    <row r="134" spans="1:3" x14ac:dyDescent="0.45">
      <c r="A134" s="3">
        <v>45093</v>
      </c>
      <c r="B134" s="68">
        <v>9.9143770579253054E-3</v>
      </c>
      <c r="C134" s="68">
        <v>2.6095867837642173E-2</v>
      </c>
    </row>
    <row r="135" spans="1:3" x14ac:dyDescent="0.45">
      <c r="A135" s="3">
        <v>45086</v>
      </c>
      <c r="B135" s="68">
        <v>1.5046362091809096E-2</v>
      </c>
      <c r="C135" s="68">
        <v>4.0010909591263744E-3</v>
      </c>
    </row>
    <row r="136" spans="1:3" x14ac:dyDescent="0.45">
      <c r="A136" s="3">
        <v>45079</v>
      </c>
      <c r="B136" s="68">
        <v>4.9091743092142259E-3</v>
      </c>
      <c r="C136" s="68">
        <v>1.865685807571027E-2</v>
      </c>
    </row>
    <row r="137" spans="1:3" x14ac:dyDescent="0.45">
      <c r="A137" s="3">
        <v>45072</v>
      </c>
      <c r="B137" s="68">
        <v>-7.3099848898815489E-3</v>
      </c>
      <c r="C137" s="68">
        <v>3.3925834662913434E-3</v>
      </c>
    </row>
    <row r="138" spans="1:3" x14ac:dyDescent="0.45">
      <c r="A138" s="3">
        <v>45065</v>
      </c>
      <c r="B138" s="68">
        <v>3.7201871319088475E-2</v>
      </c>
      <c r="C138" s="68">
        <v>1.6881461255058516E-2</v>
      </c>
    </row>
    <row r="139" spans="1:3" x14ac:dyDescent="0.45">
      <c r="A139" s="3">
        <v>45058</v>
      </c>
      <c r="B139" s="68">
        <v>-9.365362215117301E-3</v>
      </c>
      <c r="C139" s="68">
        <v>-2.5560641170973009E-3</v>
      </c>
    </row>
    <row r="140" spans="1:3" x14ac:dyDescent="0.45">
      <c r="A140" s="3">
        <v>45051</v>
      </c>
      <c r="B140" s="68">
        <v>-2.4492170402206082E-2</v>
      </c>
      <c r="C140" s="68">
        <v>-7.8390657386039342E-3</v>
      </c>
    </row>
    <row r="141" spans="1:3" x14ac:dyDescent="0.45">
      <c r="A141" s="3">
        <v>45044</v>
      </c>
      <c r="B141" s="68">
        <v>6.1607386374447071E-3</v>
      </c>
      <c r="C141" s="68">
        <v>8.8262582822318247E-3</v>
      </c>
    </row>
    <row r="142" spans="1:3" x14ac:dyDescent="0.45">
      <c r="A142" s="3">
        <v>45037</v>
      </c>
      <c r="B142" s="68">
        <v>-5.751148870776901E-2</v>
      </c>
      <c r="C142" s="68">
        <v>-8.9543126431512743E-4</v>
      </c>
    </row>
    <row r="143" spans="1:3" x14ac:dyDescent="0.45">
      <c r="A143" s="3">
        <v>45030</v>
      </c>
      <c r="B143" s="68">
        <v>2.1080306311517694E-2</v>
      </c>
      <c r="C143" s="68">
        <v>8.0894659545189818E-3</v>
      </c>
    </row>
    <row r="144" spans="1:3" x14ac:dyDescent="0.45">
      <c r="A144" s="3">
        <v>45022</v>
      </c>
      <c r="B144" s="68">
        <v>7.1061436638260478E-2</v>
      </c>
      <c r="C144" s="68">
        <v>-7.4602579557470072E-4</v>
      </c>
    </row>
    <row r="145" spans="1:3" x14ac:dyDescent="0.45">
      <c r="A145" s="3">
        <v>45016</v>
      </c>
      <c r="B145" s="68">
        <v>4.6048673757618674E-2</v>
      </c>
      <c r="C145" s="68">
        <v>3.4976150791827365E-2</v>
      </c>
    </row>
    <row r="146" spans="1:3" x14ac:dyDescent="0.45">
      <c r="A146" s="3">
        <v>45009</v>
      </c>
      <c r="B146" s="68">
        <v>1.101808852706232E-2</v>
      </c>
      <c r="C146" s="68">
        <v>1.4053211568034962E-2</v>
      </c>
    </row>
    <row r="147" spans="1:3" x14ac:dyDescent="0.45">
      <c r="A147" s="3">
        <v>45002</v>
      </c>
      <c r="B147" s="68">
        <v>-9.4319613665806989E-2</v>
      </c>
      <c r="C147" s="68">
        <v>1.4586050305973153E-2</v>
      </c>
    </row>
    <row r="148" spans="1:3" x14ac:dyDescent="0.45">
      <c r="A148" s="3">
        <v>44995</v>
      </c>
      <c r="B148" s="68">
        <v>-4.0684904323288529E-2</v>
      </c>
      <c r="C148" s="68">
        <v>-4.5228709404543044E-2</v>
      </c>
    </row>
    <row r="149" spans="1:3" x14ac:dyDescent="0.45">
      <c r="A149" s="3">
        <v>44988</v>
      </c>
      <c r="B149" s="68">
        <v>3.2209091896513886E-2</v>
      </c>
      <c r="C149" s="68">
        <v>1.9415761412130861E-2</v>
      </c>
    </row>
    <row r="150" spans="1:3" x14ac:dyDescent="0.45">
      <c r="A150" s="3">
        <v>44981</v>
      </c>
      <c r="B150" s="68">
        <v>1.0852814082551676E-2</v>
      </c>
      <c r="C150" s="68">
        <v>-2.6631633761203366E-2</v>
      </c>
    </row>
    <row r="151" spans="1:3" x14ac:dyDescent="0.45">
      <c r="A151" s="3">
        <v>44974</v>
      </c>
      <c r="B151" s="68">
        <v>-9.1051904019714192E-2</v>
      </c>
      <c r="C151" s="68">
        <v>-2.2180898748956901E-3</v>
      </c>
    </row>
    <row r="152" spans="1:3" x14ac:dyDescent="0.45">
      <c r="A152" s="3">
        <v>44967</v>
      </c>
      <c r="B152" s="68">
        <v>6.4286302598501877E-2</v>
      </c>
      <c r="C152" s="68">
        <v>-1.0797304583568312E-2</v>
      </c>
    </row>
    <row r="153" spans="1:3" x14ac:dyDescent="0.45">
      <c r="A153" s="3">
        <v>44960</v>
      </c>
      <c r="B153" s="68">
        <v>-0.12539432992219335</v>
      </c>
      <c r="C153" s="68">
        <v>1.6349441594833758E-2</v>
      </c>
    </row>
    <row r="154" spans="1:3" x14ac:dyDescent="0.45">
      <c r="A154" s="3">
        <v>44953</v>
      </c>
      <c r="B154" s="68">
        <v>1.486040684608847E-2</v>
      </c>
      <c r="C154" s="68">
        <v>2.4744249477257174E-2</v>
      </c>
    </row>
    <row r="155" spans="1:3" x14ac:dyDescent="0.45">
      <c r="A155" s="3">
        <v>44946</v>
      </c>
      <c r="B155" s="68">
        <v>2.7166895890724518E-3</v>
      </c>
      <c r="C155" s="68">
        <v>-6.5173079067789574E-3</v>
      </c>
    </row>
    <row r="156" spans="1:3" x14ac:dyDescent="0.45">
      <c r="A156" s="3">
        <v>44939</v>
      </c>
      <c r="B156" s="68">
        <v>2.7404240360596965E-2</v>
      </c>
      <c r="C156" s="68">
        <v>2.6965637657829333E-2</v>
      </c>
    </row>
    <row r="157" spans="1:3" x14ac:dyDescent="0.45">
      <c r="A157" s="3">
        <v>44932</v>
      </c>
      <c r="B157" s="68">
        <v>1.9491980760975025E-3</v>
      </c>
      <c r="C157" s="68">
        <v>1.4664858348324206E-2</v>
      </c>
    </row>
    <row r="158" spans="1:3" x14ac:dyDescent="0.45">
      <c r="A158" s="3">
        <v>44925</v>
      </c>
      <c r="B158" s="68">
        <v>8.1161066881922928E-3</v>
      </c>
      <c r="C158" s="68">
        <v>-1.1882179700399842E-3</v>
      </c>
    </row>
    <row r="159" spans="1:3" x14ac:dyDescent="0.45">
      <c r="A159" s="3">
        <v>44918</v>
      </c>
      <c r="B159" s="68">
        <v>6.646378076536541E-2</v>
      </c>
      <c r="C159" s="68">
        <v>-1.7687204917247179E-3</v>
      </c>
    </row>
    <row r="160" spans="1:3" x14ac:dyDescent="0.45">
      <c r="A160" s="3">
        <v>44911</v>
      </c>
      <c r="B160" s="68">
        <v>3.8175337956263267E-3</v>
      </c>
      <c r="C160" s="68">
        <v>-2.058093338026179E-2</v>
      </c>
    </row>
    <row r="161" spans="1:3" x14ac:dyDescent="0.45">
      <c r="A161" s="3">
        <v>44904</v>
      </c>
      <c r="B161" s="68">
        <v>-9.9525337982535267E-2</v>
      </c>
      <c r="C161" s="68">
        <v>-3.3550552939298761E-2</v>
      </c>
    </row>
    <row r="162" spans="1:3" x14ac:dyDescent="0.45">
      <c r="A162" s="3">
        <v>44897</v>
      </c>
      <c r="B162" s="68">
        <v>-3.6511269434768345E-2</v>
      </c>
      <c r="C162" s="68">
        <v>1.1749017033880316E-2</v>
      </c>
    </row>
    <row r="163" spans="1:3" x14ac:dyDescent="0.45">
      <c r="A163" s="3">
        <v>44890</v>
      </c>
      <c r="B163" s="68">
        <v>-1.3842424967832723E-2</v>
      </c>
      <c r="C163" s="68">
        <v>1.5483838125715632E-2</v>
      </c>
    </row>
    <row r="164" spans="1:3" x14ac:dyDescent="0.45">
      <c r="A164" s="3">
        <v>44883</v>
      </c>
      <c r="B164" s="68">
        <v>-3.6418172591508924E-2</v>
      </c>
      <c r="C164" s="68">
        <v>-6.3747255216443088E-3</v>
      </c>
    </row>
    <row r="165" spans="1:3" x14ac:dyDescent="0.45">
      <c r="A165" s="3">
        <v>44876</v>
      </c>
      <c r="B165" s="68">
        <v>1.2394212831372986E-2</v>
      </c>
      <c r="C165" s="68">
        <v>5.9213720860015417E-2</v>
      </c>
    </row>
    <row r="166" spans="1:3" x14ac:dyDescent="0.45">
      <c r="A166" s="3">
        <v>44869</v>
      </c>
      <c r="B166" s="68">
        <v>4.0496997122475564E-2</v>
      </c>
      <c r="C166" s="68">
        <v>-3.3189338520817957E-2</v>
      </c>
    </row>
    <row r="167" spans="1:3" x14ac:dyDescent="0.45">
      <c r="A167" s="3">
        <v>44862</v>
      </c>
      <c r="B167" s="68">
        <v>2.1527753707448749E-2</v>
      </c>
      <c r="C167" s="68">
        <v>3.9618267684388364E-2</v>
      </c>
    </row>
    <row r="168" spans="1:3" x14ac:dyDescent="0.45">
      <c r="A168" s="3">
        <v>44855</v>
      </c>
      <c r="B168" s="68">
        <v>5.5357769676321888E-2</v>
      </c>
      <c r="C168" s="68">
        <v>4.7467541424265791E-2</v>
      </c>
    </row>
    <row r="169" spans="1:3" x14ac:dyDescent="0.45">
      <c r="A169" s="3">
        <v>44848</v>
      </c>
      <c r="B169" s="68">
        <v>-4.6409602032866371E-3</v>
      </c>
      <c r="C169" s="68">
        <v>-1.5402970514753922E-2</v>
      </c>
    </row>
    <row r="170" spans="1:3" x14ac:dyDescent="0.45">
      <c r="A170" s="3">
        <v>44841</v>
      </c>
      <c r="B170" s="68">
        <v>0.15800277543867258</v>
      </c>
      <c r="C170" s="68">
        <v>1.5412228886733992E-2</v>
      </c>
    </row>
    <row r="171" spans="1:3" x14ac:dyDescent="0.45">
      <c r="A171" s="3">
        <v>44834</v>
      </c>
      <c r="B171" s="68">
        <v>3.2027099048343777E-2</v>
      </c>
      <c r="C171" s="68">
        <v>-2.8923520146834525E-2</v>
      </c>
    </row>
    <row r="172" spans="1:3" x14ac:dyDescent="0.45">
      <c r="A172" s="3">
        <v>44827</v>
      </c>
      <c r="B172" s="68">
        <v>-0.11084593051129243</v>
      </c>
      <c r="C172" s="68">
        <v>-4.6392255316787367E-2</v>
      </c>
    </row>
    <row r="173" spans="1:3" x14ac:dyDescent="0.45">
      <c r="A173" s="3">
        <v>44820</v>
      </c>
      <c r="B173" s="68">
        <v>1.0359940005666646E-2</v>
      </c>
      <c r="C173" s="68">
        <v>-4.7425081252051915E-2</v>
      </c>
    </row>
    <row r="174" spans="1:3" x14ac:dyDescent="0.45">
      <c r="A174" s="3">
        <v>44813</v>
      </c>
      <c r="B174" s="68">
        <v>1.5508769763899366E-2</v>
      </c>
      <c r="C174" s="68">
        <v>3.6674188663156304E-2</v>
      </c>
    </row>
    <row r="175" spans="1:3" x14ac:dyDescent="0.45">
      <c r="A175" s="3">
        <v>44806</v>
      </c>
      <c r="B175" s="68">
        <v>-1.6589292965418112E-2</v>
      </c>
      <c r="C175" s="68">
        <v>-3.2481344873652396E-2</v>
      </c>
    </row>
    <row r="176" spans="1:3" x14ac:dyDescent="0.45">
      <c r="A176" s="3">
        <v>44799</v>
      </c>
      <c r="B176" s="68">
        <v>6.6387646539867173E-2</v>
      </c>
      <c r="C176" s="68">
        <v>-4.0269028458777889E-2</v>
      </c>
    </row>
    <row r="177" spans="1:3" x14ac:dyDescent="0.45">
      <c r="A177" s="3">
        <v>44792</v>
      </c>
      <c r="B177" s="68">
        <v>2.7861911555421059E-2</v>
      </c>
      <c r="C177" s="68">
        <v>-1.1764342655660842E-2</v>
      </c>
    </row>
    <row r="178" spans="1:3" x14ac:dyDescent="0.45">
      <c r="A178" s="3">
        <v>44785</v>
      </c>
      <c r="B178" s="68">
        <v>0.10662363651601114</v>
      </c>
      <c r="C178" s="68">
        <v>3.2934740344742197E-2</v>
      </c>
    </row>
    <row r="179" spans="1:3" x14ac:dyDescent="0.45">
      <c r="A179" s="3">
        <v>44778</v>
      </c>
      <c r="B179" s="68">
        <v>-4.7008144539022356E-2</v>
      </c>
      <c r="C179" s="68">
        <v>3.7781877958282806E-3</v>
      </c>
    </row>
    <row r="180" spans="1:3" x14ac:dyDescent="0.45">
      <c r="A180" s="3">
        <v>44771</v>
      </c>
      <c r="B180" s="68">
        <v>0.10552598653176837</v>
      </c>
      <c r="C180" s="68">
        <v>4.2753948325353841E-2</v>
      </c>
    </row>
    <row r="181" spans="1:3" x14ac:dyDescent="0.45">
      <c r="A181" s="3">
        <v>44764</v>
      </c>
      <c r="B181" s="68">
        <v>6.3216238189340412E-2</v>
      </c>
      <c r="C181" s="68">
        <v>2.5602285777604594E-2</v>
      </c>
    </row>
    <row r="182" spans="1:3" x14ac:dyDescent="0.45">
      <c r="A182" s="3">
        <v>44757</v>
      </c>
      <c r="B182" s="68">
        <v>-4.129072936767364E-2</v>
      </c>
      <c r="C182" s="68">
        <v>-9.1594491908414399E-3</v>
      </c>
    </row>
    <row r="183" spans="1:3" x14ac:dyDescent="0.45">
      <c r="A183" s="3">
        <v>44750</v>
      </c>
      <c r="B183" s="68">
        <v>-4.96812636782481E-2</v>
      </c>
      <c r="C183" s="68">
        <v>1.9638650176568184E-2</v>
      </c>
    </row>
    <row r="184" spans="1:3" x14ac:dyDescent="0.45">
      <c r="A184" s="3">
        <v>44743</v>
      </c>
      <c r="B184" s="68">
        <v>8.5356205346018843E-3</v>
      </c>
      <c r="C184" s="68">
        <v>-2.1871688678691714E-2</v>
      </c>
    </row>
    <row r="185" spans="1:3" x14ac:dyDescent="0.45">
      <c r="A185" s="3">
        <v>44736</v>
      </c>
      <c r="B185" s="68">
        <v>-3.0189860755078901E-2</v>
      </c>
      <c r="C185" s="68">
        <v>6.4564495940067967E-2</v>
      </c>
    </row>
    <row r="186" spans="1:3" x14ac:dyDescent="0.45">
      <c r="A186" s="3">
        <v>44729</v>
      </c>
      <c r="B186" s="68">
        <v>-0.19763758379366858</v>
      </c>
      <c r="C186" s="68">
        <v>-5.7601845661880868E-2</v>
      </c>
    </row>
    <row r="187" spans="1:3" x14ac:dyDescent="0.45">
      <c r="A187" s="3">
        <v>44722</v>
      </c>
      <c r="B187" s="68">
        <v>-1.0921055093113696E-2</v>
      </c>
      <c r="C187" s="68">
        <v>-5.0413080711929736E-2</v>
      </c>
    </row>
    <row r="188" spans="1:3" x14ac:dyDescent="0.45">
      <c r="A188" s="3">
        <v>44715</v>
      </c>
      <c r="B188" s="68">
        <v>3.0715485312242441E-2</v>
      </c>
      <c r="C188" s="68">
        <v>-1.1652810924542401E-2</v>
      </c>
    </row>
    <row r="189" spans="1:3" x14ac:dyDescent="0.45">
      <c r="A189" s="3">
        <v>44708</v>
      </c>
      <c r="B189" s="68">
        <v>9.1220716821605707E-2</v>
      </c>
      <c r="C189" s="68">
        <v>6.6110222389675677E-2</v>
      </c>
    </row>
    <row r="190" spans="1:3" x14ac:dyDescent="0.45">
      <c r="A190" s="3">
        <v>44701</v>
      </c>
      <c r="B190" s="68">
        <v>2.5085358132505231E-2</v>
      </c>
      <c r="C190" s="68">
        <v>-3.0131946583711211E-2</v>
      </c>
    </row>
    <row r="191" spans="1:3" x14ac:dyDescent="0.45">
      <c r="A191" s="3">
        <v>44694</v>
      </c>
      <c r="B191" s="68">
        <v>-4.4386654248927071E-2</v>
      </c>
      <c r="C191" s="68">
        <v>-2.3717123554790165E-2</v>
      </c>
    </row>
    <row r="192" spans="1:3" x14ac:dyDescent="0.45">
      <c r="A192" s="3">
        <v>44687</v>
      </c>
      <c r="B192" s="68">
        <v>0.12740787895962513</v>
      </c>
      <c r="C192" s="68">
        <v>-1.8858467246889443E-3</v>
      </c>
    </row>
    <row r="193" spans="1:3" x14ac:dyDescent="0.45">
      <c r="A193" s="3">
        <v>44680</v>
      </c>
      <c r="B193" s="68">
        <v>-5.1036443983273339E-3</v>
      </c>
      <c r="C193" s="68">
        <v>-3.2626551728956343E-2</v>
      </c>
    </row>
    <row r="194" spans="1:3" x14ac:dyDescent="0.45">
      <c r="A194" s="3">
        <v>44673</v>
      </c>
      <c r="B194" s="68">
        <v>-5.2875539796401028E-2</v>
      </c>
      <c r="C194" s="68">
        <v>-2.7417429420805273E-2</v>
      </c>
    </row>
    <row r="195" spans="1:3" x14ac:dyDescent="0.45">
      <c r="A195" s="3">
        <v>44665</v>
      </c>
      <c r="B195" s="68">
        <v>-1.6302827196769787E-2</v>
      </c>
      <c r="C195" s="68">
        <v>-2.1168711151603015E-2</v>
      </c>
    </row>
    <row r="196" spans="1:3" x14ac:dyDescent="0.45">
      <c r="A196" s="3">
        <v>44659</v>
      </c>
      <c r="B196" s="68">
        <v>2.4557610033183463E-2</v>
      </c>
      <c r="C196" s="68">
        <v>-1.2448343913323834E-2</v>
      </c>
    </row>
    <row r="197" spans="1:3" x14ac:dyDescent="0.45">
      <c r="A197" s="3">
        <v>44652</v>
      </c>
      <c r="B197" s="68">
        <v>-6.157609701705502E-2</v>
      </c>
      <c r="C197" s="68">
        <v>7.3858000260251799E-4</v>
      </c>
    </row>
    <row r="198" spans="1:3" x14ac:dyDescent="0.45">
      <c r="A198" s="3">
        <v>44645</v>
      </c>
      <c r="B198" s="68">
        <v>7.9317275866515713E-2</v>
      </c>
      <c r="C198" s="68">
        <v>1.8054050614016548E-2</v>
      </c>
    </row>
    <row r="199" spans="1:3" x14ac:dyDescent="0.45">
      <c r="A199" s="3">
        <v>44638</v>
      </c>
      <c r="B199" s="68">
        <v>1.2092262743101712E-2</v>
      </c>
      <c r="C199" s="68">
        <v>6.1806807425520693E-2</v>
      </c>
    </row>
    <row r="200" spans="1:3" x14ac:dyDescent="0.45">
      <c r="A200" s="3">
        <v>44631</v>
      </c>
      <c r="B200" s="68">
        <v>-1.8549944435335419E-2</v>
      </c>
      <c r="C200" s="68">
        <v>-2.8541223440097019E-2</v>
      </c>
    </row>
    <row r="201" spans="1:3" x14ac:dyDescent="0.45">
      <c r="A201" s="3">
        <v>44624</v>
      </c>
      <c r="B201" s="68">
        <v>9.8608526269730046E-2</v>
      </c>
      <c r="C201" s="68">
        <v>-1.2468616474722749E-2</v>
      </c>
    </row>
    <row r="202" spans="1:3" x14ac:dyDescent="0.45">
      <c r="A202" s="3">
        <v>44617</v>
      </c>
      <c r="B202" s="68">
        <v>1.8297427003143296E-2</v>
      </c>
      <c r="C202" s="68">
        <v>8.3748963562650935E-3</v>
      </c>
    </row>
    <row r="203" spans="1:3" x14ac:dyDescent="0.45">
      <c r="A203" s="3">
        <v>44610</v>
      </c>
      <c r="B203" s="68">
        <v>-4.1595305672471161E-2</v>
      </c>
      <c r="C203" s="68">
        <v>-1.5381315661398998E-2</v>
      </c>
    </row>
    <row r="204" spans="1:3" x14ac:dyDescent="0.45">
      <c r="A204" s="3">
        <v>44603</v>
      </c>
      <c r="B204" s="68">
        <v>2.3080512451199242E-2</v>
      </c>
      <c r="C204" s="68">
        <v>-1.7973774197561521E-2</v>
      </c>
    </row>
    <row r="205" spans="1:3" x14ac:dyDescent="0.45">
      <c r="A205" s="3">
        <v>44596</v>
      </c>
      <c r="B205" s="68">
        <v>2.9701801368359426E-2</v>
      </c>
      <c r="C205" s="68">
        <v>1.5673123955485257E-2</v>
      </c>
    </row>
    <row r="206" spans="1:3" x14ac:dyDescent="0.45">
      <c r="A206" s="3">
        <v>44589</v>
      </c>
      <c r="B206" s="68">
        <v>7.8578365232097269E-2</v>
      </c>
      <c r="C206" s="68">
        <v>7.8494927850678575E-3</v>
      </c>
    </row>
    <row r="207" spans="1:3" x14ac:dyDescent="0.45">
      <c r="A207" s="3">
        <v>44582</v>
      </c>
      <c r="B207" s="68">
        <v>-4.6345404529823941E-2</v>
      </c>
      <c r="C207" s="68">
        <v>-5.6732427213235903E-2</v>
      </c>
    </row>
    <row r="208" spans="1:3" x14ac:dyDescent="0.45">
      <c r="A208" s="3">
        <v>44575</v>
      </c>
      <c r="B208" s="68">
        <v>7.5644917673792778E-2</v>
      </c>
      <c r="C208" s="68">
        <v>-2.9308575456379327E-3</v>
      </c>
    </row>
    <row r="209" spans="1:3" x14ac:dyDescent="0.45">
      <c r="A209" s="3">
        <v>44568</v>
      </c>
      <c r="B209" s="68">
        <v>0.11720694884699889</v>
      </c>
      <c r="C209" s="68">
        <v>-1.8428506224247299E-2</v>
      </c>
    </row>
    <row r="210" spans="1:3" x14ac:dyDescent="0.45">
      <c r="A210" s="3">
        <v>44561</v>
      </c>
      <c r="B210" s="68">
        <v>1.671964253331204E-2</v>
      </c>
      <c r="C210" s="68">
        <v>8.6731088457328021E-3</v>
      </c>
    </row>
    <row r="211" spans="1:3" x14ac:dyDescent="0.45">
      <c r="A211" s="3">
        <v>44553</v>
      </c>
      <c r="B211" s="68">
        <v>3.7603890880007818E-2</v>
      </c>
      <c r="C211" s="68">
        <v>2.2903046935049742E-2</v>
      </c>
    </row>
    <row r="212" spans="1:3" x14ac:dyDescent="0.45">
      <c r="A212" s="3">
        <v>44547</v>
      </c>
      <c r="B212" s="68">
        <v>-6.6403621363817056E-2</v>
      </c>
      <c r="C212" s="68">
        <v>-1.9197762284921427E-2</v>
      </c>
    </row>
    <row r="213" spans="1:3" x14ac:dyDescent="0.45">
      <c r="A213" s="3">
        <v>44540</v>
      </c>
      <c r="B213" s="68">
        <v>3.3469301104942506E-2</v>
      </c>
      <c r="C213" s="68">
        <v>3.8391161101745785E-2</v>
      </c>
    </row>
    <row r="214" spans="1:3" x14ac:dyDescent="0.45">
      <c r="A214" s="3">
        <v>44533</v>
      </c>
      <c r="B214" s="68">
        <v>-5.1761852338998438E-3</v>
      </c>
      <c r="C214" s="68">
        <v>-1.1893811455907177E-2</v>
      </c>
    </row>
    <row r="215" spans="1:3" x14ac:dyDescent="0.45">
      <c r="A215" s="3">
        <v>44526</v>
      </c>
      <c r="B215" s="68">
        <v>2.6863969839544533E-2</v>
      </c>
      <c r="C215" s="68">
        <v>-2.1878931862141959E-2</v>
      </c>
    </row>
    <row r="216" spans="1:3" x14ac:dyDescent="0.45">
      <c r="A216" s="3">
        <v>44519</v>
      </c>
      <c r="B216" s="68">
        <v>-3.8004521705170657E-2</v>
      </c>
      <c r="C216" s="68">
        <v>3.5112558481018574E-3</v>
      </c>
    </row>
    <row r="217" spans="1:3" x14ac:dyDescent="0.45">
      <c r="A217" s="3">
        <v>44512</v>
      </c>
      <c r="B217" s="68">
        <v>-4.0954181337276352E-2</v>
      </c>
      <c r="C217" s="68">
        <v>-2.8455051586615543E-3</v>
      </c>
    </row>
    <row r="218" spans="1:3" x14ac:dyDescent="0.45">
      <c r="A218" s="3">
        <v>44505</v>
      </c>
      <c r="B218" s="68">
        <v>1.2887604757259696E-2</v>
      </c>
      <c r="C218" s="68">
        <v>2.0181713965780501E-2</v>
      </c>
    </row>
    <row r="219" spans="1:3" x14ac:dyDescent="0.45">
      <c r="A219" s="3">
        <v>44498</v>
      </c>
      <c r="B219" s="68">
        <v>-1.0334029147771262E-2</v>
      </c>
      <c r="C219" s="68">
        <v>1.3438805594087055E-2</v>
      </c>
    </row>
    <row r="220" spans="1:3" x14ac:dyDescent="0.45">
      <c r="A220" s="3">
        <v>44491</v>
      </c>
      <c r="B220" s="68">
        <v>2.1311013680254121E-2</v>
      </c>
      <c r="C220" s="68">
        <v>1.6525579361380993E-2</v>
      </c>
    </row>
    <row r="221" spans="1:3" x14ac:dyDescent="0.45">
      <c r="A221" s="3">
        <v>44484</v>
      </c>
      <c r="B221" s="68">
        <v>-1.0411157683344774E-2</v>
      </c>
      <c r="C221" s="68">
        <v>1.8317897335199396E-2</v>
      </c>
    </row>
    <row r="222" spans="1:3" x14ac:dyDescent="0.45">
      <c r="A222" s="3">
        <v>44477</v>
      </c>
      <c r="B222" s="68">
        <v>6.8758978728463482E-2</v>
      </c>
      <c r="C222" s="68">
        <v>8.169497532312775E-3</v>
      </c>
    </row>
    <row r="223" spans="1:3" x14ac:dyDescent="0.45">
      <c r="A223" s="3">
        <v>44470</v>
      </c>
      <c r="B223" s="68">
        <v>7.8129773357003884E-2</v>
      </c>
      <c r="C223" s="68">
        <v>-2.1923402036144402E-2</v>
      </c>
    </row>
    <row r="224" spans="1:3" x14ac:dyDescent="0.45">
      <c r="A224" s="3">
        <v>44463</v>
      </c>
      <c r="B224" s="68">
        <v>0.10353008388384288</v>
      </c>
      <c r="C224" s="68">
        <v>5.1474913223090724E-3</v>
      </c>
    </row>
    <row r="225" spans="1:3" x14ac:dyDescent="0.45">
      <c r="A225" s="3">
        <v>44456</v>
      </c>
      <c r="B225" s="68">
        <v>5.7240264298953791E-2</v>
      </c>
      <c r="C225" s="68">
        <v>-5.5190240088794917E-3</v>
      </c>
    </row>
    <row r="226" spans="1:3" x14ac:dyDescent="0.45">
      <c r="A226" s="3">
        <v>44449</v>
      </c>
      <c r="B226" s="68">
        <v>-9.0682370481909302E-3</v>
      </c>
      <c r="C226" s="68">
        <v>-1.6809058015561873E-2</v>
      </c>
    </row>
    <row r="227" spans="1:3" x14ac:dyDescent="0.45">
      <c r="A227" s="3">
        <v>44442</v>
      </c>
      <c r="B227" s="68">
        <v>-8.8120654404237886E-3</v>
      </c>
      <c r="C227" s="68">
        <v>6.0803532308280062E-3</v>
      </c>
    </row>
    <row r="228" spans="1:3" x14ac:dyDescent="0.45">
      <c r="A228" s="3">
        <v>44435</v>
      </c>
      <c r="B228" s="68">
        <v>7.5232225103321504E-2</v>
      </c>
      <c r="C228" s="68">
        <v>1.5369231513105319E-2</v>
      </c>
    </row>
    <row r="229" spans="1:3" x14ac:dyDescent="0.45">
      <c r="A229" s="3">
        <v>44428</v>
      </c>
      <c r="B229" s="68">
        <v>-5.7173512769992052E-2</v>
      </c>
      <c r="C229" s="68">
        <v>-5.6174374037092356E-3</v>
      </c>
    </row>
    <row r="230" spans="1:3" x14ac:dyDescent="0.45">
      <c r="A230" s="3">
        <v>44421</v>
      </c>
      <c r="B230" s="68">
        <v>-9.3805290153712306E-3</v>
      </c>
      <c r="C230" s="68">
        <v>7.3912927466615042E-3</v>
      </c>
    </row>
    <row r="231" spans="1:3" x14ac:dyDescent="0.45">
      <c r="A231" s="3">
        <v>44414</v>
      </c>
      <c r="B231" s="68">
        <v>7.8487632602224355E-3</v>
      </c>
      <c r="C231" s="68">
        <v>9.5300892524050607E-3</v>
      </c>
    </row>
    <row r="232" spans="1:3" x14ac:dyDescent="0.45">
      <c r="A232" s="3">
        <v>44407</v>
      </c>
      <c r="B232" s="68">
        <v>1.3010434326077736E-2</v>
      </c>
      <c r="C232" s="68">
        <v>-3.5942688422244684E-3</v>
      </c>
    </row>
    <row r="233" spans="1:3" x14ac:dyDescent="0.45">
      <c r="A233" s="3">
        <v>44400</v>
      </c>
      <c r="B233" s="68">
        <v>4.7407717509015956E-3</v>
      </c>
      <c r="C233" s="68">
        <v>1.9677139197278759E-2</v>
      </c>
    </row>
    <row r="234" spans="1:3" x14ac:dyDescent="0.45">
      <c r="A234" s="3">
        <v>44393</v>
      </c>
      <c r="B234" s="68">
        <v>-7.6999757528732782E-2</v>
      </c>
      <c r="C234" s="68">
        <v>-9.6013351081190024E-3</v>
      </c>
    </row>
    <row r="235" spans="1:3" x14ac:dyDescent="0.45">
      <c r="A235" s="3">
        <v>44386</v>
      </c>
      <c r="B235" s="68">
        <v>-4.1753006946628535E-2</v>
      </c>
      <c r="C235" s="68">
        <v>4.1367626343586927E-3</v>
      </c>
    </row>
    <row r="236" spans="1:3" x14ac:dyDescent="0.45">
      <c r="A236" s="3">
        <v>44379</v>
      </c>
      <c r="B236" s="68">
        <v>2.3487097106813071E-2</v>
      </c>
      <c r="C236" s="68">
        <v>1.6955989419700668E-2</v>
      </c>
    </row>
    <row r="237" spans="1:3" x14ac:dyDescent="0.45">
      <c r="A237" s="3">
        <v>44372</v>
      </c>
      <c r="B237" s="68">
        <v>6.5704932284662343E-2</v>
      </c>
      <c r="C237" s="68">
        <v>2.7530038001169377E-2</v>
      </c>
    </row>
    <row r="238" spans="1:3" x14ac:dyDescent="0.45">
      <c r="A238" s="3">
        <v>44365</v>
      </c>
      <c r="B238" s="68">
        <v>-4.0687086905792369E-2</v>
      </c>
      <c r="C238" s="68">
        <v>-1.8810516871944682E-2</v>
      </c>
    </row>
    <row r="239" spans="1:3" x14ac:dyDescent="0.45">
      <c r="A239" s="3">
        <v>44358</v>
      </c>
      <c r="B239" s="68">
        <v>2.0051667782703397E-3</v>
      </c>
      <c r="C239" s="68">
        <v>4.2585039623734833E-3</v>
      </c>
    </row>
    <row r="240" spans="1:3" x14ac:dyDescent="0.45">
      <c r="A240" s="3">
        <v>44351</v>
      </c>
      <c r="B240" s="68">
        <v>7.3735167266424595E-2</v>
      </c>
      <c r="C240" s="68">
        <v>6.349759102535435E-3</v>
      </c>
    </row>
    <row r="241" spans="1:3" x14ac:dyDescent="0.45">
      <c r="A241" s="3">
        <v>44344</v>
      </c>
      <c r="B241" s="68">
        <v>1.6172177943420962E-3</v>
      </c>
      <c r="C241" s="68">
        <v>1.1850737724508065E-2</v>
      </c>
    </row>
    <row r="242" spans="1:3" x14ac:dyDescent="0.45">
      <c r="A242" s="3">
        <v>44337</v>
      </c>
      <c r="B242" s="68">
        <v>-1.5392879570476969E-2</v>
      </c>
      <c r="C242" s="68">
        <v>-4.0342393007319899E-3</v>
      </c>
    </row>
    <row r="243" spans="1:3" x14ac:dyDescent="0.45">
      <c r="A243" s="3">
        <v>44330</v>
      </c>
      <c r="B243" s="68">
        <v>-2.4550849758721016E-3</v>
      </c>
      <c r="C243" s="68">
        <v>-1.3589189109416866E-2</v>
      </c>
    </row>
    <row r="244" spans="1:3" x14ac:dyDescent="0.45">
      <c r="A244" s="3">
        <v>44323</v>
      </c>
      <c r="B244" s="68">
        <v>0.11654267718895484</v>
      </c>
      <c r="C244" s="68">
        <v>1.253483505020303E-2</v>
      </c>
    </row>
    <row r="245" spans="1:3" x14ac:dyDescent="0.45">
      <c r="A245" s="3">
        <v>44316</v>
      </c>
      <c r="B245" s="68">
        <v>2.8559986042005381E-2</v>
      </c>
      <c r="C245" s="68">
        <v>3.4377116192874091E-4</v>
      </c>
    </row>
    <row r="246" spans="1:3" x14ac:dyDescent="0.45">
      <c r="A246" s="3">
        <v>44309</v>
      </c>
      <c r="B246" s="68">
        <v>-2.6815394129924841E-2</v>
      </c>
      <c r="C246" s="68">
        <v>-1.1626367602282084E-3</v>
      </c>
    </row>
    <row r="247" spans="1:3" x14ac:dyDescent="0.45">
      <c r="A247" s="3">
        <v>44302</v>
      </c>
      <c r="B247" s="68">
        <v>-2.7327206471157162E-3</v>
      </c>
      <c r="C247" s="68">
        <v>1.3836950628885791E-2</v>
      </c>
    </row>
    <row r="248" spans="1:3" x14ac:dyDescent="0.45">
      <c r="A248" s="3">
        <v>44295</v>
      </c>
      <c r="B248" s="68">
        <v>-5.1647558733828092E-2</v>
      </c>
      <c r="C248" s="68">
        <v>2.741565426955872E-2</v>
      </c>
    </row>
    <row r="249" spans="1:3" x14ac:dyDescent="0.45">
      <c r="A249" s="3">
        <v>44287</v>
      </c>
      <c r="B249" s="68">
        <v>-1.853207196359663E-2</v>
      </c>
      <c r="C249" s="68">
        <v>1.153625745757747E-2</v>
      </c>
    </row>
    <row r="250" spans="1:3" x14ac:dyDescent="0.45">
      <c r="A250" s="3">
        <v>44281</v>
      </c>
      <c r="B250" s="68">
        <v>4.6387985815818267E-2</v>
      </c>
      <c r="C250" s="68">
        <v>1.5776659192601405E-2</v>
      </c>
    </row>
    <row r="251" spans="1:3" x14ac:dyDescent="0.45">
      <c r="A251" s="3">
        <v>44274</v>
      </c>
      <c r="B251" s="68">
        <v>-0.11133644565081824</v>
      </c>
      <c r="C251" s="68">
        <v>-7.5051327502829723E-3</v>
      </c>
    </row>
    <row r="252" spans="1:3" x14ac:dyDescent="0.45">
      <c r="A252" s="3">
        <v>44267</v>
      </c>
      <c r="B252" s="68">
        <v>1.4569738175083558E-2</v>
      </c>
      <c r="C252" s="68">
        <v>2.673224692217091E-2</v>
      </c>
    </row>
    <row r="253" spans="1:3" x14ac:dyDescent="0.45">
      <c r="A253" s="3">
        <v>44260</v>
      </c>
      <c r="B253" s="68">
        <v>0.12170745218097423</v>
      </c>
      <c r="C253" s="68">
        <v>8.2920778108934723E-3</v>
      </c>
    </row>
    <row r="254" spans="1:3" x14ac:dyDescent="0.45">
      <c r="A254" s="3">
        <v>44253</v>
      </c>
      <c r="B254" s="68">
        <v>7.4142821040488194E-2</v>
      </c>
      <c r="C254" s="68">
        <v>-2.4204316563671946E-2</v>
      </c>
    </row>
    <row r="255" spans="1:3" x14ac:dyDescent="0.45">
      <c r="A255" s="3">
        <v>44246</v>
      </c>
      <c r="B255" s="68">
        <v>2.6717533468576082E-2</v>
      </c>
      <c r="C255" s="68">
        <v>-6.881584811360697E-3</v>
      </c>
    </row>
    <row r="256" spans="1:3" x14ac:dyDescent="0.45">
      <c r="A256" s="3">
        <v>44239</v>
      </c>
      <c r="B256" s="68">
        <v>7.1434637377568944E-2</v>
      </c>
      <c r="C256" s="68">
        <v>1.268319137022722E-2</v>
      </c>
    </row>
    <row r="257" spans="1:3" x14ac:dyDescent="0.45">
      <c r="A257" s="3">
        <v>44232</v>
      </c>
      <c r="B257" s="68">
        <v>0.10966772994034035</v>
      </c>
      <c r="C257" s="68">
        <v>4.6626306765750858E-2</v>
      </c>
    </row>
    <row r="258" spans="1:3" x14ac:dyDescent="0.45">
      <c r="A258" s="3">
        <v>44225</v>
      </c>
      <c r="B258" s="68">
        <v>-6.2309671858236104E-2</v>
      </c>
      <c r="C258" s="68">
        <v>-3.295637660972317E-2</v>
      </c>
    </row>
    <row r="259" spans="1:3" x14ac:dyDescent="0.45">
      <c r="A259" s="3">
        <v>44218</v>
      </c>
      <c r="B259" s="68">
        <v>-5.3856316376872715E-2</v>
      </c>
      <c r="C259" s="68">
        <v>1.9525168689788375E-2</v>
      </c>
    </row>
    <row r="260" spans="1:3" x14ac:dyDescent="0.45">
      <c r="A260" s="3">
        <v>44211</v>
      </c>
      <c r="B260" s="68">
        <v>9.3958324487282141E-3</v>
      </c>
      <c r="C260" s="68">
        <v>-1.4652657615703446E-2</v>
      </c>
    </row>
    <row r="261" spans="1:3" x14ac:dyDescent="0.45">
      <c r="A261" s="3">
        <v>44204</v>
      </c>
      <c r="B261" s="68">
        <v>0.11777953387487572</v>
      </c>
      <c r="C261" s="68">
        <v>1.8644836033671952E-2</v>
      </c>
    </row>
    <row r="262" spans="1:3" x14ac:dyDescent="0.45">
      <c r="A262" s="3">
        <v>44196</v>
      </c>
      <c r="B262" s="68">
        <v>1.2661300230732531E-2</v>
      </c>
      <c r="C262" s="68">
        <v>1.4449524719990059E-2</v>
      </c>
    </row>
    <row r="263" spans="1:3" x14ac:dyDescent="0.45">
      <c r="A263" s="3">
        <v>44189</v>
      </c>
      <c r="B263" s="68">
        <v>-3.6359104814263188E-2</v>
      </c>
      <c r="C263" s="68">
        <v>-1.551862463514353E-3</v>
      </c>
    </row>
    <row r="264" spans="1:3" x14ac:dyDescent="0.45">
      <c r="A264" s="3">
        <v>44183</v>
      </c>
      <c r="B264" s="68">
        <v>-5.7497650270167733E-2</v>
      </c>
      <c r="C264" s="68">
        <v>1.2768378721968787E-2</v>
      </c>
    </row>
    <row r="265" spans="1:3" x14ac:dyDescent="0.45">
      <c r="A265" s="3">
        <v>44176</v>
      </c>
      <c r="B265" s="68">
        <v>-1.7845012916974823E-2</v>
      </c>
      <c r="C265" s="68">
        <v>-9.5216065275618433E-3</v>
      </c>
    </row>
    <row r="266" spans="1:3" x14ac:dyDescent="0.45">
      <c r="A266" s="3">
        <v>44169</v>
      </c>
      <c r="B266" s="68">
        <v>3.4829268509106059E-2</v>
      </c>
      <c r="C266" s="68">
        <v>1.7078120715668721E-2</v>
      </c>
    </row>
    <row r="267" spans="1:3" x14ac:dyDescent="0.45">
      <c r="A267" s="3">
        <v>44162</v>
      </c>
      <c r="B267" s="68">
        <v>7.8940573848352624E-2</v>
      </c>
      <c r="C267" s="68">
        <v>2.2902352171114249E-2</v>
      </c>
    </row>
    <row r="268" spans="1:3" x14ac:dyDescent="0.45">
      <c r="A268" s="3">
        <v>44155</v>
      </c>
      <c r="B268" s="68">
        <v>0.12132381555605054</v>
      </c>
      <c r="C268" s="68">
        <v>-7.410597349374215E-3</v>
      </c>
    </row>
    <row r="269" spans="1:3" x14ac:dyDescent="0.45">
      <c r="A269" s="3">
        <v>44148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</vt:lpstr>
      <vt:lpstr>Financials</vt:lpstr>
      <vt:lpstr>Macro</vt:lpstr>
      <vt:lpstr>Fama3</vt:lpstr>
      <vt:lpstr>1-W</vt:lpstr>
      <vt:lpstr>1-M</vt:lpstr>
      <vt:lpstr>2</vt:lpstr>
      <vt:lpstr>2-result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Bingze Qiu</dc:creator>
  <cp:lastModifiedBy>Bingze Qiu</cp:lastModifiedBy>
  <dcterms:created xsi:type="dcterms:W3CDTF">2025-11-07T21:10:39Z</dcterms:created>
  <dcterms:modified xsi:type="dcterms:W3CDTF">2025-11-17T00:20:01Z</dcterms:modified>
</cp:coreProperties>
</file>