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COMPARACIÓN NORMAS"/>
    <sheet r:id="rId2" sheetId="2" name="Módulo de sección F.S"/>
    <sheet r:id="rId3" sheetId="3" name="ISO 12215 Datos de entrada"/>
    <sheet r:id="rId4" sheetId="4" name="categorias"/>
    <sheet r:id="rId5" sheetId="5" name="Presiones de diseño"/>
    <sheet r:id="rId6" sheetId="6" name="espesores laminas"/>
    <sheet r:id="rId7" sheetId="7" name="Refuerzos"/>
    <sheet r:id="rId8" sheetId="8" name="ABS Datos de entrada"/>
    <sheet r:id="rId9" sheetId="9" name="Resistencia viga buque"/>
    <sheet r:id="rId10" sheetId="10" name="ABS Presiones de diseño"/>
    <sheet r:id="rId11" sheetId="11" name="paneles"/>
    <sheet r:id="rId12" sheetId="12" name="internos"/>
  </sheets>
  <calcPr fullCalcOnLoad="1"/>
</workbook>
</file>

<file path=xl/sharedStrings.xml><?xml version="1.0" encoding="utf-8"?>
<sst xmlns="http://schemas.openxmlformats.org/spreadsheetml/2006/main" count="1027" uniqueCount="477">
  <si>
    <t>PROPIEDADES DE REFUERZOS</t>
  </si>
  <si>
    <t>Según norma</t>
  </si>
  <si>
    <t>REFUERZOS LONGITUDINALES DE FONDO</t>
  </si>
  <si>
    <t>σa</t>
  </si>
  <si>
    <t>MPa</t>
  </si>
  <si>
    <t>SM</t>
  </si>
  <si>
    <t>cm3</t>
  </si>
  <si>
    <t>E</t>
  </si>
  <si>
    <t>N/mm^2</t>
  </si>
  <si>
    <t>K4</t>
  </si>
  <si>
    <t>I</t>
  </si>
  <si>
    <t>cm4</t>
  </si>
  <si>
    <t>FS</t>
  </si>
  <si>
    <t>REFUERZOS LONGITUDINALES LATERALES</t>
  </si>
  <si>
    <t xml:space="preserve">Cuaderna maestra </t>
  </si>
  <si>
    <t>F.S</t>
  </si>
  <si>
    <t>L</t>
  </si>
  <si>
    <t>ALTO</t>
  </si>
  <si>
    <t>ANCHO</t>
  </si>
  <si>
    <t>ESPESOR</t>
  </si>
  <si>
    <t>REFUERZOS TRANSVERSALES CUBIERTA</t>
  </si>
  <si>
    <t>ancho</t>
  </si>
  <si>
    <t>alto</t>
  </si>
  <si>
    <t>area</t>
  </si>
  <si>
    <t>Y</t>
  </si>
  <si>
    <t>Ay</t>
  </si>
  <si>
    <t>forro</t>
  </si>
  <si>
    <t>Cálculo de inercias perfiles HP</t>
  </si>
  <si>
    <t>alma</t>
  </si>
  <si>
    <t>PROPIEDADES GEOMÉTRICAS</t>
  </si>
  <si>
    <t>ala</t>
  </si>
  <si>
    <t>eje neutro</t>
  </si>
  <si>
    <t>largo</t>
  </si>
  <si>
    <t>mm</t>
  </si>
  <si>
    <t>CM3</t>
  </si>
  <si>
    <t>Longitudinales</t>
  </si>
  <si>
    <t>espesor (mm)</t>
  </si>
  <si>
    <t>altura (mm)</t>
  </si>
  <si>
    <t>bulbo</t>
  </si>
  <si>
    <t>Inercia</t>
  </si>
  <si>
    <t>eje neutro (mm)</t>
  </si>
  <si>
    <t>mamp. Longitudinal</t>
  </si>
  <si>
    <t>Cálculo de inercias FB costado</t>
  </si>
  <si>
    <t>FB40x5</t>
  </si>
  <si>
    <t>forro efectivo</t>
  </si>
  <si>
    <t>MAMPARO LONGITUDINAL</t>
  </si>
  <si>
    <t>ancho (mm)</t>
  </si>
  <si>
    <t>BULBO</t>
  </si>
  <si>
    <t>I1 cm4</t>
  </si>
  <si>
    <t>area (mm2)</t>
  </si>
  <si>
    <t>I2 cm4</t>
  </si>
  <si>
    <t>quilla</t>
  </si>
  <si>
    <t>Cuaderna Maestra</t>
  </si>
  <si>
    <t>Cálculo de inercias perfiles T</t>
  </si>
  <si>
    <t>Varenga fondo</t>
  </si>
  <si>
    <t>y</t>
  </si>
  <si>
    <t>ay</t>
  </si>
  <si>
    <t>VARENGA FONDO</t>
  </si>
  <si>
    <t>Varenga costado</t>
  </si>
  <si>
    <t>BAO L 30X30X4</t>
  </si>
  <si>
    <t>Cálculo de inercias de perfiles L</t>
  </si>
  <si>
    <t>centroide</t>
  </si>
  <si>
    <t>a*y</t>
  </si>
  <si>
    <t>sección 1</t>
  </si>
  <si>
    <t>sección 2</t>
  </si>
  <si>
    <t>VARENGA COSTADO</t>
  </si>
  <si>
    <t>TOTAL</t>
  </si>
  <si>
    <t>Longitudinales de costado</t>
  </si>
  <si>
    <t>eje neutro [mm]</t>
  </si>
  <si>
    <t>m</t>
  </si>
  <si>
    <t>REFUERZOS MAMPARO ESTANCO</t>
  </si>
  <si>
    <t>Ref. Mamparo estanco</t>
  </si>
  <si>
    <t>Cálculo de inercias FB mamparo estanco</t>
  </si>
  <si>
    <t>Mamp.long</t>
  </si>
  <si>
    <t>refuerzo de cubierta</t>
  </si>
  <si>
    <t>refuerzos de cubierta</t>
  </si>
  <si>
    <t>Cálculo de inercias FB refuerzos de cubierta</t>
  </si>
  <si>
    <t xml:space="preserve">Espesor de paneles </t>
  </si>
  <si>
    <t>Espesor por carga lateral</t>
  </si>
  <si>
    <t>Datos</t>
  </si>
  <si>
    <t>s</t>
  </si>
  <si>
    <t>l</t>
  </si>
  <si>
    <t>k</t>
  </si>
  <si>
    <t>σy</t>
  </si>
  <si>
    <t>Mpa</t>
  </si>
  <si>
    <t xml:space="preserve"> aluminio soldado</t>
  </si>
  <si>
    <t>σa slamming</t>
  </si>
  <si>
    <t>σa hydros.</t>
  </si>
  <si>
    <t>qa</t>
  </si>
  <si>
    <t>plating</t>
  </si>
  <si>
    <t>espesor mínimo</t>
  </si>
  <si>
    <t>Espesor min. a usar</t>
  </si>
  <si>
    <r>
      <t/>
    </r>
    <r>
      <rPr>
        <b/>
        <sz val="11"/>
        <color rgb="FF00b050"/>
        <rFont val="Symbol"/>
        <family val="2"/>
      </rPr>
      <t>~</t>
    </r>
    <r>
      <rPr>
        <b/>
        <sz val="11"/>
        <color rgb="FF00b050"/>
        <rFont val="Calibri"/>
        <family val="2"/>
        <scheme val="minor"/>
      </rPr>
      <t>PL 6mm</t>
    </r>
  </si>
  <si>
    <t>carga lateral</t>
  </si>
  <si>
    <t>~PL  0.220 in</t>
  </si>
  <si>
    <t xml:space="preserve">Esfuerzos de diseño ABS </t>
  </si>
  <si>
    <r>
      <t/>
    </r>
    <r>
      <rPr>
        <b/>
        <sz val="11"/>
        <color rgb="FF00b050"/>
        <rFont val="Symbol"/>
        <family val="2"/>
      </rPr>
      <t>~</t>
    </r>
    <r>
      <rPr>
        <b/>
        <sz val="11"/>
        <color rgb="FF00b050"/>
        <rFont val="Calibri"/>
        <family val="2"/>
        <scheme val="minor"/>
      </rPr>
      <t>PL 4mm</t>
    </r>
  </si>
  <si>
    <t>S</t>
  </si>
  <si>
    <t>Tanque de combustible</t>
  </si>
  <si>
    <t>Espesor min.  a usar</t>
  </si>
  <si>
    <t>cuarto de maquinaria</t>
  </si>
  <si>
    <t>Relación de longitudes</t>
  </si>
  <si>
    <t xml:space="preserve">mamparos de tanques </t>
  </si>
  <si>
    <t>cubierta proa afuste arma principal</t>
  </si>
  <si>
    <t xml:space="preserve">PRESIONES DE DISEÑO </t>
  </si>
  <si>
    <t>Datos de Cálculo</t>
  </si>
  <si>
    <r>
      <t>N</t>
    </r>
    <r>
      <rPr>
        <b/>
        <sz val="11"/>
        <color rgb="FF000000"/>
        <rFont val="Calibri"/>
        <family val="2"/>
        <scheme val="minor"/>
      </rPr>
      <t>1</t>
    </r>
  </si>
  <si>
    <r>
      <t>N</t>
    </r>
    <r>
      <rPr>
        <b/>
        <sz val="11"/>
        <color rgb="FF000000"/>
        <rFont val="Calibri"/>
        <family val="2"/>
        <scheme val="minor"/>
      </rPr>
      <t>2</t>
    </r>
  </si>
  <si>
    <r>
      <t>N</t>
    </r>
    <r>
      <rPr>
        <b/>
        <sz val="11"/>
        <color rgb="FF000000"/>
        <rFont val="Calibri"/>
        <family val="2"/>
        <scheme val="minor"/>
      </rPr>
      <t>3</t>
    </r>
  </si>
  <si>
    <t>H</t>
  </si>
  <si>
    <r>
      <t>F</t>
    </r>
    <r>
      <rPr>
        <b/>
        <sz val="11"/>
        <color rgb="FF000000"/>
        <rFont val="Calibri"/>
        <family val="2"/>
        <scheme val="minor"/>
      </rPr>
      <t>v</t>
    </r>
  </si>
  <si>
    <t>Fd</t>
  </si>
  <si>
    <r>
      <t>k</t>
    </r>
    <r>
      <rPr>
        <b/>
        <sz val="11"/>
        <color rgb="FF000000"/>
        <rFont val="Calibri"/>
        <family val="2"/>
        <scheme val="minor"/>
      </rPr>
      <t>v</t>
    </r>
  </si>
  <si>
    <t>W</t>
  </si>
  <si>
    <t>Hs</t>
  </si>
  <si>
    <t>W2</t>
  </si>
  <si>
    <t>Presión de Slamming en el fondo</t>
  </si>
  <si>
    <t>kN/m2</t>
  </si>
  <si>
    <t>Presión hidrostatica</t>
  </si>
  <si>
    <t xml:space="preserve">Presiones en cubiertas </t>
  </si>
  <si>
    <t>Presión slamming espejo y costado</t>
  </si>
  <si>
    <t>Presión hidróstatica de costados</t>
  </si>
  <si>
    <t>PRESIÓN DE DISEÑO EN CUBIERTAS</t>
  </si>
  <si>
    <t>Cubiertas acomodamiento</t>
  </si>
  <si>
    <t>cubiertas con carga concentrada, bases de equipos</t>
  </si>
  <si>
    <t>persona de 100 kg parada sobre cubierta</t>
  </si>
  <si>
    <t>persona de 100 kg parada sobre cubierta y afuste del arma principal</t>
  </si>
  <si>
    <t>Compartimientos para almacenamiento combustible</t>
  </si>
  <si>
    <t>densidad de carga</t>
  </si>
  <si>
    <t>kN/m3</t>
  </si>
  <si>
    <t>h</t>
  </si>
  <si>
    <t>Presión</t>
  </si>
  <si>
    <t>MAMPARO DE TANQUES FIJOS</t>
  </si>
  <si>
    <t>N3</t>
  </si>
  <si>
    <t>Compartimientos de maquinaria</t>
  </si>
  <si>
    <t>presión</t>
  </si>
  <si>
    <t xml:space="preserve">cubierta expuesta </t>
  </si>
  <si>
    <t xml:space="preserve">cubierta interna </t>
  </si>
  <si>
    <t>PRESIONES DE DISEÑO DE SUPERESTRUCTURA</t>
  </si>
  <si>
    <t>Placas frontales</t>
  </si>
  <si>
    <t>rigidizadores frontales</t>
  </si>
  <si>
    <t>Superestructura en popa</t>
  </si>
  <si>
    <t>rigidizadores en popa</t>
  </si>
  <si>
    <t>"house tops" delante de sección media placas y rigidizadores</t>
  </si>
  <si>
    <t>"house tops" hacia popa placas y rigidizadores</t>
  </si>
  <si>
    <t xml:space="preserve">MÓDULO DE SECCIÓN </t>
  </si>
  <si>
    <t>Datos de cálculo</t>
  </si>
  <si>
    <t>C1</t>
  </si>
  <si>
    <t>C2</t>
  </si>
  <si>
    <t>K3</t>
  </si>
  <si>
    <t>k3 no puede ser mayor a 1.3</t>
  </si>
  <si>
    <t>C</t>
  </si>
  <si>
    <t>Q</t>
  </si>
  <si>
    <t>Sy</t>
  </si>
  <si>
    <t>q5</t>
  </si>
  <si>
    <t>1/MPa</t>
  </si>
  <si>
    <t>Cb</t>
  </si>
  <si>
    <t>K</t>
  </si>
  <si>
    <t>cm^2-m</t>
  </si>
  <si>
    <t>Momento de inercia</t>
  </si>
  <si>
    <t>cm^2-m^2</t>
  </si>
  <si>
    <r>
      <t/>
    </r>
    <r>
      <rPr>
        <b/>
        <sz val="11"/>
        <color rgb="FF000000"/>
        <rFont val="Calibri"/>
        <family val="2"/>
        <scheme val="minor"/>
      </rPr>
      <t>REFERENCIA</t>
    </r>
    <r>
      <rPr>
        <sz val="11"/>
        <color rgb="FF000000"/>
        <rFont val="Calibri"/>
        <family val="2"/>
        <scheme val="minor"/>
      </rPr>
      <t>: ABS - RULES FOR BUILDING AND CLASSING -  HIGH SPEED CRAFT -  PART 3</t>
    </r>
  </si>
  <si>
    <t>CLIENTE:</t>
  </si>
  <si>
    <t>COTECMAR/GEDIN</t>
  </si>
  <si>
    <t>PROYECTO:</t>
  </si>
  <si>
    <t>BRF 120</t>
  </si>
  <si>
    <t>N° DOC:</t>
  </si>
  <si>
    <t>SERVICIO:</t>
  </si>
  <si>
    <t>ID PROYECTO:</t>
  </si>
  <si>
    <t>N° de VERSION:</t>
  </si>
  <si>
    <t>PLANO REF. :</t>
  </si>
  <si>
    <t>ARC-4020-117-01</t>
  </si>
  <si>
    <t xml:space="preserve">PROPOSITO: </t>
  </si>
  <si>
    <t>Definir las dimensiones de los elementos que conforman la estructura del casco</t>
  </si>
  <si>
    <t xml:space="preserve">  ESCANTILLONADO DEL CASCO DE BOTE DE BAJO CALADO EN ALUMINIO </t>
  </si>
  <si>
    <t xml:space="preserve">ABS - RULES FOR BUILDING AND CLASSING -  HIGH SPEED CRAFT -  PART 3 </t>
  </si>
  <si>
    <t>dimensiones  de escantillón (Símbolo)</t>
  </si>
  <si>
    <r>
      <t>Eslora de escantillón (</t>
    </r>
    <r>
      <rPr>
        <b/>
        <sz val="10"/>
        <color theme="1"/>
        <rFont val="Arial"/>
        <family val="2"/>
      </rPr>
      <t>LWL</t>
    </r>
    <r>
      <rPr>
        <sz val="10"/>
        <color theme="1"/>
        <rFont val="Arial"/>
        <family val="2"/>
      </rPr>
      <t>)</t>
    </r>
  </si>
  <si>
    <r>
      <t>Manga en flotacion (</t>
    </r>
    <r>
      <rPr>
        <b/>
        <sz val="10"/>
        <color theme="1"/>
        <rFont val="Arial"/>
        <family val="2"/>
      </rPr>
      <t>BWL</t>
    </r>
    <r>
      <rPr>
        <sz val="10"/>
        <color theme="1"/>
        <rFont val="Arial"/>
        <family val="2"/>
      </rPr>
      <t>)</t>
    </r>
  </si>
  <si>
    <r>
      <t>Puntal (</t>
    </r>
    <r>
      <rPr>
        <b/>
        <sz val="10"/>
        <color theme="1"/>
        <rFont val="Arial"/>
        <family val="2"/>
      </rPr>
      <t>D</t>
    </r>
    <r>
      <rPr>
        <sz val="10"/>
        <color theme="1"/>
        <rFont val="Arial"/>
        <family val="2"/>
      </rPr>
      <t>)</t>
    </r>
  </si>
  <si>
    <r>
      <t>*Calado (</t>
    </r>
    <r>
      <rPr>
        <b/>
        <sz val="10"/>
        <color theme="1"/>
        <rFont val="Arial"/>
        <family val="2"/>
      </rPr>
      <t>d</t>
    </r>
    <r>
      <rPr>
        <sz val="10"/>
        <color theme="1"/>
        <rFont val="Arial"/>
        <family val="2"/>
      </rPr>
      <t>)</t>
    </r>
  </si>
  <si>
    <r>
      <t>Desplazamiento (</t>
    </r>
    <r>
      <rPr>
        <b/>
        <sz val="10"/>
        <color theme="1"/>
        <rFont val="Arial"/>
        <family val="2"/>
      </rPr>
      <t>Δ</t>
    </r>
    <r>
      <rPr>
        <sz val="10"/>
        <color theme="1"/>
        <rFont val="Arial"/>
        <family val="2"/>
      </rPr>
      <t>)</t>
    </r>
  </si>
  <si>
    <t>Ton</t>
  </si>
  <si>
    <r>
      <t>Velocidad (</t>
    </r>
    <r>
      <rPr>
        <b/>
        <sz val="10"/>
        <color theme="1"/>
        <rFont val="Arial"/>
        <family val="2"/>
      </rPr>
      <t>V</t>
    </r>
    <r>
      <rPr>
        <sz val="10"/>
        <color theme="1"/>
        <rFont val="Arial"/>
        <family val="2"/>
      </rPr>
      <t>)</t>
    </r>
  </si>
  <si>
    <t>Knots</t>
  </si>
  <si>
    <r>
      <t>Astilla Muerta Fondo en LCG (</t>
    </r>
    <r>
      <rPr>
        <b/>
        <sz val="10"/>
        <color theme="1"/>
        <rFont val="Arial"/>
        <family val="2"/>
      </rPr>
      <t>β</t>
    </r>
    <r>
      <rPr>
        <b/>
        <sz val="10"/>
        <color theme="1"/>
        <rFont val="Arial"/>
        <family val="2"/>
      </rPr>
      <t>cg</t>
    </r>
    <r>
      <rPr>
        <sz val="10"/>
        <color theme="1"/>
        <rFont val="Arial"/>
        <family val="2"/>
      </rPr>
      <t>)</t>
    </r>
  </si>
  <si>
    <t>°</t>
  </si>
  <si>
    <r>
      <t>Astilla Muerta Fondo Cerca al LCG (</t>
    </r>
    <r>
      <rPr>
        <b/>
        <sz val="10"/>
        <color theme="1"/>
        <rFont val="Arial"/>
        <family val="2"/>
      </rPr>
      <t>β</t>
    </r>
    <r>
      <rPr>
        <b/>
        <sz val="10"/>
        <color theme="1"/>
        <rFont val="Arial"/>
        <family val="2"/>
      </rPr>
      <t>xx</t>
    </r>
    <r>
      <rPr>
        <sz val="10"/>
        <color theme="1"/>
        <rFont val="Arial"/>
        <family val="2"/>
      </rPr>
      <t>)</t>
    </r>
  </si>
  <si>
    <r>
      <t>Astilla Muerta Costados en LCG (</t>
    </r>
    <r>
      <rPr>
        <b/>
        <sz val="10"/>
        <color theme="1"/>
        <rFont val="Arial"/>
        <family val="2"/>
      </rPr>
      <t>β</t>
    </r>
    <r>
      <rPr>
        <b/>
        <sz val="10"/>
        <color theme="1"/>
        <rFont val="Arial"/>
        <family val="2"/>
      </rPr>
      <t>cg</t>
    </r>
    <r>
      <rPr>
        <sz val="10"/>
        <color theme="1"/>
        <rFont val="Arial"/>
        <family val="2"/>
      </rPr>
      <t>)</t>
    </r>
  </si>
  <si>
    <r>
      <t>Astilla Muerta Costados Cerca al LCG (</t>
    </r>
    <r>
      <rPr>
        <b/>
        <sz val="10"/>
        <color theme="1"/>
        <rFont val="Arial"/>
        <family val="2"/>
      </rPr>
      <t>β</t>
    </r>
    <r>
      <rPr>
        <b/>
        <sz val="10"/>
        <color theme="1"/>
        <rFont val="Arial"/>
        <family val="2"/>
      </rPr>
      <t>sx</t>
    </r>
    <r>
      <rPr>
        <sz val="10"/>
        <color theme="1"/>
        <rFont val="Arial"/>
        <family val="2"/>
      </rPr>
      <t>) °</t>
    </r>
  </si>
  <si>
    <t>Vista de perfil</t>
  </si>
  <si>
    <t>Datos de Operación</t>
  </si>
  <si>
    <r>
      <t>**Aceleración Vertical CG (</t>
    </r>
    <r>
      <rPr>
        <b/>
        <sz val="11"/>
        <color rgb="FF000000"/>
        <rFont val="Calibri"/>
        <family val="2"/>
        <scheme val="minor"/>
      </rPr>
      <t>n</t>
    </r>
    <r>
      <rPr>
        <b/>
        <sz val="11"/>
        <color rgb="FF000000"/>
        <rFont val="Calibri"/>
        <family val="2"/>
        <scheme val="minor"/>
      </rPr>
      <t>cg</t>
    </r>
    <r>
      <rPr>
        <b/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),g's</t>
    </r>
  </si>
  <si>
    <r>
      <t>Aceleración Vertical Cerca CG(</t>
    </r>
    <r>
      <rPr>
        <b/>
        <sz val="11"/>
        <color rgb="FF000000"/>
        <rFont val="Calibri"/>
        <family val="2"/>
        <scheme val="minor"/>
      </rPr>
      <t>n</t>
    </r>
    <r>
      <rPr>
        <b/>
        <sz val="11"/>
        <color rgb="FF000000"/>
        <rFont val="Calibri"/>
        <family val="2"/>
        <scheme val="minor"/>
      </rPr>
      <t>xx</t>
    </r>
    <r>
      <rPr>
        <b/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),g's</t>
    </r>
  </si>
  <si>
    <r>
      <t>Trim de Navegacion (</t>
    </r>
    <r>
      <rPr>
        <b/>
        <sz val="11"/>
        <color rgb="FF000000"/>
        <rFont val="Calibri"/>
        <family val="2"/>
        <scheme val="minor"/>
      </rPr>
      <t>τ</t>
    </r>
    <r>
      <rPr>
        <sz val="11"/>
        <color rgb="FF000000"/>
        <rFont val="Calibri"/>
        <family val="2"/>
        <scheme val="minor"/>
      </rPr>
      <t>), °</t>
    </r>
  </si>
  <si>
    <r>
      <t>Altura de olas (</t>
    </r>
    <r>
      <rPr>
        <b/>
        <sz val="11"/>
        <color rgb="FF000000"/>
        <rFont val="Calibri"/>
        <family val="2"/>
        <scheme val="minor"/>
      </rPr>
      <t>h</t>
    </r>
    <r>
      <rPr>
        <b/>
        <sz val="11"/>
        <color rgb="FF000000"/>
        <rFont val="Calibri"/>
        <family val="2"/>
        <scheme val="minor"/>
      </rPr>
      <t>1/3</t>
    </r>
    <r>
      <rPr>
        <sz val="11"/>
        <color rgb="FF000000"/>
        <rFont val="Calibri"/>
        <family val="2"/>
        <scheme val="minor"/>
      </rPr>
      <t>), m</t>
    </r>
  </si>
  <si>
    <t>Vista de cubierta principal</t>
  </si>
  <si>
    <t>Convención de colores:</t>
  </si>
  <si>
    <t>casillas modificables</t>
  </si>
  <si>
    <t>Valor no cumple con el criterio</t>
  </si>
  <si>
    <t>Valor cumple con el criterio</t>
  </si>
  <si>
    <t>Altura de ola de diseño</t>
  </si>
  <si>
    <t>Notas:</t>
  </si>
  <si>
    <t>*El calado de escantillón no puede ser menor a</t>
  </si>
  <si>
    <t>REFUERZOS - ESFUERZOS DE DISEÑO- ALUMINIO</t>
  </si>
  <si>
    <t xml:space="preserve">Esfuerzo de diseño a la tracción </t>
  </si>
  <si>
    <t>Esfuerzo de diseño a cortante (TD)</t>
  </si>
  <si>
    <t>KSA</t>
  </si>
  <si>
    <t>Lu</t>
  </si>
  <si>
    <t>KCS</t>
  </si>
  <si>
    <t>Superficie del Alma Aw</t>
  </si>
  <si>
    <t>Superficie del Alma (Aw) geometría</t>
  </si>
  <si>
    <t>Refuerzos long. Fondo (Aw)</t>
  </si>
  <si>
    <t>cm^2</t>
  </si>
  <si>
    <t xml:space="preserve">Refuerzos long. Fondo </t>
  </si>
  <si>
    <t>Refuerzos long. costados  (Aw)</t>
  </si>
  <si>
    <t xml:space="preserve">Refuerzos long. costados </t>
  </si>
  <si>
    <t>Refuerzos trans. cubierta (Aw)</t>
  </si>
  <si>
    <t xml:space="preserve">Refuerzos trans. cubierta </t>
  </si>
  <si>
    <t>Modulo de sección Sm</t>
  </si>
  <si>
    <t>Modulo de sección (Sm) geometría</t>
  </si>
  <si>
    <t>Refuerzos long. Fondo (Sm)</t>
  </si>
  <si>
    <t>cm^3</t>
  </si>
  <si>
    <t>Refuerzos long. costados (Sm)</t>
  </si>
  <si>
    <t>lu</t>
  </si>
  <si>
    <t xml:space="preserve">Quilla </t>
  </si>
  <si>
    <t>Refuerzo trnas. cubierta (Sm)</t>
  </si>
  <si>
    <t>varenga costado</t>
  </si>
  <si>
    <t>varenga fondo (Sm)</t>
  </si>
  <si>
    <t>varenga costado (Sm)</t>
  </si>
  <si>
    <t>ESPESORES REQUERIDOS PARA ALUMINIO</t>
  </si>
  <si>
    <t>σy (soldado)</t>
  </si>
  <si>
    <t>N/mm2</t>
  </si>
  <si>
    <t>Esf. Diseño σd</t>
  </si>
  <si>
    <t>*factor curvatura (kc)</t>
  </si>
  <si>
    <t>espacio entre refuerzos (b)</t>
  </si>
  <si>
    <t>curvatura (c)</t>
  </si>
  <si>
    <t>Espacio entre cuadernas (s)</t>
  </si>
  <si>
    <t>l/b</t>
  </si>
  <si>
    <t>k2</t>
  </si>
  <si>
    <t>k3</t>
  </si>
  <si>
    <t>Se toma el mayor valor registrado</t>
  </si>
  <si>
    <t>Espesor en el fondo</t>
  </si>
  <si>
    <r>
      <t/>
    </r>
    <r>
      <rPr>
        <b/>
        <sz val="11"/>
        <color rgb="FF00b050"/>
        <rFont val="Symbol"/>
        <family val="2"/>
      </rPr>
      <t>~</t>
    </r>
    <r>
      <rPr>
        <b/>
        <sz val="11"/>
        <color rgb="FF00b050"/>
        <rFont val="Calibri"/>
        <family val="2"/>
        <scheme val="minor"/>
      </rPr>
      <t>PL  1/4 in</t>
    </r>
  </si>
  <si>
    <t>Espesor en el costado</t>
  </si>
  <si>
    <r>
      <t/>
    </r>
    <r>
      <rPr>
        <b/>
        <sz val="11"/>
        <color rgb="FF00b050"/>
        <rFont val="Symbol"/>
        <family val="2"/>
      </rPr>
      <t>~</t>
    </r>
    <r>
      <rPr>
        <b/>
        <sz val="11"/>
        <color rgb="FF00b050"/>
        <rFont val="Calibri"/>
        <family val="2"/>
        <scheme val="minor"/>
      </rPr>
      <t>PL 3mm</t>
    </r>
  </si>
  <si>
    <r>
      <t/>
    </r>
    <r>
      <rPr>
        <b/>
        <sz val="11"/>
        <color rgb="FF00b050"/>
        <rFont val="Symbol"/>
        <family val="2"/>
      </rPr>
      <t>~</t>
    </r>
    <r>
      <rPr>
        <b/>
        <sz val="11"/>
        <color rgb="FF00b050"/>
        <rFont val="Calibri"/>
        <family val="2"/>
        <scheme val="minor"/>
      </rPr>
      <t>PL 1/8 in</t>
    </r>
  </si>
  <si>
    <t>Espesor en amura</t>
  </si>
  <si>
    <r>
      <t/>
    </r>
    <r>
      <rPr>
        <b/>
        <sz val="11"/>
        <color rgb="FF00b050"/>
        <rFont val="Symbol"/>
        <family val="2"/>
      </rPr>
      <t>~</t>
    </r>
    <r>
      <rPr>
        <b/>
        <sz val="11"/>
        <color rgb="FF00b050"/>
        <rFont val="Calibri"/>
        <family val="2"/>
        <scheme val="minor"/>
      </rPr>
      <t>PL 2mm</t>
    </r>
  </si>
  <si>
    <r>
      <t/>
    </r>
    <r>
      <rPr>
        <b/>
        <sz val="11"/>
        <color rgb="FF00b050"/>
        <rFont val="Symbol"/>
        <family val="2"/>
      </rPr>
      <t>~</t>
    </r>
    <r>
      <rPr>
        <b/>
        <sz val="11"/>
        <color rgb="FF00b050"/>
        <rFont val="Calibri"/>
        <family val="2"/>
        <scheme val="minor"/>
      </rPr>
      <t>PL 3/32 in</t>
    </r>
  </si>
  <si>
    <t>Espesor en cabinas</t>
  </si>
  <si>
    <r>
      <t/>
    </r>
    <r>
      <rPr>
        <b/>
        <sz val="11"/>
        <color rgb="FF00b050"/>
        <rFont val="Symbol"/>
        <family val="2"/>
      </rPr>
      <t>~</t>
    </r>
    <r>
      <rPr>
        <b/>
        <sz val="11"/>
        <color rgb="FF00b050"/>
        <rFont val="Calibri"/>
        <family val="2"/>
        <scheme val="minor"/>
      </rPr>
      <t>PL 1mm</t>
    </r>
  </si>
  <si>
    <r>
      <t/>
    </r>
    <r>
      <rPr>
        <b/>
        <sz val="11"/>
        <color rgb="FF00b050"/>
        <rFont val="Symbol"/>
        <family val="2"/>
      </rPr>
      <t>~</t>
    </r>
    <r>
      <rPr>
        <b/>
        <sz val="11"/>
        <color rgb="FF00b050"/>
        <rFont val="Calibri"/>
        <family val="2"/>
        <scheme val="minor"/>
      </rPr>
      <t>PL  3/64 in</t>
    </r>
  </si>
  <si>
    <t>Espesor en cubierta</t>
  </si>
  <si>
    <r>
      <t/>
    </r>
    <r>
      <rPr>
        <b/>
        <sz val="11"/>
        <color rgb="FF00b050"/>
        <rFont val="Symbol"/>
        <family val="2"/>
      </rPr>
      <t>~</t>
    </r>
    <r>
      <rPr>
        <b/>
        <sz val="11"/>
        <color rgb="FF00b050"/>
        <rFont val="Calibri"/>
        <family val="2"/>
        <scheme val="minor"/>
      </rPr>
      <t>PL 5/64 in</t>
    </r>
  </si>
  <si>
    <t>Espesor minimo del fondo</t>
  </si>
  <si>
    <t>k5</t>
  </si>
  <si>
    <t>k7</t>
  </si>
  <si>
    <t>k8</t>
  </si>
  <si>
    <t>A</t>
  </si>
  <si>
    <t>Espesor minimo del costado/espejo</t>
  </si>
  <si>
    <t>Espesor minimo de cubierta</t>
  </si>
  <si>
    <r>
      <t/>
    </r>
    <r>
      <rPr>
        <b/>
        <sz val="11"/>
        <color rgb="FF00b050"/>
        <rFont val="Symbol"/>
        <family val="2"/>
      </rPr>
      <t>~</t>
    </r>
    <r>
      <rPr>
        <b/>
        <sz val="11"/>
        <color rgb="FF00b050"/>
        <rFont val="Calibri"/>
        <family val="2"/>
        <scheme val="minor"/>
      </rPr>
      <t>PL 0,072 in</t>
    </r>
  </si>
  <si>
    <t>PRESIONES DE DISEÑO PARA LAS EMBARCACIONES A MOTOR</t>
  </si>
  <si>
    <t>modo:</t>
  </si>
  <si>
    <t>Presión en el fondo</t>
  </si>
  <si>
    <t>Presión en el costado</t>
  </si>
  <si>
    <t>Presión en amura</t>
  </si>
  <si>
    <t>Presión en cabinas</t>
  </si>
  <si>
    <t>Presión en cubierta</t>
  </si>
  <si>
    <t xml:space="preserve">Mamparos estancos </t>
  </si>
  <si>
    <t>altura de la carga de agua (h)</t>
  </si>
  <si>
    <t xml:space="preserve">Mamparos de colisión </t>
  </si>
  <si>
    <t>Categorias de diseño</t>
  </si>
  <si>
    <t>Kdc</t>
  </si>
  <si>
    <t>altura de ola</t>
  </si>
  <si>
    <t>OCEANICA</t>
  </si>
  <si>
    <t>B</t>
  </si>
  <si>
    <t>AGUAS AFUERA</t>
  </si>
  <si>
    <t>AGUAS ADENTRO</t>
  </si>
  <si>
    <t>D</t>
  </si>
  <si>
    <t>AGUAS PROTEGIDAS</t>
  </si>
  <si>
    <t>ESCANTILLONADO GREY CODE - ISO 12215</t>
  </si>
  <si>
    <t>Dimensiones de escantillón</t>
  </si>
  <si>
    <t>GREY CODE LLOYD'S REGISTER</t>
  </si>
  <si>
    <r>
      <t>Calado (</t>
    </r>
    <r>
      <rPr>
        <b/>
        <sz val="10"/>
        <color theme="1"/>
        <rFont val="Arial"/>
        <family val="2"/>
      </rPr>
      <t>d</t>
    </r>
    <r>
      <rPr>
        <sz val="10"/>
        <color theme="1"/>
        <rFont val="Arial"/>
        <family val="2"/>
      </rPr>
      <t>)</t>
    </r>
  </si>
  <si>
    <t>B04</t>
  </si>
  <si>
    <t>Relación velocidad/ eslora</t>
  </si>
  <si>
    <t>(lista desplegable)</t>
  </si>
  <si>
    <t>CATEGORÍA</t>
  </si>
  <si>
    <t>Factor categoría de diseño (Kdc)</t>
  </si>
  <si>
    <t>Altura de ola [m]</t>
  </si>
  <si>
    <t>Categoría de Diseño</t>
  </si>
  <si>
    <t>Factor de carga dinámica (n cg)</t>
  </si>
  <si>
    <t>x/LWL</t>
  </si>
  <si>
    <t>Factor longitudinal de distribución de presión (Kl)</t>
  </si>
  <si>
    <t>Factor de reducción de presión (Kar) minimo</t>
  </si>
  <si>
    <t>altura de parte superior del casco  desde Linea de flotación (Z)</t>
  </si>
  <si>
    <t>altura punto medio del refuerzo desde linea de flotación (h)</t>
  </si>
  <si>
    <t>Factor de reducción de presión (Kz)</t>
  </si>
  <si>
    <t>ilustración de Z y h</t>
  </si>
  <si>
    <t>ECFL</t>
  </si>
  <si>
    <t>ARC-4170-117-01</t>
  </si>
  <si>
    <t>Estimar la resistencia longitudinal, a partir de la configuración estructural longitudinal de los elementos que conforman la Sección maestra por su grupo constructivo 100</t>
  </si>
  <si>
    <t>MODULO DE SECCIÓN</t>
  </si>
  <si>
    <t>N° SISTEMA</t>
  </si>
  <si>
    <t>NOMBRE SISTEMA / ELEMENTOS</t>
  </si>
  <si>
    <t>MATERIAL</t>
  </si>
  <si>
    <t>DIMENSIONES</t>
  </si>
  <si>
    <t>CANTIDAD</t>
  </si>
  <si>
    <t xml:space="preserve">AREA </t>
  </si>
  <si>
    <t>Yg</t>
  </si>
  <si>
    <t>My</t>
  </si>
  <si>
    <t>I+Ad2</t>
  </si>
  <si>
    <t>x</t>
  </si>
  <si>
    <t>z</t>
  </si>
  <si>
    <t>mx</t>
  </si>
  <si>
    <t>my</t>
  </si>
  <si>
    <t>mz</t>
  </si>
  <si>
    <t>Long.(mm)</t>
  </si>
  <si>
    <t>Espesor(mm)</t>
  </si>
  <si>
    <t>(u)</t>
  </si>
  <si>
    <t>(mm2)</t>
  </si>
  <si>
    <t>(mm)</t>
  </si>
  <si>
    <t>(mm2-mm)</t>
  </si>
  <si>
    <t>(mm4)</t>
  </si>
  <si>
    <t>(m)</t>
  </si>
  <si>
    <t>(Kg-m)</t>
  </si>
  <si>
    <t>(kg-m)</t>
  </si>
  <si>
    <t>Estructura de Casco</t>
  </si>
  <si>
    <t>Laminas del Forro Exterior</t>
  </si>
  <si>
    <t xml:space="preserve">Forro Fondo </t>
  </si>
  <si>
    <t>Al 5083 H116</t>
  </si>
  <si>
    <t>Forro Costado</t>
  </si>
  <si>
    <t>Forro Pantoque</t>
  </si>
  <si>
    <t>Forro amurada</t>
  </si>
  <si>
    <t>Cubierta</t>
  </si>
  <si>
    <t>Ref. Longitudinal fondo FB65x6 200@LC</t>
  </si>
  <si>
    <t>Al  6082 T6</t>
  </si>
  <si>
    <t>Ref. Longitudinal fondo FB65x6 400@LC</t>
  </si>
  <si>
    <t>Ref. Longitudinal fondo FB65x6 800@LC</t>
  </si>
  <si>
    <t>Al 6082 T6</t>
  </si>
  <si>
    <t>Estructura Longitudinal</t>
  </si>
  <si>
    <t>Ref. Longitudinal borda FB 100x4 1400@LB</t>
  </si>
  <si>
    <t>Ref. Longitudinal costado FB40x5 600@LB</t>
  </si>
  <si>
    <t>Ref. Longitudinal costado FB40x5 850@LB</t>
  </si>
  <si>
    <t>Vagra  500@LC</t>
  </si>
  <si>
    <t xml:space="preserve">Ref. Cubierta FB 40X4 </t>
  </si>
  <si>
    <t>quilla FB80x12 0@LC</t>
  </si>
  <si>
    <t xml:space="preserve">Barras 935@LC </t>
  </si>
  <si>
    <t xml:space="preserve">Barras 1190@LC </t>
  </si>
  <si>
    <t>Calculo de Momento de Inercia</t>
  </si>
  <si>
    <r>
      <t/>
    </r>
    <r>
      <rPr>
        <b/>
        <sz val="10"/>
        <color rgb="FF000000"/>
        <rFont val="Arial"/>
        <family val="2"/>
      </rPr>
      <t>Ʃ</t>
    </r>
    <r>
      <rPr>
        <b/>
        <sz val="10"/>
        <color rgb="FF000000"/>
        <rFont val="Arial Unicode MS"/>
        <family val="2"/>
      </rPr>
      <t>Totales</t>
    </r>
  </si>
  <si>
    <t>Ʃarea (mm2)</t>
  </si>
  <si>
    <t>ƩMy (mm2-mm)</t>
  </si>
  <si>
    <t>ƩIy (mm4)</t>
  </si>
  <si>
    <t>X</t>
  </si>
  <si>
    <t>Z</t>
  </si>
  <si>
    <t>Ʃmx</t>
  </si>
  <si>
    <t>Ʃmy</t>
  </si>
  <si>
    <t>Ʃmz</t>
  </si>
  <si>
    <t>Sección transversal cuaderna maestra</t>
  </si>
  <si>
    <t>2440x6100mm</t>
  </si>
  <si>
    <t>PESO LAMINAS (kg)</t>
  </si>
  <si>
    <r>
      <t xml:space="preserve">Peso </t>
    </r>
    <r>
      <rPr>
        <sz val="10"/>
        <color rgb="FF000000"/>
        <rFont val="Arial Unicode MS"/>
        <family val="2"/>
      </rPr>
      <t>(Kg)</t>
    </r>
  </si>
  <si>
    <t>N° Perfiles</t>
  </si>
  <si>
    <t>127x6100mm</t>
  </si>
  <si>
    <t>Perfil L</t>
  </si>
  <si>
    <t>101,6x12000mm</t>
  </si>
  <si>
    <t>101,6x6100mm</t>
  </si>
  <si>
    <t>76,2x6100mm</t>
  </si>
  <si>
    <t>19,05x6000</t>
  </si>
  <si>
    <t>Barra</t>
  </si>
  <si>
    <t>PESO PERFILES (kg)</t>
  </si>
  <si>
    <t>PESO TOTAL REQUERIDO ACERO CASCO (kg)</t>
  </si>
  <si>
    <t>PESO TOTAL REQUERIDO ACCESORIOS CASCO (kg)</t>
  </si>
  <si>
    <t>Desperdicio</t>
  </si>
  <si>
    <t>PESO TOTAL GRUPO 100 - CASCO</t>
  </si>
  <si>
    <t>Cálculo de Centroides y Modulo Seccional</t>
  </si>
  <si>
    <t>RESUMEN MATERIALES</t>
  </si>
  <si>
    <t>Item</t>
  </si>
  <si>
    <t>Elemento</t>
  </si>
  <si>
    <t>Especificación</t>
  </si>
  <si>
    <t>Peso Kg</t>
  </si>
  <si>
    <t>Formato</t>
  </si>
  <si>
    <t>Cantidad #</t>
  </si>
  <si>
    <t>Estand. Mate.</t>
  </si>
  <si>
    <r>
      <t xml:space="preserve">Esp.
</t>
    </r>
    <r>
      <rPr>
        <sz val="10"/>
        <color rgb="FF000000"/>
        <rFont val="Arial Unicode MS"/>
        <family val="2"/>
      </rPr>
      <t>(mm)</t>
    </r>
  </si>
  <si>
    <t>Lamina acero</t>
  </si>
  <si>
    <t>A131</t>
  </si>
  <si>
    <t>1830x6100</t>
  </si>
  <si>
    <t>2440x6100</t>
  </si>
  <si>
    <t>Perfil L acero</t>
  </si>
  <si>
    <t>A36</t>
  </si>
  <si>
    <t>127x6000</t>
  </si>
  <si>
    <t>101,6x12000</t>
  </si>
  <si>
    <t>101,6x6000</t>
  </si>
  <si>
    <t>76,2x6000</t>
  </si>
  <si>
    <t>Tuberia DN 4" SCH 40</t>
  </si>
  <si>
    <t>Long=6 mts</t>
  </si>
  <si>
    <t>Por comprar por parte del Cliente</t>
  </si>
  <si>
    <t>Tuberia DN 2" SCH 40</t>
  </si>
  <si>
    <t>Barra circular acero</t>
  </si>
  <si>
    <t>19,06x6000</t>
  </si>
  <si>
    <r>
      <t xml:space="preserve">TUBERIA Y CONEXIONES GRUPO 500 </t>
    </r>
    <r>
      <rPr>
        <sz val="10"/>
        <color rgb="FF000000"/>
        <rFont val="Arial Unicode MS"/>
        <family val="2"/>
      </rPr>
      <t>(kg)</t>
    </r>
  </si>
  <si>
    <t>Tronco de Expansion</t>
  </si>
  <si>
    <t>Acero</t>
  </si>
  <si>
    <t>N/A</t>
  </si>
  <si>
    <t>24"x42"</t>
  </si>
  <si>
    <t>Tapa estanca no rasante</t>
  </si>
  <si>
    <t>18"x24"</t>
  </si>
  <si>
    <t>Tapa estanca rasante</t>
  </si>
  <si>
    <t>Tapa lavado</t>
  </si>
  <si>
    <t>14"</t>
  </si>
  <si>
    <t>Enjaretado</t>
  </si>
  <si>
    <t>25X5 Tipo T, W=600mm</t>
  </si>
  <si>
    <t>http://www.taesmet.com/catalogo_rejillas.pdf</t>
  </si>
  <si>
    <t>http://www.colrejillas.com/estructuras-metalicas.html</t>
  </si>
  <si>
    <r>
      <t xml:space="preserve">ACCESORIOS GRUPO 500 </t>
    </r>
    <r>
      <rPr>
        <sz val="10"/>
        <color rgb="FF000000"/>
        <rFont val="Arial Unicode MS"/>
        <family val="2"/>
      </rPr>
      <t>(kg)</t>
    </r>
  </si>
  <si>
    <t>Centroides (mm)</t>
  </si>
  <si>
    <t>Xcg</t>
  </si>
  <si>
    <t>Ycg</t>
  </si>
  <si>
    <t>Distancia a la fibra externa(m)</t>
  </si>
  <si>
    <t>C1(m)</t>
  </si>
  <si>
    <t>C2(m)</t>
  </si>
  <si>
    <t>Fondo</t>
  </si>
  <si>
    <t xml:space="preserve">Modulo seccional  Cuaderna Maestra </t>
  </si>
  <si>
    <r>
      <t>Smax(cm</t>
    </r>
    <r>
      <rPr>
        <b/>
        <sz val="10"/>
        <color rgb="FF000000"/>
        <rFont val="Calibri"/>
        <family val="2"/>
        <scheme val="minor"/>
      </rPr>
      <t>²</t>
    </r>
    <r>
      <rPr>
        <b/>
        <sz val="10"/>
        <color rgb="FF000000"/>
        <rFont val="Arial Unicode MS"/>
        <family val="2"/>
      </rPr>
      <t>-</t>
    </r>
    <r>
      <rPr>
        <sz val="10"/>
        <color rgb="FF000000"/>
        <rFont val="Arial Unicode MS"/>
        <family val="2"/>
      </rPr>
      <t>m</t>
    </r>
    <r>
      <rPr>
        <b/>
        <sz val="10"/>
        <color rgb="FF000000"/>
        <rFont val="Arial Unicode MS"/>
        <family val="2"/>
      </rPr>
      <t>)</t>
    </r>
  </si>
  <si>
    <t xml:space="preserve">Cubierta </t>
  </si>
  <si>
    <r>
      <t>Smin(cm</t>
    </r>
    <r>
      <rPr>
        <b/>
        <sz val="10"/>
        <color rgb="FF000000"/>
        <rFont val="Calibri"/>
        <family val="2"/>
        <scheme val="minor"/>
      </rPr>
      <t>²</t>
    </r>
    <r>
      <rPr>
        <b/>
        <sz val="10"/>
        <color rgb="FF000000"/>
        <rFont val="Arial Unicode MS"/>
        <family val="2"/>
      </rPr>
      <t>-</t>
    </r>
    <r>
      <rPr>
        <sz val="10"/>
        <color rgb="FF000000"/>
        <rFont val="Arial Unicode MS"/>
        <family val="2"/>
      </rPr>
      <t>m</t>
    </r>
    <r>
      <rPr>
        <b/>
        <sz val="10"/>
        <color rgb="FF000000"/>
        <rFont val="Arial Unicode MS"/>
        <family val="2"/>
      </rPr>
      <t>)</t>
    </r>
  </si>
  <si>
    <t xml:space="preserve">Cálculo de Modulo Seccional Mínimo Norma  </t>
  </si>
  <si>
    <r>
      <t>SM</t>
    </r>
    <r>
      <rPr>
        <sz val="10"/>
        <color rgb="FF000000"/>
        <rFont val="Calibri"/>
        <family val="2"/>
        <scheme val="minor"/>
      </rPr>
      <t>R= Modulo Seccional Minimo Requerido(cm</t>
    </r>
    <r>
      <rPr>
        <sz val="10"/>
        <color rgb="FF000000"/>
        <rFont val="Calibri"/>
        <family val="2"/>
        <scheme val="minor"/>
      </rPr>
      <t>²</t>
    </r>
    <r>
      <rPr>
        <sz val="10"/>
        <color rgb="FF000000"/>
        <rFont val="Calibri"/>
        <family val="2"/>
        <scheme val="minor"/>
      </rPr>
      <t>-m</t>
    </r>
  </si>
  <si>
    <r>
      <t>cm</t>
    </r>
    <r>
      <rPr>
        <b/>
        <sz val="11"/>
        <color rgb="FF000000"/>
        <rFont val="Calibri"/>
        <family val="2"/>
        <scheme val="minor"/>
      </rPr>
      <t>²-m</t>
    </r>
  </si>
  <si>
    <r>
      <t/>
    </r>
    <r>
      <rPr>
        <b/>
        <i/>
        <sz val="10"/>
        <color rgb="FF000000"/>
        <rFont val="Arial Unicode MS"/>
        <family val="2"/>
      </rPr>
      <t xml:space="preserve">REFERENCIA: </t>
    </r>
    <r>
      <rPr>
        <i/>
        <sz val="10"/>
        <color rgb="FF000000"/>
        <rFont val="Arial Unicode MS"/>
        <family val="2"/>
      </rPr>
      <t>ABS - RULES FOR BUILDING AND CLASSING -  HIGH SPEED CRAFT -  PART 3</t>
    </r>
  </si>
  <si>
    <t xml:space="preserve">Calculo Factor de Seguridad </t>
  </si>
  <si>
    <t>n=  Factor de Seguridad Modulo  Smin/SMR</t>
  </si>
  <si>
    <t>Smin</t>
  </si>
  <si>
    <r>
      <t>SM</t>
    </r>
    <r>
      <rPr>
        <i/>
        <sz val="8"/>
        <color rgb="FF000000"/>
        <rFont val="Arial Unicode MS"/>
        <family val="2"/>
      </rPr>
      <t>R</t>
    </r>
  </si>
  <si>
    <t>Observación: Modulo seccional de la cuaderna maestra cumple con lo requerido en la norma</t>
  </si>
  <si>
    <t>Nota 1, Modulo seccional de la cuaderna maestra cumple con lo requerido en la norma</t>
  </si>
  <si>
    <t>Dawin Jimenez Vargas</t>
  </si>
  <si>
    <t xml:space="preserve">IS_ESTRUCTURAS Y MATERIALES </t>
  </si>
  <si>
    <t/>
  </si>
  <si>
    <t xml:space="preserve">[4020]  ESCANTILLONADO DEL CASCO DE BOTE DE BAJO CALADO EN ALUMINIO </t>
  </si>
  <si>
    <t>Dimensiones generales</t>
  </si>
  <si>
    <t>Eslora de escatillón</t>
  </si>
  <si>
    <t>Eslora  total</t>
  </si>
  <si>
    <t>Eslora de flotación (LWL)</t>
  </si>
  <si>
    <t>Manga máxima</t>
  </si>
  <si>
    <t>Calado de diseño</t>
  </si>
  <si>
    <t>Desplazamiento de diseño</t>
  </si>
  <si>
    <t>N° tripulación</t>
  </si>
  <si>
    <t>personas</t>
  </si>
  <si>
    <t xml:space="preserve">Velocidad máxima </t>
  </si>
  <si>
    <t>nudos</t>
  </si>
  <si>
    <t xml:space="preserve">TABLA COMPARATIVA DE RESULTADOS </t>
  </si>
  <si>
    <t>GREY CODE - ISO 12215</t>
  </si>
  <si>
    <t>ABS - RULES FOR BUILDING AND CLASSING -  HIGH SPEED CRAFT -  PART 3</t>
  </si>
  <si>
    <t>instalado</t>
  </si>
  <si>
    <t>[10.6] Espesor en el fondo</t>
  </si>
  <si>
    <t>[3.2.3] Espesor en el fondo</t>
  </si>
  <si>
    <t>[10.6] Espesor en el costado</t>
  </si>
  <si>
    <t>[3.2.3] Espesor en el costado</t>
  </si>
  <si>
    <t>[10.6] Espesor en cubierta</t>
  </si>
  <si>
    <t>[3.2.3] Espesor en cubierta</t>
  </si>
  <si>
    <t>[11.1]Refuerzos long. Fondo (Sm)</t>
  </si>
  <si>
    <t>[3.2.4]Refuerzos long. Fondo (Sm)</t>
  </si>
  <si>
    <t>[11.1]Refuerzos long. costados (Sm)</t>
  </si>
  <si>
    <t>[3.2.4]Refuerzos long. costados (Sm)</t>
  </si>
  <si>
    <t>[11.1]refuerzos trnas. cubierta (Sm)</t>
  </si>
  <si>
    <t>[3.2.4]refuerzos trnas. cubierta (Sm)</t>
  </si>
  <si>
    <t>[11.1] varenga fondo (Sm)</t>
  </si>
  <si>
    <t xml:space="preserve"> [3.2.4]varenga fondo (Sm)</t>
  </si>
  <si>
    <t>[11.1] varenga costado (Sm)</t>
  </si>
  <si>
    <t>[3.2.4]varenga costado (Sm)</t>
  </si>
  <si>
    <t>Información adicional se muestra en las siguientes hojas según el código utilizado</t>
  </si>
  <si>
    <t>Se toma como criterio de diseño la condición más crítica entre ambas normas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</si>
</sst>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9">
    <numFmt numFmtId="164" formatCode="#,##0.0"/>
    <numFmt numFmtId="165" formatCode="0.ff m"/>
    <numFmt numFmtId="166" formatCode="0.ff kN/m^2"/>
    <numFmt numFmtId="167" formatCode="#,##0.000"/>
    <numFmt numFmtId="168" formatCode="#,##0.000000"/>
    <numFmt numFmtId="169" formatCode="#,##0.0000"/>
    <numFmt numFmtId="170" formatCode="#,##0.0000000000000000000000000"/>
    <numFmt numFmtId="171" formatCode="#,##0.0000000000"/>
    <numFmt numFmtId="172" formatCode="#,##0.0000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22"/>
      <color rgb="FF000000"/>
      <name val="Calibri"/>
      <family val="2"/>
    </font>
    <font>
      <sz val="16"/>
      <color rgb="FF000000"/>
      <name val="Calibri"/>
      <family val="2"/>
    </font>
    <font>
      <b/>
      <sz val="11"/>
      <color rgb="FF00b050"/>
      <name val="Calibri"/>
      <family val="2"/>
    </font>
    <font>
      <b/>
      <sz val="11"/>
      <color rgb="FF70ad47"/>
      <name val="Calibri"/>
      <family val="2"/>
    </font>
    <font>
      <b/>
      <sz val="18"/>
      <color rgb="FF000000"/>
      <name val="Calibri"/>
      <family val="2"/>
    </font>
    <font>
      <sz val="18"/>
      <color rgb="FF000000"/>
      <name val="Calibri"/>
      <family val="2"/>
    </font>
    <font>
      <b/>
      <i/>
      <sz val="11"/>
      <color rgb="FF000000"/>
      <name val="Calibri"/>
      <family val="2"/>
    </font>
    <font>
      <b/>
      <sz val="11"/>
      <color rgb="FF000000"/>
      <name val="Arial Unicode MS"/>
      <family val="2"/>
    </font>
    <font>
      <sz val="11"/>
      <color rgb="FF000000"/>
      <name val="Arial Unicode MS"/>
      <family val="2"/>
    </font>
    <font>
      <b/>
      <sz val="10"/>
      <color rgb="FF000000"/>
      <name val="Arial Unicode MS"/>
      <family val="2"/>
    </font>
    <font>
      <b/>
      <sz val="20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deebf7"/>
      <name val="Calibri"/>
      <family val="2"/>
    </font>
    <font>
      <i/>
      <sz val="11"/>
      <color rgb="FF000000"/>
      <name val="Calibri"/>
      <family val="2"/>
    </font>
    <font>
      <i/>
      <sz val="12"/>
      <color rgb="FF000000"/>
      <name val="Calibri"/>
      <family val="2"/>
    </font>
    <font>
      <sz val="12"/>
      <color rgb="FF000000"/>
      <name val="Calibri"/>
      <family val="2"/>
    </font>
    <font>
      <b/>
      <u/>
      <sz val="14"/>
      <color rgb="FF000000"/>
      <name val="Arial Unicode MS"/>
      <family val="2"/>
    </font>
    <font>
      <sz val="10"/>
      <color rgb="FF000000"/>
      <name val="Arial Unicode MS"/>
      <family val="2"/>
    </font>
    <font>
      <sz val="9"/>
      <color rgb="FF000000"/>
      <name val="Arial Unicode MS"/>
      <family val="2"/>
    </font>
    <font>
      <i/>
      <sz val="10"/>
      <color rgb="FF000000"/>
      <name val="Arial Unicode MS"/>
      <family val="2"/>
    </font>
    <font>
      <sz val="10"/>
      <color theme="1"/>
      <name val="Arial Unicode MS"/>
      <family val="2"/>
    </font>
    <font>
      <b/>
      <i/>
      <sz val="10"/>
      <color rgb="FF000000"/>
      <name val="Arial Unicode MS"/>
      <family val="2"/>
    </font>
    <font>
      <b/>
      <sz val="11"/>
      <color rgb="FF000000"/>
      <name val="Arial"/>
      <family val="2"/>
    </font>
    <font>
      <b/>
      <sz val="9"/>
      <color rgb="FF000000"/>
      <name val="Arial Unicode MS"/>
      <family val="2"/>
    </font>
    <font>
      <b/>
      <sz val="12"/>
      <color rgb="FF000000"/>
      <name val="Arial Unicode MS"/>
      <family val="2"/>
    </font>
    <font>
      <u/>
      <sz val="11"/>
      <color rgb="FF000000"/>
      <name val="Calibri"/>
      <family val="2"/>
    </font>
    <font>
      <b/>
      <sz val="10"/>
      <color theme="1"/>
      <name val="Arial Unicode MS"/>
      <family val="2"/>
    </font>
    <font>
      <sz val="24"/>
      <color rgb="FF000000"/>
      <name val="Calibri"/>
      <family val="2"/>
    </font>
    <font>
      <b/>
      <sz val="12"/>
      <color rgb="FF70ad47"/>
      <name val="Calibri"/>
      <family val="2"/>
    </font>
    <font>
      <sz val="12"/>
      <color rgb="FF70ad47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e2f0d9"/>
      </patternFill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dae3f3"/>
      </patternFill>
    </fill>
    <fill>
      <patternFill patternType="solid">
        <fgColor rgb="FFff3300"/>
      </patternFill>
    </fill>
    <fill>
      <patternFill patternType="solid">
        <fgColor rgb="FFa9d18e"/>
      </patternFill>
    </fill>
    <fill>
      <patternFill patternType="solid">
        <fgColor rgb="FFe7e6e6"/>
      </patternFill>
    </fill>
    <fill>
      <patternFill patternType="solid">
        <fgColor rgb="FFededed"/>
      </patternFill>
    </fill>
    <fill>
      <patternFill patternType="solid">
        <fgColor rgb="FFbdd7ee"/>
      </patternFill>
    </fill>
    <fill>
      <patternFill patternType="solid">
        <fgColor rgb="FFf2f2f2"/>
      </patternFill>
    </fill>
    <fill>
      <patternFill patternType="solid">
        <fgColor rgb="FFd9d9d9"/>
      </patternFill>
    </fill>
    <fill>
      <patternFill patternType="solid">
        <fgColor rgb="FFffff00"/>
      </patternFill>
    </fill>
    <fill>
      <patternFill patternType="solid">
        <fgColor rgb="FFffffff"/>
      </patternFill>
    </fill>
  </fills>
  <borders count="7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774">
    <xf xfId="0" numFmtId="0" borderId="0" fontId="0" fillId="0"/>
    <xf xfId="0" numFmtId="0" borderId="1" applyBorder="1" fontId="1" applyFont="1" fillId="0" applyAlignment="1">
      <alignment horizontal="left"/>
    </xf>
    <xf xfId="0" numFmtId="0" borderId="2" applyBorder="1" fontId="2" applyFont="1" fillId="2" applyFill="1" applyAlignment="1">
      <alignment horizontal="center" vertical="top"/>
    </xf>
    <xf xfId="0" numFmtId="4" applyNumberFormat="1" borderId="3" applyBorder="1" fontId="2" applyFont="1" fillId="2" applyFill="1" applyAlignment="1">
      <alignment horizontal="center"/>
    </xf>
    <xf xfId="0" numFmtId="0" borderId="3" applyBorder="1" fontId="2" applyFont="1" fillId="2" applyFill="1" applyAlignment="1">
      <alignment horizontal="center"/>
    </xf>
    <xf xfId="0" numFmtId="0" borderId="4" applyBorder="1" fontId="2" applyFont="1" fillId="2" applyFill="1" applyAlignment="1">
      <alignment horizontal="center"/>
    </xf>
    <xf xfId="0" numFmtId="0" borderId="5" applyBorder="1" fontId="1" applyFont="1" fillId="0" applyAlignment="1">
      <alignment horizontal="left"/>
    </xf>
    <xf xfId="0" numFmtId="164" applyNumberFormat="1" borderId="5" applyBorder="1" fontId="1" applyFont="1" fillId="0" applyAlignment="1">
      <alignment horizontal="left"/>
    </xf>
    <xf xfId="0" numFmtId="3" applyNumberFormat="1" borderId="5" applyBorder="1" fontId="1" applyFont="1" fillId="0" applyAlignment="1">
      <alignment horizontal="left"/>
    </xf>
    <xf xfId="0" numFmtId="4" applyNumberFormat="1" borderId="5" applyBorder="1" fontId="1" applyFont="1" fillId="0" applyAlignment="1">
      <alignment horizontal="left"/>
    </xf>
    <xf xfId="0" numFmtId="0" borderId="6" applyBorder="1" fontId="1" applyFont="1" fillId="0" applyAlignment="1">
      <alignment horizontal="lef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16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7" applyBorder="1" fontId="1" applyFont="1" fillId="0" applyAlignment="1">
      <alignment horizontal="left"/>
    </xf>
    <xf xfId="0" numFmtId="0" borderId="8" applyBorder="1" fontId="2" applyFont="1" fillId="2" applyFill="1" applyAlignment="1">
      <alignment horizontal="center"/>
    </xf>
    <xf xfId="0" numFmtId="4" applyNumberFormat="1" borderId="9" applyBorder="1" fontId="2" applyFont="1" fillId="2" applyFill="1" applyAlignment="1">
      <alignment horizontal="center"/>
    </xf>
    <xf xfId="0" numFmtId="0" borderId="9" applyBorder="1" fontId="2" applyFont="1" fillId="2" applyFill="1" applyAlignment="1">
      <alignment horizontal="center"/>
    </xf>
    <xf xfId="0" numFmtId="0" borderId="10" applyBorder="1" fontId="2" applyFont="1" fillId="2" applyFill="1" applyAlignment="1">
      <alignment horizontal="center"/>
    </xf>
    <xf xfId="0" numFmtId="0" borderId="11" applyBorder="1" fontId="1" applyFont="1" fillId="0" applyAlignment="1">
      <alignment horizontal="left"/>
    </xf>
    <xf xfId="0" numFmtId="0" borderId="12" applyBorder="1" fontId="1" applyFont="1" fillId="2" applyFill="1" applyAlignment="1">
      <alignment horizontal="left"/>
    </xf>
    <xf xfId="0" numFmtId="4" applyNumberFormat="1" borderId="13" applyBorder="1" fontId="1" applyFont="1" fillId="2" applyFill="1" applyAlignment="1">
      <alignment horizontal="left"/>
    </xf>
    <xf xfId="0" numFmtId="3" applyNumberFormat="1" borderId="6" applyBorder="1" fontId="1" applyFont="1" fillId="0" applyAlignment="1">
      <alignment horizontal="left"/>
    </xf>
    <xf xfId="0" numFmtId="4" applyNumberFormat="1" borderId="6" applyBorder="1" fontId="1" applyFont="1" fillId="0" applyAlignment="1">
      <alignment horizontal="left"/>
    </xf>
    <xf xfId="0" numFmtId="0" borderId="14" applyBorder="1" fontId="3" applyFont="1" fillId="0" applyAlignment="1">
      <alignment horizontal="left"/>
    </xf>
    <xf xfId="0" numFmtId="4" applyNumberFormat="1" borderId="15" applyBorder="1" fontId="3" applyFont="1" fillId="0" applyAlignment="1">
      <alignment horizontal="left"/>
    </xf>
    <xf xfId="0" numFmtId="0" borderId="16" applyBorder="1" fontId="3" applyFont="1" fillId="0" applyAlignment="1">
      <alignment horizontal="left"/>
    </xf>
    <xf xfId="0" numFmtId="3" applyNumberFormat="1" borderId="11" applyBorder="1" fontId="1" applyFont="1" fillId="0" applyAlignment="1">
      <alignment horizontal="left"/>
    </xf>
    <xf xfId="0" numFmtId="4" applyNumberFormat="1" borderId="11" applyBorder="1" fontId="1" applyFont="1" fillId="0" applyAlignment="1">
      <alignment horizontal="left"/>
    </xf>
    <xf xfId="0" numFmtId="0" borderId="17" applyBorder="1" fontId="3" applyFont="1" fillId="0" applyAlignment="1">
      <alignment horizontal="left"/>
    </xf>
    <xf xfId="0" numFmtId="4" applyNumberFormat="1" borderId="5" applyBorder="1" fontId="1" applyFont="1" fillId="0" applyAlignment="1">
      <alignment horizontal="right"/>
    </xf>
    <xf xfId="0" numFmtId="0" borderId="18" applyBorder="1" fontId="3" applyFont="1" fillId="0" applyAlignment="1">
      <alignment horizontal="left"/>
    </xf>
    <xf xfId="0" numFmtId="0" borderId="19" applyBorder="1" fontId="3" applyFont="1" fillId="3" applyFill="1" applyAlignment="1">
      <alignment horizontal="left"/>
    </xf>
    <xf xfId="0" numFmtId="4" applyNumberFormat="1" borderId="20" applyBorder="1" fontId="1" applyFont="1" fillId="3" applyFill="1" applyAlignment="1">
      <alignment horizontal="right"/>
    </xf>
    <xf xfId="0" numFmtId="0" borderId="21" applyBorder="1" fontId="1" applyFont="1" fillId="3" applyFill="1" applyAlignment="1">
      <alignment horizontal="left"/>
    </xf>
    <xf xfId="0" numFmtId="3" applyNumberFormat="1" borderId="22" applyBorder="1" fontId="1" applyFont="1" fillId="0" applyAlignment="1">
      <alignment horizontal="right"/>
    </xf>
    <xf xfId="0" numFmtId="4" applyNumberFormat="1" borderId="22" applyBorder="1" fontId="1" applyFont="1" fillId="0" applyAlignment="1">
      <alignment horizontal="right"/>
    </xf>
    <xf xfId="0" numFmtId="0" borderId="23" applyBorder="1" fontId="3" applyFont="1" fillId="3" applyFill="1" applyAlignment="1">
      <alignment horizontal="left"/>
    </xf>
    <xf xfId="0" numFmtId="4" applyNumberFormat="1" borderId="9" applyBorder="1" fontId="1" applyFont="1" fillId="3" applyFill="1" applyAlignment="1">
      <alignment horizontal="right"/>
    </xf>
    <xf xfId="0" numFmtId="0" borderId="10" applyBorder="1" fontId="1" applyFont="1" fillId="3" applyFill="1" applyAlignment="1">
      <alignment horizontal="left"/>
    </xf>
    <xf xfId="0" numFmtId="0" borderId="20" applyBorder="1" fontId="3" applyFont="1" fillId="3" applyFill="1" applyAlignment="1">
      <alignment horizontal="left"/>
    </xf>
    <xf xfId="0" numFmtId="3" applyNumberFormat="1" borderId="5" applyBorder="1" fontId="1" applyFont="1" fillId="0" applyAlignment="1">
      <alignment horizontal="right"/>
    </xf>
    <xf xfId="0" numFmtId="0" borderId="24" applyBorder="1" fontId="1" applyFont="1" fillId="0" applyAlignment="1">
      <alignment horizontal="left"/>
    </xf>
    <xf xfId="0" numFmtId="3" applyNumberFormat="1" borderId="25" applyBorder="1" fontId="1" applyFont="1" fillId="0" applyAlignment="1">
      <alignment horizontal="left"/>
    </xf>
    <xf xfId="0" numFmtId="164" applyNumberFormat="1" borderId="25" applyBorder="1" fontId="1" applyFont="1" fillId="0" applyAlignment="1">
      <alignment horizontal="left"/>
    </xf>
    <xf xfId="0" numFmtId="4" applyNumberFormat="1" borderId="26" applyBorder="1" fontId="1" applyFont="1" fillId="0" applyAlignment="1">
      <alignment horizontal="left"/>
    </xf>
    <xf xfId="0" numFmtId="0" borderId="25" applyBorder="1" fontId="1" applyFont="1" fillId="0" applyAlignment="1">
      <alignment horizontal="left"/>
    </xf>
    <xf xfId="0" numFmtId="0" borderId="26" applyBorder="1" fontId="1" applyFont="1" fillId="0" applyAlignment="1">
      <alignment horizontal="left"/>
    </xf>
    <xf xfId="0" numFmtId="3" applyNumberFormat="1" borderId="26" applyBorder="1" fontId="1" applyFont="1" fillId="0" applyAlignment="1">
      <alignment horizontal="left"/>
    </xf>
    <xf xfId="0" numFmtId="0" borderId="12" applyBorder="1" fontId="3" applyFont="1" fillId="4" applyFill="1" applyAlignment="1">
      <alignment horizontal="center"/>
    </xf>
    <xf xfId="0" numFmtId="0" borderId="27" applyBorder="1" fontId="3" applyFont="1" fillId="4" applyFill="1" applyAlignment="1">
      <alignment horizontal="center"/>
    </xf>
    <xf xfId="0" numFmtId="164" applyNumberFormat="1" borderId="27" applyBorder="1" fontId="3" applyFont="1" fillId="4" applyFill="1" applyAlignment="1">
      <alignment horizontal="center"/>
    </xf>
    <xf xfId="0" numFmtId="3" applyNumberFormat="1" borderId="13" applyBorder="1" fontId="3" applyFont="1" fillId="4" applyFill="1" applyAlignment="1">
      <alignment horizontal="center"/>
    </xf>
    <xf xfId="0" numFmtId="164" applyNumberFormat="1" borderId="22" applyBorder="1" fontId="1" applyFont="1" fillId="0" applyAlignment="1">
      <alignment horizontal="right"/>
    </xf>
    <xf xfId="0" numFmtId="164" applyNumberFormat="1" borderId="22" applyBorder="1" fontId="3" applyFont="1" fillId="0" applyAlignment="1">
      <alignment horizontal="right"/>
    </xf>
    <xf xfId="0" numFmtId="4" applyNumberFormat="1" borderId="15" applyBorder="1" fontId="1" applyFont="1" fillId="0" applyAlignment="1">
      <alignment horizontal="left"/>
    </xf>
    <xf xfId="0" numFmtId="0" borderId="16" applyBorder="1" fontId="1" applyFont="1" fillId="0" applyAlignment="1">
      <alignment horizontal="left"/>
    </xf>
    <xf xfId="0" numFmtId="0" borderId="2" applyBorder="1" fontId="1" applyFont="1" fillId="2" applyFill="1" applyAlignment="1">
      <alignment horizontal="left"/>
    </xf>
    <xf xfId="0" numFmtId="164" applyNumberFormat="1" borderId="3" applyBorder="1" fontId="1" applyFont="1" fillId="2" applyFill="1" applyAlignment="1">
      <alignment horizontal="left"/>
    </xf>
    <xf xfId="0" numFmtId="3" applyNumberFormat="1" borderId="4" applyBorder="1" fontId="1" applyFont="1" fillId="2" applyFill="1" applyAlignment="1">
      <alignment horizontal="left"/>
    </xf>
    <xf xfId="0" numFmtId="3" applyNumberFormat="1" borderId="27" applyBorder="1" fontId="3" applyFont="1" fillId="4" applyFill="1" applyAlignment="1">
      <alignment horizontal="center"/>
    </xf>
    <xf xfId="0" numFmtId="4" applyNumberFormat="1" borderId="13" applyBorder="1" fontId="3" applyFont="1" fillId="4" applyFill="1" applyAlignment="1">
      <alignment horizontal="center"/>
    </xf>
    <xf xfId="0" numFmtId="0" borderId="12" applyBorder="1" fontId="3" applyFont="1" fillId="5" applyFill="1" applyAlignment="1">
      <alignment horizontal="center"/>
    </xf>
    <xf xfId="0" numFmtId="164" applyNumberFormat="1" borderId="27" applyBorder="1" fontId="3" applyFont="1" fillId="5" applyFill="1" applyAlignment="1">
      <alignment horizontal="center"/>
    </xf>
    <xf xfId="0" numFmtId="3" applyNumberFormat="1" borderId="13" applyBorder="1" fontId="3" applyFont="1" fillId="5" applyFill="1" applyAlignment="1">
      <alignment horizontal="center"/>
    </xf>
    <xf xfId="0" numFmtId="0" borderId="28" applyBorder="1" fontId="1" applyFont="1" fillId="2" applyFill="1" applyAlignment="1">
      <alignment horizontal="left"/>
    </xf>
    <xf xfId="0" numFmtId="3" applyNumberFormat="1" borderId="29" applyBorder="1" fontId="3" applyFont="1" fillId="2" applyFill="1" applyAlignment="1">
      <alignment horizontal="left"/>
    </xf>
    <xf xfId="0" numFmtId="164" applyNumberFormat="1" borderId="29" applyBorder="1" fontId="3" applyFont="1" fillId="2" applyFill="1" applyAlignment="1">
      <alignment horizontal="left"/>
    </xf>
    <xf xfId="0" numFmtId="4" applyNumberFormat="1" borderId="30" applyBorder="1" fontId="3" applyFont="1" fillId="2" applyFill="1" applyAlignment="1">
      <alignment horizontal="left"/>
    </xf>
    <xf xfId="0" numFmtId="3" applyNumberFormat="1" borderId="20" applyBorder="1" fontId="1" applyFont="1" fillId="4" applyFill="1" applyAlignment="1">
      <alignment horizontal="right"/>
    </xf>
    <xf xfId="0" numFmtId="0" borderId="31" applyBorder="1" fontId="3" applyFont="1" fillId="0" applyAlignment="1">
      <alignment horizontal="left"/>
    </xf>
    <xf xfId="0" numFmtId="3" applyNumberFormat="1" borderId="32" applyBorder="1" fontId="1" applyFont="1" fillId="4" applyFill="1" applyAlignment="1">
      <alignment horizontal="right"/>
    </xf>
    <xf xfId="0" numFmtId="3" applyNumberFormat="1" borderId="32" applyBorder="1" fontId="1" applyFont="1" fillId="0" applyAlignment="1">
      <alignment horizontal="right"/>
    </xf>
    <xf xfId="0" numFmtId="4" applyNumberFormat="1" borderId="33" applyBorder="1" fontId="1" applyFont="1" fillId="0" applyAlignment="1">
      <alignment horizontal="right"/>
    </xf>
    <xf xfId="0" numFmtId="0" borderId="34" applyBorder="1" fontId="4" applyFont="1" fillId="0" applyAlignment="1">
      <alignment horizontal="center" vertical="top"/>
    </xf>
    <xf xfId="0" numFmtId="164" applyNumberFormat="1" borderId="35" applyBorder="1" fontId="3" applyFont="1" fillId="0" applyAlignment="1">
      <alignment horizontal="left"/>
    </xf>
    <xf xfId="0" numFmtId="3" applyNumberFormat="1" borderId="36" applyBorder="1" fontId="1" applyFont="1" fillId="4" applyFill="1" applyAlignment="1">
      <alignment horizontal="right"/>
    </xf>
    <xf xfId="0" numFmtId="4" applyNumberFormat="1" borderId="32" applyBorder="1" fontId="1" applyFont="1" fillId="0" applyAlignment="1">
      <alignment horizontal="right"/>
    </xf>
    <xf xfId="0" numFmtId="0" borderId="11" applyBorder="1" fontId="1" applyFont="1" fillId="0" applyAlignment="1">
      <alignment horizontal="left"/>
    </xf>
    <xf xfId="0" numFmtId="0" borderId="37" applyBorder="1" fontId="4" applyFont="1" fillId="0" applyAlignment="1">
      <alignment horizontal="center"/>
    </xf>
    <xf xfId="0" numFmtId="164" applyNumberFormat="1" borderId="38" applyBorder="1" fontId="3" applyFont="1" fillId="0" applyAlignment="1">
      <alignment horizontal="left"/>
    </xf>
    <xf xfId="0" numFmtId="3" applyNumberFormat="1" borderId="39" applyBorder="1" fontId="1" applyFont="1" fillId="4" applyFill="1" applyAlignment="1">
      <alignment horizontal="right"/>
    </xf>
    <xf xfId="0" numFmtId="0" borderId="7" applyBorder="1" fontId="3" applyFont="1" fillId="0" applyAlignment="1">
      <alignment horizontal="left"/>
    </xf>
    <xf xfId="0" numFmtId="3" applyNumberFormat="1" borderId="40" applyBorder="1" fontId="3" applyFont="1" fillId="0" applyAlignment="1">
      <alignment horizontal="left"/>
    </xf>
    <xf xfId="0" numFmtId="164" applyNumberFormat="1" borderId="25" applyBorder="1" fontId="1" applyFont="1" fillId="0" applyAlignment="1">
      <alignment horizontal="right"/>
    </xf>
    <xf xfId="0" numFmtId="0" borderId="34" applyBorder="1" fontId="3" applyFont="1" fillId="0" applyAlignment="1">
      <alignment horizontal="center" vertical="top" wrapText="1"/>
    </xf>
    <xf xfId="0" numFmtId="164" applyNumberFormat="1" borderId="13" applyBorder="1" fontId="3" applyFont="1" fillId="4" applyFill="1" applyAlignment="1">
      <alignment horizontal="center"/>
    </xf>
    <xf xfId="0" numFmtId="0" borderId="37" applyBorder="1" fontId="3" applyFont="1" fillId="0" applyAlignment="1">
      <alignment horizontal="center" wrapText="1"/>
    </xf>
    <xf xfId="0" numFmtId="0" borderId="41" applyBorder="1" fontId="1" applyFont="1" fillId="2" applyFill="1" applyAlignment="1">
      <alignment horizontal="left"/>
    </xf>
    <xf xfId="0" numFmtId="3" applyNumberFormat="1" borderId="35" applyBorder="1" fontId="3" applyFont="1" fillId="2" applyFill="1" applyAlignment="1">
      <alignment horizontal="left"/>
    </xf>
    <xf xfId="0" numFmtId="3" applyNumberFormat="1" borderId="3" applyBorder="1" fontId="1" applyFont="1" fillId="2" applyFill="1" applyAlignment="1">
      <alignment horizontal="left"/>
    </xf>
    <xf xfId="0" numFmtId="3" applyNumberFormat="1" borderId="35" applyBorder="1" fontId="1" applyFont="1" fillId="2" applyFill="1" applyAlignment="1">
      <alignment horizontal="left"/>
    </xf>
    <xf xfId="0" numFmtId="4" applyNumberFormat="1" borderId="36" applyBorder="1" fontId="1" applyFont="1" fillId="2" applyFill="1" applyAlignment="1">
      <alignment horizontal="right"/>
    </xf>
    <xf xfId="0" numFmtId="3" applyNumberFormat="1" borderId="32" applyBorder="1" fontId="3" applyFont="1" fillId="0" applyAlignment="1">
      <alignment horizontal="left"/>
    </xf>
    <xf xfId="0" numFmtId="4" applyNumberFormat="1" borderId="11" applyBorder="1" fontId="1" applyFont="1" fillId="0" applyAlignment="1">
      <alignment horizontal="right"/>
    </xf>
    <xf xfId="0" numFmtId="4" applyNumberFormat="1" borderId="25" applyBorder="1" fontId="1" applyFont="1" fillId="0" applyAlignment="1">
      <alignment horizontal="right"/>
    </xf>
    <xf xfId="0" numFmtId="164" applyNumberFormat="1" borderId="33" applyBorder="1" fontId="1" applyFont="1" fillId="0" applyAlignment="1">
      <alignment horizontal="right"/>
    </xf>
    <xf xfId="0" numFmtId="0" borderId="42" applyBorder="1" fontId="3" applyFont="1" fillId="0" applyAlignment="1">
      <alignment horizontal="left"/>
    </xf>
    <xf xfId="0" numFmtId="3" applyNumberFormat="1" borderId="38" applyBorder="1" fontId="1" applyFont="1" fillId="0" applyAlignment="1">
      <alignment horizontal="right"/>
    </xf>
    <xf xfId="0" numFmtId="3" applyNumberFormat="1" borderId="38" applyBorder="1" fontId="3" applyFont="1" fillId="0" applyAlignment="1">
      <alignment horizontal="left"/>
    </xf>
    <xf xfId="0" numFmtId="164" applyNumberFormat="1" borderId="39" applyBorder="1" fontId="1" applyFont="1" fillId="0" applyAlignment="1">
      <alignment horizontal="right"/>
    </xf>
    <xf xfId="0" numFmtId="0" borderId="34" applyBorder="1" fontId="5" applyFont="1" fillId="0" applyAlignment="1">
      <alignment horizontal="center" vertical="top" wrapText="1"/>
    </xf>
    <xf xfId="0" numFmtId="0" borderId="37" applyBorder="1" fontId="5" applyFont="1" fillId="0" applyAlignment="1">
      <alignment horizontal="center" wrapText="1"/>
    </xf>
    <xf xfId="0" numFmtId="164" applyNumberFormat="1" borderId="20" applyBorder="1" fontId="1" applyFont="1" fillId="3" applyFill="1" applyAlignment="1">
      <alignment horizontal="right"/>
    </xf>
    <xf xfId="0" numFmtId="0" borderId="22" applyBorder="1" fontId="3" applyFont="1" fillId="0" applyAlignment="1">
      <alignment horizontal="center"/>
    </xf>
    <xf xfId="0" numFmtId="0" borderId="1" applyBorder="1" fontId="4" applyFont="1" fillId="0" applyAlignment="1">
      <alignment horizontal="center" vertical="top"/>
    </xf>
    <xf xfId="0" numFmtId="164" applyNumberFormat="1" borderId="36" applyBorder="1" fontId="1" applyFont="1" fillId="2" applyFill="1" applyAlignment="1">
      <alignment horizontal="left"/>
    </xf>
    <xf xfId="0" numFmtId="0" borderId="24" applyBorder="1" fontId="4" applyFont="1" fillId="0" applyAlignment="1">
      <alignment horizontal="center"/>
    </xf>
    <xf xfId="0" numFmtId="1" applyNumberFormat="1" borderId="22" applyBorder="1" fontId="1" applyFont="1" fillId="0" applyAlignment="1">
      <alignment horizontal="right"/>
    </xf>
    <xf xfId="0" numFmtId="1" applyNumberFormat="1" borderId="25" applyBorder="1" fontId="1" applyFont="1" fillId="0" applyAlignment="1">
      <alignment horizontal="right"/>
    </xf>
    <xf xfId="0" numFmtId="3" applyNumberFormat="1" borderId="25" applyBorder="1" fontId="1" applyFont="1" fillId="0" applyAlignment="1">
      <alignment horizontal="right"/>
    </xf>
    <xf xfId="0" numFmtId="0" borderId="1" applyBorder="1" fontId="4" applyFont="1" fillId="0" applyAlignment="1">
      <alignment horizontal="center" vertical="top" wrapText="1"/>
    </xf>
    <xf xfId="0" numFmtId="0" borderId="24" applyBorder="1" fontId="4" applyFont="1" fillId="0" applyAlignment="1">
      <alignment horizontal="center" wrapText="1"/>
    </xf>
    <xf xfId="0" numFmtId="4" applyNumberFormat="1" borderId="39" applyBorder="1" fontId="1" applyFont="1" fillId="0" applyAlignment="1">
      <alignment horizontal="right"/>
    </xf>
    <xf xfId="0" numFmtId="164" applyNumberFormat="1" borderId="5" applyBorder="1" fontId="3" applyFont="1" fillId="0" applyAlignment="1">
      <alignment horizontal="left"/>
    </xf>
    <xf xfId="0" numFmtId="3" applyNumberFormat="1" borderId="4" applyBorder="1" fontId="1" applyFont="1" fillId="4" applyFill="1" applyAlignment="1">
      <alignment horizontal="right"/>
    </xf>
    <xf xfId="0" numFmtId="164" applyNumberFormat="1" borderId="25" applyBorder="1" fontId="3" applyFont="1" fillId="0" applyAlignment="1">
      <alignment horizontal="left"/>
    </xf>
    <xf xfId="0" numFmtId="3" applyNumberFormat="1" borderId="10" applyBorder="1" fontId="1" applyFont="1" fillId="4" applyFill="1" applyAlignment="1">
      <alignment horizontal="right"/>
    </xf>
    <xf xfId="0" numFmtId="0" borderId="41" applyBorder="1" fontId="3" applyFont="1" fillId="2" applyFill="1" applyAlignment="1">
      <alignment horizontal="left"/>
    </xf>
    <xf xfId="0" numFmtId="164" applyNumberFormat="1" borderId="35" applyBorder="1" fontId="1" applyFont="1" fillId="2" applyFill="1" applyAlignment="1">
      <alignment horizontal="left"/>
    </xf>
    <xf xfId="0" numFmtId="4" applyNumberFormat="1" borderId="36" applyBorder="1" fontId="1" applyFont="1" fillId="2" applyFill="1" applyAlignment="1">
      <alignment horizontal="left"/>
    </xf>
    <xf xfId="0" numFmtId="3" applyNumberFormat="1" borderId="32" applyBorder="1" fontId="3" applyFont="1" fillId="0" applyAlignment="1">
      <alignment horizontal="right"/>
    </xf>
    <xf xfId="0" numFmtId="0" borderId="8" applyBorder="1" fontId="1" applyFont="1" fillId="2" applyFill="1" applyAlignment="1">
      <alignment horizontal="left"/>
    </xf>
    <xf xfId="0" numFmtId="164" applyNumberFormat="1" borderId="9" applyBorder="1" fontId="1" applyFont="1" fillId="2" applyFill="1" applyAlignment="1">
      <alignment horizontal="left"/>
    </xf>
    <xf xfId="0" numFmtId="3" applyNumberFormat="1" borderId="10" applyBorder="1" fontId="1" applyFont="1" fillId="2" applyFill="1" applyAlignment="1">
      <alignment horizontal="left"/>
    </xf>
    <xf xfId="0" numFmtId="0" borderId="42" applyBorder="1" fontId="1" applyFont="1" fillId="0" applyAlignment="1">
      <alignment horizontal="left"/>
    </xf>
    <xf xfId="0" numFmtId="3" applyNumberFormat="1" borderId="38" applyBorder="1" fontId="3" applyFont="1" fillId="0" applyAlignment="1">
      <alignment horizontal="right"/>
    </xf>
    <xf xfId="0" numFmtId="4" applyNumberFormat="1" borderId="38" applyBorder="1" fontId="1" applyFont="1" fillId="0" applyAlignment="1">
      <alignment horizontal="right"/>
    </xf>
    <xf xfId="0" numFmtId="3" applyNumberFormat="1" borderId="40" applyBorder="1" fontId="3" applyFont="1" fillId="0" applyAlignment="1">
      <alignment horizontal="right"/>
    </xf>
    <xf xfId="0" numFmtId="4" applyNumberFormat="1" borderId="40" applyBorder="1" fontId="1" applyFont="1" fillId="0" applyAlignment="1">
      <alignment horizontal="right"/>
    </xf>
    <xf xfId="0" numFmtId="4" applyNumberFormat="1" borderId="43" applyBorder="1" fontId="1" applyFont="1" fillId="0" applyAlignment="1">
      <alignment horizontal="right"/>
    </xf>
    <xf xfId="0" numFmtId="0" borderId="34" applyBorder="1" fontId="4" applyFont="1" fillId="0" applyAlignment="1">
      <alignment horizontal="center" vertical="top" wrapText="1"/>
    </xf>
    <xf xfId="0" numFmtId="0" borderId="37" applyBorder="1" fontId="4" applyFont="1" fillId="0" applyAlignment="1">
      <alignment horizontal="center" wrapText="1"/>
    </xf>
    <xf xfId="0" numFmtId="0" borderId="24" applyBorder="1" fontId="3" applyFont="1" fillId="0" applyAlignment="1">
      <alignment horizontal="left"/>
    </xf>
    <xf xfId="0" numFmtId="4" applyNumberFormat="1" borderId="25" applyBorder="1" fontId="1" applyFont="1" fillId="0" applyAlignment="1">
      <alignment horizontal="left"/>
    </xf>
    <xf xfId="0" numFmtId="0" borderId="9" applyBorder="1" fontId="1" applyFont="1" fillId="3" applyFill="1" applyAlignment="1">
      <alignment horizontal="lef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0" borderId="2" applyBorder="1" fontId="6" applyFont="1" fillId="2" applyFill="1" applyAlignment="1">
      <alignment horizontal="left" vertical="top" wrapText="1"/>
    </xf>
    <xf xfId="0" numFmtId="0" borderId="3" applyBorder="1" fontId="6" applyFont="1" fillId="2" applyFill="1" applyAlignment="1">
      <alignment horizontal="left" wrapText="1"/>
    </xf>
    <xf xfId="0" numFmtId="4" applyNumberFormat="1" borderId="3" applyBorder="1" fontId="6" applyFont="1" fillId="2" applyFill="1" applyAlignment="1">
      <alignment horizontal="left" wrapText="1"/>
    </xf>
    <xf xfId="0" numFmtId="0" borderId="4" applyBorder="1" fontId="6" applyFont="1" fillId="2" applyFill="1" applyAlignment="1">
      <alignment horizontal="left" wrapText="1"/>
    </xf>
    <xf xfId="0" numFmtId="0" borderId="13" applyBorder="1" fontId="3" applyFont="1" fillId="4" applyFill="1" applyAlignment="1">
      <alignment horizontal="center"/>
    </xf>
    <xf xfId="0" numFmtId="0" borderId="8" applyBorder="1" fontId="6" applyFont="1" fillId="2" applyFill="1" applyAlignment="1">
      <alignment horizontal="left" wrapText="1"/>
    </xf>
    <xf xfId="0" numFmtId="0" borderId="9" applyBorder="1" fontId="6" applyFont="1" fillId="2" applyFill="1" applyAlignment="1">
      <alignment horizontal="left" wrapText="1"/>
    </xf>
    <xf xfId="0" numFmtId="4" applyNumberFormat="1" borderId="9" applyBorder="1" fontId="6" applyFont="1" fillId="2" applyFill="1" applyAlignment="1">
      <alignment horizontal="left" wrapText="1"/>
    </xf>
    <xf xfId="0" numFmtId="0" borderId="10" applyBorder="1" fontId="6" applyFont="1" fillId="2" applyFill="1" applyAlignment="1">
      <alignment horizontal="left" wrapText="1"/>
    </xf>
    <xf xfId="0" numFmtId="0" borderId="8" applyBorder="1" fontId="7" applyFont="1" fillId="3" applyFill="1" applyAlignment="1">
      <alignment horizontal="center"/>
    </xf>
    <xf xfId="0" numFmtId="4" applyNumberFormat="1" borderId="9" applyBorder="1" fontId="7" applyFont="1" fillId="3" applyFill="1" applyAlignment="1">
      <alignment horizontal="center"/>
    </xf>
    <xf xfId="0" numFmtId="0" borderId="9" applyBorder="1" fontId="7" applyFont="1" fillId="3" applyFill="1" applyAlignment="1">
      <alignment horizontal="center"/>
    </xf>
    <xf xfId="0" numFmtId="4" applyNumberFormat="1" borderId="20" applyBorder="1" fontId="1" applyFont="1" fillId="4" applyFill="1" applyAlignment="1">
      <alignment horizontal="right"/>
    </xf>
    <xf xfId="0" numFmtId="4" applyNumberFormat="1" borderId="9" applyBorder="1" fontId="1" applyFont="1" fillId="4" applyFill="1" applyAlignment="1">
      <alignment horizontal="right"/>
    </xf>
    <xf xfId="0" numFmtId="0" borderId="1" applyBorder="1" fontId="3" applyFont="1" fillId="0" applyAlignment="1">
      <alignment horizontal="left"/>
    </xf>
    <xf xfId="0" numFmtId="4" applyNumberFormat="1" borderId="15" applyBorder="1" fontId="1" applyFont="1" fillId="0" applyAlignment="1">
      <alignment horizontal="right"/>
    </xf>
    <xf xfId="0" numFmtId="0" borderId="22" applyBorder="1" fontId="8" applyFont="1" fillId="0" applyAlignment="1">
      <alignment horizontal="left"/>
    </xf>
    <xf xfId="0" numFmtId="164" applyNumberFormat="1" borderId="15" applyBorder="1" fontId="1" applyFont="1" fillId="0" applyAlignment="1">
      <alignment horizontal="right"/>
    </xf>
    <xf xfId="0" numFmtId="0" borderId="22" applyBorder="1" fontId="9" applyFont="1" fillId="0" applyAlignment="1">
      <alignment horizontal="left"/>
    </xf>
    <xf xfId="0" numFmtId="0" borderId="14" applyBorder="1" fontId="1" applyFont="1" fillId="0" applyAlignment="1">
      <alignment horizontal="left"/>
    </xf>
    <xf xfId="0" numFmtId="3" applyNumberFormat="1" borderId="27" applyBorder="1" fontId="1" applyFont="1" fillId="2" applyFill="1" applyAlignment="1">
      <alignment horizontal="right"/>
    </xf>
    <xf xfId="0" numFmtId="0" borderId="12" applyBorder="1" fontId="3" applyFont="1" fillId="5" applyFill="1" applyAlignment="1">
      <alignment horizontal="left"/>
    </xf>
    <xf xfId="0" numFmtId="4" applyNumberFormat="1" borderId="27" applyBorder="1" fontId="3" applyFont="1" fillId="5" applyFill="1" applyAlignment="1">
      <alignment horizontal="left"/>
    </xf>
    <xf xfId="0" numFmtId="0" borderId="13" applyBorder="1" fontId="3" applyFont="1" fillId="5" applyFill="1" applyAlignment="1">
      <alignment horizontal="left"/>
    </xf>
    <xf xfId="0" numFmtId="0" borderId="44" applyBorder="1" fontId="1" applyFont="1" fillId="2" applyFill="1" applyAlignment="1">
      <alignment horizontal="left"/>
    </xf>
    <xf xfId="0" numFmtId="0" borderId="20" applyBorder="1" fontId="3" applyFont="1" fillId="5" applyFill="1" applyAlignment="1">
      <alignment horizontal="left"/>
    </xf>
    <xf xfId="0" numFmtId="4" applyNumberFormat="1" borderId="20" applyBorder="1" fontId="3" applyFont="1" fillId="5" applyFill="1" applyAlignment="1">
      <alignment horizontal="left"/>
    </xf>
    <xf xfId="0" numFmtId="0" borderId="20" applyBorder="1" fontId="1" applyFont="1" fillId="2" applyFill="1" applyAlignment="1">
      <alignment horizontal="left"/>
    </xf>
    <xf xfId="0" numFmtId="0" borderId="2" applyBorder="1" fontId="10" applyFont="1" fillId="2" applyFill="1" applyAlignment="1">
      <alignment horizontal="left" vertical="top"/>
    </xf>
    <xf xfId="0" numFmtId="164" applyNumberFormat="1" borderId="3" applyBorder="1" fontId="10" applyFont="1" fillId="2" applyFill="1" applyAlignment="1">
      <alignment horizontal="left"/>
    </xf>
    <xf xfId="0" numFmtId="4" applyNumberFormat="1" borderId="3" applyBorder="1" fontId="10" applyFont="1" fillId="2" applyFill="1" applyAlignment="1">
      <alignment horizontal="left"/>
    </xf>
    <xf xfId="0" numFmtId="0" borderId="4" applyBorder="1" fontId="10" applyFont="1" fillId="2" applyFill="1" applyAlignment="1">
      <alignment horizontal="left"/>
    </xf>
    <xf xfId="0" numFmtId="0" borderId="8" applyBorder="1" fontId="10" applyFont="1" fillId="2" applyFill="1" applyAlignment="1">
      <alignment horizontal="left"/>
    </xf>
    <xf xfId="0" numFmtId="164" applyNumberFormat="1" borderId="9" applyBorder="1" fontId="10" applyFont="1" fillId="2" applyFill="1" applyAlignment="1">
      <alignment horizontal="left"/>
    </xf>
    <xf xfId="0" numFmtId="4" applyNumberFormat="1" borderId="9" applyBorder="1" fontId="10" applyFont="1" fillId="2" applyFill="1" applyAlignment="1">
      <alignment horizontal="left"/>
    </xf>
    <xf xfId="0" numFmtId="0" borderId="10" applyBorder="1" fontId="10" applyFont="1" fillId="2" applyFill="1" applyAlignment="1">
      <alignment horizontal="left"/>
    </xf>
    <xf xfId="0" numFmtId="0" borderId="7" applyBorder="1" fontId="10" applyFont="1" fillId="0" applyAlignment="1">
      <alignment horizontal="left"/>
    </xf>
    <xf xfId="0" numFmtId="164" applyNumberFormat="1" borderId="22" applyBorder="1" fontId="10" applyFont="1" fillId="0" applyAlignment="1">
      <alignment horizontal="left"/>
    </xf>
    <xf xfId="0" numFmtId="4" applyNumberFormat="1" borderId="22" applyBorder="1" fontId="10" applyFont="1" fillId="0" applyAlignment="1">
      <alignment horizontal="left"/>
    </xf>
    <xf xfId="0" numFmtId="0" borderId="22" applyBorder="1" fontId="10" applyFont="1" fillId="0" applyAlignment="1">
      <alignment horizontal="left"/>
    </xf>
    <xf xfId="0" numFmtId="164" applyNumberFormat="1" borderId="2" applyBorder="1" fontId="3" applyFont="1" fillId="2" applyFill="1" applyAlignment="1">
      <alignment horizontal="center"/>
    </xf>
    <xf xfId="0" numFmtId="4" applyNumberFormat="1" borderId="4" applyBorder="1" fontId="3" applyFont="1" fillId="2" applyFill="1" applyAlignment="1">
      <alignment horizontal="center"/>
    </xf>
    <xf xfId="0" numFmtId="164" applyNumberFormat="1" borderId="41" applyBorder="1" fontId="3" applyFont="1" fillId="0" applyAlignment="1">
      <alignment horizontal="center"/>
    </xf>
    <xf xfId="0" numFmtId="4" applyNumberFormat="1" borderId="36" applyBorder="1" fontId="1" applyFont="1" fillId="4" applyFill="1" applyAlignment="1">
      <alignment horizontal="center"/>
    </xf>
    <xf xfId="0" numFmtId="164" applyNumberFormat="1" borderId="31" applyBorder="1" fontId="3" applyFont="1" fillId="0" applyAlignment="1">
      <alignment horizontal="center"/>
    </xf>
    <xf xfId="0" numFmtId="4" applyNumberFormat="1" borderId="33" applyBorder="1" fontId="1" applyFont="1" fillId="4" applyFill="1" applyAlignment="1">
      <alignment horizontal="center"/>
    </xf>
    <xf xfId="0" numFmtId="165" applyNumberFormat="1" borderId="33" applyBorder="1" fontId="1" applyFont="1" fillId="4" applyFill="1" applyAlignment="1">
      <alignment horizontal="center"/>
    </xf>
    <xf xfId="0" numFmtId="3" applyNumberFormat="1" borderId="33" applyBorder="1" fontId="1" applyFont="1" fillId="4" applyFill="1" applyAlignment="1">
      <alignment horizontal="center"/>
    </xf>
    <xf xfId="0" numFmtId="166" applyNumberFormat="1" borderId="33" applyBorder="1" fontId="1" applyFont="1" fillId="4" applyFill="1" applyAlignment="1">
      <alignment horizontal="center"/>
    </xf>
    <xf xfId="0" numFmtId="164" applyNumberFormat="1" borderId="42" applyBorder="1" fontId="3" applyFont="1" fillId="0" applyAlignment="1">
      <alignment horizontal="center"/>
    </xf>
    <xf xfId="0" numFmtId="4" applyNumberFormat="1" borderId="39" applyBorder="1" fontId="1" applyFont="1" fillId="4" applyFill="1" applyAlignment="1">
      <alignment horizontal="center"/>
    </xf>
    <xf xfId="0" numFmtId="0" borderId="2" applyBorder="1" fontId="3" applyFont="1" fillId="2" applyFill="1" applyAlignment="1">
      <alignment horizontal="left"/>
    </xf>
    <xf xfId="0" numFmtId="4" applyNumberFormat="1" borderId="4" applyBorder="1" fontId="1" applyFont="1" fillId="2" applyFill="1" applyAlignment="1">
      <alignment horizontal="left"/>
    </xf>
    <xf xfId="0" numFmtId="0" borderId="27" applyBorder="1" fontId="5" applyFont="1" fillId="4" applyFill="1" applyAlignment="1">
      <alignment horizontal="center"/>
    </xf>
    <xf xfId="0" numFmtId="0" borderId="7" applyBorder="1" fontId="3" applyFont="1" fillId="0" applyAlignment="1">
      <alignment horizontal="left" vertical="top"/>
    </xf>
    <xf xfId="0" numFmtId="164" applyNumberFormat="1" borderId="22" applyBorder="1" fontId="3" applyFont="1" fillId="0" applyAlignment="1">
      <alignment horizontal="left"/>
    </xf>
    <xf xfId="0" numFmtId="4" applyNumberFormat="1" borderId="22" applyBorder="1" fontId="3" applyFont="1" fillId="0" applyAlignment="1">
      <alignment horizontal="left"/>
    </xf>
    <xf xfId="0" numFmtId="164" applyNumberFormat="1" borderId="3" applyBorder="1" fontId="3" applyFont="1" fillId="2" applyFill="1" applyAlignment="1">
      <alignment horizontal="left"/>
    </xf>
    <xf xfId="0" numFmtId="4" applyNumberFormat="1" borderId="4" applyBorder="1" fontId="3" applyFont="1" fillId="2" applyFill="1" applyAlignment="1">
      <alignment horizontal="left"/>
    </xf>
    <xf xfId="0" numFmtId="4" applyNumberFormat="1" borderId="3" applyBorder="1" fontId="3" applyFont="1" fillId="2" applyFill="1" applyAlignment="1">
      <alignment horizontal="left"/>
    </xf>
    <xf xfId="0" numFmtId="0" borderId="3" applyBorder="1" fontId="3" applyFont="1" fillId="2" applyFill="1" applyAlignment="1">
      <alignment horizontal="left"/>
    </xf>
    <xf xfId="0" numFmtId="0" borderId="22" applyBorder="1" fontId="3" applyFont="1" fillId="0" applyAlignment="1">
      <alignment horizontal="left"/>
    </xf>
    <xf xfId="0" numFmtId="0" borderId="4" applyBorder="1" fontId="3" applyFont="1" fillId="2" applyFill="1" applyAlignment="1">
      <alignment horizontal="left"/>
    </xf>
    <xf xfId="0" numFmtId="0" borderId="3" applyBorder="1" fontId="1" applyFont="1" fillId="2" applyFill="1" applyAlignment="1">
      <alignment horizontal="left"/>
    </xf>
    <xf xfId="0" numFmtId="0" borderId="4" applyBorder="1" fontId="1" applyFont="1" fillId="2" applyFill="1" applyAlignment="1">
      <alignment horizontal="left"/>
    </xf>
    <xf xfId="0" numFmtId="0" borderId="44" applyBorder="1" fontId="3" applyFont="1" fillId="2" applyFill="1" applyAlignment="1">
      <alignment horizontal="left"/>
    </xf>
    <xf xfId="0" numFmtId="164" applyNumberFormat="1" borderId="20" applyBorder="1" fontId="3" applyFont="1" fillId="2" applyFill="1" applyAlignment="1">
      <alignment horizontal="left"/>
    </xf>
    <xf xfId="0" numFmtId="4" applyNumberFormat="1" borderId="20" applyBorder="1" fontId="3" applyFont="1" fillId="2" applyFill="1" applyAlignment="1">
      <alignment horizontal="left"/>
    </xf>
    <xf xfId="0" numFmtId="0" borderId="20" applyBorder="1" fontId="3" applyFont="1" fillId="2" applyFill="1" applyAlignment="1">
      <alignment horizontal="left"/>
    </xf>
    <xf xfId="0" numFmtId="164" applyNumberFormat="1" borderId="6" applyBorder="1" fontId="1" applyFont="1" fillId="0" applyAlignment="1">
      <alignment horizontal="left"/>
    </xf>
    <xf xfId="0" numFmtId="0" borderId="17" applyBorder="1" fontId="1" applyFont="1" fillId="0" applyAlignment="1">
      <alignment horizontal="left"/>
    </xf>
    <xf xfId="0" numFmtId="164" applyNumberFormat="1" borderId="11" applyBorder="1" fontId="3" applyFont="1" fillId="0" applyAlignment="1">
      <alignment horizontal="left"/>
    </xf>
    <xf xfId="0" numFmtId="0" borderId="18" applyBorder="1" fontId="1" applyFont="1" fillId="0" applyAlignment="1">
      <alignment horizontal="left"/>
    </xf>
    <xf xfId="0" numFmtId="0" borderId="7" applyBorder="1" fontId="3" applyFont="1" fillId="0" applyAlignment="1">
      <alignment horizontal="left" wrapText="1"/>
    </xf>
    <xf xfId="0" numFmtId="164" applyNumberFormat="1" borderId="11" applyBorder="1" fontId="3" applyFont="1" fillId="0" applyAlignment="1">
      <alignment horizontal="left" wrapText="1"/>
    </xf>
    <xf xfId="0" numFmtId="0" borderId="24" applyBorder="1" fontId="3" applyFont="1" fillId="0" applyAlignment="1">
      <alignment horizontal="left" wrapText="1"/>
    </xf>
    <xf xfId="0" numFmtId="164" applyNumberFormat="1" borderId="26" applyBorder="1" fontId="3" applyFont="1" fillId="0" applyAlignment="1">
      <alignment horizontal="left" wrapText="1"/>
    </xf>
    <xf xfId="0" numFmtId="0" borderId="45" applyBorder="1" fontId="1" applyFont="1" fillId="0" applyAlignment="1">
      <alignment horizontal="left"/>
    </xf>
    <xf xfId="0" numFmtId="164" applyNumberFormat="1" borderId="22" applyBorder="1" fontId="1" applyFont="1" fillId="0" applyAlignment="1">
      <alignment horizontal="left"/>
    </xf>
    <xf xfId="0" numFmtId="0" borderId="2" applyBorder="1" fontId="11" applyFont="1" fillId="2" applyFill="1" applyAlignment="1">
      <alignment horizontal="center" vertical="top"/>
    </xf>
    <xf xfId="0" numFmtId="0" borderId="3" applyBorder="1" fontId="11" applyFont="1" fillId="2" applyFill="1" applyAlignment="1">
      <alignment horizontal="center"/>
    </xf>
    <xf xfId="0" numFmtId="4" applyNumberFormat="1" borderId="3" applyBorder="1" fontId="11" applyFont="1" fillId="2" applyFill="1" applyAlignment="1">
      <alignment horizontal="center"/>
    </xf>
    <xf xfId="0" numFmtId="0" borderId="4" applyBorder="1" fontId="11" applyFont="1" fillId="2" applyFill="1" applyAlignment="1">
      <alignment horizontal="center"/>
    </xf>
    <xf xfId="0" numFmtId="0" borderId="0" fontId="0" fillId="0" applyAlignment="1">
      <alignment horizontal="center"/>
    </xf>
    <xf xfId="0" numFmtId="0" borderId="8" applyBorder="1" fontId="11" applyFont="1" fillId="2" applyFill="1" applyAlignment="1">
      <alignment horizontal="center"/>
    </xf>
    <xf xfId="0" numFmtId="0" borderId="9" applyBorder="1" fontId="11" applyFont="1" fillId="2" applyFill="1" applyAlignment="1">
      <alignment horizontal="center"/>
    </xf>
    <xf xfId="0" numFmtId="4" applyNumberFormat="1" borderId="9" applyBorder="1" fontId="11" applyFont="1" fillId="2" applyFill="1" applyAlignment="1">
      <alignment horizontal="center"/>
    </xf>
    <xf xfId="0" numFmtId="0" borderId="10" applyBorder="1" fontId="11" applyFont="1" fillId="2" applyFill="1" applyAlignment="1">
      <alignment horizontal="center"/>
    </xf>
    <xf xfId="0" numFmtId="4" applyNumberFormat="1" borderId="0" fontId="0" fillId="0" applyAlignment="1">
      <alignment horizontal="center"/>
    </xf>
    <xf xfId="0" numFmtId="0" borderId="41" applyBorder="1" fontId="3" applyFont="1" fillId="2" applyFill="1" applyAlignment="1">
      <alignment horizontal="center"/>
    </xf>
    <xf xfId="0" numFmtId="0" borderId="35" applyBorder="1" fontId="3" applyFont="1" fillId="2" applyFill="1" applyAlignment="1">
      <alignment horizontal="center"/>
    </xf>
    <xf xfId="0" numFmtId="4" applyNumberFormat="1" borderId="35" applyBorder="1" fontId="3" applyFont="1" fillId="2" applyFill="1" applyAlignment="1">
      <alignment horizontal="center"/>
    </xf>
    <xf xfId="0" numFmtId="0" borderId="36" applyBorder="1" fontId="1" applyFont="1" fillId="2" applyFill="1" applyAlignment="1">
      <alignment horizontal="left"/>
    </xf>
    <xf xfId="0" numFmtId="0" borderId="31" applyBorder="1" fontId="1" applyFont="1" fillId="0" applyAlignment="1">
      <alignment horizontal="left"/>
    </xf>
    <xf xfId="0" numFmtId="0" borderId="32" applyBorder="1" fontId="1" applyFont="1" fillId="0" applyAlignment="1">
      <alignment horizontal="left"/>
    </xf>
    <xf xfId="0" numFmtId="0" borderId="33" applyBorder="1" fontId="1" applyFont="1" fillId="0" applyAlignment="1">
      <alignment horizontal="left"/>
    </xf>
    <xf xfId="0" numFmtId="4" applyNumberFormat="1" borderId="32" applyBorder="1" fontId="1" applyFont="1" fillId="4" applyFill="1" applyAlignment="1">
      <alignment horizontal="right"/>
    </xf>
    <xf xfId="0" numFmtId="0" borderId="20" applyBorder="1" fontId="1" applyFont="1" fillId="6" applyFill="1" applyAlignment="1">
      <alignment horizontal="left"/>
    </xf>
    <xf xfId="0" numFmtId="0" borderId="38" applyBorder="1" fontId="1" applyFont="1" fillId="0" applyAlignment="1">
      <alignment horizontal="left"/>
    </xf>
    <xf xfId="0" numFmtId="4" applyNumberFormat="1" borderId="38" applyBorder="1" fontId="1" applyFont="1" fillId="4" applyFill="1" applyAlignment="1">
      <alignment horizontal="right"/>
    </xf>
    <xf xfId="0" numFmtId="0" borderId="39" applyBorder="1" fontId="1" applyFont="1" fillId="0" applyAlignment="1">
      <alignment horizontal="left"/>
    </xf>
    <xf xfId="0" numFmtId="0" borderId="46" applyBorder="1" fontId="1" applyFont="1" fillId="0" applyAlignment="1">
      <alignment horizontal="left"/>
    </xf>
    <xf xfId="0" numFmtId="0" borderId="47" applyBorder="1" fontId="12" applyFont="1" fillId="0" applyAlignment="1">
      <alignment horizontal="left"/>
    </xf>
    <xf xfId="0" numFmtId="4" applyNumberFormat="1" borderId="47" applyBorder="1" fontId="1" applyFont="1" fillId="0" applyAlignment="1">
      <alignment horizontal="right"/>
    </xf>
    <xf xfId="0" numFmtId="0" borderId="48" applyBorder="1" fontId="1" applyFont="1" fillId="0" applyAlignment="1">
      <alignment horizontal="left"/>
    </xf>
    <xf xfId="0" numFmtId="0" borderId="24" applyBorder="1" fontId="1" applyFont="1" fillId="0" applyAlignment="1">
      <alignment horizontal="center"/>
    </xf>
    <xf xfId="0" numFmtId="0" borderId="25" applyBorder="1" fontId="1" applyFont="1" fillId="0" applyAlignment="1">
      <alignment horizontal="center"/>
    </xf>
    <xf xfId="0" numFmtId="4" applyNumberFormat="1" borderId="25" applyBorder="1" fontId="1" applyFont="1" fillId="0" applyAlignment="1">
      <alignment horizontal="center"/>
    </xf>
    <xf xfId="0" numFmtId="0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4" applyNumberFormat="1" borderId="1" applyBorder="1" fontId="13" applyFont="1" fillId="0" applyAlignment="1">
      <alignment horizontal="left"/>
    </xf>
    <xf xfId="0" numFmtId="0" borderId="5" applyBorder="1" fontId="14" applyFont="1" fillId="0" applyAlignment="1">
      <alignment horizontal="left" wrapText="1"/>
    </xf>
    <xf xfId="0" numFmtId="0" borderId="5" applyBorder="1" fontId="13" applyFont="1" fillId="0" applyAlignment="1">
      <alignment horizontal="left"/>
    </xf>
    <xf xfId="0" numFmtId="0" borderId="5" applyBorder="1" fontId="14" applyFont="1" fillId="0" applyAlignment="1">
      <alignment horizontal="left"/>
    </xf>
    <xf xfId="0" numFmtId="3" applyNumberFormat="1" borderId="5" applyBorder="1" fontId="14" applyFont="1" fillId="0" applyAlignment="1">
      <alignment horizontal="left"/>
    </xf>
    <xf xfId="0" numFmtId="0" borderId="5" applyBorder="1" fontId="13" applyFont="1" fillId="0" applyAlignment="1">
      <alignment horizontal="right"/>
    </xf>
    <xf xfId="0" numFmtId="0" borderId="6" applyBorder="1" fontId="14" applyFont="1" fillId="0" applyAlignment="1">
      <alignment horizontal="left" wrapText="1"/>
    </xf>
    <xf xfId="0" numFmtId="4" applyNumberFormat="1" borderId="7" applyBorder="1" fontId="13" applyFont="1" fillId="0" applyAlignment="1">
      <alignment horizontal="left"/>
    </xf>
    <xf xfId="0" numFmtId="164" applyNumberFormat="1" borderId="22" applyBorder="1" fontId="14" applyFont="1" fillId="0" applyAlignment="1">
      <alignment horizontal="left"/>
    </xf>
    <xf xfId="0" numFmtId="0" borderId="22" applyBorder="1" fontId="13" applyFont="1" fillId="0" applyAlignment="1">
      <alignment horizontal="left"/>
    </xf>
    <xf xfId="0" numFmtId="0" borderId="22" applyBorder="1" fontId="14" applyFont="1" fillId="0" applyAlignment="1">
      <alignment horizontal="left"/>
    </xf>
    <xf xfId="0" numFmtId="0" borderId="22" applyBorder="1" fontId="13" applyFont="1" fillId="0" applyAlignment="1">
      <alignment horizontal="right"/>
    </xf>
    <xf xfId="0" numFmtId="3" applyNumberFormat="1" borderId="22" applyBorder="1" fontId="1" applyFont="1" fillId="0" applyAlignment="1">
      <alignment horizontal="center"/>
    </xf>
    <xf xfId="0" numFmtId="3" applyNumberFormat="1" borderId="22" applyBorder="1" fontId="14" applyFont="1" fillId="0" applyAlignment="1">
      <alignment horizontal="left"/>
    </xf>
    <xf xfId="0" numFmtId="0" borderId="22" applyBorder="1" fontId="13" applyFont="1" fillId="0" applyAlignment="1">
      <alignment horizontal="left" wrapText="1"/>
    </xf>
    <xf xfId="0" numFmtId="3" applyNumberFormat="1" borderId="22" applyBorder="1" fontId="13" applyFont="1" fillId="0" applyAlignment="1">
      <alignment horizontal="left" wrapText="1"/>
    </xf>
    <xf xfId="0" numFmtId="0" borderId="11" applyBorder="1" fontId="13" applyFont="1" fillId="0" applyAlignment="1">
      <alignment horizontal="left" wrapText="1"/>
    </xf>
    <xf xfId="0" numFmtId="4" applyNumberFormat="1" borderId="7" applyBorder="1" fontId="15" applyFont="1" fillId="0" applyAlignment="1">
      <alignment horizontal="left" wrapText="1"/>
    </xf>
    <xf xfId="0" numFmtId="0" borderId="22" applyBorder="1" fontId="14" applyFont="1" fillId="0" applyAlignment="1">
      <alignment horizontal="center" wrapText="1"/>
    </xf>
    <xf xfId="0" numFmtId="3" applyNumberFormat="1" borderId="22" applyBorder="1" fontId="14" applyFont="1" fillId="0" applyAlignment="1">
      <alignment horizontal="center" wrapText="1"/>
    </xf>
    <xf xfId="0" numFmtId="0" borderId="11" applyBorder="1" fontId="14" applyFont="1" fillId="0" applyAlignment="1">
      <alignment horizontal="center" wrapText="1"/>
    </xf>
    <xf xfId="0" numFmtId="4" applyNumberFormat="1" borderId="7" applyBorder="1" fontId="1" applyFont="1" fillId="0" applyAlignment="1">
      <alignment horizontal="left"/>
    </xf>
    <xf xfId="0" numFmtId="4" applyNumberFormat="1" borderId="24" applyBorder="1" fontId="1" applyFont="1" fillId="0" applyAlignment="1">
      <alignment horizontal="left"/>
    </xf>
    <xf xfId="0" numFmtId="0" borderId="2" applyBorder="1" fontId="16" applyFont="1" fillId="2" applyFill="1" applyAlignment="1">
      <alignment horizontal="center" vertical="top"/>
    </xf>
    <xf xfId="0" numFmtId="4" applyNumberFormat="1" borderId="3" applyBorder="1" fontId="16" applyFont="1" fillId="2" applyFill="1" applyAlignment="1">
      <alignment horizontal="center"/>
    </xf>
    <xf xfId="0" numFmtId="0" borderId="3" applyBorder="1" fontId="16" applyFont="1" fillId="2" applyFill="1" applyAlignment="1">
      <alignment horizontal="center"/>
    </xf>
    <xf xfId="0" numFmtId="3" applyNumberFormat="1" borderId="3" applyBorder="1" fontId="16" applyFont="1" fillId="2" applyFill="1" applyAlignment="1">
      <alignment horizontal="center"/>
    </xf>
    <xf xfId="0" numFmtId="0" borderId="4" applyBorder="1" fontId="16" applyFont="1" fillId="2" applyFill="1" applyAlignment="1">
      <alignment horizontal="center"/>
    </xf>
    <xf xfId="0" numFmtId="0" borderId="8" applyBorder="1" fontId="16" applyFont="1" fillId="2" applyFill="1" applyAlignment="1">
      <alignment horizontal="center"/>
    </xf>
    <xf xfId="0" numFmtId="4" applyNumberFormat="1" borderId="9" applyBorder="1" fontId="16" applyFont="1" fillId="2" applyFill="1" applyAlignment="1">
      <alignment horizontal="center"/>
    </xf>
    <xf xfId="0" numFmtId="0" borderId="9" applyBorder="1" fontId="16" applyFont="1" fillId="2" applyFill="1" applyAlignment="1">
      <alignment horizontal="center"/>
    </xf>
    <xf xfId="0" numFmtId="3" applyNumberFormat="1" borderId="9" applyBorder="1" fontId="16" applyFont="1" fillId="2" applyFill="1" applyAlignment="1">
      <alignment horizontal="center"/>
    </xf>
    <xf xfId="0" numFmtId="0" borderId="10" applyBorder="1" fontId="16" applyFont="1" fillId="2" applyFill="1" applyAlignment="1">
      <alignment horizontal="center"/>
    </xf>
    <xf xfId="0" numFmtId="4" applyNumberFormat="1" borderId="27" applyBorder="1" fontId="3" applyFont="1" fillId="4" applyFill="1" applyAlignment="1">
      <alignment horizontal="center"/>
    </xf>
    <xf xfId="0" numFmtId="0" borderId="49" applyBorder="1" fontId="3" applyFont="1" fillId="2" applyFill="1" applyAlignment="1">
      <alignment horizontal="left"/>
    </xf>
    <xf xfId="0" numFmtId="3" applyNumberFormat="1" borderId="22" applyBorder="1" fontId="3" applyFont="1" fillId="0" applyAlignment="1">
      <alignment horizontal="right"/>
    </xf>
    <xf xfId="0" numFmtId="0" borderId="50" applyBorder="1" fontId="1" applyFont="1" fillId="0" applyAlignment="1">
      <alignment horizontal="left"/>
    </xf>
    <xf xfId="0" numFmtId="0" borderId="17" applyBorder="1" fontId="17" applyFont="1" fillId="0" applyAlignment="1">
      <alignment horizontal="right"/>
    </xf>
    <xf xfId="0" numFmtId="4" applyNumberFormat="1" borderId="2" applyBorder="1" fontId="1" applyFont="1" fillId="4" applyFill="1" applyAlignment="1">
      <alignment horizontal="center"/>
    </xf>
    <xf xfId="0" numFmtId="0" borderId="51" applyBorder="1" fontId="1" applyFont="1" fillId="0" applyAlignment="1">
      <alignment horizontal="left"/>
    </xf>
    <xf xfId="0" numFmtId="0" borderId="18" applyBorder="1" fontId="17" applyFont="1" fillId="0" applyAlignment="1">
      <alignment horizontal="right"/>
    </xf>
    <xf xfId="0" numFmtId="4" applyNumberFormat="1" borderId="44" applyBorder="1" fontId="1" applyFont="1" fillId="4" applyFill="1" applyAlignment="1">
      <alignment horizontal="center"/>
    </xf>
    <xf xfId="0" numFmtId="0" borderId="52" applyBorder="1" fontId="1" applyFont="1" fillId="0" applyAlignment="1">
      <alignment horizontal="left"/>
    </xf>
    <xf xfId="0" numFmtId="0" borderId="45" applyBorder="1" fontId="17" applyFont="1" fillId="0" applyAlignment="1">
      <alignment horizontal="right"/>
    </xf>
    <xf xfId="0" numFmtId="4" applyNumberFormat="1" borderId="8" applyBorder="1" fontId="1" applyFont="1" fillId="4" applyFill="1" applyAlignment="1">
      <alignment horizontal="center"/>
    </xf>
    <xf xfId="0" numFmtId="0" borderId="53" applyBorder="1" fontId="1" applyFont="1" fillId="0" applyAlignment="1">
      <alignment horizontal="left"/>
    </xf>
    <xf xfId="0" numFmtId="0" borderId="54" applyBorder="1" fontId="18" applyFont="1" fillId="2" applyFill="1" applyAlignment="1">
      <alignment horizontal="center"/>
    </xf>
    <xf xfId="0" numFmtId="4" applyNumberFormat="1" borderId="54" applyBorder="1" fontId="1" applyFont="1" fillId="0" applyAlignment="1">
      <alignment horizontal="left"/>
    </xf>
    <xf xfId="0" numFmtId="0" borderId="17" applyBorder="1" fontId="1" applyFont="1" fillId="0" applyAlignment="1">
      <alignment horizontal="center"/>
    </xf>
    <xf xfId="0" numFmtId="4" applyNumberFormat="1" borderId="21" applyBorder="1" fontId="1" applyFont="1" fillId="2" applyFill="1" applyAlignment="1">
      <alignment horizontal="center"/>
    </xf>
    <xf xfId="0" numFmtId="0" borderId="22" applyBorder="1" fontId="1" applyFont="1" fillId="0" applyAlignment="1">
      <alignment horizontal="left"/>
    </xf>
    <xf xfId="0" numFmtId="4" applyNumberFormat="1" borderId="22" applyBorder="1" fontId="1" applyFont="1" fillId="0" applyAlignment="1">
      <alignment horizontal="left"/>
    </xf>
    <xf xfId="0" numFmtId="0" borderId="18" applyBorder="1" fontId="1" applyFont="1" fillId="0" applyAlignment="1">
      <alignment horizontal="center"/>
    </xf>
    <xf xfId="0" numFmtId="3" applyNumberFormat="1" borderId="21" applyBorder="1" fontId="1" applyFont="1" fillId="4" applyFill="1" applyAlignment="1">
      <alignment horizontal="center"/>
    </xf>
    <xf xfId="0" numFmtId="0" borderId="45" applyBorder="1" fontId="1" applyFont="1" fillId="0" applyAlignment="1">
      <alignment horizontal="center"/>
    </xf>
    <xf xfId="0" numFmtId="4" applyNumberFormat="1" borderId="10" applyBorder="1" fontId="1" applyFont="1" fillId="4" applyFill="1" applyAlignment="1">
      <alignment horizontal="center"/>
    </xf>
    <xf xfId="0" numFmtId="0" borderId="1" applyBorder="1" fontId="12" applyFont="1" fillId="0" applyAlignment="1">
      <alignment horizontal="left"/>
    </xf>
    <xf xfId="0" numFmtId="4" applyNumberFormat="1" borderId="54" applyBorder="1" fontId="19" applyFont="1" fillId="4" applyFill="1" applyAlignment="1">
      <alignment horizontal="left"/>
    </xf>
    <xf xfId="0" numFmtId="4" applyNumberFormat="1" borderId="54" applyBorder="1" fontId="1" applyFont="1" fillId="6" applyFill="1" applyAlignment="1">
      <alignment horizontal="left"/>
    </xf>
    <xf xfId="0" numFmtId="4" applyNumberFormat="1" borderId="54" applyBorder="1" fontId="1" applyFont="1" fillId="7" applyFill="1" applyAlignment="1">
      <alignment horizontal="left"/>
    </xf>
    <xf xfId="0" numFmtId="3" applyNumberFormat="1" borderId="22" applyBorder="1" fontId="3" applyFont="1" fillId="0" applyAlignment="1">
      <alignment horizontal="left"/>
    </xf>
    <xf xfId="0" numFmtId="0" borderId="1" applyBorder="1" fontId="20" applyFont="1" fillId="0" applyAlignment="1">
      <alignment horizontal="left"/>
    </xf>
    <xf xfId="0" numFmtId="0" borderId="24" applyBorder="1" fontId="20" applyFont="1" fillId="0" applyAlignment="1">
      <alignment horizontal="left"/>
    </xf>
    <xf xfId="0" numFmtId="4" applyNumberFormat="1" borderId="25" applyBorder="1" fontId="21" applyFont="1" fillId="0" applyAlignment="1">
      <alignment horizontal="center"/>
    </xf>
    <xf xfId="0" numFmtId="0" borderId="25" applyBorder="1" fontId="20" applyFont="1" fillId="0" applyAlignment="1">
      <alignment horizontal="left"/>
    </xf>
    <xf xfId="0" numFmtId="0" borderId="2" applyBorder="1" fontId="4" applyFont="1" fillId="2" applyFill="1" applyAlignment="1">
      <alignment horizontal="center" vertical="top"/>
    </xf>
    <xf xfId="0" numFmtId="4" applyNumberFormat="1" borderId="3" applyBorder="1" fontId="4" applyFont="1" fillId="2" applyFill="1" applyAlignment="1">
      <alignment horizontal="center"/>
    </xf>
    <xf xfId="0" numFmtId="0" borderId="3" applyBorder="1" fontId="4" applyFont="1" fillId="2" applyFill="1" applyAlignment="1">
      <alignment horizontal="center"/>
    </xf>
    <xf xfId="0" numFmtId="1" applyNumberFormat="1" borderId="3" applyBorder="1" fontId="4" applyFont="1" fillId="2" applyFill="1" applyAlignment="1">
      <alignment horizontal="center"/>
    </xf>
    <xf xfId="0" numFmtId="0" borderId="4" applyBorder="1" fontId="4" applyFont="1" fillId="2" applyFill="1" applyAlignment="1">
      <alignment horizontal="center"/>
    </xf>
    <xf xfId="0" numFmtId="0" borderId="8" applyBorder="1" fontId="4" applyFont="1" fillId="2" applyFill="1" applyAlignment="1">
      <alignment horizontal="center"/>
    </xf>
    <xf xfId="0" numFmtId="4" applyNumberFormat="1" borderId="9" applyBorder="1" fontId="4" applyFont="1" fillId="2" applyFill="1" applyAlignment="1">
      <alignment horizontal="center"/>
    </xf>
    <xf xfId="0" numFmtId="0" borderId="9" applyBorder="1" fontId="4" applyFont="1" fillId="2" applyFill="1" applyAlignment="1">
      <alignment horizontal="center"/>
    </xf>
    <xf xfId="0" numFmtId="1" applyNumberFormat="1" borderId="9" applyBorder="1" fontId="4" applyFont="1" fillId="2" applyFill="1" applyAlignment="1">
      <alignment horizontal="center"/>
    </xf>
    <xf xfId="0" numFmtId="0" borderId="10" applyBorder="1" fontId="4" applyFont="1" fillId="2" applyFill="1" applyAlignment="1">
      <alignment horizontal="center"/>
    </xf>
    <xf xfId="0" numFmtId="0" borderId="0" fontId="0" fillId="0" applyAlignment="1">
      <alignment horizontal="right"/>
    </xf>
    <xf xfId="0" numFmtId="1" applyNumberFormat="1" borderId="0" fontId="0" fillId="0" applyAlignment="1">
      <alignment horizontal="general"/>
    </xf>
    <xf xfId="0" numFmtId="0" borderId="45" applyBorder="1" fontId="3" applyFont="1" fillId="0" applyAlignment="1">
      <alignment horizontal="left"/>
    </xf>
    <xf xfId="0" numFmtId="0" borderId="17" applyBorder="1" fontId="3" applyFont="1" fillId="0" applyAlignment="1">
      <alignment horizontal="right"/>
    </xf>
    <xf xfId="0" numFmtId="0" borderId="18" applyBorder="1" fontId="3" applyFont="1" fillId="0" applyAlignment="1">
      <alignment horizontal="right"/>
    </xf>
    <xf xfId="0" numFmtId="0" borderId="45" applyBorder="1" fontId="3" applyFont="1" fillId="0" applyAlignment="1">
      <alignment horizontal="right"/>
    </xf>
    <xf xfId="0" numFmtId="0" borderId="12" applyBorder="1" fontId="3" applyFont="1" fillId="2" applyFill="1" applyAlignment="1">
      <alignment horizontal="center"/>
    </xf>
    <xf xfId="0" numFmtId="4" applyNumberFormat="1" borderId="27" applyBorder="1" fontId="3" applyFont="1" fillId="2" applyFill="1" applyAlignment="1">
      <alignment horizontal="center"/>
    </xf>
    <xf xfId="0" numFmtId="0" borderId="27" applyBorder="1" fontId="3" applyFont="1" fillId="2" applyFill="1" applyAlignment="1">
      <alignment horizontal="center"/>
    </xf>
    <xf xfId="0" numFmtId="0" borderId="13" applyBorder="1" fontId="3" applyFont="1" fillId="2" applyFill="1" applyAlignment="1">
      <alignment horizontal="center"/>
    </xf>
    <xf xfId="0" numFmtId="1" applyNumberFormat="1" borderId="27" applyBorder="1" fontId="3" applyFont="1" fillId="2" applyFill="1" applyAlignment="1">
      <alignment horizontal="center"/>
    </xf>
    <xf xfId="0" numFmtId="0" borderId="54" applyBorder="1" fontId="3" applyFont="1" fillId="2" applyFill="1" applyAlignment="1">
      <alignment horizontal="right"/>
    </xf>
    <xf xfId="0" numFmtId="167" applyNumberFormat="1" borderId="15" applyBorder="1" fontId="1" applyFont="1" fillId="0" applyAlignment="1">
      <alignment horizontal="right"/>
    </xf>
    <xf xfId="0" numFmtId="4" applyNumberFormat="1" borderId="14" applyBorder="1" fontId="1" applyFont="1" fillId="0" applyAlignment="1">
      <alignment horizontal="right"/>
    </xf>
    <xf xfId="0" numFmtId="0" borderId="8" applyBorder="1" fontId="3" applyFont="1" fillId="2" applyFill="1" applyAlignment="1">
      <alignment horizontal="right"/>
    </xf>
    <xf xfId="0" numFmtId="0" borderId="22" applyBorder="1" fontId="3" applyFont="1" fillId="0" applyAlignment="1">
      <alignment horizontal="right"/>
    </xf>
    <xf xfId="0" numFmtId="0" borderId="2" applyBorder="1" fontId="1" applyFont="1" fillId="2" applyFill="1" applyAlignment="1">
      <alignment horizontal="right"/>
    </xf>
    <xf xfId="0" numFmtId="0" borderId="1" applyBorder="1" fontId="3" applyFont="1" fillId="0" applyAlignment="1">
      <alignment horizontal="right"/>
    </xf>
    <xf xfId="0" numFmtId="1" applyNumberFormat="1" borderId="5" applyBorder="1" fontId="1" applyFont="1" fillId="0" applyAlignment="1">
      <alignment horizontal="right"/>
    </xf>
    <xf xfId="0" numFmtId="0" borderId="44" applyBorder="1" fontId="3" applyFont="1" fillId="2" applyFill="1" applyAlignment="1">
      <alignment horizontal="right"/>
    </xf>
    <xf xfId="0" numFmtId="1" applyNumberFormat="1" borderId="15" applyBorder="1" fontId="1" applyFont="1" fillId="0" applyAlignment="1">
      <alignment horizontal="right"/>
    </xf>
    <xf xfId="0" numFmtId="1" applyNumberFormat="1" borderId="15" applyBorder="1" fontId="1" applyFont="1" fillId="0" applyAlignment="1">
      <alignment horizontal="left"/>
    </xf>
    <xf xfId="0" numFmtId="1" applyNumberFormat="1" borderId="22" applyBorder="1" fontId="1" applyFont="1" fillId="0" applyAlignment="1">
      <alignment horizontal="left"/>
    </xf>
    <xf xfId="0" numFmtId="0" borderId="0" fontId="0" fillId="0" applyAlignment="1">
      <alignment horizontal="right"/>
    </xf>
    <xf xfId="0" numFmtId="1" applyNumberFormat="1" borderId="0" fontId="0" fillId="0" applyAlignment="1">
      <alignment horizontal="general"/>
    </xf>
    <xf xfId="0" numFmtId="3" applyNumberFormat="1" borderId="3" applyBorder="1" fontId="1" applyFont="1" fillId="8" applyFill="1" applyAlignment="1">
      <alignment horizontal="right"/>
    </xf>
    <xf xfId="0" numFmtId="3" applyNumberFormat="1" borderId="49" applyBorder="1" fontId="1" applyFont="1" fillId="4" applyFill="1" applyAlignment="1">
      <alignment horizontal="right"/>
    </xf>
    <xf xfId="0" numFmtId="4" applyNumberFormat="1" borderId="17" applyBorder="1" fontId="1" applyFont="1" fillId="0" applyAlignment="1">
      <alignment horizontal="left"/>
    </xf>
    <xf xfId="0" numFmtId="0" borderId="18" applyBorder="1" fontId="1" applyFont="1" fillId="0" applyAlignment="1">
      <alignment horizontal="left" wrapText="1"/>
    </xf>
    <xf xfId="0" numFmtId="3" applyNumberFormat="1" borderId="19" applyBorder="1" fontId="1" applyFont="1" fillId="4" applyFill="1" applyAlignment="1">
      <alignment horizontal="right"/>
    </xf>
    <xf xfId="0" numFmtId="4" applyNumberFormat="1" borderId="18" applyBorder="1" fontId="1" applyFont="1" fillId="0" applyAlignment="1">
      <alignment horizontal="left"/>
    </xf>
    <xf xfId="0" numFmtId="4" applyNumberFormat="1" borderId="19" applyBorder="1" fontId="1" applyFont="1" fillId="4" applyFill="1" applyAlignment="1">
      <alignment horizontal="right"/>
    </xf>
    <xf xfId="0" numFmtId="4" applyNumberFormat="1" borderId="23" applyBorder="1" fontId="1" applyFont="1" fillId="4" applyFill="1" applyAlignment="1">
      <alignment horizontal="right"/>
    </xf>
    <xf xfId="0" numFmtId="4" applyNumberFormat="1" borderId="45" applyBorder="1" fontId="1" applyFont="1" fillId="0" applyAlignment="1">
      <alignment horizontal="left"/>
    </xf>
    <xf xfId="0" numFmtId="0" borderId="12" applyBorder="1" fontId="4" applyFont="1" fillId="2" applyFill="1" applyAlignment="1">
      <alignment horizontal="center"/>
    </xf>
    <xf xfId="0" numFmtId="4" applyNumberFormat="1" borderId="27" applyBorder="1" fontId="4" applyFont="1" fillId="2" applyFill="1" applyAlignment="1">
      <alignment horizontal="center"/>
    </xf>
    <xf xfId="0" numFmtId="3" applyNumberFormat="1" borderId="6" applyBorder="1" fontId="1" applyFont="1" fillId="0" applyAlignment="1">
      <alignment horizontal="right"/>
    </xf>
    <xf xfId="0" numFmtId="3" applyNumberFormat="1" borderId="26" applyBorder="1" fontId="1" applyFont="1" fillId="0" applyAlignment="1">
      <alignment horizontal="right"/>
    </xf>
    <xf xfId="0" numFmtId="3" applyNumberFormat="1" borderId="11" applyBorder="1" fontId="1" applyFont="1" fillId="0" applyAlignment="1">
      <alignment horizontal="right"/>
    </xf>
    <xf xfId="0" numFmtId="0" borderId="2" applyBorder="1" fontId="5" applyFont="1" fillId="2" applyFill="1" applyAlignment="1">
      <alignment horizontal="center" vertical="top"/>
    </xf>
    <xf xfId="0" numFmtId="0" borderId="3" applyBorder="1" fontId="5" applyFont="1" fillId="2" applyFill="1" applyAlignment="1">
      <alignment horizontal="center"/>
    </xf>
    <xf xfId="0" numFmtId="4" applyNumberFormat="1" borderId="3" applyBorder="1" fontId="5" applyFont="1" fillId="2" applyFill="1" applyAlignment="1">
      <alignment horizontal="center"/>
    </xf>
    <xf xfId="0" numFmtId="0" borderId="4" applyBorder="1" fontId="5" applyFont="1" fillId="2" applyFill="1" applyAlignment="1">
      <alignment horizontal="center"/>
    </xf>
    <xf xfId="0" numFmtId="0" borderId="8" applyBorder="1" fontId="5" applyFont="1" fillId="2" applyFill="1" applyAlignment="1">
      <alignment horizontal="center"/>
    </xf>
    <xf xfId="0" numFmtId="0" borderId="9" applyBorder="1" fontId="5" applyFont="1" fillId="2" applyFill="1" applyAlignment="1">
      <alignment horizontal="center"/>
    </xf>
    <xf xfId="0" numFmtId="4" applyNumberFormat="1" borderId="9" applyBorder="1" fontId="5" applyFont="1" fillId="2" applyFill="1" applyAlignment="1">
      <alignment horizontal="center"/>
    </xf>
    <xf xfId="0" numFmtId="0" borderId="10" applyBorder="1" fontId="5" applyFont="1" fillId="2" applyFill="1" applyAlignment="1">
      <alignment horizontal="center"/>
    </xf>
    <xf xfId="0" numFmtId="0" borderId="54" applyBorder="1" fontId="3" applyFont="1" fillId="2" applyFill="1" applyAlignment="1">
      <alignment horizontal="left"/>
    </xf>
    <xf xfId="0" numFmtId="0" borderId="27" applyBorder="1" fontId="1" applyFont="1" fillId="2" applyFill="1" applyAlignment="1">
      <alignment horizontal="left"/>
    </xf>
    <xf xfId="0" numFmtId="0" borderId="27" applyBorder="1" fontId="4" applyFont="1" fillId="2" applyFill="1" applyAlignment="1">
      <alignment horizontal="center"/>
    </xf>
    <xf xfId="0" numFmtId="0" borderId="54" applyBorder="1" fontId="1" applyFont="1" fillId="0" applyAlignment="1">
      <alignment horizontal="left"/>
    </xf>
    <xf xfId="0" numFmtId="0" borderId="12" applyBorder="1" fontId="4" applyFont="1" fillId="2" applyFill="1" applyAlignment="1">
      <alignment horizontal="center" wrapText="1"/>
    </xf>
    <xf xfId="0" numFmtId="0" borderId="27" applyBorder="1" fontId="4" applyFont="1" fillId="2" applyFill="1" applyAlignment="1">
      <alignment horizontal="center" wrapText="1"/>
    </xf>
    <xf xfId="0" numFmtId="0" borderId="12" applyBorder="1" fontId="3" applyFont="1" fillId="9" applyFill="1" applyAlignment="1">
      <alignment horizontal="left" wrapText="1"/>
    </xf>
    <xf xfId="0" numFmtId="4" applyNumberFormat="1" borderId="13" applyBorder="1" fontId="1" applyFont="1" fillId="8" applyFill="1" applyAlignment="1">
      <alignment horizontal="right"/>
    </xf>
    <xf xfId="0" numFmtId="0" borderId="1" applyBorder="1" fontId="13" applyFont="1" fillId="0" applyAlignment="1">
      <alignment horizontal="left"/>
    </xf>
    <xf xfId="0" numFmtId="4" applyNumberFormat="1" borderId="5" applyBorder="1" fontId="14" applyFont="1" fillId="0" applyAlignment="1">
      <alignment horizontal="left" wrapText="1"/>
    </xf>
    <xf xfId="0" numFmtId="4" applyNumberFormat="1" borderId="5" applyBorder="1" fontId="14" applyFont="1" fillId="0" applyAlignment="1">
      <alignment horizontal="center"/>
    </xf>
    <xf xfId="0" numFmtId="0" borderId="7" applyBorder="1" fontId="13" applyFont="1" fillId="0" applyAlignment="1">
      <alignment horizontal="left"/>
    </xf>
    <xf xfId="0" numFmtId="3" applyNumberFormat="1" borderId="22" applyBorder="1" fontId="14" applyFont="1" fillId="0" applyAlignment="1">
      <alignment horizontal="right"/>
    </xf>
    <xf xfId="0" numFmtId="4" applyNumberFormat="1" borderId="22" applyBorder="1" fontId="14" applyFont="1" fillId="0" applyAlignment="1">
      <alignment horizontal="left"/>
    </xf>
    <xf xfId="0" numFmtId="0" borderId="7" applyBorder="1" fontId="15" applyFont="1" fillId="0" applyAlignment="1">
      <alignment horizontal="left" wrapText="1"/>
    </xf>
    <xf xfId="0" numFmtId="4" applyNumberFormat="1" borderId="22" applyBorder="1" fontId="14" applyFont="1" fillId="0" applyAlignment="1">
      <alignment horizontal="left" wrapText="1"/>
    </xf>
    <xf xfId="0" numFmtId="0" borderId="22" applyBorder="1" fontId="14" applyFont="1" fillId="0" applyAlignment="1">
      <alignment horizontal="left" wrapText="1"/>
    </xf>
    <xf xfId="0" numFmtId="3" applyNumberFormat="1" borderId="22" applyBorder="1" fontId="14" applyFont="1" fillId="0" applyAlignment="1">
      <alignment horizontal="left" wrapText="1"/>
    </xf>
    <xf xfId="0" numFmtId="0" borderId="11" applyBorder="1" fontId="14" applyFont="1" fillId="0" applyAlignment="1">
      <alignment horizontal="left" wrapText="1"/>
    </xf>
    <xf xfId="0" numFmtId="3" applyNumberFormat="1" borderId="3" applyBorder="1" fontId="2" applyFont="1" fillId="2" applyFill="1" applyAlignment="1">
      <alignment horizontal="center"/>
    </xf>
    <xf xfId="0" numFmtId="3" applyNumberFormat="1" borderId="9" applyBorder="1" fontId="2" applyFont="1" fillId="2" applyFill="1" applyAlignment="1">
      <alignment horizontal="center"/>
    </xf>
    <xf xfId="0" numFmtId="0" borderId="9" applyBorder="1" fontId="1" applyFont="1" fillId="2" applyFill="1" applyAlignment="1">
      <alignment horizontal="left"/>
    </xf>
    <xf xfId="0" numFmtId="0" borderId="10" applyBorder="1" fontId="1" applyFont="1" fillId="2" applyFill="1" applyAlignment="1">
      <alignment horizontal="left"/>
    </xf>
    <xf xfId="0" numFmtId="0" borderId="49" applyBorder="1" fontId="2" applyFont="1" fillId="2" applyFill="1" applyAlignment="1">
      <alignment horizontal="left"/>
    </xf>
    <xf xfId="0" numFmtId="0" borderId="22" applyBorder="1" fontId="2" applyFont="1" fillId="0" applyAlignment="1">
      <alignment horizontal="left"/>
    </xf>
    <xf xfId="0" numFmtId="0" borderId="20" applyBorder="1" fontId="5" applyFont="1" fillId="2" applyFill="1" applyAlignment="1">
      <alignment horizontal="left"/>
    </xf>
    <xf xfId="0" numFmtId="3" applyNumberFormat="1" borderId="20" applyBorder="1" fontId="1" applyFont="1" fillId="2" applyFill="1" applyAlignment="1">
      <alignment horizontal="left"/>
    </xf>
    <xf xfId="0" numFmtId="0" borderId="11" applyBorder="1" fontId="5" applyFont="1" fillId="0" applyAlignment="1">
      <alignment horizontal="left"/>
    </xf>
    <xf xfId="0" numFmtId="0" borderId="22" applyBorder="1" fontId="5" applyFont="1" fillId="0" applyAlignment="1">
      <alignment horizontal="left"/>
    </xf>
    <xf xfId="0" numFmtId="0" borderId="17" applyBorder="1" fontId="17" applyFont="1" fillId="0" applyAlignment="1">
      <alignment horizontal="left"/>
    </xf>
    <xf xfId="0" numFmtId="4" applyNumberFormat="1" borderId="2" applyBorder="1" fontId="22" applyFont="1" fillId="4" applyFill="1" applyAlignment="1">
      <alignment horizontal="center"/>
    </xf>
    <xf xfId="0" numFmtId="0" borderId="22" applyBorder="1" fontId="17" applyFont="1" fillId="0" applyAlignment="1">
      <alignment horizontal="left"/>
    </xf>
    <xf xfId="0" numFmtId="4" applyNumberFormat="1" borderId="22" applyBorder="1" fontId="22" applyFont="1" fillId="0" applyAlignment="1">
      <alignment horizontal="center"/>
    </xf>
    <xf xfId="0" numFmtId="0" borderId="18" applyBorder="1" fontId="17" applyFont="1" fillId="0" applyAlignment="1">
      <alignment horizontal="left"/>
    </xf>
    <xf xfId="0" numFmtId="4" applyNumberFormat="1" borderId="44" applyBorder="1" fontId="22" applyFont="1" fillId="4" applyFill="1" applyAlignment="1">
      <alignment horizontal="center"/>
    </xf>
    <xf xfId="0" numFmtId="3" applyNumberFormat="1" borderId="44" applyBorder="1" fontId="22" applyFont="1" fillId="4" applyFill="1" applyAlignment="1">
      <alignment horizontal="center"/>
    </xf>
    <xf xfId="0" numFmtId="0" borderId="45" applyBorder="1" fontId="17" applyFont="1" fillId="0" applyAlignment="1">
      <alignment horizontal="left"/>
    </xf>
    <xf xfId="0" numFmtId="3" applyNumberFormat="1" borderId="8" applyBorder="1" fontId="22" applyFont="1" fillId="4" applyFill="1" applyAlignment="1">
      <alignment horizontal="center"/>
    </xf>
    <xf xfId="0" numFmtId="0" borderId="54" applyBorder="1" fontId="17" applyFont="1" fillId="0" applyAlignment="1">
      <alignment horizontal="left"/>
    </xf>
    <xf xfId="0" numFmtId="164" applyNumberFormat="1" borderId="54" applyBorder="1" fontId="1" applyFont="1" fillId="0" applyAlignment="1">
      <alignment horizontal="center"/>
    </xf>
    <xf xfId="0" numFmtId="0" borderId="16" applyBorder="1" fontId="3" applyFont="1" fillId="0" applyAlignment="1">
      <alignment horizontal="left" wrapText="1"/>
    </xf>
    <xf xfId="0" numFmtId="0" borderId="5" applyBorder="1" fontId="3" applyFont="1" fillId="0" applyAlignment="1">
      <alignment horizontal="left"/>
    </xf>
    <xf xfId="0" numFmtId="4" applyNumberFormat="1" borderId="3" applyBorder="1" fontId="3" applyFont="1" fillId="2" applyFill="1" applyAlignment="1">
      <alignment horizontal="left" wrapText="1"/>
    </xf>
    <xf xfId="0" numFmtId="4" applyNumberFormat="1" borderId="6" applyBorder="1" fontId="3" applyFont="1" fillId="0" applyAlignment="1">
      <alignment horizontal="center" wrapText="1"/>
    </xf>
    <xf xfId="0" numFmtId="0" borderId="23" applyBorder="1" fontId="5" applyFont="1" fillId="2" applyFill="1" applyAlignment="1">
      <alignment horizontal="right"/>
    </xf>
    <xf xfId="0" numFmtId="4" applyNumberFormat="1" borderId="9" applyBorder="1" fontId="1" applyFont="1" fillId="9" applyFill="1" applyAlignment="1">
      <alignment horizontal="left"/>
    </xf>
    <xf xfId="0" numFmtId="0" borderId="25" applyBorder="1" fontId="1" applyFont="1" fillId="0" applyAlignment="1">
      <alignment horizontal="center"/>
    </xf>
    <xf xfId="0" numFmtId="4" applyNumberFormat="1" borderId="9" applyBorder="1" fontId="1" applyFont="1" fillId="2" applyFill="1" applyAlignment="1">
      <alignment horizontal="center"/>
    </xf>
    <xf xfId="0" numFmtId="4" applyNumberFormat="1" borderId="26" applyBorder="1" fontId="1" applyFont="1" fillId="0" applyAlignment="1">
      <alignment horizontal="right"/>
    </xf>
    <xf xfId="0" numFmtId="0" borderId="20" applyBorder="1" fontId="4" applyFont="1" fillId="2" applyFill="1" applyAlignment="1">
      <alignment horizontal="left"/>
    </xf>
    <xf xfId="0" numFmtId="4" applyNumberFormat="1" borderId="20" applyBorder="1" fontId="1" applyFont="1" fillId="2" applyFill="1" applyAlignment="1">
      <alignment horizontal="right"/>
    </xf>
    <xf xfId="0" numFmtId="0" borderId="22" applyBorder="1" fontId="4" applyFont="1" fillId="0" applyAlignment="1">
      <alignment horizontal="left"/>
    </xf>
    <xf xfId="0" numFmtId="164" applyNumberFormat="1" borderId="4" applyBorder="1" fontId="1" applyFont="1" fillId="4" applyFill="1" applyAlignment="1">
      <alignment horizontal="right"/>
    </xf>
    <xf xfId="0" numFmtId="0" borderId="8" applyBorder="1" fontId="4" applyFont="1" fillId="2" applyFill="1" applyAlignment="1">
      <alignment horizontal="left" wrapText="1"/>
    </xf>
    <xf xfId="0" numFmtId="4" applyNumberFormat="1" borderId="10" applyBorder="1" fontId="1" applyFont="1" fillId="2" applyFill="1" applyAlignment="1">
      <alignment horizontal="right"/>
    </xf>
    <xf xfId="0" numFmtId="0" borderId="22" applyBorder="1" fontId="4" applyFont="1" fillId="0" applyAlignment="1">
      <alignment horizontal="left" wrapText="1"/>
    </xf>
    <xf xfId="0" numFmtId="0" borderId="12" applyBorder="1" fontId="3" applyFont="1" fillId="2" applyFill="1" applyAlignment="1">
      <alignment horizontal="left"/>
    </xf>
    <xf xfId="0" numFmtId="4" applyNumberFormat="1" borderId="13" applyBorder="1" fontId="1" applyFont="1" fillId="2" applyFill="1" applyAlignment="1">
      <alignment horizontal="right"/>
    </xf>
    <xf xfId="0" numFmtId="0" borderId="1" applyBorder="1" fontId="3" applyFont="1" fillId="0" applyAlignment="1">
      <alignment horizontal="left" wrapText="1"/>
    </xf>
    <xf xfId="0" numFmtId="3" applyNumberFormat="1" borderId="3" applyBorder="1" fontId="1" applyFont="1" fillId="4" applyFill="1" applyAlignment="1">
      <alignment horizontal="right"/>
    </xf>
    <xf xfId="0" numFmtId="0" borderId="8" applyBorder="1" fontId="3" applyFont="1" fillId="2" applyFill="1" applyAlignment="1">
      <alignment horizontal="left"/>
    </xf>
    <xf xfId="0" numFmtId="4" applyNumberFormat="1" borderId="9" applyBorder="1" fontId="1" applyFont="1" fillId="2" applyFill="1" applyAlignment="1">
      <alignment horizontal="right"/>
    </xf>
    <xf xfId="0" numFmtId="0" borderId="14" applyBorder="1" fontId="12" applyFont="1" fillId="0" applyAlignment="1">
      <alignment horizontal="left"/>
    </xf>
    <xf xfId="0" numFmtId="4" applyNumberFormat="1" borderId="16" applyBorder="1" fontId="1" applyFont="1" fillId="0" applyAlignment="1">
      <alignment horizontal="left"/>
    </xf>
    <xf xfId="0" numFmtId="4" applyNumberFormat="1" borderId="23" applyBorder="1" fontId="19" applyFont="1" fillId="4" applyFill="1" applyAlignment="1">
      <alignment horizontal="left"/>
    </xf>
    <xf xfId="0" numFmtId="0" borderId="12" applyBorder="1" fontId="1" applyFont="1" fillId="2" applyFill="1" applyAlignment="1">
      <alignment horizontal="center"/>
    </xf>
    <xf xfId="0" numFmtId="0" borderId="27" applyBorder="1" fontId="1" applyFont="1" fillId="2" applyFill="1" applyAlignment="1">
      <alignment horizontal="center"/>
    </xf>
    <xf xfId="0" numFmtId="3" applyNumberFormat="1" borderId="27" applyBorder="1" fontId="1" applyFont="1" fillId="2" applyFill="1" applyAlignment="1">
      <alignment horizontal="center"/>
    </xf>
    <xf xfId="0" numFmtId="0" borderId="13" applyBorder="1" fontId="1" applyFont="1" fillId="2" applyFill="1" applyAlignment="1">
      <alignment horizontal="center"/>
    </xf>
    <xf xfId="0" numFmtId="3" applyNumberFormat="1" borderId="1" applyBorder="1" fontId="1" applyFont="1" fillId="0" applyAlignment="1">
      <alignment horizontal="left"/>
    </xf>
    <xf xfId="0" numFmtId="4" applyNumberFormat="1" borderId="5" applyBorder="1" fontId="13" applyFont="1" fillId="0" applyAlignment="1">
      <alignment horizontal="left"/>
    </xf>
    <xf xfId="0" numFmtId="3" applyNumberFormat="1" borderId="5" applyBorder="1" fontId="14" applyFont="1" fillId="0" applyAlignment="1">
      <alignment horizontal="center"/>
    </xf>
    <xf xfId="0" numFmtId="1" applyNumberFormat="1" borderId="5" applyBorder="1" fontId="14" applyFont="1" fillId="0" applyAlignment="1">
      <alignment horizontal="center"/>
    </xf>
    <xf xfId="0" numFmtId="168" applyNumberFormat="1" borderId="5" applyBorder="1" fontId="13" applyFont="1" fillId="0" applyAlignment="1">
      <alignment horizontal="right"/>
    </xf>
    <xf xfId="0" numFmtId="168" applyNumberFormat="1" borderId="5" applyBorder="1" fontId="14" applyFont="1" fillId="0" applyAlignment="1">
      <alignment horizontal="left"/>
    </xf>
    <xf xfId="0" numFmtId="3" applyNumberFormat="1" borderId="7" applyBorder="1" fontId="1" applyFont="1" fillId="0" applyAlignment="1">
      <alignment horizontal="left"/>
    </xf>
    <xf xfId="0" numFmtId="4" applyNumberFormat="1" borderId="22" applyBorder="1" fontId="13" applyFont="1" fillId="0" applyAlignment="1">
      <alignment horizontal="left"/>
    </xf>
    <xf xfId="0" numFmtId="168" applyNumberFormat="1" borderId="22" applyBorder="1" fontId="13" applyFont="1" fillId="0" applyAlignment="1">
      <alignment horizontal="right"/>
    </xf>
    <xf xfId="0" numFmtId="3" applyNumberFormat="1" borderId="7" applyBorder="1" fontId="13" applyFont="1" fillId="0" applyAlignment="1">
      <alignment horizontal="left"/>
    </xf>
    <xf xfId="0" numFmtId="1" applyNumberFormat="1" borderId="22" applyBorder="1" fontId="14" applyFont="1" fillId="0" applyAlignment="1">
      <alignment horizontal="left"/>
    </xf>
    <xf xfId="0" numFmtId="4" applyNumberFormat="1" borderId="22" applyBorder="1" fontId="13" applyFont="1" fillId="0" applyAlignment="1">
      <alignment horizontal="left" wrapText="1"/>
    </xf>
    <xf xfId="0" numFmtId="168" applyNumberFormat="1" borderId="22" applyBorder="1" fontId="13" applyFont="1" fillId="0" applyAlignment="1">
      <alignment horizontal="left" wrapText="1"/>
    </xf>
    <xf xfId="0" numFmtId="1" applyNumberFormat="1" borderId="22" applyBorder="1" fontId="14" applyFont="1" fillId="0" applyAlignment="1">
      <alignment horizontal="left" wrapText="1"/>
    </xf>
    <xf xfId="0" numFmtId="168" applyNumberFormat="1" borderId="22" applyBorder="1" fontId="14" applyFont="1" fillId="0" applyAlignment="1">
      <alignment horizontal="left" wrapText="1"/>
    </xf>
    <xf xfId="0" numFmtId="168" applyNumberFormat="1" borderId="0" fontId="0" fillId="0" applyAlignment="1">
      <alignment horizontal="general"/>
    </xf>
    <xf xfId="0" numFmtId="3" applyNumberFormat="1" borderId="7" applyBorder="1" fontId="13" applyFont="1" fillId="0" applyAlignment="1">
      <alignment horizontal="left" wrapText="1"/>
    </xf>
    <xf xfId="0" numFmtId="1" applyNumberFormat="1" borderId="25" applyBorder="1" fontId="1" applyFont="1" fillId="0" applyAlignment="1">
      <alignment horizontal="left"/>
    </xf>
    <xf xfId="0" numFmtId="168" applyNumberFormat="1" borderId="25" applyBorder="1" fontId="1" applyFont="1" fillId="0" applyAlignment="1">
      <alignment horizontal="left"/>
    </xf>
    <xf xfId="0" numFmtId="164" applyNumberFormat="1" borderId="22" applyBorder="1" fontId="14" applyFont="1" fillId="0" applyAlignment="1">
      <alignment horizontal="left" wrapText="1"/>
    </xf>
    <xf xfId="0" numFmtId="3" applyNumberFormat="1" borderId="44" applyBorder="1" fontId="23" applyFont="1" fillId="10" applyFill="1" applyAlignment="1">
      <alignment horizontal="center"/>
    </xf>
    <xf xfId="0" numFmtId="0" borderId="20" applyBorder="1" fontId="23" applyFont="1" fillId="10" applyFill="1" applyAlignment="1">
      <alignment horizontal="center"/>
    </xf>
    <xf xfId="0" numFmtId="4" applyNumberFormat="1" borderId="20" applyBorder="1" fontId="23" applyFont="1" fillId="10" applyFill="1" applyAlignment="1">
      <alignment horizontal="center"/>
    </xf>
    <xf xfId="0" numFmtId="3" applyNumberFormat="1" borderId="20" applyBorder="1" fontId="23" applyFont="1" fillId="10" applyFill="1" applyAlignment="1">
      <alignment horizontal="center"/>
    </xf>
    <xf xfId="0" numFmtId="1" applyNumberFormat="1" borderId="20" applyBorder="1" fontId="23" applyFont="1" fillId="10" applyFill="1" applyAlignment="1">
      <alignment horizontal="center"/>
    </xf>
    <xf xfId="0" numFmtId="168" applyNumberFormat="1" borderId="20" applyBorder="1" fontId="23" applyFont="1" fillId="10" applyFill="1" applyAlignment="1">
      <alignment horizontal="center"/>
    </xf>
    <xf xfId="0" numFmtId="3" applyNumberFormat="1" borderId="49" applyBorder="1" fontId="15" applyFont="1" fillId="3" applyFill="1" applyAlignment="1">
      <alignment horizontal="center" vertical="top" wrapText="1"/>
    </xf>
    <xf xfId="0" numFmtId="0" borderId="49" applyBorder="1" fontId="15" applyFont="1" fillId="3" applyFill="1" applyAlignment="1">
      <alignment horizontal="center" vertical="top" wrapText="1"/>
    </xf>
    <xf xfId="0" numFmtId="0" borderId="49" applyBorder="1" fontId="15" applyFont="1" fillId="3" applyFill="1" applyAlignment="1">
      <alignment horizontal="center" vertical="top"/>
    </xf>
    <xf xfId="0" numFmtId="4" applyNumberFormat="1" borderId="12" applyBorder="1" fontId="15" applyFont="1" fillId="3" applyFill="1" applyAlignment="1">
      <alignment horizontal="center"/>
    </xf>
    <xf xfId="0" numFmtId="4" applyNumberFormat="1" borderId="13" applyBorder="1" fontId="15" applyFont="1" fillId="3" applyFill="1" applyAlignment="1">
      <alignment horizontal="center"/>
    </xf>
    <xf xfId="0" numFmtId="3" applyNumberFormat="1" borderId="54" applyBorder="1" fontId="15" applyFont="1" fillId="3" applyFill="1" applyAlignment="1">
      <alignment horizontal="center"/>
    </xf>
    <xf xfId="0" numFmtId="1" applyNumberFormat="1" borderId="54" applyBorder="1" fontId="15" applyFont="1" fillId="3" applyFill="1" applyAlignment="1">
      <alignment horizontal="center"/>
    </xf>
    <xf xfId="0" numFmtId="4" applyNumberFormat="1" borderId="54" applyBorder="1" fontId="15" applyFont="1" fillId="3" applyFill="1" applyAlignment="1">
      <alignment horizontal="center"/>
    </xf>
    <xf xfId="0" numFmtId="4" applyNumberFormat="1" borderId="54" applyBorder="1" fontId="15" applyFont="1" fillId="3" applyFill="1" applyAlignment="1">
      <alignment horizontal="center" wrapText="1"/>
    </xf>
    <xf xfId="0" numFmtId="168" applyNumberFormat="1" borderId="54" applyBorder="1" fontId="15" applyFont="1" fillId="3" applyFill="1" applyAlignment="1">
      <alignment horizontal="center"/>
    </xf>
    <xf xfId="0" numFmtId="168" applyNumberFormat="1" borderId="54" applyBorder="1" fontId="15" applyFont="1" fillId="3" applyFill="1" applyAlignment="1">
      <alignment horizontal="center" wrapText="1"/>
    </xf>
    <xf xfId="0" numFmtId="0" borderId="22" applyBorder="1" fontId="15" applyFont="1" fillId="0" applyAlignment="1">
      <alignment horizontal="center" wrapText="1"/>
    </xf>
    <xf xfId="0" numFmtId="3" applyNumberFormat="1" borderId="22" applyBorder="1" fontId="15" applyFont="1" fillId="0" applyAlignment="1">
      <alignment horizontal="center" wrapText="1"/>
    </xf>
    <xf xfId="0" numFmtId="164" applyNumberFormat="1" borderId="22" applyBorder="1" fontId="15" applyFont="1" fillId="0" applyAlignment="1">
      <alignment horizontal="center" wrapText="1"/>
    </xf>
    <xf xfId="0" numFmtId="3" applyNumberFormat="1" borderId="23" applyBorder="1" fontId="15" applyFont="1" fillId="3" applyFill="1" applyAlignment="1">
      <alignment horizontal="center" wrapText="1"/>
    </xf>
    <xf xfId="0" numFmtId="0" borderId="23" applyBorder="1" fontId="15" applyFont="1" fillId="3" applyFill="1" applyAlignment="1">
      <alignment horizontal="center" wrapText="1"/>
    </xf>
    <xf xfId="0" numFmtId="0" borderId="23" applyBorder="1" fontId="15" applyFont="1" fillId="3" applyFill="1" applyAlignment="1">
      <alignment horizontal="center"/>
    </xf>
    <xf xfId="0" numFmtId="4" applyNumberFormat="1" borderId="9" applyBorder="1" fontId="24" applyFont="1" fillId="3" applyFill="1" applyAlignment="1">
      <alignment horizontal="center"/>
    </xf>
    <xf xfId="0" numFmtId="3" applyNumberFormat="1" borderId="54" applyBorder="1" fontId="25" applyFont="1" fillId="3" applyFill="1" applyAlignment="1">
      <alignment horizontal="center"/>
    </xf>
    <xf xfId="0" numFmtId="1" applyNumberFormat="1" borderId="54" applyBorder="1" fontId="25" applyFont="1" fillId="3" applyFill="1" applyAlignment="1">
      <alignment horizontal="center"/>
    </xf>
    <xf xfId="0" numFmtId="4" applyNumberFormat="1" borderId="54" applyBorder="1" fontId="1" applyFont="1" fillId="3" applyFill="1" applyAlignment="1">
      <alignment horizontal="center"/>
    </xf>
    <xf xfId="0" numFmtId="4" applyNumberFormat="1" borderId="9" applyBorder="1" fontId="25" applyFont="1" fillId="3" applyFill="1" applyAlignment="1">
      <alignment horizontal="center"/>
    </xf>
    <xf xfId="0" numFmtId="168" applyNumberFormat="1" borderId="54" applyBorder="1" fontId="25" applyFont="1" fillId="3" applyFill="1" applyAlignment="1">
      <alignment horizontal="center"/>
    </xf>
    <xf xfId="0" numFmtId="168" applyNumberFormat="1" borderId="10" applyBorder="1" fontId="25" applyFont="1" fillId="3" applyFill="1" applyAlignment="1">
      <alignment horizontal="center"/>
    </xf>
    <xf xfId="0" numFmtId="0" borderId="55" applyBorder="1" fontId="25" applyFont="1" fillId="0" applyAlignment="1">
      <alignment horizontal="center"/>
    </xf>
    <xf xfId="0" numFmtId="3" applyNumberFormat="1" borderId="55" applyBorder="1" fontId="25" applyFont="1" fillId="0" applyAlignment="1">
      <alignment horizontal="center"/>
    </xf>
    <xf xfId="0" numFmtId="164" applyNumberFormat="1" borderId="55" applyBorder="1" fontId="25" applyFont="1" fillId="0" applyAlignment="1">
      <alignment horizontal="center"/>
    </xf>
    <xf xfId="0" numFmtId="3" applyNumberFormat="1" borderId="54" applyBorder="1" fontId="15" applyFont="1" fillId="4" applyFill="1" applyAlignment="1">
      <alignment horizontal="center"/>
    </xf>
    <xf xfId="0" numFmtId="0" borderId="56" applyBorder="1" fontId="15" applyFont="1" fillId="4" applyFill="1" applyAlignment="1">
      <alignment horizontal="left"/>
    </xf>
    <xf xfId="0" numFmtId="0" borderId="57" applyBorder="1" fontId="15" applyFont="1" fillId="4" applyFill="1" applyAlignment="1">
      <alignment horizontal="left"/>
    </xf>
    <xf xfId="0" numFmtId="4" applyNumberFormat="1" borderId="57" applyBorder="1" fontId="15" applyFont="1" fillId="4" applyFill="1" applyAlignment="1">
      <alignment horizontal="left"/>
    </xf>
    <xf xfId="0" numFmtId="3" applyNumberFormat="1" borderId="57" applyBorder="1" fontId="24" applyFont="1" fillId="4" applyFill="1" applyAlignment="1">
      <alignment horizontal="left"/>
    </xf>
    <xf xfId="0" numFmtId="164" applyNumberFormat="1" borderId="57" applyBorder="1" fontId="15" applyFont="1" fillId="4" applyFill="1" applyAlignment="1">
      <alignment horizontal="right"/>
    </xf>
    <xf xfId="0" numFmtId="4" applyNumberFormat="1" borderId="57" applyBorder="1" fontId="24" applyFont="1" fillId="4" applyFill="1" applyAlignment="1">
      <alignment horizontal="left"/>
    </xf>
    <xf xfId="0" numFmtId="168" applyNumberFormat="1" borderId="57" applyBorder="1" fontId="24" applyFont="1" fillId="4" applyFill="1" applyAlignment="1">
      <alignment horizontal="left"/>
    </xf>
    <xf xfId="0" numFmtId="168" applyNumberFormat="1" borderId="58" applyBorder="1" fontId="24" applyFont="1" fillId="4" applyFill="1" applyAlignment="1">
      <alignment horizontal="left"/>
    </xf>
    <xf xfId="0" numFmtId="3" applyNumberFormat="1" borderId="54" applyBorder="1" fontId="26" applyFont="1" fillId="0" applyAlignment="1">
      <alignment horizontal="center"/>
    </xf>
    <xf xfId="0" numFmtId="0" borderId="59" applyBorder="1" fontId="26" applyFont="1" fillId="0" applyAlignment="1">
      <alignment horizontal="left"/>
    </xf>
    <xf xfId="0" numFmtId="0" borderId="55" applyBorder="1" fontId="26" applyFont="1" fillId="0" applyAlignment="1">
      <alignment horizontal="left"/>
    </xf>
    <xf xfId="0" numFmtId="4" applyNumberFormat="1" borderId="55" applyBorder="1" fontId="26" applyFont="1" fillId="0" applyAlignment="1">
      <alignment horizontal="left"/>
    </xf>
    <xf xfId="0" numFmtId="3" applyNumberFormat="1" borderId="55" applyBorder="1" fontId="24" applyFont="1" fillId="0" applyAlignment="1">
      <alignment horizontal="left"/>
    </xf>
    <xf xfId="0" numFmtId="164" applyNumberFormat="1" borderId="55" applyBorder="1" fontId="24" applyFont="1" fillId="0" applyAlignment="1">
      <alignment horizontal="right"/>
    </xf>
    <xf xfId="0" numFmtId="4" applyNumberFormat="1" borderId="55" applyBorder="1" fontId="24" applyFont="1" fillId="0" applyAlignment="1">
      <alignment horizontal="left"/>
    </xf>
    <xf xfId="0" numFmtId="168" applyNumberFormat="1" borderId="55" applyBorder="1" fontId="24" applyFont="1" fillId="0" applyAlignment="1">
      <alignment horizontal="left"/>
    </xf>
    <xf xfId="0" numFmtId="168" applyNumberFormat="1" borderId="60" applyBorder="1" fontId="24" applyFont="1" fillId="0" applyAlignment="1">
      <alignment horizontal="left"/>
    </xf>
    <xf xfId="0" numFmtId="3" applyNumberFormat="1" borderId="7" applyBorder="1" fontId="24" applyFont="1" fillId="0" applyAlignment="1">
      <alignment horizontal="left"/>
    </xf>
    <xf xfId="0" numFmtId="0" borderId="7" applyBorder="1" fontId="27" applyFont="1" fillId="0" applyAlignment="1">
      <alignment horizontal="right"/>
    </xf>
    <xf xfId="0" numFmtId="0" borderId="20" applyBorder="1" fontId="24" applyFont="1" fillId="4" applyFill="1" applyAlignment="1">
      <alignment horizontal="center"/>
    </xf>
    <xf xfId="0" numFmtId="4" applyNumberFormat="1" borderId="20" applyBorder="1" fontId="24" applyFont="1" fillId="4" applyFill="1" applyAlignment="1">
      <alignment horizontal="center"/>
    </xf>
    <xf xfId="0" numFmtId="3" applyNumberFormat="1" borderId="20" applyBorder="1" fontId="24" applyFont="1" fillId="4" applyFill="1" applyAlignment="1">
      <alignment horizontal="center"/>
    </xf>
    <xf xfId="0" numFmtId="4" applyNumberFormat="1" borderId="22" applyBorder="1" fontId="24" applyFont="1" fillId="0" applyAlignment="1">
      <alignment horizontal="right"/>
    </xf>
    <xf xfId="0" numFmtId="4" applyNumberFormat="1" borderId="22" applyBorder="1" fontId="24" applyFont="1" fillId="0" applyAlignment="1">
      <alignment horizontal="center"/>
    </xf>
    <xf xfId="0" numFmtId="168" applyNumberFormat="1" borderId="22" applyBorder="1" fontId="24" applyFont="1" fillId="0" applyAlignment="1">
      <alignment horizontal="right"/>
    </xf>
    <xf xfId="0" numFmtId="168" applyNumberFormat="1" borderId="11" applyBorder="1" fontId="24" applyFont="1" fillId="0" applyAlignment="1">
      <alignment horizontal="right"/>
    </xf>
    <xf xfId="0" numFmtId="0" borderId="11" applyBorder="1" fontId="1" applyFont="1" fillId="0" applyAlignment="1">
      <alignment horizontal="center"/>
    </xf>
    <xf xfId="0" numFmtId="169" applyNumberFormat="1" borderId="22" applyBorder="1" fontId="1" applyFont="1" fillId="0" applyAlignment="1">
      <alignment horizontal="right"/>
    </xf>
    <xf xfId="0" numFmtId="167" applyNumberFormat="1" borderId="22" applyBorder="1" fontId="1" applyFont="1" fillId="0" applyAlignment="1">
      <alignment horizontal="right"/>
    </xf>
    <xf xfId="0" numFmtId="3" applyNumberFormat="1" borderId="54" applyBorder="1" fontId="26" applyFont="1" fillId="4" applyFill="1" applyAlignment="1">
      <alignment horizontal="center"/>
    </xf>
    <xf xfId="0" numFmtId="0" borderId="61" applyBorder="1" fontId="28" applyFont="1" fillId="4" applyFill="1" applyAlignment="1">
      <alignment horizontal="left"/>
    </xf>
    <xf xfId="0" numFmtId="0" borderId="62" applyBorder="1" fontId="26" applyFont="1" fillId="4" applyFill="1" applyAlignment="1">
      <alignment horizontal="left"/>
    </xf>
    <xf xfId="0" numFmtId="4" applyNumberFormat="1" borderId="62" applyBorder="1" fontId="26" applyFont="1" fillId="4" applyFill="1" applyAlignment="1">
      <alignment horizontal="center"/>
    </xf>
    <xf xfId="0" numFmtId="4" applyNumberFormat="1" borderId="62" applyBorder="1" fontId="26" applyFont="1" fillId="4" applyFill="1" applyAlignment="1">
      <alignment horizontal="left"/>
    </xf>
    <xf xfId="0" numFmtId="3" applyNumberFormat="1" borderId="62" applyBorder="1" fontId="24" applyFont="1" fillId="4" applyFill="1" applyAlignment="1">
      <alignment horizontal="left"/>
    </xf>
    <xf xfId="0" numFmtId="164" applyNumberFormat="1" borderId="62" applyBorder="1" fontId="24" applyFont="1" fillId="4" applyFill="1" applyAlignment="1">
      <alignment horizontal="right"/>
    </xf>
    <xf xfId="0" numFmtId="4" applyNumberFormat="1" borderId="62" applyBorder="1" fontId="24" applyFont="1" fillId="4" applyFill="1" applyAlignment="1">
      <alignment horizontal="center"/>
    </xf>
    <xf xfId="0" numFmtId="4" applyNumberFormat="1" borderId="62" applyBorder="1" fontId="24" applyFont="1" fillId="4" applyFill="1" applyAlignment="1">
      <alignment horizontal="right"/>
    </xf>
    <xf xfId="0" numFmtId="168" applyNumberFormat="1" borderId="62" applyBorder="1" fontId="24" applyFont="1" fillId="4" applyFill="1" applyAlignment="1">
      <alignment horizontal="left"/>
    </xf>
    <xf xfId="0" numFmtId="168" applyNumberFormat="1" borderId="63" applyBorder="1" fontId="24" applyFont="1" fillId="4" applyFill="1" applyAlignment="1">
      <alignment horizontal="left"/>
    </xf>
    <xf xfId="0" numFmtId="3" applyNumberFormat="1" borderId="7" applyBorder="1" fontId="26" applyFont="1" fillId="0" applyAlignment="1">
      <alignment horizontal="center"/>
    </xf>
    <xf xfId="0" numFmtId="164" applyNumberFormat="1" borderId="22" applyBorder="1" fontId="24" applyFont="1" fillId="0" applyAlignment="1">
      <alignment horizontal="right"/>
    </xf>
    <xf xfId="0" numFmtId="3" applyNumberFormat="1" borderId="49" applyBorder="1" fontId="24" applyFont="1" fillId="3" applyFill="1" applyAlignment="1">
      <alignment horizontal="left"/>
    </xf>
    <xf xfId="0" numFmtId="0" borderId="64" applyBorder="1" fontId="15" applyFont="1" fillId="3" applyFill="1" applyAlignment="1">
      <alignment horizontal="center" vertical="top"/>
    </xf>
    <xf xfId="0" numFmtId="0" borderId="65" applyBorder="1" fontId="24" applyFont="1" fillId="3" applyFill="1" applyAlignment="1">
      <alignment horizontal="center"/>
    </xf>
    <xf xfId="0" numFmtId="4" applyNumberFormat="1" borderId="20" applyBorder="1" fontId="24" applyFont="1" fillId="3" applyFill="1" applyAlignment="1">
      <alignment horizontal="left"/>
    </xf>
    <xf xfId="0" numFmtId="4" applyNumberFormat="1" borderId="20" applyBorder="1" fontId="15" applyFont="1" fillId="3" applyFill="1" applyAlignment="1">
      <alignment horizontal="center" vertical="top"/>
    </xf>
    <xf xfId="0" numFmtId="3" applyNumberFormat="1" borderId="20" applyBorder="1" fontId="15" applyFont="1" fillId="3" applyFill="1" applyAlignment="1">
      <alignment horizontal="center"/>
    </xf>
    <xf xfId="0" numFmtId="1" applyNumberFormat="1" borderId="20" applyBorder="1" fontId="29" applyFont="1" fillId="3" applyFill="1" applyAlignment="1">
      <alignment horizontal="center"/>
    </xf>
    <xf xfId="0" numFmtId="4" applyNumberFormat="1" borderId="20" applyBorder="1" fontId="1" applyFont="1" fillId="3" applyFill="1" applyAlignment="1">
      <alignment horizontal="left"/>
    </xf>
    <xf xfId="0" numFmtId="4" applyNumberFormat="1" borderId="20" applyBorder="1" fontId="29" applyFont="1" fillId="3" applyFill="1" applyAlignment="1">
      <alignment horizontal="center"/>
    </xf>
    <xf xfId="0" numFmtId="164" applyNumberFormat="1" borderId="20" applyBorder="1" fontId="27" applyFont="1" fillId="3" applyFill="1" applyAlignment="1">
      <alignment horizontal="right"/>
    </xf>
    <xf xfId="0" numFmtId="168" applyNumberFormat="1" borderId="21" applyBorder="1" fontId="29" applyFont="1" fillId="3" applyFill="1" applyAlignment="1">
      <alignment horizontal="center"/>
    </xf>
    <xf xfId="0" numFmtId="0" borderId="66" applyBorder="1" fontId="3" applyFont="1" fillId="0" applyAlignment="1">
      <alignment horizontal="center"/>
    </xf>
    <xf xfId="0" numFmtId="3" applyNumberFormat="1" borderId="66" applyBorder="1" fontId="3" applyFont="1" fillId="0" applyAlignment="1">
      <alignment horizontal="center"/>
    </xf>
    <xf xfId="0" numFmtId="164" applyNumberFormat="1" borderId="66" applyBorder="1" fontId="3" applyFont="1" fillId="0" applyAlignment="1">
      <alignment horizontal="center"/>
    </xf>
    <xf xfId="0" numFmtId="3" applyNumberFormat="1" borderId="67" applyBorder="1" fontId="3" applyFont="1" fillId="0" applyAlignment="1">
      <alignment horizontal="center"/>
    </xf>
    <xf xfId="0" numFmtId="168" applyNumberFormat="1" borderId="25" applyBorder="1" fontId="24" applyFont="1" fillId="0" applyAlignment="1">
      <alignment horizontal="right"/>
    </xf>
    <xf xfId="0" numFmtId="3" applyNumberFormat="1" borderId="23" applyBorder="1" fontId="24" applyFont="1" fillId="3" applyFill="1" applyAlignment="1">
      <alignment horizontal="left"/>
    </xf>
    <xf xfId="0" numFmtId="0" borderId="8" applyBorder="1" fontId="15" applyFont="1" fillId="3" applyFill="1" applyAlignment="1">
      <alignment horizontal="center"/>
    </xf>
    <xf xfId="0" numFmtId="0" borderId="9" applyBorder="1" fontId="24" applyFont="1" fillId="3" applyFill="1" applyAlignment="1">
      <alignment horizontal="center"/>
    </xf>
    <xf xfId="0" numFmtId="4" applyNumberFormat="1" borderId="9" applyBorder="1" fontId="24" applyFont="1" fillId="3" applyFill="1" applyAlignment="1">
      <alignment horizontal="left"/>
    </xf>
    <xf xfId="0" numFmtId="4" applyNumberFormat="1" borderId="9" applyBorder="1" fontId="15" applyFont="1" fillId="3" applyFill="1" applyAlignment="1">
      <alignment horizontal="center"/>
    </xf>
    <xf xfId="0" numFmtId="3" applyNumberFormat="1" borderId="9" applyBorder="1" fontId="15" applyFont="1" fillId="3" applyFill="1" applyAlignment="1">
      <alignment horizontal="center"/>
    </xf>
    <xf xfId="0" numFmtId="4" applyNumberFormat="1" borderId="9" applyBorder="1" fontId="24" applyFont="1" fillId="3" applyFill="1" applyAlignment="1">
      <alignment horizontal="right"/>
    </xf>
    <xf xfId="0" numFmtId="164" applyNumberFormat="1" borderId="9" applyBorder="1" fontId="24" applyFont="1" fillId="3" applyFill="1" applyAlignment="1">
      <alignment horizontal="right"/>
    </xf>
    <xf xfId="0" numFmtId="164" applyNumberFormat="1" borderId="9" applyBorder="1" fontId="27" applyFont="1" fillId="3" applyFill="1" applyAlignment="1">
      <alignment horizontal="right"/>
    </xf>
    <xf xfId="0" numFmtId="168" applyNumberFormat="1" borderId="10" applyBorder="1" fontId="24" applyFont="1" fillId="3" applyFill="1" applyAlignment="1">
      <alignment horizontal="right"/>
    </xf>
    <xf xfId="0" numFmtId="0" borderId="55" applyBorder="1" fontId="1" applyFont="1" fillId="0" applyAlignment="1">
      <alignment horizontal="center"/>
    </xf>
    <xf xfId="0" numFmtId="3" applyNumberFormat="1" borderId="55" applyBorder="1" fontId="1" applyFont="1" fillId="0" applyAlignment="1">
      <alignment horizontal="center"/>
    </xf>
    <xf xfId="0" numFmtId="164" applyNumberFormat="1" borderId="55" applyBorder="1" fontId="1" applyFont="1" fillId="0" applyAlignment="1">
      <alignment horizontal="center"/>
    </xf>
    <xf xfId="0" numFmtId="3" applyNumberFormat="1" borderId="68" applyBorder="1" fontId="1" applyFont="1" fillId="0" applyAlignment="1">
      <alignment horizontal="center"/>
    </xf>
    <xf xfId="0" numFmtId="0" borderId="12" applyBorder="1" fontId="1" applyFont="1" fillId="4" applyFill="1" applyAlignment="1">
      <alignment horizontal="center"/>
    </xf>
    <xf xfId="0" numFmtId="0" borderId="27" applyBorder="1" fontId="1" applyFont="1" fillId="4" applyFill="1" applyAlignment="1">
      <alignment horizontal="center"/>
    </xf>
    <xf xfId="0" numFmtId="0" borderId="13" applyBorder="1" fontId="1" applyFont="1" fillId="4" applyFill="1" applyAlignment="1">
      <alignment horizontal="center"/>
    </xf>
    <xf xfId="0" numFmtId="3" applyNumberFormat="1" borderId="44" applyBorder="1" fontId="24" applyFont="1" fillId="11" applyFill="1" applyAlignment="1">
      <alignment horizontal="center"/>
    </xf>
    <xf xfId="0" numFmtId="0" borderId="20" applyBorder="1" fontId="24" applyFont="1" fillId="12" applyFill="1" applyAlignment="1">
      <alignment horizontal="center"/>
    </xf>
    <xf xfId="0" numFmtId="0" borderId="20" applyBorder="1" fontId="24" applyFont="1" fillId="12" applyFill="1" applyAlignment="1">
      <alignment horizontal="left"/>
    </xf>
    <xf xfId="0" numFmtId="4" applyNumberFormat="1" borderId="20" applyBorder="1" fontId="24" applyFont="1" fillId="12" applyFill="1" applyAlignment="1">
      <alignment horizontal="center"/>
    </xf>
    <xf xfId="0" numFmtId="4" applyNumberFormat="1" borderId="57" applyBorder="1" fontId="24" applyFont="1" fillId="12" applyFill="1" applyAlignment="1">
      <alignment horizontal="left"/>
    </xf>
    <xf xfId="0" numFmtId="3" applyNumberFormat="1" borderId="22" applyBorder="1" fontId="24" applyFont="1" fillId="0" applyAlignment="1">
      <alignment horizontal="center"/>
    </xf>
    <xf xfId="0" numFmtId="168" applyNumberFormat="1" borderId="22" applyBorder="1" fontId="24" applyFont="1" fillId="0" applyAlignment="1">
      <alignment horizontal="center"/>
    </xf>
    <xf xfId="0" numFmtId="0" borderId="11" applyBorder="1" fontId="14" applyFont="1" fillId="0" applyAlignment="1">
      <alignment horizontal="left"/>
    </xf>
    <xf xfId="0" numFmtId="3" applyNumberFormat="1" borderId="7" applyBorder="1" fontId="24" applyFont="1" fillId="0" applyAlignment="1">
      <alignment horizontal="center"/>
    </xf>
    <xf xfId="0" numFmtId="0" borderId="22" applyBorder="1" fontId="24" applyFont="1" fillId="0" applyAlignment="1">
      <alignment horizontal="center"/>
    </xf>
    <xf xfId="0" numFmtId="4" applyNumberFormat="1" borderId="66" applyBorder="1" fontId="24" applyFont="1" fillId="0" applyAlignment="1">
      <alignment horizontal="left"/>
    </xf>
    <xf xfId="0" numFmtId="164" applyNumberFormat="1" borderId="22" applyBorder="1" fontId="15" applyFont="1" fillId="0" applyAlignment="1">
      <alignment horizontal="right"/>
    </xf>
    <xf xfId="0" numFmtId="4" applyNumberFormat="1" borderId="22" applyBorder="1" fontId="24" applyFont="1" fillId="0" applyAlignment="1">
      <alignment horizontal="left"/>
    </xf>
    <xf xfId="0" numFmtId="3" applyNumberFormat="1" borderId="7" applyBorder="1" fontId="15" applyFont="1" fillId="0" applyAlignment="1">
      <alignment horizontal="center"/>
    </xf>
    <xf xfId="0" numFmtId="0" borderId="22" applyBorder="1" fontId="15" applyFont="1" fillId="0" applyAlignment="1">
      <alignment horizontal="center"/>
    </xf>
    <xf xfId="0" numFmtId="4" applyNumberFormat="1" borderId="22" applyBorder="1" fontId="15" applyFont="1" fillId="0" applyAlignment="1">
      <alignment horizontal="center"/>
    </xf>
    <xf xfId="0" numFmtId="164" applyNumberFormat="1" borderId="22" applyBorder="1" fontId="30" applyFont="1" fillId="0" applyAlignment="1">
      <alignment horizontal="right"/>
    </xf>
    <xf xfId="0" numFmtId="4" applyNumberFormat="1" borderId="55" applyBorder="1" fontId="15" applyFont="1" fillId="0" applyAlignment="1">
      <alignment horizontal="center"/>
    </xf>
    <xf xfId="0" numFmtId="3" applyNumberFormat="1" borderId="22" applyBorder="1" fontId="15" applyFont="1" fillId="0" applyAlignment="1">
      <alignment horizontal="center"/>
    </xf>
    <xf xfId="0" numFmtId="1" applyNumberFormat="1" borderId="22" applyBorder="1" fontId="15" applyFont="1" fillId="0" applyAlignment="1">
      <alignment horizontal="center"/>
    </xf>
    <xf xfId="0" numFmtId="4" applyNumberFormat="1" borderId="22" applyBorder="1" fontId="15" applyFont="1" fillId="0" applyAlignment="1">
      <alignment horizontal="left"/>
    </xf>
    <xf xfId="0" numFmtId="168" applyNumberFormat="1" borderId="22" applyBorder="1" fontId="15" applyFont="1" fillId="0" applyAlignment="1">
      <alignment horizontal="center"/>
    </xf>
    <xf xfId="0" numFmtId="0" borderId="22" applyBorder="1" fontId="24" applyFont="1" fillId="0" applyAlignment="1">
      <alignment horizontal="left"/>
    </xf>
    <xf xfId="0" numFmtId="0" borderId="20" applyBorder="1" fontId="24" applyFont="1" fillId="12" applyFill="1" applyAlignment="1">
      <alignment horizontal="left"/>
    </xf>
    <xf xfId="0" numFmtId="4" applyNumberFormat="1" borderId="20" applyBorder="1" fontId="24" applyFont="1" fillId="12" applyFill="1" applyAlignment="1">
      <alignment horizontal="left"/>
    </xf>
    <xf xfId="0" numFmtId="0" borderId="22" applyBorder="1" fontId="24" applyFont="1" fillId="0" applyAlignment="1">
      <alignment horizontal="right"/>
    </xf>
    <xf xfId="0" numFmtId="3" applyNumberFormat="1" borderId="56" applyBorder="1" fontId="24" applyFont="1" fillId="11" applyFill="1" applyAlignment="1">
      <alignment horizontal="center"/>
    </xf>
    <xf xfId="0" numFmtId="0" borderId="57" applyBorder="1" fontId="24" applyFont="1" fillId="12" applyFill="1" applyAlignment="1">
      <alignment horizontal="center"/>
    </xf>
    <xf xfId="0" numFmtId="0" borderId="57" applyBorder="1" fontId="24" applyFont="1" fillId="12" applyFill="1" applyAlignment="1">
      <alignment horizontal="left"/>
    </xf>
    <xf xfId="0" numFmtId="4" applyNumberFormat="1" borderId="57" applyBorder="1" fontId="24" applyFont="1" fillId="12" applyFill="1" applyAlignment="1">
      <alignment horizontal="center"/>
    </xf>
    <xf xfId="0" numFmtId="3" applyNumberFormat="1" borderId="69" applyBorder="1" fontId="24" applyFont="1" fillId="0" applyAlignment="1">
      <alignment horizontal="center"/>
    </xf>
    <xf xfId="0" numFmtId="0" borderId="66" applyBorder="1" fontId="24" applyFont="1" fillId="0" applyAlignment="1">
      <alignment horizontal="center"/>
    </xf>
    <xf xfId="0" numFmtId="4" applyNumberFormat="1" borderId="66" applyBorder="1" fontId="24" applyFont="1" fillId="0" applyAlignment="1">
      <alignment horizontal="center"/>
    </xf>
    <xf xfId="0" numFmtId="3" applyNumberFormat="1" borderId="7" applyBorder="1" fontId="24" applyFont="1" fillId="0" applyAlignment="1">
      <alignment horizontal="right"/>
    </xf>
    <xf xfId="0" numFmtId="0" borderId="22" applyBorder="1" fontId="24" applyFont="1" fillId="0" applyAlignment="1">
      <alignment horizontal="right"/>
    </xf>
    <xf xfId="0" numFmtId="3" applyNumberFormat="1" borderId="22" applyBorder="1" fontId="15" applyFont="1" fillId="0" applyAlignment="1">
      <alignment horizontal="left"/>
    </xf>
    <xf xfId="0" numFmtId="0" borderId="22" applyBorder="1" fontId="1" applyFont="1" fillId="0" applyAlignment="1">
      <alignment horizontal="left"/>
    </xf>
    <xf xfId="0" numFmtId="3" applyNumberFormat="1" borderId="7" applyBorder="1" fontId="15" applyFont="1" fillId="0" applyAlignment="1">
      <alignment horizontal="right"/>
    </xf>
    <xf xfId="0" numFmtId="0" borderId="22" applyBorder="1" fontId="15" applyFont="1" fillId="0" applyAlignment="1">
      <alignment horizontal="right"/>
    </xf>
    <xf xfId="0" numFmtId="4" applyNumberFormat="1" borderId="22" applyBorder="1" fontId="15" applyFont="1" fillId="0" applyAlignment="1">
      <alignment horizontal="right"/>
    </xf>
    <xf xfId="0" numFmtId="0" borderId="12" applyBorder="1" fontId="31" applyFont="1" fillId="3" applyFill="1" applyAlignment="1">
      <alignment horizontal="center"/>
    </xf>
    <xf xfId="0" numFmtId="4" applyNumberFormat="1" borderId="27" applyBorder="1" fontId="31" applyFont="1" fillId="3" applyFill="1" applyAlignment="1">
      <alignment horizontal="center"/>
    </xf>
    <xf xfId="0" numFmtId="3" applyNumberFormat="1" borderId="13" applyBorder="1" fontId="31" applyFont="1" fillId="3" applyFill="1" applyAlignment="1">
      <alignment horizontal="center"/>
    </xf>
    <xf xfId="0" numFmtId="3" applyNumberFormat="1" borderId="7" applyBorder="1" fontId="23" applyFont="1" fillId="0" applyAlignment="1">
      <alignment horizontal="center"/>
    </xf>
    <xf xfId="0" numFmtId="0" borderId="22" applyBorder="1" fontId="23" applyFont="1" fillId="0" applyAlignment="1">
      <alignment horizontal="center"/>
    </xf>
    <xf xfId="0" numFmtId="4" applyNumberFormat="1" borderId="22" applyBorder="1" fontId="23" applyFont="1" fillId="0" applyAlignment="1">
      <alignment horizontal="center"/>
    </xf>
    <xf xfId="0" numFmtId="3" applyNumberFormat="1" borderId="22" applyBorder="1" fontId="23" applyFont="1" fillId="0" applyAlignment="1">
      <alignment horizontal="center"/>
    </xf>
    <xf xfId="0" numFmtId="1" applyNumberFormat="1" borderId="22" applyBorder="1" fontId="23" applyFont="1" fillId="0" applyAlignment="1">
      <alignment horizontal="center"/>
    </xf>
    <xf xfId="0" numFmtId="3" applyNumberFormat="1" borderId="44" applyBorder="1" fontId="15" applyFont="1" fillId="12" applyFill="1" applyAlignment="1">
      <alignment horizontal="center" vertical="top"/>
    </xf>
    <xf xfId="0" numFmtId="0" borderId="20" applyBorder="1" fontId="15" applyFont="1" fillId="12" applyFill="1" applyAlignment="1">
      <alignment horizontal="center" vertical="top"/>
    </xf>
    <xf xfId="0" numFmtId="0" borderId="20" applyBorder="1" fontId="15" applyFont="1" fillId="12" applyFill="1" applyAlignment="1">
      <alignment horizontal="center"/>
    </xf>
    <xf xfId="0" numFmtId="4" applyNumberFormat="1" borderId="20" applyBorder="1" fontId="15" applyFont="1" fillId="12" applyFill="1" applyAlignment="1">
      <alignment horizontal="center"/>
    </xf>
    <xf xfId="0" numFmtId="4" applyNumberFormat="1" borderId="20" applyBorder="1" fontId="15" applyFont="1" fillId="12" applyFill="1" applyAlignment="1">
      <alignment horizontal="center" vertical="top"/>
    </xf>
    <xf xfId="0" numFmtId="3" applyNumberFormat="1" borderId="20" applyBorder="1" fontId="15" applyFont="1" fillId="12" applyFill="1" applyAlignment="1">
      <alignment horizontal="center" vertical="top"/>
    </xf>
    <xf xfId="0" numFmtId="1" applyNumberFormat="1" borderId="20" applyBorder="1" fontId="15" applyFont="1" fillId="12" applyFill="1" applyAlignment="1">
      <alignment horizontal="center" vertical="top"/>
    </xf>
    <xf xfId="0" numFmtId="3" applyNumberFormat="1" borderId="56" applyBorder="1" fontId="15" applyFont="1" fillId="12" applyFill="1" applyAlignment="1">
      <alignment horizontal="center"/>
    </xf>
    <xf xfId="0" numFmtId="0" borderId="57" applyBorder="1" fontId="15" applyFont="1" fillId="12" applyFill="1" applyAlignment="1">
      <alignment horizontal="center"/>
    </xf>
    <xf xfId="0" numFmtId="0" borderId="57" applyBorder="1" fontId="15" applyFont="1" fillId="12" applyFill="1" applyAlignment="1">
      <alignment horizontal="center" wrapText="1"/>
    </xf>
    <xf xfId="0" numFmtId="4" applyNumberFormat="1" borderId="57" applyBorder="1" fontId="15" applyFont="1" fillId="12" applyFill="1" applyAlignment="1">
      <alignment horizontal="center" wrapText="1"/>
    </xf>
    <xf xfId="0" numFmtId="4" applyNumberFormat="1" borderId="57" applyBorder="1" fontId="15" applyFont="1" fillId="12" applyFill="1" applyAlignment="1">
      <alignment horizontal="center"/>
    </xf>
    <xf xfId="0" numFmtId="3" applyNumberFormat="1" borderId="57" applyBorder="1" fontId="15" applyFont="1" fillId="12" applyFill="1" applyAlignment="1">
      <alignment horizontal="center"/>
    </xf>
    <xf xfId="0" numFmtId="1" applyNumberFormat="1" borderId="57" applyBorder="1" fontId="15" applyFont="1" fillId="12" applyFill="1" applyAlignment="1">
      <alignment horizontal="center"/>
    </xf>
    <xf xfId="0" numFmtId="164" applyNumberFormat="1" borderId="22" applyBorder="1" fontId="24" applyFont="1" fillId="0" applyAlignment="1">
      <alignment horizontal="center"/>
    </xf>
    <xf xfId="0" numFmtId="1" applyNumberFormat="1" borderId="22" applyBorder="1" fontId="24" applyFont="1" fillId="0" applyAlignment="1">
      <alignment horizontal="center"/>
    </xf>
    <xf xfId="0" numFmtId="0" borderId="22" applyBorder="1" fontId="24" applyFont="1" fillId="0" applyAlignment="1">
      <alignment horizontal="left"/>
    </xf>
    <xf xfId="0" numFmtId="0" borderId="22" applyBorder="1" fontId="24" applyFont="1" fillId="0" applyAlignment="1">
      <alignment horizontal="center"/>
    </xf>
    <xf xfId="0" numFmtId="0" borderId="20" applyBorder="1" fontId="24" applyFont="1" fillId="13" applyFill="1" applyAlignment="1">
      <alignment horizontal="left"/>
    </xf>
    <xf xfId="0" numFmtId="0" borderId="20" applyBorder="1" fontId="24" applyFont="1" fillId="13" applyFill="1" applyAlignment="1">
      <alignment horizontal="left"/>
    </xf>
    <xf xfId="0" numFmtId="3" applyNumberFormat="1" borderId="20" applyBorder="1" fontId="24" applyFont="1" fillId="13" applyFill="1" applyAlignment="1">
      <alignment horizontal="center"/>
    </xf>
    <xf xfId="0" numFmtId="4" applyNumberFormat="1" borderId="20" applyBorder="1" fontId="24" applyFont="1" fillId="13" applyFill="1" applyAlignment="1">
      <alignment horizontal="left"/>
    </xf>
    <xf xfId="0" numFmtId="1" applyNumberFormat="1" borderId="20" applyBorder="1" fontId="24" applyFont="1" fillId="13" applyFill="1" applyAlignment="1">
      <alignment horizontal="center"/>
    </xf>
    <xf xfId="0" numFmtId="4" applyNumberFormat="1" borderId="20" applyBorder="1" fontId="24" applyFont="1" fillId="13" applyFill="1" applyAlignment="1">
      <alignment horizontal="center"/>
    </xf>
    <xf xfId="0" numFmtId="3" applyNumberFormat="1" borderId="59" applyBorder="1" fontId="24" applyFont="1" fillId="0" applyAlignment="1">
      <alignment horizontal="center"/>
    </xf>
    <xf xfId="0" numFmtId="0" borderId="57" applyBorder="1" fontId="27" applyFont="1" fillId="13" applyFill="1" applyAlignment="1">
      <alignment horizontal="left"/>
    </xf>
    <xf xfId="0" numFmtId="0" borderId="57" applyBorder="1" fontId="27" applyFont="1" fillId="13" applyFill="1" applyAlignment="1">
      <alignment horizontal="center"/>
    </xf>
    <xf xfId="0" numFmtId="4" applyNumberFormat="1" borderId="57" applyBorder="1" fontId="27" applyFont="1" fillId="13" applyFill="1" applyAlignment="1">
      <alignment horizontal="center"/>
    </xf>
    <xf xfId="0" numFmtId="4" applyNumberFormat="1" borderId="57" applyBorder="1" fontId="27" applyFont="1" fillId="13" applyFill="1" applyAlignment="1">
      <alignment horizontal="left"/>
    </xf>
    <xf xfId="0" numFmtId="3" applyNumberFormat="1" borderId="57" applyBorder="1" fontId="27" applyFont="1" fillId="13" applyFill="1" applyAlignment="1">
      <alignment horizontal="center"/>
    </xf>
    <xf xfId="0" numFmtId="1" applyNumberFormat="1" borderId="57" applyBorder="1" fontId="27" applyFont="1" fillId="13" applyFill="1" applyAlignment="1">
      <alignment horizontal="center"/>
    </xf>
    <xf xfId="0" numFmtId="3" applyNumberFormat="1" borderId="69" applyBorder="1" fontId="15" applyFont="1" fillId="0" applyAlignment="1">
      <alignment horizontal="center"/>
    </xf>
    <xf xfId="0" numFmtId="0" borderId="66" applyBorder="1" fontId="15" applyFont="1" fillId="0" applyAlignment="1">
      <alignment horizontal="center"/>
    </xf>
    <xf xfId="0" numFmtId="0" borderId="20" applyBorder="1" fontId="24" applyFont="1" fillId="13" applyFill="1" applyAlignment="1">
      <alignment horizontal="center"/>
    </xf>
    <xf xfId="0" numFmtId="0" borderId="20" applyBorder="1" fontId="24" applyFont="1" fillId="13" applyFill="1" applyAlignment="1">
      <alignment horizontal="center"/>
    </xf>
    <xf xfId="0" numFmtId="0" borderId="57" applyBorder="1" fontId="24" applyFont="1" fillId="13" applyFill="1" applyAlignment="1">
      <alignment horizontal="left"/>
    </xf>
    <xf xfId="0" numFmtId="0" borderId="57" applyBorder="1" fontId="24" applyFont="1" fillId="13" applyFill="1" applyAlignment="1">
      <alignment horizontal="center"/>
    </xf>
    <xf xfId="0" numFmtId="4" applyNumberFormat="1" borderId="57" applyBorder="1" fontId="24" applyFont="1" fillId="13" applyFill="1" applyAlignment="1">
      <alignment horizontal="center"/>
    </xf>
    <xf xfId="0" numFmtId="4" applyNumberFormat="1" borderId="57" applyBorder="1" fontId="24" applyFont="1" fillId="13" applyFill="1" applyAlignment="1">
      <alignment horizontal="right"/>
    </xf>
    <xf xfId="0" numFmtId="3" applyNumberFormat="1" borderId="57" applyBorder="1" fontId="24" applyFont="1" fillId="13" applyFill="1" applyAlignment="1">
      <alignment horizontal="center"/>
    </xf>
    <xf xfId="0" numFmtId="1" applyNumberFormat="1" borderId="57" applyBorder="1" fontId="24" applyFont="1" fillId="13" applyFill="1" applyAlignment="1">
      <alignment horizontal="center"/>
    </xf>
    <xf xfId="0" numFmtId="4" applyNumberFormat="1" borderId="22" applyBorder="1" fontId="32" applyFont="1" fillId="0" applyAlignment="1">
      <alignment horizontal="left"/>
    </xf>
    <xf xfId="0" numFmtId="168" applyNumberFormat="1" borderId="22" applyBorder="1" fontId="32" applyFont="1" fillId="0" applyAlignment="1">
      <alignment horizontal="left"/>
    </xf>
    <xf xfId="0" numFmtId="0" borderId="66" applyBorder="1" fontId="26" applyFont="1" fillId="0" applyAlignment="1">
      <alignment horizontal="right" vertical="top"/>
    </xf>
    <xf xfId="0" numFmtId="4" applyNumberFormat="1" borderId="66" applyBorder="1" fontId="15" applyFont="1" fillId="0" applyAlignment="1">
      <alignment horizontal="left"/>
    </xf>
    <xf xfId="0" numFmtId="4" applyNumberFormat="1" borderId="66" applyBorder="1" fontId="14" applyFont="1" fillId="0" applyAlignment="1">
      <alignment horizontal="center"/>
    </xf>
    <xf xfId="0" numFmtId="3" applyNumberFormat="1" borderId="66" applyBorder="1" fontId="1" applyFont="1" fillId="0" applyAlignment="1">
      <alignment horizontal="left"/>
    </xf>
    <xf xfId="0" numFmtId="170" applyNumberFormat="1" borderId="22" applyBorder="1" fontId="28" applyFont="1" fillId="0" applyAlignment="1">
      <alignment horizontal="center"/>
    </xf>
    <xf xfId="0" numFmtId="0" borderId="55" applyBorder="1" fontId="26" applyFont="1" fillId="0" applyAlignment="1">
      <alignment horizontal="right"/>
    </xf>
    <xf xfId="0" numFmtId="4" applyNumberFormat="1" borderId="55" applyBorder="1" fontId="15" applyFont="1" fillId="0" applyAlignment="1">
      <alignment horizontal="left"/>
    </xf>
    <xf xfId="0" numFmtId="1" applyNumberFormat="1" borderId="55" applyBorder="1" fontId="14" applyFont="1" fillId="0" applyAlignment="1">
      <alignment horizontal="center"/>
    </xf>
    <xf xfId="0" numFmtId="3" applyNumberFormat="1" borderId="55" applyBorder="1" fontId="1" applyFont="1" fillId="0" applyAlignment="1">
      <alignment horizontal="left"/>
    </xf>
    <xf xfId="0" numFmtId="0" borderId="11" applyBorder="1" fontId="24" applyFont="1" fillId="0" applyAlignment="1">
      <alignment horizontal="center"/>
    </xf>
    <xf xfId="0" numFmtId="171" applyNumberFormat="1" borderId="22" applyBorder="1" fontId="26" applyFont="1" fillId="0" applyAlignment="1">
      <alignment horizontal="left"/>
    </xf>
    <xf xfId="0" numFmtId="167" applyNumberFormat="1" borderId="66" applyBorder="1" fontId="14" applyFont="1" fillId="0" applyAlignment="1">
      <alignment horizontal="center"/>
    </xf>
    <xf xfId="0" numFmtId="167" applyNumberFormat="1" borderId="55" applyBorder="1" fontId="14" applyFont="1" fillId="0" applyAlignment="1">
      <alignment horizontal="center"/>
    </xf>
    <xf xfId="0" numFmtId="0" borderId="65" applyBorder="1" fontId="33" applyFont="1" fillId="3" applyFill="1" applyAlignment="1">
      <alignment horizontal="center" vertical="top" wrapText="1"/>
    </xf>
    <xf xfId="0" numFmtId="4" applyNumberFormat="1" borderId="57" applyBorder="1" fontId="15" applyFont="1" fillId="3" applyFill="1" applyAlignment="1">
      <alignment horizontal="left"/>
    </xf>
    <xf xfId="0" numFmtId="4" applyNumberFormat="1" borderId="62" applyBorder="1" fontId="14" applyFont="1" fillId="3" applyFill="1" applyAlignment="1">
      <alignment horizontal="center"/>
    </xf>
    <xf xfId="0" numFmtId="3" applyNumberFormat="1" borderId="62" applyBorder="1" fontId="1" applyFont="1" fillId="3" applyFill="1" applyAlignment="1">
      <alignment horizontal="left"/>
    </xf>
    <xf xfId="0" numFmtId="4" applyNumberFormat="1" borderId="22" applyBorder="1" fontId="27" applyFont="1" fillId="0" applyAlignment="1">
      <alignment horizontal="right"/>
    </xf>
    <xf xfId="0" numFmtId="0" borderId="57" applyBorder="1" fontId="33" applyFont="1" fillId="3" applyFill="1" applyAlignment="1">
      <alignment horizontal="center" wrapText="1"/>
    </xf>
    <xf xfId="0" numFmtId="4" applyNumberFormat="1" borderId="62" applyBorder="1" fontId="15" applyFont="1" fillId="3" applyFill="1" applyAlignment="1">
      <alignment horizontal="left"/>
    </xf>
    <xf xfId="0" numFmtId="4" applyNumberFormat="1" borderId="57" applyBorder="1" fontId="14" applyFont="1" fillId="3" applyFill="1" applyAlignment="1">
      <alignment horizontal="center"/>
    </xf>
    <xf xfId="0" numFmtId="3" applyNumberFormat="1" borderId="57" applyBorder="1" fontId="1" applyFont="1" fillId="3" applyFill="1" applyAlignment="1">
      <alignment horizontal="left"/>
    </xf>
    <xf xfId="0" numFmtId="1" applyNumberFormat="1" borderId="22" applyBorder="1" fontId="15" applyFont="1" fillId="0" applyAlignment="1">
      <alignment horizontal="left"/>
    </xf>
    <xf xfId="0" numFmtId="0" borderId="20" applyBorder="1" fontId="1" applyFont="1" fillId="14" applyFill="1" applyAlignment="1">
      <alignment horizontal="left"/>
    </xf>
    <xf xfId="0" numFmtId="168" applyNumberFormat="1" borderId="22" applyBorder="1" fontId="15" applyFont="1" fillId="0" applyAlignment="1">
      <alignment horizontal="left"/>
    </xf>
    <xf xfId="0" numFmtId="0" borderId="22" applyBorder="1" fontId="1" applyFont="1" fillId="0" applyAlignment="1">
      <alignment horizontal="left" wrapText="1"/>
    </xf>
    <xf xfId="0" numFmtId="0" borderId="22" applyBorder="1" fontId="26" applyFont="1" fillId="0" applyAlignment="1">
      <alignment horizontal="right" wrapText="1"/>
    </xf>
    <xf xfId="0" numFmtId="4" applyNumberFormat="1" borderId="22" applyBorder="1" fontId="28" applyFont="1" fillId="0" applyAlignment="1">
      <alignment horizontal="center"/>
    </xf>
    <xf xfId="0" numFmtId="4" applyNumberFormat="1" borderId="22" applyBorder="1" fontId="3" applyFont="1" fillId="0" applyAlignment="1">
      <alignment horizontal="center"/>
    </xf>
    <xf xfId="0" numFmtId="1" applyNumberFormat="1" borderId="22" applyBorder="1" fontId="26" applyFont="1" fillId="0" applyAlignment="1">
      <alignment horizontal="center"/>
    </xf>
    <xf xfId="0" numFmtId="4" applyNumberFormat="1" borderId="22" applyBorder="1" fontId="26" applyFont="1" fillId="0" applyAlignment="1">
      <alignment horizontal="left" wrapText="1"/>
    </xf>
    <xf xfId="0" numFmtId="168" applyNumberFormat="1" borderId="22" applyBorder="1" fontId="3" applyFont="1" fillId="0" applyAlignment="1">
      <alignment horizontal="center"/>
    </xf>
    <xf xfId="0" numFmtId="0" borderId="22" applyBorder="1" fontId="26" applyFont="1" fillId="0" applyAlignment="1">
      <alignment horizontal="center" wrapText="1"/>
    </xf>
    <xf xfId="0" numFmtId="4" applyNumberFormat="1" borderId="22" applyBorder="1" fontId="26" applyFont="1" fillId="0" applyAlignment="1">
      <alignment horizontal="center" wrapText="1"/>
    </xf>
    <xf xfId="0" numFmtId="3" applyNumberFormat="1" borderId="22" applyBorder="1" fontId="26" applyFont="1" fillId="0" applyAlignment="1">
      <alignment horizontal="center" wrapText="1"/>
    </xf>
    <xf xfId="0" numFmtId="1" applyNumberFormat="1" borderId="22" applyBorder="1" fontId="26" applyFont="1" fillId="0" applyAlignment="1">
      <alignment horizontal="left"/>
    </xf>
    <xf xfId="0" numFmtId="4" applyNumberFormat="1" borderId="22" applyBorder="1" fontId="26" applyFont="1" fillId="0" applyAlignment="1">
      <alignment horizontal="left"/>
    </xf>
    <xf xfId="0" numFmtId="168" applyNumberFormat="1" borderId="22" applyBorder="1" fontId="26" applyFont="1" fillId="0" applyAlignment="1">
      <alignment horizontal="left"/>
    </xf>
    <xf xfId="0" numFmtId="0" borderId="11" applyBorder="1" fontId="26" applyFont="1" fillId="0" applyAlignment="1">
      <alignment horizontal="left"/>
    </xf>
    <xf xfId="0" numFmtId="0" borderId="22" applyBorder="1" fontId="26" applyFont="1" fillId="0" applyAlignment="1">
      <alignment horizontal="left"/>
    </xf>
    <xf xfId="0" numFmtId="3" applyNumberFormat="1" borderId="22" applyBorder="1" fontId="26" applyFont="1" fillId="0" applyAlignment="1">
      <alignment horizontal="left"/>
    </xf>
    <xf xfId="0" numFmtId="164" applyNumberFormat="1" borderId="22" applyBorder="1" fontId="26" applyFont="1" fillId="0" applyAlignment="1">
      <alignment horizontal="left"/>
    </xf>
    <xf xfId="0" numFmtId="0" borderId="22" applyBorder="1" fontId="1" applyFont="1" fillId="0" applyAlignment="1">
      <alignment horizontal="center"/>
    </xf>
    <xf xfId="0" numFmtId="164" applyNumberFormat="1" borderId="22" applyBorder="1" fontId="1" applyFont="1" fillId="0" applyAlignment="1">
      <alignment horizontal="center"/>
    </xf>
    <xf xfId="0" numFmtId="4" applyNumberFormat="1" borderId="22" applyBorder="1" fontId="31" applyFont="1" fillId="0" applyAlignment="1">
      <alignment horizontal="center"/>
    </xf>
    <xf xfId="0" numFmtId="168" applyNumberFormat="1" borderId="22" applyBorder="1" fontId="31" applyFont="1" fillId="0" applyAlignment="1">
      <alignment horizontal="center"/>
    </xf>
    <xf xfId="0" numFmtId="0" borderId="11" applyBorder="1" fontId="15" applyFont="1" fillId="0" applyAlignment="1">
      <alignment horizontal="left"/>
    </xf>
    <xf xfId="0" numFmtId="0" borderId="22" applyBorder="1" fontId="15" applyFont="1" fillId="0" applyAlignment="1">
      <alignment horizontal="left"/>
    </xf>
    <xf xfId="0" numFmtId="164" applyNumberFormat="1" borderId="22" applyBorder="1" fontId="15" applyFont="1" fillId="0" applyAlignment="1">
      <alignment horizontal="left"/>
    </xf>
    <xf xfId="0" numFmtId="164" applyNumberFormat="1" borderId="22" applyBorder="1" fontId="26" applyFont="1" fillId="0" applyAlignment="1">
      <alignment horizontal="center"/>
    </xf>
    <xf xfId="0" numFmtId="4" applyNumberFormat="1" borderId="22" applyBorder="1" fontId="26" applyFont="1" fillId="0" applyAlignment="1">
      <alignment horizontal="center"/>
    </xf>
    <xf xfId="0" numFmtId="3" applyNumberFormat="1" borderId="24" applyBorder="1" fontId="1" applyFont="1" fillId="0" applyAlignment="1">
      <alignment horizontal="left"/>
    </xf>
    <xf xfId="0" numFmtId="0" borderId="25" applyBorder="1" fontId="26" applyFont="1" fillId="0" applyAlignment="1">
      <alignment horizontal="left"/>
    </xf>
    <xf xfId="0" numFmtId="0" borderId="26" applyBorder="1" fontId="26" applyFont="1" fillId="0" applyAlignment="1">
      <alignment horizontal="left"/>
    </xf>
    <xf xfId="0" numFmtId="0" borderId="22" applyBorder="1" fontId="31" applyFont="1" fillId="0" applyAlignment="1">
      <alignment horizontal="center"/>
    </xf>
    <xf xfId="0" numFmtId="3" applyNumberFormat="1" borderId="22" applyBorder="1" fontId="31" applyFont="1" fillId="0" applyAlignment="1">
      <alignment horizontal="center"/>
    </xf>
    <xf xfId="0" numFmtId="0" borderId="22" applyBorder="1" fontId="28" applyFont="1" fillId="0" applyAlignment="1">
      <alignment horizontal="left"/>
    </xf>
    <xf xfId="0" numFmtId="0" borderId="22" applyBorder="1" fontId="26" applyFont="1" fillId="0" applyAlignment="1">
      <alignment horizontal="right"/>
    </xf>
    <xf xfId="0" numFmtId="3" applyNumberFormat="1" borderId="22" applyBorder="1" fontId="26" applyFont="1" fillId="0" applyAlignment="1">
      <alignment horizontal="right"/>
    </xf>
    <xf xfId="0" numFmtId="3" applyNumberFormat="1" borderId="22" applyBorder="1" fontId="28" applyFont="1" fillId="0" applyAlignment="1">
      <alignment horizontal="center"/>
    </xf>
    <xf xfId="0" numFmtId="172" applyNumberFormat="1" borderId="22" applyBorder="1" fontId="26" applyFont="1" fillId="0" applyAlignment="1">
      <alignment horizontal="left"/>
    </xf>
    <xf xfId="0" numFmtId="0" borderId="22" applyBorder="1" fontId="28" applyFont="1" fillId="0" applyAlignment="1">
      <alignment horizontal="right"/>
    </xf>
    <xf xfId="0" numFmtId="3" applyNumberFormat="1" borderId="22" applyBorder="1" fontId="28" applyFont="1" fillId="0" applyAlignment="1">
      <alignment horizontal="right"/>
    </xf>
    <xf xfId="0" numFmtId="1" applyNumberFormat="1" borderId="22" applyBorder="1" fontId="27" applyFont="1" fillId="0" applyAlignment="1">
      <alignment horizontal="right"/>
    </xf>
    <xf xfId="0" numFmtId="4" applyNumberFormat="1" borderId="22" applyBorder="1" fontId="14" applyFont="1" fillId="0" applyAlignment="1">
      <alignment horizontal="center"/>
    </xf>
    <xf xfId="0" numFmtId="0" borderId="66" applyBorder="1" fontId="1" applyFont="1" fillId="0" applyAlignment="1">
      <alignment horizontal="left"/>
    </xf>
    <xf xfId="0" numFmtId="4" applyNumberFormat="1" borderId="66" applyBorder="1" fontId="1" applyFont="1" fillId="0" applyAlignment="1">
      <alignment horizontal="center"/>
    </xf>
    <xf xfId="0" numFmtId="4" applyNumberFormat="1" borderId="22" applyBorder="1" fontId="1" applyFont="1" fillId="0" applyAlignment="1">
      <alignment horizontal="center"/>
    </xf>
    <xf xfId="0" numFmtId="168" applyNumberFormat="1" borderId="0" fontId="0" fillId="0" applyAlignment="1">
      <alignment horizontal="general"/>
    </xf>
    <xf xfId="0" numFmtId="164" applyNumberFormat="1" borderId="5" applyBorder="1" fontId="24" applyFont="1" fillId="0" applyAlignment="1">
      <alignment horizontal="left" wrapText="1"/>
    </xf>
    <xf xfId="0" numFmtId="0" borderId="5" applyBorder="1" fontId="14" applyFont="1" fillId="0" applyAlignment="1">
      <alignment horizontal="center"/>
    </xf>
    <xf xfId="0" numFmtId="4" applyNumberFormat="1" borderId="5" applyBorder="1" fontId="13" applyFont="1" fillId="0" applyAlignment="1">
      <alignment horizontal="right"/>
    </xf>
    <xf xfId="0" numFmtId="4" applyNumberFormat="1" borderId="5" applyBorder="1" fontId="14" applyFont="1" fillId="0" applyAlignment="1">
      <alignment horizontal="left"/>
    </xf>
    <xf xfId="0" numFmtId="4" applyNumberFormat="1" borderId="22" applyBorder="1" fontId="13" applyFont="1" fillId="0" applyAlignment="1">
      <alignment horizontal="right"/>
    </xf>
    <xf xfId="0" numFmtId="3" applyNumberFormat="1" borderId="0" fontId="0" fillId="0" quotePrefix="1" applyAlignment="1">
      <alignment horizontal="general"/>
    </xf>
    <xf xfId="0" numFmtId="164" applyNumberFormat="1" borderId="3" applyBorder="1" fontId="16" applyFont="1" fillId="2" applyFill="1" applyAlignment="1">
      <alignment horizontal="center"/>
    </xf>
    <xf xfId="0" numFmtId="164" applyNumberFormat="1" borderId="9" applyBorder="1" fontId="16" applyFont="1" fillId="2" applyFill="1" applyAlignment="1">
      <alignment horizontal="center"/>
    </xf>
    <xf xfId="0" numFmtId="4" applyNumberFormat="1" borderId="49" applyBorder="1" fontId="1" applyFont="1" fillId="4" applyFill="1" applyAlignment="1">
      <alignment horizontal="center"/>
    </xf>
    <xf xfId="0" numFmtId="164" applyNumberFormat="1" borderId="52" applyBorder="1" fontId="1" applyFont="1" fillId="0" applyAlignment="1">
      <alignment horizontal="left"/>
    </xf>
    <xf xfId="0" numFmtId="0" borderId="1" applyBorder="1" fontId="17" applyFont="1" fillId="0" applyAlignment="1">
      <alignment horizontal="right"/>
    </xf>
    <xf xfId="0" numFmtId="4" applyNumberFormat="1" borderId="3" applyBorder="1" fontId="1" applyFont="1" fillId="4" applyFill="1" applyAlignment="1">
      <alignment horizontal="center"/>
    </xf>
    <xf xfId="0" numFmtId="4" applyNumberFormat="1" borderId="19" applyBorder="1" fontId="1" applyFont="1" fillId="4" applyFill="1" applyAlignment="1">
      <alignment horizontal="center"/>
    </xf>
    <xf xfId="0" numFmtId="0" borderId="7" applyBorder="1" fontId="17" applyFont="1" fillId="0" applyAlignment="1">
      <alignment horizontal="right"/>
    </xf>
    <xf xfId="0" numFmtId="4" applyNumberFormat="1" borderId="20" applyBorder="1" fontId="1" applyFont="1" fillId="4" applyFill="1" applyAlignment="1">
      <alignment horizontal="center"/>
    </xf>
    <xf xfId="0" numFmtId="0" borderId="24" applyBorder="1" fontId="17" applyFont="1" fillId="0" applyAlignment="1">
      <alignment horizontal="right"/>
    </xf>
    <xf xfId="0" numFmtId="4" applyNumberFormat="1" borderId="9" applyBorder="1" fontId="1" applyFont="1" fillId="4" applyFill="1" applyAlignment="1">
      <alignment horizontal="center"/>
    </xf>
    <xf xfId="0" numFmtId="4" applyNumberFormat="1" borderId="23" applyBorder="1" fontId="1" applyFont="1" fillId="4" applyFill="1" applyAlignment="1">
      <alignment horizontal="center"/>
    </xf>
    <xf xfId="0" numFmtId="164" applyNumberFormat="1" borderId="53" applyBorder="1" fontId="1" applyFont="1" fillId="0" applyAlignment="1">
      <alignment horizontal="left"/>
    </xf>
    <xf xfId="0" numFmtId="0" borderId="12" applyBorder="1" fontId="34" applyFont="1" fillId="5" applyFill="1" applyAlignment="1">
      <alignment horizontal="center"/>
    </xf>
    <xf xfId="0" numFmtId="4" applyNumberFormat="1" borderId="27" applyBorder="1" fontId="34" applyFont="1" fillId="5" applyFill="1" applyAlignment="1">
      <alignment horizontal="center"/>
    </xf>
    <xf xfId="0" numFmtId="164" applyNumberFormat="1" borderId="27" applyBorder="1" fontId="34" applyFont="1" fillId="5" applyFill="1" applyAlignment="1">
      <alignment horizontal="center"/>
    </xf>
    <xf xfId="0" numFmtId="0" borderId="27" applyBorder="1" fontId="34" applyFont="1" fillId="5" applyFill="1" applyAlignment="1">
      <alignment horizontal="center"/>
    </xf>
    <xf xfId="0" numFmtId="3" applyNumberFormat="1" borderId="27" applyBorder="1" fontId="34" applyFont="1" fillId="5" applyFill="1" applyAlignment="1">
      <alignment horizontal="center"/>
    </xf>
    <xf xfId="0" numFmtId="0" borderId="13" applyBorder="1" fontId="34" applyFont="1" fillId="5" applyFill="1" applyAlignment="1">
      <alignment horizontal="center"/>
    </xf>
    <xf xfId="0" numFmtId="164" applyNumberFormat="1" borderId="27" applyBorder="1" fontId="3" applyFont="1" fillId="2" applyFill="1" applyAlignment="1">
      <alignment horizontal="center"/>
    </xf>
    <xf xfId="0" numFmtId="3" applyNumberFormat="1" borderId="27" applyBorder="1" fontId="3" applyFont="1" fillId="2" applyFill="1" applyAlignment="1">
      <alignment horizontal="center"/>
    </xf>
    <xf xfId="0" numFmtId="164" applyNumberFormat="1" borderId="14" applyBorder="1" fontId="1" applyFont="1" fillId="0" applyAlignment="1">
      <alignment horizontal="right"/>
    </xf>
    <xf xfId="0" numFmtId="3" applyNumberFormat="1" borderId="22" applyBorder="1" fontId="35" applyFont="1" fillId="0" applyAlignment="1">
      <alignment horizontal="right"/>
    </xf>
    <xf xfId="0" numFmtId="3" applyNumberFormat="1" borderId="22" applyBorder="1" fontId="36" applyFont="1" fillId="0" applyAlignment="1">
      <alignment horizontal="right"/>
    </xf>
    <xf xfId="0" numFmtId="0" borderId="54" applyBorder="1" fontId="3" applyFont="1" fillId="2" applyFill="1" applyAlignment="1">
      <alignment horizontal="right" wrapText="1"/>
    </xf>
    <xf xfId="0" numFmtId="164" applyNumberFormat="1" borderId="26" applyBorder="1" fontId="1" applyFont="1" fillId="0" applyAlignment="1">
      <alignment horizontal="left"/>
    </xf>
    <xf xfId="0" numFmtId="0" borderId="7" applyBorder="1" fontId="1" applyFont="1" fillId="0" applyAlignment="1">
      <alignment horizontal="left" wrapText="1"/>
    </xf>
    <xf xfId="0" numFmtId="164" applyNumberFormat="1" borderId="11" applyBorder="1" fontId="1" applyFont="1" fillId="0" applyAlignment="1">
      <alignment horizontal="left"/>
    </xf>
    <xf xfId="0" numFmtId="0" borderId="7" applyBorder="1" fontId="20" applyFont="1" fillId="0" applyAlignment="1">
      <alignment horizontal="left"/>
    </xf>
    <xf xfId="0" numFmtId="0" borderId="44" applyBorder="1" fontId="12" applyFont="1" fillId="4" applyFill="1" applyAlignment="1">
      <alignment horizontal="left" wrapText="1"/>
    </xf>
    <xf xfId="0" numFmtId="4" applyNumberFormat="1" borderId="20" applyBorder="1" fontId="12" applyFont="1" fillId="4" applyFill="1" applyAlignment="1">
      <alignment horizontal="left" wrapText="1"/>
    </xf>
    <xf xfId="0" numFmtId="164" applyNumberFormat="1" borderId="20" applyBorder="1" fontId="12" applyFont="1" fillId="4" applyFill="1" applyAlignment="1">
      <alignment horizontal="left" wrapText="1"/>
    </xf>
    <xf xfId="0" numFmtId="0" borderId="20" applyBorder="1" fontId="12" applyFont="1" fillId="4" applyFill="1" applyAlignment="1">
      <alignment horizontal="left" wrapText="1"/>
    </xf>
    <xf xfId="0" numFmtId="3" applyNumberFormat="1" borderId="20" applyBorder="1" fontId="12" applyFont="1" fillId="4" applyFill="1" applyAlignment="1">
      <alignment horizontal="left" wrapText="1"/>
    </xf>
    <xf xfId="0" numFmtId="0" borderId="22" applyBorder="1" fontId="17" applyFont="1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sharedStrings.xml" Type="http://schemas.openxmlformats.org/officeDocument/2006/relationships/sharedStrings" Id="rId13"/><Relationship Target="styles.xml" Type="http://schemas.openxmlformats.org/officeDocument/2006/relationships/styles" Id="rId14"/><Relationship Target="theme/theme1.xml" Type="http://schemas.openxmlformats.org/officeDocument/2006/relationships/theme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70"/>
  <sheetViews>
    <sheetView workbookViewId="0" tabSelected="1"/>
  </sheetViews>
  <sheetFormatPr defaultRowHeight="15" x14ac:dyDescent="0.25"/>
  <cols>
    <col min="1" max="1" style="138" width="30.576428571428572" customWidth="1" bestFit="1"/>
    <col min="2" max="2" style="139" width="14.43357142857143" customWidth="1" bestFit="1"/>
    <col min="3" max="3" style="140" width="12.290714285714287" customWidth="1" bestFit="1"/>
    <col min="4" max="4" style="138" width="14.290714285714287" customWidth="1" bestFit="1"/>
    <col min="5" max="5" style="141" width="13.576428571428572" customWidth="1" bestFit="1"/>
    <col min="6" max="6" style="138" width="13.576428571428572" customWidth="1" bestFit="1"/>
    <col min="7" max="7" style="138" width="5.719285714285714" customWidth="1" bestFit="1"/>
    <col min="8" max="8" style="351" width="31.862142857142857" customWidth="1" bestFit="1"/>
    <col min="9" max="9" style="252" width="6.862142857142857" customWidth="1" bestFit="1"/>
    <col min="10" max="10" style="139" width="13.576428571428572" customWidth="1" bestFit="1"/>
    <col min="11" max="11" style="138" width="13.576428571428572" customWidth="1" bestFit="1"/>
    <col min="12" max="12" style="141" width="13.576428571428572" customWidth="1" bestFit="1"/>
    <col min="13" max="13" style="138" width="26.14785714285714" customWidth="1" bestFit="1"/>
  </cols>
  <sheetData>
    <row x14ac:dyDescent="0.25" r="1" customHeight="1" ht="33.75">
      <c r="A1" s="1"/>
      <c r="B1" s="253" t="s">
        <v>162</v>
      </c>
      <c r="C1" s="733" t="s">
        <v>163</v>
      </c>
      <c r="D1" s="255" t="s">
        <v>164</v>
      </c>
      <c r="E1" s="446" t="s">
        <v>301</v>
      </c>
      <c r="F1" s="734"/>
      <c r="G1" s="6"/>
      <c r="H1" s="6"/>
      <c r="I1" s="735" t="s">
        <v>166</v>
      </c>
      <c r="J1" s="736"/>
      <c r="K1" s="259"/>
      <c r="L1" s="8"/>
      <c r="M1" s="10"/>
    </row>
    <row x14ac:dyDescent="0.25" r="2" customHeight="1" ht="21">
      <c r="A2" s="16"/>
      <c r="B2" s="260" t="s">
        <v>167</v>
      </c>
      <c r="C2" s="261"/>
      <c r="D2" s="262" t="s">
        <v>168</v>
      </c>
      <c r="E2" s="387">
        <v>4170</v>
      </c>
      <c r="F2" s="14"/>
      <c r="G2" s="14"/>
      <c r="H2" s="328"/>
      <c r="I2" s="737" t="s">
        <v>169</v>
      </c>
      <c r="J2" s="265">
        <v>0</v>
      </c>
      <c r="K2" s="21"/>
      <c r="L2" s="11"/>
      <c r="M2" s="21"/>
    </row>
    <row x14ac:dyDescent="0.25" r="3" customHeight="1" ht="21">
      <c r="A3" s="16"/>
      <c r="B3" s="260"/>
      <c r="C3" s="261"/>
      <c r="D3" s="262" t="s">
        <v>170</v>
      </c>
      <c r="E3" s="265" t="s">
        <v>302</v>
      </c>
      <c r="F3" s="706"/>
      <c r="G3" s="267"/>
      <c r="H3" s="267"/>
      <c r="I3" s="455"/>
      <c r="J3" s="455"/>
      <c r="K3" s="269"/>
      <c r="L3" s="11"/>
      <c r="M3" s="21"/>
    </row>
    <row x14ac:dyDescent="0.25" r="4" customHeight="1" ht="21">
      <c r="A4" s="16"/>
      <c r="B4" s="270" t="s">
        <v>172</v>
      </c>
      <c r="C4" s="463" t="s">
        <v>173</v>
      </c>
      <c r="D4" s="391"/>
      <c r="E4" s="392"/>
      <c r="F4" s="391"/>
      <c r="G4" s="391"/>
      <c r="H4" s="391"/>
      <c r="I4" s="390"/>
      <c r="J4" s="390"/>
      <c r="K4" s="393"/>
      <c r="L4" s="11"/>
      <c r="M4" s="21"/>
    </row>
    <row x14ac:dyDescent="0.25" r="5" customHeight="1" ht="18.75">
      <c r="A5" s="16"/>
      <c r="B5" s="274"/>
      <c r="C5" s="13"/>
      <c r="D5" s="14"/>
      <c r="E5" s="738" t="s">
        <v>442</v>
      </c>
      <c r="F5" s="14"/>
      <c r="G5" s="14"/>
      <c r="H5" s="328"/>
      <c r="I5" s="231"/>
      <c r="J5" s="15"/>
      <c r="K5" s="21"/>
      <c r="L5" s="11"/>
      <c r="M5" s="21"/>
    </row>
    <row x14ac:dyDescent="0.25" r="6" customHeight="1" ht="18.75">
      <c r="A6" s="44"/>
      <c r="B6" s="275"/>
      <c r="C6" s="46"/>
      <c r="D6" s="48"/>
      <c r="E6" s="45"/>
      <c r="F6" s="48"/>
      <c r="G6" s="48"/>
      <c r="H6" s="48"/>
      <c r="I6" s="136"/>
      <c r="J6" s="136"/>
      <c r="K6" s="49"/>
      <c r="L6" s="11"/>
      <c r="M6" s="21"/>
    </row>
    <row x14ac:dyDescent="0.25" r="7" customHeight="1" ht="19.5">
      <c r="A7" s="16"/>
      <c r="B7" s="15"/>
      <c r="C7" s="13"/>
      <c r="D7" s="14"/>
      <c r="E7" s="11"/>
      <c r="F7" s="14"/>
      <c r="G7" s="14"/>
      <c r="H7" s="328"/>
      <c r="I7" s="231"/>
      <c r="J7" s="15"/>
      <c r="K7" s="14"/>
      <c r="L7" s="11"/>
      <c r="M7" s="21"/>
    </row>
    <row x14ac:dyDescent="0.25" r="8" customHeight="1" ht="18.75">
      <c r="A8" s="276" t="s">
        <v>443</v>
      </c>
      <c r="B8" s="277"/>
      <c r="C8" s="739"/>
      <c r="D8" s="278"/>
      <c r="E8" s="279"/>
      <c r="F8" s="278"/>
      <c r="G8" s="278"/>
      <c r="H8" s="278"/>
      <c r="I8" s="277"/>
      <c r="J8" s="277"/>
      <c r="K8" s="280"/>
      <c r="L8" s="11"/>
      <c r="M8" s="21"/>
    </row>
    <row x14ac:dyDescent="0.25" r="9" customHeight="1" ht="18.75">
      <c r="A9" s="281"/>
      <c r="B9" s="282"/>
      <c r="C9" s="740"/>
      <c r="D9" s="283"/>
      <c r="E9" s="284"/>
      <c r="F9" s="283"/>
      <c r="G9" s="283"/>
      <c r="H9" s="283"/>
      <c r="I9" s="282"/>
      <c r="J9" s="282"/>
      <c r="K9" s="285"/>
      <c r="L9" s="11"/>
      <c r="M9" s="21"/>
    </row>
    <row x14ac:dyDescent="0.25" r="10" customHeight="1" ht="19.5">
      <c r="A10" s="16"/>
      <c r="B10" s="15"/>
      <c r="C10" s="13"/>
      <c r="D10" s="14"/>
      <c r="E10" s="11"/>
      <c r="F10" s="14"/>
      <c r="G10" s="14"/>
      <c r="H10" s="328"/>
      <c r="I10" s="231"/>
      <c r="J10" s="15"/>
      <c r="K10" s="14"/>
      <c r="L10" s="11"/>
      <c r="M10" s="21"/>
    </row>
    <row x14ac:dyDescent="0.25" r="11" customHeight="1" ht="20.25">
      <c r="A11" s="375" t="s">
        <v>283</v>
      </c>
      <c r="B11" s="15"/>
      <c r="C11" s="13"/>
      <c r="D11" s="14"/>
      <c r="E11" s="11"/>
      <c r="F11" s="14"/>
      <c r="G11" s="14"/>
      <c r="H11" s="287" t="s">
        <v>444</v>
      </c>
      <c r="I11" s="231"/>
      <c r="J11" s="15"/>
      <c r="K11" s="14"/>
      <c r="L11" s="11"/>
      <c r="M11" s="21"/>
    </row>
    <row x14ac:dyDescent="0.25" r="12" customHeight="1" ht="19.5">
      <c r="A12" s="293" t="s">
        <v>445</v>
      </c>
      <c r="B12" s="741">
        <f>I13*0.96</f>
      </c>
      <c r="C12" s="742" t="s">
        <v>69</v>
      </c>
      <c r="D12" s="14"/>
      <c r="E12" s="11"/>
      <c r="F12" s="14"/>
      <c r="G12" s="14"/>
      <c r="H12" s="743" t="s">
        <v>446</v>
      </c>
      <c r="I12" s="744">
        <v>8</v>
      </c>
      <c r="J12" s="25" t="s">
        <v>69</v>
      </c>
      <c r="K12" s="14"/>
      <c r="L12" s="11"/>
      <c r="M12" s="21"/>
    </row>
    <row x14ac:dyDescent="0.25" r="13" customHeight="1" ht="18.75">
      <c r="A13" s="293" t="s">
        <v>178</v>
      </c>
      <c r="B13" s="745">
        <v>2.25</v>
      </c>
      <c r="C13" s="742" t="s">
        <v>69</v>
      </c>
      <c r="D13" s="14"/>
      <c r="E13" s="11"/>
      <c r="F13" s="14"/>
      <c r="G13" s="14"/>
      <c r="H13" s="746" t="s">
        <v>447</v>
      </c>
      <c r="I13" s="747">
        <v>7.63</v>
      </c>
      <c r="J13" s="30" t="s">
        <v>69</v>
      </c>
      <c r="K13" s="14"/>
      <c r="L13" s="11"/>
      <c r="M13" s="21"/>
    </row>
    <row x14ac:dyDescent="0.25" r="14" customHeight="1" ht="18.75">
      <c r="A14" s="293" t="s">
        <v>179</v>
      </c>
      <c r="B14" s="745">
        <v>1</v>
      </c>
      <c r="C14" s="742" t="s">
        <v>69</v>
      </c>
      <c r="D14" s="14"/>
      <c r="E14" s="11"/>
      <c r="F14" s="14"/>
      <c r="G14" s="14"/>
      <c r="H14" s="746" t="s">
        <v>448</v>
      </c>
      <c r="I14" s="747">
        <v>2.6</v>
      </c>
      <c r="J14" s="30" t="s">
        <v>69</v>
      </c>
      <c r="K14" s="14"/>
      <c r="L14" s="11"/>
      <c r="M14" s="21"/>
    </row>
    <row x14ac:dyDescent="0.25" r="15" customHeight="1" ht="18.75">
      <c r="A15" s="293" t="s">
        <v>285</v>
      </c>
      <c r="B15" s="745">
        <v>0.34</v>
      </c>
      <c r="C15" s="742" t="s">
        <v>69</v>
      </c>
      <c r="D15" s="14"/>
      <c r="E15" s="11"/>
      <c r="F15" s="14"/>
      <c r="G15" s="14"/>
      <c r="H15" s="746" t="s">
        <v>449</v>
      </c>
      <c r="I15" s="747">
        <v>0.34</v>
      </c>
      <c r="J15" s="30" t="s">
        <v>69</v>
      </c>
      <c r="K15" s="14"/>
      <c r="L15" s="11"/>
      <c r="M15" s="21"/>
    </row>
    <row x14ac:dyDescent="0.25" r="16" customHeight="1" ht="18.75">
      <c r="A16" s="293" t="s">
        <v>181</v>
      </c>
      <c r="B16" s="745">
        <v>3.8</v>
      </c>
      <c r="C16" s="742" t="s">
        <v>182</v>
      </c>
      <c r="D16" s="14"/>
      <c r="E16" s="11"/>
      <c r="F16" s="14"/>
      <c r="G16" s="14"/>
      <c r="H16" s="746" t="s">
        <v>450</v>
      </c>
      <c r="I16" s="747">
        <v>3.8</v>
      </c>
      <c r="J16" s="30" t="s">
        <v>182</v>
      </c>
      <c r="K16" s="14"/>
      <c r="L16" s="11"/>
      <c r="M16" s="21"/>
    </row>
    <row x14ac:dyDescent="0.25" r="17" customHeight="1" ht="18.75">
      <c r="A17" s="293" t="s">
        <v>183</v>
      </c>
      <c r="B17" s="745">
        <v>27</v>
      </c>
      <c r="C17" s="742" t="s">
        <v>184</v>
      </c>
      <c r="D17" s="14"/>
      <c r="E17" s="11"/>
      <c r="F17" s="14"/>
      <c r="G17" s="14"/>
      <c r="H17" s="746" t="s">
        <v>451</v>
      </c>
      <c r="I17" s="747">
        <v>2</v>
      </c>
      <c r="J17" s="30" t="s">
        <v>452</v>
      </c>
      <c r="K17" s="14"/>
      <c r="L17" s="11"/>
      <c r="M17" s="21"/>
    </row>
    <row x14ac:dyDescent="0.25" r="18" customHeight="1" ht="18.75">
      <c r="A18" s="293" t="s">
        <v>185</v>
      </c>
      <c r="B18" s="745">
        <v>5</v>
      </c>
      <c r="C18" s="742" t="s">
        <v>186</v>
      </c>
      <c r="D18" s="14"/>
      <c r="E18" s="11"/>
      <c r="F18" s="14"/>
      <c r="G18" s="14"/>
      <c r="H18" s="748" t="s">
        <v>453</v>
      </c>
      <c r="I18" s="749">
        <v>27</v>
      </c>
      <c r="J18" s="47" t="s">
        <v>454</v>
      </c>
      <c r="K18" s="14"/>
      <c r="L18" s="11"/>
      <c r="M18" s="21"/>
    </row>
    <row x14ac:dyDescent="0.25" r="19" customHeight="1" ht="19.5">
      <c r="A19" s="293" t="s">
        <v>187</v>
      </c>
      <c r="B19" s="745">
        <v>5</v>
      </c>
      <c r="C19" s="742" t="s">
        <v>186</v>
      </c>
      <c r="D19" s="14"/>
      <c r="E19" s="11"/>
      <c r="F19" s="14"/>
      <c r="G19" s="14"/>
      <c r="H19" s="328"/>
      <c r="I19" s="231"/>
      <c r="J19" s="15"/>
      <c r="K19" s="14"/>
      <c r="L19" s="11"/>
      <c r="M19" s="21"/>
    </row>
    <row x14ac:dyDescent="0.25" r="20" customHeight="1" ht="19.5">
      <c r="A20" s="296" t="s">
        <v>188</v>
      </c>
      <c r="B20" s="750">
        <v>5</v>
      </c>
      <c r="C20" s="751" t="s">
        <v>186</v>
      </c>
      <c r="D20" s="14"/>
      <c r="E20" s="11"/>
      <c r="F20" s="14"/>
      <c r="G20" s="14"/>
      <c r="H20" s="328"/>
      <c r="I20" s="231"/>
      <c r="J20" s="15"/>
      <c r="K20" s="14"/>
      <c r="L20" s="11"/>
      <c r="M20" s="21"/>
    </row>
    <row x14ac:dyDescent="0.25" r="21" customHeight="1" ht="19.5">
      <c r="A21" s="16"/>
      <c r="B21" s="15"/>
      <c r="C21" s="13"/>
      <c r="D21" s="14"/>
      <c r="E21" s="11"/>
      <c r="F21" s="14"/>
      <c r="G21" s="14"/>
      <c r="H21" s="328"/>
      <c r="I21" s="231"/>
      <c r="J21" s="15"/>
      <c r="K21" s="14"/>
      <c r="L21" s="11"/>
      <c r="M21" s="21"/>
    </row>
    <row x14ac:dyDescent="0.25" r="22" customHeight="1" ht="36">
      <c r="A22" s="752" t="s">
        <v>455</v>
      </c>
      <c r="B22" s="753"/>
      <c r="C22" s="754"/>
      <c r="D22" s="755"/>
      <c r="E22" s="756"/>
      <c r="F22" s="755"/>
      <c r="G22" s="755"/>
      <c r="H22" s="755"/>
      <c r="I22" s="753"/>
      <c r="J22" s="753"/>
      <c r="K22" s="755"/>
      <c r="L22" s="756"/>
      <c r="M22" s="757"/>
    </row>
    <row x14ac:dyDescent="0.25" r="23" customHeight="1" ht="20.25">
      <c r="A23" s="334" t="s">
        <v>456</v>
      </c>
      <c r="B23" s="335"/>
      <c r="C23" s="758"/>
      <c r="D23" s="336"/>
      <c r="E23" s="759"/>
      <c r="F23" s="337"/>
      <c r="G23" s="6"/>
      <c r="H23" s="334" t="s">
        <v>457</v>
      </c>
      <c r="I23" s="335"/>
      <c r="J23" s="335"/>
      <c r="K23" s="336"/>
      <c r="L23" s="759"/>
      <c r="M23" s="337"/>
    </row>
    <row x14ac:dyDescent="0.25" r="24" customHeight="1" ht="19.5">
      <c r="A24" s="16"/>
      <c r="B24" s="15"/>
      <c r="C24" s="13"/>
      <c r="D24" s="14"/>
      <c r="E24" s="11"/>
      <c r="F24" s="14"/>
      <c r="G24" s="14"/>
      <c r="H24" s="328"/>
      <c r="I24" s="231"/>
      <c r="J24" s="15"/>
      <c r="K24" s="14"/>
      <c r="L24" s="11"/>
      <c r="M24" s="21"/>
    </row>
    <row x14ac:dyDescent="0.25" r="25" customHeight="1" ht="18.75">
      <c r="A25" s="16"/>
      <c r="B25" s="15"/>
      <c r="C25" s="13"/>
      <c r="D25" s="14"/>
      <c r="E25" s="37" t="s">
        <v>458</v>
      </c>
      <c r="F25" s="14"/>
      <c r="G25" s="14"/>
      <c r="H25" s="328"/>
      <c r="I25" s="231"/>
      <c r="J25" s="15"/>
      <c r="K25" s="14"/>
      <c r="L25" s="37" t="s">
        <v>458</v>
      </c>
      <c r="M25" s="21"/>
    </row>
    <row x14ac:dyDescent="0.25" r="26" customHeight="1" ht="21">
      <c r="A26" s="362" t="s">
        <v>459</v>
      </c>
      <c r="B26" s="363"/>
      <c r="C26" s="760">
        <f>'espesores laminas'!D17</f>
      </c>
      <c r="D26" s="378" t="s">
        <v>33</v>
      </c>
      <c r="E26" s="761">
        <v>6</v>
      </c>
      <c r="F26" s="14" t="s">
        <v>33</v>
      </c>
      <c r="G26" s="14"/>
      <c r="H26" s="362" t="s">
        <v>460</v>
      </c>
      <c r="I26" s="363"/>
      <c r="J26" s="341">
        <f>paneles!F23</f>
      </c>
      <c r="K26" s="378" t="s">
        <v>33</v>
      </c>
      <c r="L26" s="762">
        <v>6</v>
      </c>
      <c r="M26" s="21" t="s">
        <v>33</v>
      </c>
    </row>
    <row x14ac:dyDescent="0.25" r="27" customHeight="1" ht="19.5">
      <c r="A27" s="16"/>
      <c r="B27" s="15"/>
      <c r="C27" s="13"/>
      <c r="D27" s="14"/>
      <c r="E27" s="11"/>
      <c r="F27" s="14"/>
      <c r="G27" s="14"/>
      <c r="H27" s="328"/>
      <c r="I27" s="231"/>
      <c r="J27" s="15"/>
      <c r="K27" s="14"/>
      <c r="L27" s="11"/>
      <c r="M27" s="21"/>
    </row>
    <row x14ac:dyDescent="0.25" r="28" customHeight="1" ht="21">
      <c r="A28" s="362" t="s">
        <v>461</v>
      </c>
      <c r="B28" s="363"/>
      <c r="C28" s="760">
        <f>'espesores laminas'!D19</f>
      </c>
      <c r="D28" s="378" t="s">
        <v>33</v>
      </c>
      <c r="E28" s="762">
        <v>4</v>
      </c>
      <c r="F28" s="14" t="s">
        <v>33</v>
      </c>
      <c r="G28" s="14"/>
      <c r="H28" s="362" t="s">
        <v>462</v>
      </c>
      <c r="I28" s="363"/>
      <c r="J28" s="341">
        <f>paneles!F38</f>
      </c>
      <c r="K28" s="378" t="s">
        <v>33</v>
      </c>
      <c r="L28" s="762">
        <v>4</v>
      </c>
      <c r="M28" s="21" t="s">
        <v>33</v>
      </c>
    </row>
    <row x14ac:dyDescent="0.25" r="29" customHeight="1" ht="19.5">
      <c r="A29" s="16"/>
      <c r="B29" s="15"/>
      <c r="C29" s="13"/>
      <c r="D29" s="14"/>
      <c r="E29" s="11"/>
      <c r="F29" s="14"/>
      <c r="G29" s="14"/>
      <c r="H29" s="328"/>
      <c r="I29" s="231"/>
      <c r="J29" s="15"/>
      <c r="K29" s="14"/>
      <c r="L29" s="11"/>
      <c r="M29" s="21"/>
    </row>
    <row x14ac:dyDescent="0.25" r="30" customHeight="1" ht="21">
      <c r="A30" s="362" t="s">
        <v>463</v>
      </c>
      <c r="B30" s="363"/>
      <c r="C30" s="760">
        <f>'espesores laminas'!D25</f>
      </c>
      <c r="D30" s="378" t="s">
        <v>33</v>
      </c>
      <c r="E30" s="762">
        <v>4</v>
      </c>
      <c r="F30" s="14" t="s">
        <v>33</v>
      </c>
      <c r="G30" s="14"/>
      <c r="H30" s="362" t="s">
        <v>464</v>
      </c>
      <c r="I30" s="363"/>
      <c r="J30" s="341">
        <f>paneles!F67</f>
      </c>
      <c r="K30" s="378" t="s">
        <v>33</v>
      </c>
      <c r="L30" s="762">
        <v>4</v>
      </c>
      <c r="M30" s="21" t="s">
        <v>33</v>
      </c>
    </row>
    <row x14ac:dyDescent="0.25" r="31" customHeight="1" ht="19.5">
      <c r="A31" s="16"/>
      <c r="B31" s="15"/>
      <c r="C31" s="13"/>
      <c r="D31" s="14"/>
      <c r="E31" s="11"/>
      <c r="F31" s="14"/>
      <c r="G31" s="14"/>
      <c r="H31" s="328"/>
      <c r="I31" s="231"/>
      <c r="J31" s="15"/>
      <c r="K31" s="14"/>
      <c r="L31" s="11"/>
      <c r="M31" s="21"/>
    </row>
    <row x14ac:dyDescent="0.25" r="32" customHeight="1" ht="18.75">
      <c r="A32" s="16"/>
      <c r="B32" s="15"/>
      <c r="C32" s="13"/>
      <c r="D32" s="14"/>
      <c r="E32" s="11"/>
      <c r="F32" s="14"/>
      <c r="G32" s="14"/>
      <c r="H32" s="328"/>
      <c r="I32" s="231"/>
      <c r="J32" s="15"/>
      <c r="K32" s="14"/>
      <c r="L32" s="11"/>
      <c r="M32" s="21"/>
    </row>
    <row x14ac:dyDescent="0.25" r="33" customHeight="1" ht="18.75">
      <c r="A33" s="16"/>
      <c r="B33" s="15"/>
      <c r="C33" s="13"/>
      <c r="D33" s="14"/>
      <c r="E33" s="11"/>
      <c r="F33" s="14"/>
      <c r="G33" s="14"/>
      <c r="H33" s="328"/>
      <c r="I33" s="231"/>
      <c r="J33" s="15"/>
      <c r="K33" s="14"/>
      <c r="L33" s="11"/>
      <c r="M33" s="21"/>
    </row>
    <row x14ac:dyDescent="0.25" r="34" customHeight="1" ht="33.75">
      <c r="A34" s="763" t="s">
        <v>465</v>
      </c>
      <c r="B34" s="32">
        <f>Refuerzos!B25</f>
      </c>
      <c r="C34" s="212" t="s">
        <v>222</v>
      </c>
      <c r="D34" s="14"/>
      <c r="E34" s="11"/>
      <c r="F34" s="14"/>
      <c r="G34" s="14"/>
      <c r="H34" s="763" t="s">
        <v>466</v>
      </c>
      <c r="I34" s="32">
        <f>internos!C10</f>
      </c>
      <c r="J34" s="25" t="s">
        <v>222</v>
      </c>
      <c r="K34" s="14"/>
      <c r="L34" s="11"/>
      <c r="M34" s="21"/>
    </row>
    <row x14ac:dyDescent="0.25" r="35" customHeight="1" ht="18.75">
      <c r="A35" s="763" t="s">
        <v>15</v>
      </c>
      <c r="B35" s="97">
        <f>Refuerzos!B26</f>
      </c>
      <c r="C35" s="764"/>
      <c r="D35" s="14"/>
      <c r="E35" s="11"/>
      <c r="F35" s="14"/>
      <c r="G35" s="14"/>
      <c r="H35" s="339" t="s">
        <v>15</v>
      </c>
      <c r="I35" s="97">
        <f>internos!C14</f>
      </c>
      <c r="J35" s="47"/>
      <c r="K35" s="14"/>
      <c r="L35" s="11"/>
      <c r="M35" s="21"/>
    </row>
    <row x14ac:dyDescent="0.25" r="36" customHeight="1" ht="18.75">
      <c r="A36" s="765"/>
      <c r="B36" s="15"/>
      <c r="C36" s="766"/>
      <c r="D36" s="14"/>
      <c r="E36" s="11"/>
      <c r="F36" s="14"/>
      <c r="G36" s="14"/>
      <c r="H36" s="16"/>
      <c r="I36" s="231"/>
      <c r="J36" s="30"/>
      <c r="K36" s="14"/>
      <c r="L36" s="11"/>
      <c r="M36" s="21"/>
    </row>
    <row x14ac:dyDescent="0.25" r="37" customHeight="1" ht="15.75">
      <c r="A37" s="765"/>
      <c r="B37" s="15"/>
      <c r="C37" s="766"/>
      <c r="D37" s="14"/>
      <c r="E37" s="11"/>
      <c r="F37" s="14"/>
      <c r="G37" s="14"/>
      <c r="H37" s="16"/>
      <c r="I37" s="231"/>
      <c r="J37" s="30"/>
      <c r="K37" s="14"/>
      <c r="L37" s="11"/>
      <c r="M37" s="21"/>
    </row>
    <row x14ac:dyDescent="0.25" r="38" customHeight="1" ht="18.75">
      <c r="A38" s="763" t="s">
        <v>467</v>
      </c>
      <c r="B38" s="32">
        <f>Refuerzos!B29</f>
      </c>
      <c r="C38" s="212" t="s">
        <v>222</v>
      </c>
      <c r="D38" s="14"/>
      <c r="E38" s="11"/>
      <c r="F38" s="14"/>
      <c r="G38" s="14"/>
      <c r="H38" s="763" t="s">
        <v>468</v>
      </c>
      <c r="I38" s="32">
        <f>internos!C22</f>
      </c>
      <c r="J38" s="25" t="s">
        <v>222</v>
      </c>
      <c r="K38" s="14"/>
      <c r="L38" s="11"/>
      <c r="M38" s="21"/>
    </row>
    <row x14ac:dyDescent="0.25" r="39" customHeight="1" ht="18.75">
      <c r="A39" s="763" t="s">
        <v>15</v>
      </c>
      <c r="B39" s="97">
        <f>Refuerzos!B30</f>
      </c>
      <c r="C39" s="764"/>
      <c r="D39" s="14"/>
      <c r="E39" s="11"/>
      <c r="F39" s="14"/>
      <c r="G39" s="14"/>
      <c r="H39" s="339" t="s">
        <v>15</v>
      </c>
      <c r="I39" s="97">
        <f>internos!C26</f>
      </c>
      <c r="J39" s="47"/>
      <c r="K39" s="14"/>
      <c r="L39" s="11"/>
      <c r="M39" s="21"/>
    </row>
    <row x14ac:dyDescent="0.25" r="40" customHeight="1" ht="18.75">
      <c r="A40" s="765"/>
      <c r="B40" s="15"/>
      <c r="C40" s="766"/>
      <c r="D40" s="14"/>
      <c r="E40" s="11"/>
      <c r="F40" s="14"/>
      <c r="G40" s="14"/>
      <c r="H40" s="16"/>
      <c r="I40" s="231"/>
      <c r="J40" s="30"/>
      <c r="K40" s="14"/>
      <c r="L40" s="11"/>
      <c r="M40" s="21"/>
    </row>
    <row x14ac:dyDescent="0.25" r="41" customHeight="1" ht="18.75">
      <c r="A41" s="765"/>
      <c r="B41" s="15"/>
      <c r="C41" s="766"/>
      <c r="D41" s="14"/>
      <c r="E41" s="11"/>
      <c r="F41" s="14"/>
      <c r="G41" s="14"/>
      <c r="H41" s="16"/>
      <c r="I41" s="231"/>
      <c r="J41" s="30"/>
      <c r="K41" s="14"/>
      <c r="L41" s="11"/>
      <c r="M41" s="21"/>
    </row>
    <row x14ac:dyDescent="0.25" r="42" customHeight="1" ht="18.75">
      <c r="A42" s="763" t="s">
        <v>469</v>
      </c>
      <c r="B42" s="32">
        <f>Refuerzos!B34</f>
      </c>
      <c r="C42" s="212" t="s">
        <v>222</v>
      </c>
      <c r="D42" s="14"/>
      <c r="E42" s="11"/>
      <c r="F42" s="14"/>
      <c r="G42" s="14"/>
      <c r="H42" s="763" t="s">
        <v>470</v>
      </c>
      <c r="I42" s="32">
        <f>internos!C34</f>
      </c>
      <c r="J42" s="25" t="s">
        <v>222</v>
      </c>
      <c r="K42" s="14"/>
      <c r="L42" s="11"/>
      <c r="M42" s="21"/>
    </row>
    <row x14ac:dyDescent="0.25" r="43" customHeight="1" ht="18.75">
      <c r="A43" s="763" t="s">
        <v>15</v>
      </c>
      <c r="B43" s="97">
        <f>Refuerzos!B35</f>
      </c>
      <c r="C43" s="764"/>
      <c r="D43" s="14"/>
      <c r="E43" s="11"/>
      <c r="F43" s="14"/>
      <c r="G43" s="14"/>
      <c r="H43" s="339" t="s">
        <v>15</v>
      </c>
      <c r="I43" s="97">
        <f>internos!C38</f>
      </c>
      <c r="J43" s="47"/>
      <c r="K43" s="14"/>
      <c r="L43" s="11"/>
      <c r="M43" s="21"/>
    </row>
    <row x14ac:dyDescent="0.25" r="44" customHeight="1" ht="18.75">
      <c r="A44" s="765"/>
      <c r="B44" s="15"/>
      <c r="C44" s="766"/>
      <c r="D44" s="14"/>
      <c r="E44" s="11"/>
      <c r="F44" s="14"/>
      <c r="G44" s="14"/>
      <c r="H44" s="16"/>
      <c r="I44" s="231"/>
      <c r="J44" s="30"/>
      <c r="K44" s="14"/>
      <c r="L44" s="11"/>
      <c r="M44" s="21"/>
    </row>
    <row x14ac:dyDescent="0.25" r="45" customHeight="1" ht="18.75">
      <c r="A45" s="765"/>
      <c r="B45" s="15"/>
      <c r="C45" s="766"/>
      <c r="D45" s="14"/>
      <c r="E45" s="11"/>
      <c r="F45" s="14"/>
      <c r="G45" s="14"/>
      <c r="H45" s="16"/>
      <c r="I45" s="231"/>
      <c r="J45" s="30"/>
      <c r="K45" s="14"/>
      <c r="L45" s="11"/>
      <c r="M45" s="21"/>
    </row>
    <row x14ac:dyDescent="0.25" r="46" customHeight="1" ht="18.75">
      <c r="A46" s="763" t="s">
        <v>471</v>
      </c>
      <c r="B46" s="32">
        <f>Refuerzos!B39</f>
      </c>
      <c r="C46" s="212" t="s">
        <v>222</v>
      </c>
      <c r="D46" s="14"/>
      <c r="E46" s="11"/>
      <c r="F46" s="14"/>
      <c r="G46" s="14"/>
      <c r="H46" s="339" t="s">
        <v>472</v>
      </c>
      <c r="I46" s="32">
        <f>internos!C58</f>
      </c>
      <c r="J46" s="25" t="s">
        <v>222</v>
      </c>
      <c r="K46" s="14"/>
      <c r="L46" s="11"/>
      <c r="M46" s="21"/>
    </row>
    <row x14ac:dyDescent="0.25" r="47" customHeight="1" ht="18.75">
      <c r="A47" s="763" t="s">
        <v>15</v>
      </c>
      <c r="B47" s="97">
        <f>Refuerzos!B40</f>
      </c>
      <c r="C47" s="764"/>
      <c r="D47" s="14"/>
      <c r="E47" s="11"/>
      <c r="F47" s="14"/>
      <c r="G47" s="14"/>
      <c r="H47" s="339" t="s">
        <v>15</v>
      </c>
      <c r="I47" s="97">
        <f>internos!C62</f>
      </c>
      <c r="J47" s="47"/>
      <c r="K47" s="14"/>
      <c r="L47" s="11"/>
      <c r="M47" s="21"/>
    </row>
    <row x14ac:dyDescent="0.25" r="48" customHeight="1" ht="18.75">
      <c r="A48" s="765"/>
      <c r="B48" s="15"/>
      <c r="C48" s="766"/>
      <c r="D48" s="14"/>
      <c r="E48" s="11"/>
      <c r="F48" s="14"/>
      <c r="G48" s="14"/>
      <c r="H48" s="16"/>
      <c r="I48" s="231"/>
      <c r="J48" s="30"/>
      <c r="K48" s="14"/>
      <c r="L48" s="11"/>
      <c r="M48" s="21"/>
    </row>
    <row x14ac:dyDescent="0.25" r="49" customHeight="1" ht="18.75">
      <c r="A49" s="765"/>
      <c r="B49" s="15"/>
      <c r="C49" s="766"/>
      <c r="D49" s="14"/>
      <c r="E49" s="11"/>
      <c r="F49" s="14"/>
      <c r="G49" s="14"/>
      <c r="H49" s="16"/>
      <c r="I49" s="231"/>
      <c r="J49" s="30"/>
      <c r="K49" s="14"/>
      <c r="L49" s="11"/>
      <c r="M49" s="21"/>
    </row>
    <row x14ac:dyDescent="0.25" r="50" customHeight="1" ht="18.75">
      <c r="A50" s="763" t="s">
        <v>473</v>
      </c>
      <c r="B50" s="32">
        <f>Refuerzos!B44</f>
      </c>
      <c r="C50" s="212" t="s">
        <v>222</v>
      </c>
      <c r="D50" s="14"/>
      <c r="E50" s="11"/>
      <c r="F50" s="14"/>
      <c r="G50" s="14"/>
      <c r="H50" s="339" t="s">
        <v>474</v>
      </c>
      <c r="I50" s="32">
        <f>internos!C70</f>
      </c>
      <c r="J50" s="25" t="s">
        <v>222</v>
      </c>
      <c r="K50" s="14"/>
      <c r="L50" s="11"/>
      <c r="M50" s="21"/>
    </row>
    <row x14ac:dyDescent="0.25" r="51" customHeight="1" ht="18.75">
      <c r="A51" s="763" t="s">
        <v>15</v>
      </c>
      <c r="B51" s="97">
        <f>Refuerzos!B45</f>
      </c>
      <c r="C51" s="764"/>
      <c r="D51" s="14"/>
      <c r="E51" s="11"/>
      <c r="F51" s="14"/>
      <c r="G51" s="14"/>
      <c r="H51" s="339" t="s">
        <v>15</v>
      </c>
      <c r="I51" s="97">
        <f>internos!C74</f>
      </c>
      <c r="J51" s="47"/>
      <c r="K51" s="14"/>
      <c r="L51" s="11"/>
      <c r="M51" s="21"/>
    </row>
    <row x14ac:dyDescent="0.25" r="52" customHeight="1" ht="18.75">
      <c r="A52" s="16"/>
      <c r="B52" s="15"/>
      <c r="C52" s="13"/>
      <c r="D52" s="14"/>
      <c r="E52" s="11"/>
      <c r="F52" s="14"/>
      <c r="G52" s="14"/>
      <c r="H52" s="328"/>
      <c r="I52" s="231"/>
      <c r="J52" s="15"/>
      <c r="K52" s="14"/>
      <c r="L52" s="11"/>
      <c r="M52" s="21"/>
    </row>
    <row x14ac:dyDescent="0.25" r="53" customHeight="1" ht="18.75">
      <c r="A53" s="767" t="s">
        <v>202</v>
      </c>
      <c r="B53" s="15"/>
      <c r="C53" s="13"/>
      <c r="D53" s="14"/>
      <c r="E53" s="11"/>
      <c r="F53" s="14"/>
      <c r="G53" s="14"/>
      <c r="H53" s="328"/>
      <c r="I53" s="231"/>
      <c r="J53" s="15"/>
      <c r="K53" s="14"/>
      <c r="L53" s="11"/>
      <c r="M53" s="21"/>
    </row>
    <row x14ac:dyDescent="0.25" r="54" customHeight="1" ht="18.75">
      <c r="A54" s="768" t="s">
        <v>475</v>
      </c>
      <c r="B54" s="769"/>
      <c r="C54" s="770"/>
      <c r="D54" s="771"/>
      <c r="E54" s="772"/>
      <c r="F54" s="14"/>
      <c r="G54" s="14"/>
      <c r="H54" s="328"/>
      <c r="I54" s="231"/>
      <c r="J54" s="15"/>
      <c r="K54" s="14"/>
      <c r="L54" s="11"/>
      <c r="M54" s="21"/>
    </row>
    <row x14ac:dyDescent="0.25" r="55" customHeight="1" ht="18.75">
      <c r="A55" s="768" t="s">
        <v>476</v>
      </c>
      <c r="B55" s="769"/>
      <c r="C55" s="770"/>
      <c r="D55" s="771"/>
      <c r="E55" s="772"/>
      <c r="F55" s="14"/>
      <c r="G55" s="14"/>
      <c r="H55" s="328"/>
      <c r="I55" s="231"/>
      <c r="J55" s="15"/>
      <c r="K55" s="14"/>
      <c r="L55" s="11"/>
      <c r="M55" s="21"/>
    </row>
    <row x14ac:dyDescent="0.25" r="56" customHeight="1" ht="18.75">
      <c r="A56" s="16"/>
      <c r="B56" s="15"/>
      <c r="C56" s="13"/>
      <c r="D56" s="14"/>
      <c r="E56" s="11"/>
      <c r="F56" s="14"/>
      <c r="G56" s="14"/>
      <c r="H56" s="328"/>
      <c r="I56" s="231"/>
      <c r="J56" s="15"/>
      <c r="K56" s="14"/>
      <c r="L56" s="11"/>
      <c r="M56" s="21"/>
    </row>
    <row x14ac:dyDescent="0.25" r="57" customHeight="1" ht="18.75">
      <c r="A57" s="16"/>
      <c r="B57" s="15"/>
      <c r="C57" s="13"/>
      <c r="D57" s="14"/>
      <c r="E57" s="11"/>
      <c r="F57" s="14"/>
      <c r="G57" s="14"/>
      <c r="H57" s="328"/>
      <c r="I57" s="231"/>
      <c r="J57" s="15"/>
      <c r="K57" s="14"/>
      <c r="L57" s="11"/>
      <c r="M57" s="21"/>
    </row>
    <row x14ac:dyDescent="0.25" r="58" customHeight="1" ht="18.75">
      <c r="A58" s="309" t="s">
        <v>197</v>
      </c>
      <c r="B58" s="25"/>
      <c r="C58" s="13"/>
      <c r="D58" s="14"/>
      <c r="E58" s="11"/>
      <c r="F58" s="14"/>
      <c r="G58" s="14"/>
      <c r="H58" s="328"/>
      <c r="I58" s="231"/>
      <c r="J58" s="15"/>
      <c r="K58" s="14"/>
      <c r="L58" s="11"/>
      <c r="M58" s="21"/>
    </row>
    <row x14ac:dyDescent="0.25" r="59" customHeight="1" ht="18.75">
      <c r="A59" s="16" t="s">
        <v>198</v>
      </c>
      <c r="B59" s="310"/>
      <c r="C59" s="13"/>
      <c r="D59" s="14"/>
      <c r="E59" s="11"/>
      <c r="F59" s="14"/>
      <c r="G59" s="14"/>
      <c r="H59" s="328"/>
      <c r="I59" s="231"/>
      <c r="J59" s="15"/>
      <c r="K59" s="14"/>
      <c r="L59" s="11"/>
      <c r="M59" s="21"/>
    </row>
    <row x14ac:dyDescent="0.25" r="60" customHeight="1" ht="18.75">
      <c r="A60" s="16" t="s">
        <v>199</v>
      </c>
      <c r="B60" s="311"/>
      <c r="C60" s="13"/>
      <c r="D60" s="14"/>
      <c r="E60" s="11"/>
      <c r="F60" s="14"/>
      <c r="G60" s="14"/>
      <c r="H60" s="328"/>
      <c r="I60" s="231"/>
      <c r="J60" s="15"/>
      <c r="K60" s="14"/>
      <c r="L60" s="11"/>
      <c r="M60" s="21"/>
    </row>
    <row x14ac:dyDescent="0.25" r="61" customHeight="1" ht="18.75">
      <c r="A61" s="44" t="s">
        <v>200</v>
      </c>
      <c r="B61" s="312"/>
      <c r="C61" s="13"/>
      <c r="D61" s="14"/>
      <c r="E61" s="11"/>
      <c r="F61" s="14"/>
      <c r="G61" s="14"/>
      <c r="H61" s="328"/>
      <c r="I61" s="231"/>
      <c r="J61" s="15"/>
      <c r="K61" s="14"/>
      <c r="L61" s="11"/>
      <c r="M61" s="21"/>
    </row>
    <row x14ac:dyDescent="0.25" r="62" customHeight="1" ht="18.75">
      <c r="A62" s="748"/>
      <c r="B62" s="250"/>
      <c r="C62" s="46"/>
      <c r="D62" s="48"/>
      <c r="E62" s="45"/>
      <c r="F62" s="48"/>
      <c r="G62" s="48"/>
      <c r="H62" s="48"/>
      <c r="I62" s="136"/>
      <c r="J62" s="136"/>
      <c r="K62" s="48"/>
      <c r="L62" s="45"/>
      <c r="M62" s="49"/>
    </row>
    <row x14ac:dyDescent="0.25" r="63" customHeight="1" ht="18.75">
      <c r="A63" s="773"/>
      <c r="B63" s="731"/>
      <c r="C63" s="13"/>
      <c r="D63" s="14"/>
      <c r="E63" s="11"/>
      <c r="F63" s="14"/>
      <c r="G63" s="14"/>
      <c r="H63" s="328"/>
      <c r="I63" s="231"/>
      <c r="J63" s="15"/>
      <c r="K63" s="14"/>
      <c r="L63" s="11"/>
      <c r="M63" s="14"/>
    </row>
    <row x14ac:dyDescent="0.25" r="64" customHeight="1" ht="18.75">
      <c r="A64" s="14"/>
      <c r="B64" s="15"/>
      <c r="C64" s="13"/>
      <c r="D64" s="14"/>
      <c r="E64" s="11"/>
      <c r="F64" s="14"/>
      <c r="G64" s="14"/>
      <c r="H64" s="204"/>
      <c r="I64" s="231"/>
      <c r="J64" s="15"/>
      <c r="K64" s="14"/>
      <c r="L64" s="11"/>
      <c r="M64" s="14"/>
    </row>
    <row x14ac:dyDescent="0.25" r="65" customHeight="1" ht="18.75">
      <c r="A65" s="14"/>
      <c r="B65" s="15"/>
      <c r="C65" s="13"/>
      <c r="D65" s="14"/>
      <c r="E65" s="11"/>
      <c r="F65" s="14"/>
      <c r="G65" s="14"/>
      <c r="H65" s="773"/>
      <c r="I65" s="731"/>
      <c r="J65" s="15"/>
      <c r="K65" s="14"/>
      <c r="L65" s="11"/>
      <c r="M65" s="14"/>
    </row>
    <row x14ac:dyDescent="0.25" r="66" customHeight="1" ht="18.75">
      <c r="A66" s="14"/>
      <c r="B66" s="15"/>
      <c r="C66" s="13"/>
      <c r="D66" s="14"/>
      <c r="E66" s="11"/>
      <c r="F66" s="14"/>
      <c r="G66" s="14"/>
      <c r="H66" s="773"/>
      <c r="I66" s="731"/>
      <c r="J66" s="15"/>
      <c r="K66" s="14"/>
      <c r="L66" s="11"/>
      <c r="M66" s="14"/>
    </row>
    <row x14ac:dyDescent="0.25" r="67" customHeight="1" ht="18.75">
      <c r="A67" s="14"/>
      <c r="B67" s="15"/>
      <c r="C67" s="13"/>
      <c r="D67" s="14"/>
      <c r="E67" s="11"/>
      <c r="F67" s="14"/>
      <c r="G67" s="14"/>
      <c r="H67" s="773"/>
      <c r="I67" s="731"/>
      <c r="J67" s="15"/>
      <c r="K67" s="14"/>
      <c r="L67" s="11"/>
      <c r="M67" s="14"/>
    </row>
    <row x14ac:dyDescent="0.25" r="68" customHeight="1" ht="18.75">
      <c r="A68" s="14"/>
      <c r="B68" s="15"/>
      <c r="C68" s="13"/>
      <c r="D68" s="14"/>
      <c r="E68" s="11"/>
      <c r="F68" s="14"/>
      <c r="G68" s="14"/>
      <c r="H68" s="773"/>
      <c r="I68" s="731"/>
      <c r="J68" s="15"/>
      <c r="K68" s="14"/>
      <c r="L68" s="11"/>
      <c r="M68" s="14"/>
    </row>
    <row x14ac:dyDescent="0.25" r="69" customHeight="1" ht="18.75">
      <c r="A69" s="14"/>
      <c r="B69" s="15"/>
      <c r="C69" s="13"/>
      <c r="D69" s="14"/>
      <c r="E69" s="11"/>
      <c r="F69" s="14"/>
      <c r="G69" s="14"/>
      <c r="H69" s="773"/>
      <c r="I69" s="731"/>
      <c r="J69" s="15"/>
      <c r="K69" s="14"/>
      <c r="L69" s="11"/>
      <c r="M69" s="14"/>
    </row>
    <row x14ac:dyDescent="0.25" r="70" customHeight="1" ht="18.75">
      <c r="A70" s="14"/>
      <c r="B70" s="15"/>
      <c r="C70" s="13"/>
      <c r="D70" s="14"/>
      <c r="E70" s="11"/>
      <c r="F70" s="14"/>
      <c r="G70" s="14"/>
      <c r="H70" s="773"/>
      <c r="I70" s="731"/>
      <c r="J70" s="15"/>
      <c r="K70" s="14"/>
      <c r="L70" s="11"/>
      <c r="M70" s="14"/>
    </row>
  </sheetData>
  <mergeCells count="15">
    <mergeCell ref="E1:F1"/>
    <mergeCell ref="E3:F3"/>
    <mergeCell ref="C4:K4"/>
    <mergeCell ref="A8:K9"/>
    <mergeCell ref="A22:M22"/>
    <mergeCell ref="A23:F23"/>
    <mergeCell ref="H23:M23"/>
    <mergeCell ref="A26:B26"/>
    <mergeCell ref="H26:I26"/>
    <mergeCell ref="A28:B28"/>
    <mergeCell ref="H28:I28"/>
    <mergeCell ref="A30:B30"/>
    <mergeCell ref="H30:I30"/>
    <mergeCell ref="A54:E54"/>
    <mergeCell ref="A55:E5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81"/>
  <sheetViews>
    <sheetView workbookViewId="0"/>
  </sheetViews>
  <sheetFormatPr defaultRowHeight="15" x14ac:dyDescent="0.25"/>
  <cols>
    <col min="1" max="1" style="138" width="13.576428571428572" customWidth="1" bestFit="1"/>
    <col min="2" max="2" style="140" width="14.719285714285713" customWidth="1" bestFit="1"/>
    <col min="3" max="3" style="139" width="13.862142857142858" customWidth="1" bestFit="1"/>
    <col min="4" max="4" style="138" width="13.576428571428572" customWidth="1" bestFit="1"/>
    <col min="5" max="5" style="138" width="13.576428571428572" customWidth="1" bestFit="1"/>
    <col min="6" max="6" style="138" width="13.576428571428572" customWidth="1" bestFit="1"/>
    <col min="7" max="7" style="138" width="13.576428571428572" customWidth="1" bestFit="1"/>
    <col min="8" max="8" style="138" width="13.576428571428572" customWidth="1" bestFit="1"/>
    <col min="9" max="9" style="138" width="13.576428571428572" customWidth="1" bestFit="1"/>
    <col min="10" max="10" style="138" width="13.576428571428572" customWidth="1" bestFit="1"/>
    <col min="11" max="11" style="138" width="13.576428571428572" customWidth="1" bestFit="1"/>
    <col min="12" max="12" style="138" width="13.576428571428572" customWidth="1" bestFit="1"/>
    <col min="13" max="13" style="138" width="13.576428571428572" customWidth="1" bestFit="1"/>
    <col min="14" max="14" style="138" width="13.576428571428572" customWidth="1" bestFit="1"/>
  </cols>
  <sheetData>
    <row x14ac:dyDescent="0.25" r="1" customHeight="1" ht="18.75">
      <c r="A1" s="171" t="s">
        <v>104</v>
      </c>
      <c r="B1" s="172"/>
      <c r="C1" s="173"/>
      <c r="D1" s="174"/>
      <c r="E1" s="6"/>
      <c r="F1" s="6"/>
      <c r="G1" s="6"/>
      <c r="H1" s="6"/>
      <c r="I1" s="6"/>
      <c r="J1" s="6"/>
      <c r="K1" s="6"/>
      <c r="L1" s="6"/>
      <c r="M1" s="6"/>
      <c r="N1" s="10"/>
    </row>
    <row x14ac:dyDescent="0.25" r="2" customHeight="1" ht="18.75">
      <c r="A2" s="175"/>
      <c r="B2" s="176"/>
      <c r="C2" s="177"/>
      <c r="D2" s="178"/>
      <c r="E2" s="14"/>
      <c r="F2" s="14"/>
      <c r="G2" s="14"/>
      <c r="H2" s="14"/>
      <c r="I2" s="14"/>
      <c r="J2" s="14"/>
      <c r="K2" s="14"/>
      <c r="L2" s="14"/>
      <c r="M2" s="14"/>
      <c r="N2" s="21"/>
    </row>
    <row x14ac:dyDescent="0.25" r="3" customHeight="1" ht="18.75">
      <c r="A3" s="179"/>
      <c r="B3" s="180"/>
      <c r="C3" s="181"/>
      <c r="D3" s="182"/>
      <c r="E3" s="14"/>
      <c r="F3" s="14"/>
      <c r="G3" s="14"/>
      <c r="H3" s="14"/>
      <c r="I3" s="14"/>
      <c r="J3" s="14"/>
      <c r="K3" s="14"/>
      <c r="L3" s="14"/>
      <c r="M3" s="14"/>
      <c r="N3" s="21"/>
    </row>
    <row x14ac:dyDescent="0.25" r="4" customHeight="1" ht="18.75">
      <c r="A4" s="16"/>
      <c r="B4" s="183" t="s">
        <v>105</v>
      </c>
      <c r="C4" s="184"/>
      <c r="D4" s="14"/>
      <c r="E4" s="14"/>
      <c r="F4" s="14"/>
      <c r="G4" s="14"/>
      <c r="H4" s="14"/>
      <c r="I4" s="14"/>
      <c r="J4" s="14"/>
      <c r="K4" s="14"/>
      <c r="L4" s="14"/>
      <c r="M4" s="14"/>
      <c r="N4" s="21"/>
    </row>
    <row x14ac:dyDescent="0.25" r="5" customHeight="1" ht="18.75">
      <c r="A5" s="16"/>
      <c r="B5" s="185" t="s">
        <v>106</v>
      </c>
      <c r="C5" s="186">
        <v>0.1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21"/>
    </row>
    <row x14ac:dyDescent="0.25" r="6" customHeight="1" ht="18.75">
      <c r="A6" s="16"/>
      <c r="B6" s="187" t="s">
        <v>107</v>
      </c>
      <c r="C6" s="188">
        <v>0.0078</v>
      </c>
      <c r="D6" s="14"/>
      <c r="E6" s="14"/>
      <c r="F6" s="1"/>
      <c r="G6" s="6"/>
      <c r="H6" s="6"/>
      <c r="I6" s="6"/>
      <c r="J6" s="6"/>
      <c r="K6" s="6"/>
      <c r="L6" s="6"/>
      <c r="M6" s="10"/>
      <c r="N6" s="21"/>
    </row>
    <row x14ac:dyDescent="0.25" r="7" customHeight="1" ht="18.75">
      <c r="A7" s="16"/>
      <c r="B7" s="187" t="s">
        <v>108</v>
      </c>
      <c r="C7" s="188">
        <v>9.8</v>
      </c>
      <c r="D7" s="14"/>
      <c r="E7" s="14"/>
      <c r="F7" s="16"/>
      <c r="G7" s="14"/>
      <c r="H7" s="14"/>
      <c r="I7" s="14"/>
      <c r="J7" s="14"/>
      <c r="K7" s="14"/>
      <c r="L7" s="14"/>
      <c r="M7" s="21"/>
      <c r="N7" s="21"/>
    </row>
    <row x14ac:dyDescent="0.25" r="8" customHeight="1" ht="18.75">
      <c r="A8" s="16"/>
      <c r="B8" s="187" t="s">
        <v>109</v>
      </c>
      <c r="C8" s="189">
        <f>0.0172*'ABS Datos de entrada'!B12+3.65</f>
        <v>25568.791666666668</v>
      </c>
      <c r="D8" s="14"/>
      <c r="E8" s="14"/>
      <c r="F8" s="16"/>
      <c r="G8" s="14"/>
      <c r="H8" s="14"/>
      <c r="I8" s="14"/>
      <c r="J8" s="14"/>
      <c r="K8" s="14"/>
      <c r="L8" s="14"/>
      <c r="M8" s="21"/>
      <c r="N8" s="21"/>
    </row>
    <row x14ac:dyDescent="0.25" r="9" customHeight="1" ht="18.75">
      <c r="A9" s="16"/>
      <c r="B9" s="187" t="s">
        <v>110</v>
      </c>
      <c r="C9" s="190">
        <v>1</v>
      </c>
      <c r="D9" s="14"/>
      <c r="E9" s="14"/>
      <c r="F9" s="16"/>
      <c r="G9" s="14"/>
      <c r="H9" s="14"/>
      <c r="I9" s="14"/>
      <c r="J9" s="14"/>
      <c r="K9" s="14"/>
      <c r="L9" s="14"/>
      <c r="M9" s="21"/>
      <c r="N9" s="21"/>
    </row>
    <row x14ac:dyDescent="0.25" r="10" customHeight="1" ht="18.75">
      <c r="A10" s="16"/>
      <c r="B10" s="187" t="s">
        <v>111</v>
      </c>
      <c r="C10" s="188">
        <f>IF(paneles!C4=250,0.85,0.79)</f>
      </c>
      <c r="D10" s="14"/>
      <c r="E10" s="14"/>
      <c r="F10" s="16"/>
      <c r="G10" s="14"/>
      <c r="H10" s="14"/>
      <c r="I10" s="14"/>
      <c r="J10" s="14"/>
      <c r="K10" s="14"/>
      <c r="L10" s="14"/>
      <c r="M10" s="21"/>
      <c r="N10" s="21"/>
    </row>
    <row x14ac:dyDescent="0.25" r="11" customHeight="1" ht="18.75">
      <c r="A11" s="16"/>
      <c r="B11" s="187" t="s">
        <v>112</v>
      </c>
      <c r="C11" s="188">
        <v>0.8</v>
      </c>
      <c r="D11" s="14"/>
      <c r="E11" s="14"/>
      <c r="F11" s="16"/>
      <c r="G11" s="14"/>
      <c r="H11" s="14"/>
      <c r="I11" s="14"/>
      <c r="J11" s="14"/>
      <c r="K11" s="14"/>
      <c r="L11" s="14"/>
      <c r="M11" s="21"/>
      <c r="N11" s="21"/>
    </row>
    <row x14ac:dyDescent="0.25" r="12" customHeight="1" ht="18.75">
      <c r="A12" s="16"/>
      <c r="B12" s="187" t="s">
        <v>55</v>
      </c>
      <c r="C12" s="188">
        <f>'ABS Datos de entrada'!B12/12</f>
      </c>
      <c r="D12" s="14"/>
      <c r="E12" s="14"/>
      <c r="F12" s="16"/>
      <c r="G12" s="14"/>
      <c r="H12" s="14"/>
      <c r="I12" s="14"/>
      <c r="J12" s="14"/>
      <c r="K12" s="14"/>
      <c r="L12" s="14"/>
      <c r="M12" s="21"/>
      <c r="N12" s="21"/>
    </row>
    <row x14ac:dyDescent="0.25" r="13" customHeight="1" ht="18.75">
      <c r="A13" s="16"/>
      <c r="B13" s="187" t="s">
        <v>113</v>
      </c>
      <c r="C13" s="191">
        <f>(100*9.7/1.92)/1000</f>
        <v>25568.791666666668</v>
      </c>
      <c r="D13" s="14"/>
      <c r="E13" s="14"/>
      <c r="F13" s="16"/>
      <c r="G13" s="14"/>
      <c r="H13" s="14"/>
      <c r="I13" s="14"/>
      <c r="J13" s="14"/>
      <c r="K13" s="14"/>
      <c r="L13" s="14"/>
      <c r="M13" s="21"/>
      <c r="N13" s="21"/>
    </row>
    <row x14ac:dyDescent="0.25" r="14" customHeight="1" ht="18.75">
      <c r="A14" s="16"/>
      <c r="B14" s="187" t="s">
        <v>114</v>
      </c>
      <c r="C14" s="188">
        <f>0.083*'ABS Datos de entrada'!B12+'ABS Datos de entrada'!B15</f>
      </c>
      <c r="D14" s="14"/>
      <c r="E14" s="14"/>
      <c r="F14" s="16"/>
      <c r="G14" s="14"/>
      <c r="H14" s="14"/>
      <c r="I14" s="14"/>
      <c r="J14" s="14"/>
      <c r="K14" s="14"/>
      <c r="L14" s="14"/>
      <c r="M14" s="21"/>
      <c r="N14" s="21"/>
    </row>
    <row x14ac:dyDescent="0.25" r="15" customHeight="1" ht="18.75">
      <c r="A15" s="16"/>
      <c r="B15" s="192" t="s">
        <v>115</v>
      </c>
      <c r="C15" s="193">
        <f>((80*9.8)/(1.92))/1000</f>
      </c>
      <c r="D15" s="14"/>
      <c r="E15" s="14"/>
      <c r="F15" s="16"/>
      <c r="G15" s="14"/>
      <c r="H15" s="14"/>
      <c r="I15" s="14"/>
      <c r="J15" s="14"/>
      <c r="K15" s="14"/>
      <c r="L15" s="14"/>
      <c r="M15" s="21"/>
      <c r="N15" s="21"/>
    </row>
    <row x14ac:dyDescent="0.25" r="16" customHeight="1" ht="18.75">
      <c r="A16" s="16"/>
      <c r="B16" s="13"/>
      <c r="C16" s="15"/>
      <c r="D16" s="14"/>
      <c r="E16" s="14"/>
      <c r="F16" s="16"/>
      <c r="G16" s="14"/>
      <c r="H16" s="14"/>
      <c r="I16" s="14"/>
      <c r="J16" s="14"/>
      <c r="K16" s="14"/>
      <c r="L16" s="14"/>
      <c r="M16" s="21"/>
      <c r="N16" s="21"/>
    </row>
    <row x14ac:dyDescent="0.25" r="17" customHeight="1" ht="18.75">
      <c r="A17" s="194" t="s">
        <v>116</v>
      </c>
      <c r="B17" s="60"/>
      <c r="C17" s="195"/>
      <c r="D17" s="14"/>
      <c r="E17" s="14"/>
      <c r="F17" s="16"/>
      <c r="G17" s="14"/>
      <c r="H17" s="14"/>
      <c r="I17" s="14"/>
      <c r="J17" s="14"/>
      <c r="K17" s="14"/>
      <c r="L17" s="14"/>
      <c r="M17" s="21"/>
      <c r="N17" s="21"/>
    </row>
    <row x14ac:dyDescent="0.25" r="18" customHeight="1" ht="18.75">
      <c r="A18" s="44"/>
      <c r="B18" s="86">
        <f>(C5*'ABS Datos de entrada'!B16*1000*(1+'ABS Datos de entrada'!B27)*((70-'ABS Datos de entrada'!B19)/(70-'ABS Datos de entrada'!B18))*'ABS Presiones de diseño'!C10)/('ABS Datos de entrada'!B12*'ABS Datos de entrada'!B13)</f>
      </c>
      <c r="C18" s="47" t="s">
        <v>117</v>
      </c>
      <c r="D18" s="14"/>
      <c r="E18" s="14"/>
      <c r="F18" s="16"/>
      <c r="G18" s="14"/>
      <c r="H18" s="14"/>
      <c r="I18" s="14"/>
      <c r="J18" s="14"/>
      <c r="K18" s="14"/>
      <c r="L18" s="14"/>
      <c r="M18" s="21"/>
      <c r="N18" s="21"/>
    </row>
    <row x14ac:dyDescent="0.25" r="19" customHeight="1" ht="18.75">
      <c r="A19" s="16"/>
      <c r="B19" s="13"/>
      <c r="C19" s="15"/>
      <c r="D19" s="14"/>
      <c r="E19" s="14"/>
      <c r="F19" s="16"/>
      <c r="G19" s="14"/>
      <c r="H19" s="14"/>
      <c r="I19" s="14"/>
      <c r="J19" s="14"/>
      <c r="K19" s="14"/>
      <c r="L19" s="14"/>
      <c r="M19" s="21"/>
      <c r="N19" s="21"/>
    </row>
    <row x14ac:dyDescent="0.25" r="20" customHeight="1" ht="18.75">
      <c r="A20" s="194" t="s">
        <v>118</v>
      </c>
      <c r="B20" s="60"/>
      <c r="C20" s="195"/>
      <c r="D20" s="14"/>
      <c r="E20" s="14"/>
      <c r="F20" s="16"/>
      <c r="G20" s="14"/>
      <c r="H20" s="14"/>
      <c r="I20" s="14"/>
      <c r="J20" s="14"/>
      <c r="K20" s="14"/>
      <c r="L20" s="14"/>
      <c r="M20" s="21"/>
      <c r="N20" s="21"/>
    </row>
    <row x14ac:dyDescent="0.25" r="21" customHeight="1" ht="18.75">
      <c r="A21" s="16"/>
      <c r="B21" s="13"/>
      <c r="C21" s="30"/>
      <c r="D21" s="14"/>
      <c r="E21" s="14"/>
      <c r="F21" s="44"/>
      <c r="G21" s="48"/>
      <c r="H21" s="48"/>
      <c r="I21" s="48"/>
      <c r="J21" s="48"/>
      <c r="K21" s="48"/>
      <c r="L21" s="48"/>
      <c r="M21" s="49"/>
      <c r="N21" s="21"/>
    </row>
    <row x14ac:dyDescent="0.25" r="22" customHeight="1" ht="18.75">
      <c r="A22" s="44"/>
      <c r="B22" s="86">
        <f>C7*(0.64*C8+0.4)</f>
      </c>
      <c r="C22" s="47" t="s">
        <v>117</v>
      </c>
      <c r="D22" s="14"/>
      <c r="E22" s="14"/>
      <c r="F22" s="196" t="s">
        <v>119</v>
      </c>
      <c r="G22" s="196"/>
      <c r="H22" s="196"/>
      <c r="I22" s="196"/>
      <c r="J22" s="196"/>
      <c r="K22" s="196"/>
      <c r="L22" s="196"/>
      <c r="M22" s="196"/>
      <c r="N22" s="21"/>
    </row>
    <row x14ac:dyDescent="0.25" r="23" customHeight="1" ht="18.75">
      <c r="A23" s="16"/>
      <c r="B23" s="13"/>
      <c r="C23" s="15"/>
      <c r="D23" s="14"/>
      <c r="E23" s="14"/>
      <c r="F23" s="1"/>
      <c r="G23" s="6"/>
      <c r="H23" s="6"/>
      <c r="I23" s="6"/>
      <c r="J23" s="6"/>
      <c r="K23" s="6"/>
      <c r="L23" s="6"/>
      <c r="M23" s="10"/>
      <c r="N23" s="21"/>
    </row>
    <row x14ac:dyDescent="0.25" r="24" customHeight="1" ht="18.75">
      <c r="A24" s="16"/>
      <c r="B24" s="13"/>
      <c r="C24" s="15"/>
      <c r="D24" s="14"/>
      <c r="E24" s="14"/>
      <c r="F24" s="16"/>
      <c r="G24" s="14"/>
      <c r="H24" s="14"/>
      <c r="I24" s="14"/>
      <c r="J24" s="14"/>
      <c r="K24" s="14"/>
      <c r="L24" s="14"/>
      <c r="M24" s="21"/>
      <c r="N24" s="21"/>
    </row>
    <row x14ac:dyDescent="0.25" r="25" customHeight="1" ht="18.75">
      <c r="A25" s="194" t="s">
        <v>120</v>
      </c>
      <c r="B25" s="60"/>
      <c r="C25" s="195"/>
      <c r="D25" s="14"/>
      <c r="E25" s="14"/>
      <c r="F25" s="16"/>
      <c r="G25" s="14"/>
      <c r="H25" s="14"/>
      <c r="I25" s="14"/>
      <c r="J25" s="14"/>
      <c r="K25" s="14"/>
      <c r="L25" s="14"/>
      <c r="M25" s="21"/>
      <c r="N25" s="21"/>
    </row>
    <row x14ac:dyDescent="0.25" r="26" customHeight="1" ht="18.75">
      <c r="A26" s="16"/>
      <c r="B26" s="13"/>
      <c r="C26" s="30"/>
      <c r="D26" s="14"/>
      <c r="E26" s="14"/>
      <c r="F26" s="16"/>
      <c r="G26" s="14"/>
      <c r="H26" s="14"/>
      <c r="I26" s="14"/>
      <c r="J26" s="14"/>
      <c r="K26" s="14"/>
      <c r="L26" s="14"/>
      <c r="M26" s="21"/>
      <c r="N26" s="21"/>
    </row>
    <row x14ac:dyDescent="0.25" r="27" customHeight="1" ht="18.75">
      <c r="A27" s="44"/>
      <c r="B27" s="97">
        <f>((C5*'ABS Datos de entrada'!B16*1000)/('ABS Datos de entrada'!B12*'ABS Datos de entrada'!B13))*(1+'ABS Datos de entrada'!B27)*((70-'ABS Datos de entrada'!B21)/(70-'ABS Datos de entrada'!B20))*'ABS Presiones de diseño'!C10</f>
      </c>
      <c r="C27" s="47" t="s">
        <v>117</v>
      </c>
      <c r="D27" s="14"/>
      <c r="E27" s="14"/>
      <c r="F27" s="16"/>
      <c r="G27" s="14"/>
      <c r="H27" s="14"/>
      <c r="I27" s="14"/>
      <c r="J27" s="14"/>
      <c r="K27" s="14"/>
      <c r="L27" s="14"/>
      <c r="M27" s="21"/>
      <c r="N27" s="21"/>
    </row>
    <row x14ac:dyDescent="0.25" r="28" customHeight="1" ht="18.75">
      <c r="A28" s="16"/>
      <c r="B28" s="13"/>
      <c r="C28" s="15"/>
      <c r="D28" s="14"/>
      <c r="E28" s="14"/>
      <c r="F28" s="16"/>
      <c r="G28" s="14"/>
      <c r="H28" s="14"/>
      <c r="I28" s="14"/>
      <c r="J28" s="14"/>
      <c r="K28" s="14"/>
      <c r="L28" s="14"/>
      <c r="M28" s="21"/>
      <c r="N28" s="21"/>
    </row>
    <row x14ac:dyDescent="0.25" r="29" customHeight="1" ht="18.75">
      <c r="A29" s="16"/>
      <c r="B29" s="13"/>
      <c r="C29" s="15"/>
      <c r="D29" s="14"/>
      <c r="E29" s="14"/>
      <c r="F29" s="16"/>
      <c r="G29" s="14"/>
      <c r="H29" s="14"/>
      <c r="I29" s="14"/>
      <c r="J29" s="14"/>
      <c r="K29" s="14"/>
      <c r="L29" s="14"/>
      <c r="M29" s="21"/>
      <c r="N29" s="21"/>
    </row>
    <row x14ac:dyDescent="0.25" r="30" customHeight="1" ht="18.75">
      <c r="A30" s="194" t="s">
        <v>121</v>
      </c>
      <c r="B30" s="60"/>
      <c r="C30" s="195"/>
      <c r="D30" s="14"/>
      <c r="E30" s="14"/>
      <c r="F30" s="16"/>
      <c r="G30" s="14"/>
      <c r="H30" s="14"/>
      <c r="I30" s="14"/>
      <c r="J30" s="14"/>
      <c r="K30" s="14"/>
      <c r="L30" s="14"/>
      <c r="M30" s="21"/>
      <c r="N30" s="21"/>
    </row>
    <row x14ac:dyDescent="0.25" r="31" customHeight="1" ht="18.75">
      <c r="A31" s="16"/>
      <c r="B31" s="13"/>
      <c r="C31" s="30"/>
      <c r="D31" s="14"/>
      <c r="E31" s="14"/>
      <c r="F31" s="16"/>
      <c r="G31" s="14"/>
      <c r="H31" s="14"/>
      <c r="I31" s="14"/>
      <c r="J31" s="14"/>
      <c r="K31" s="14"/>
      <c r="L31" s="14"/>
      <c r="M31" s="21"/>
      <c r="N31" s="21"/>
    </row>
    <row x14ac:dyDescent="0.25" r="32" customHeight="1" ht="18.75">
      <c r="A32" s="44"/>
      <c r="B32" s="97">
        <f>C7*(C14-C12)</f>
      </c>
      <c r="C32" s="47" t="s">
        <v>117</v>
      </c>
      <c r="D32" s="14"/>
      <c r="E32" s="14"/>
      <c r="F32" s="16"/>
      <c r="G32" s="14"/>
      <c r="H32" s="14"/>
      <c r="I32" s="14"/>
      <c r="J32" s="14"/>
      <c r="K32" s="14"/>
      <c r="L32" s="14"/>
      <c r="M32" s="21"/>
      <c r="N32" s="21"/>
    </row>
    <row x14ac:dyDescent="0.25" r="33" customHeight="1" ht="18.75">
      <c r="A33" s="16"/>
      <c r="B33" s="13"/>
      <c r="C33" s="15"/>
      <c r="D33" s="14"/>
      <c r="E33" s="14"/>
      <c r="F33" s="16"/>
      <c r="G33" s="14"/>
      <c r="H33" s="14"/>
      <c r="I33" s="14"/>
      <c r="J33" s="14"/>
      <c r="K33" s="14"/>
      <c r="L33" s="14"/>
      <c r="M33" s="21"/>
      <c r="N33" s="21"/>
    </row>
    <row x14ac:dyDescent="0.25" r="34" customHeight="1" ht="18.75">
      <c r="A34" s="16"/>
      <c r="B34" s="13"/>
      <c r="C34" s="15"/>
      <c r="D34" s="14"/>
      <c r="E34" s="14"/>
      <c r="F34" s="16"/>
      <c r="G34" s="14"/>
      <c r="H34" s="14"/>
      <c r="I34" s="14"/>
      <c r="J34" s="14"/>
      <c r="K34" s="14"/>
      <c r="L34" s="14"/>
      <c r="M34" s="21"/>
      <c r="N34" s="21"/>
    </row>
    <row x14ac:dyDescent="0.25" r="35" customHeight="1" ht="18.75">
      <c r="A35" s="197" t="s">
        <v>122</v>
      </c>
      <c r="B35" s="198"/>
      <c r="C35" s="199"/>
      <c r="D35" s="14"/>
      <c r="E35" s="14"/>
      <c r="F35" s="16"/>
      <c r="G35" s="14"/>
      <c r="H35" s="14"/>
      <c r="I35" s="14"/>
      <c r="J35" s="14"/>
      <c r="K35" s="14"/>
      <c r="L35" s="14"/>
      <c r="M35" s="21"/>
      <c r="N35" s="21"/>
    </row>
    <row x14ac:dyDescent="0.25" r="36" customHeight="1" ht="18.75">
      <c r="A36" s="84"/>
      <c r="B36" s="198"/>
      <c r="C36" s="199"/>
      <c r="D36" s="14"/>
      <c r="E36" s="14"/>
      <c r="F36" s="16"/>
      <c r="G36" s="14"/>
      <c r="H36" s="14"/>
      <c r="I36" s="14"/>
      <c r="J36" s="14"/>
      <c r="K36" s="14"/>
      <c r="L36" s="14"/>
      <c r="M36" s="21"/>
      <c r="N36" s="21"/>
    </row>
    <row x14ac:dyDescent="0.25" r="37" customHeight="1" ht="18.75">
      <c r="A37" s="16"/>
      <c r="B37" s="13"/>
      <c r="C37" s="15"/>
      <c r="D37" s="14"/>
      <c r="E37" s="14"/>
      <c r="F37" s="16"/>
      <c r="G37" s="14"/>
      <c r="H37" s="14"/>
      <c r="I37" s="14"/>
      <c r="J37" s="14"/>
      <c r="K37" s="14"/>
      <c r="L37" s="14"/>
      <c r="M37" s="21"/>
      <c r="N37" s="21"/>
    </row>
    <row x14ac:dyDescent="0.25" r="38" customHeight="1" ht="18.75">
      <c r="A38" s="194" t="s">
        <v>123</v>
      </c>
      <c r="B38" s="200"/>
      <c r="C38" s="201"/>
      <c r="D38" s="14"/>
      <c r="E38" s="14"/>
      <c r="F38" s="16"/>
      <c r="G38" s="14"/>
      <c r="H38" s="14"/>
      <c r="I38" s="14"/>
      <c r="J38" s="14"/>
      <c r="K38" s="14"/>
      <c r="L38" s="14"/>
      <c r="M38" s="21"/>
      <c r="N38" s="21"/>
    </row>
    <row x14ac:dyDescent="0.25" r="39" customHeight="1" ht="18.75">
      <c r="A39" s="16"/>
      <c r="B39" s="13"/>
      <c r="C39" s="30"/>
      <c r="D39" s="14"/>
      <c r="E39" s="14"/>
      <c r="F39" s="16"/>
      <c r="G39" s="14"/>
      <c r="H39" s="14"/>
      <c r="I39" s="14"/>
      <c r="J39" s="14"/>
      <c r="K39" s="14"/>
      <c r="L39" s="14"/>
      <c r="M39" s="21"/>
      <c r="N39" s="21"/>
    </row>
    <row x14ac:dyDescent="0.25" r="40" customHeight="1" ht="18.75">
      <c r="A40" s="44"/>
      <c r="B40" s="112">
        <v>5</v>
      </c>
      <c r="C40" s="47" t="s">
        <v>117</v>
      </c>
      <c r="D40" s="14"/>
      <c r="E40" s="14"/>
      <c r="F40" s="44"/>
      <c r="G40" s="48"/>
      <c r="H40" s="48"/>
      <c r="I40" s="48"/>
      <c r="J40" s="48"/>
      <c r="K40" s="48"/>
      <c r="L40" s="48"/>
      <c r="M40" s="49"/>
      <c r="N40" s="21"/>
    </row>
    <row x14ac:dyDescent="0.25" r="41" customHeight="1" ht="18.75">
      <c r="A41" s="16"/>
      <c r="B41" s="13"/>
      <c r="C41" s="15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21"/>
    </row>
    <row x14ac:dyDescent="0.25" r="42" customHeight="1" ht="18.75">
      <c r="A42" s="194" t="s">
        <v>124</v>
      </c>
      <c r="B42" s="200"/>
      <c r="C42" s="202"/>
      <c r="D42" s="203"/>
      <c r="E42" s="203"/>
      <c r="F42" s="1"/>
      <c r="G42" s="6"/>
      <c r="H42" s="6"/>
      <c r="I42" s="6"/>
      <c r="J42" s="6"/>
      <c r="K42" s="6"/>
      <c r="L42" s="6"/>
      <c r="M42" s="10"/>
      <c r="N42" s="21"/>
    </row>
    <row x14ac:dyDescent="0.25" r="43" customHeight="1" ht="18.75">
      <c r="A43" s="84" t="s">
        <v>125</v>
      </c>
      <c r="B43" s="198"/>
      <c r="C43" s="199"/>
      <c r="D43" s="14"/>
      <c r="E43" s="14"/>
      <c r="F43" s="16"/>
      <c r="G43" s="14"/>
      <c r="H43" s="14"/>
      <c r="I43" s="14"/>
      <c r="J43" s="14"/>
      <c r="K43" s="14"/>
      <c r="L43" s="14"/>
      <c r="M43" s="21"/>
      <c r="N43" s="21"/>
    </row>
    <row x14ac:dyDescent="0.25" r="44" customHeight="1" ht="18.75">
      <c r="A44" s="16"/>
      <c r="B44" s="38">
        <f>C13*(1+0.5*'ABS Presiones de diseño'!B21)</f>
      </c>
      <c r="C44" s="15" t="s">
        <v>117</v>
      </c>
      <c r="D44" s="14"/>
      <c r="E44" s="14"/>
      <c r="F44" s="16"/>
      <c r="G44" s="14"/>
      <c r="H44" s="14"/>
      <c r="I44" s="14"/>
      <c r="J44" s="14"/>
      <c r="K44" s="14"/>
      <c r="L44" s="14"/>
      <c r="M44" s="21"/>
      <c r="N44" s="21"/>
    </row>
    <row x14ac:dyDescent="0.25" r="45" customHeight="1" ht="18.75">
      <c r="A45" s="16"/>
      <c r="B45" s="13"/>
      <c r="C45" s="15"/>
      <c r="D45" s="14"/>
      <c r="E45" s="14"/>
      <c r="F45" s="16"/>
      <c r="G45" s="14"/>
      <c r="H45" s="14"/>
      <c r="I45" s="14"/>
      <c r="J45" s="14"/>
      <c r="K45" s="14"/>
      <c r="L45" s="14"/>
      <c r="M45" s="21"/>
      <c r="N45" s="21"/>
    </row>
    <row x14ac:dyDescent="0.25" r="46" customHeight="1" ht="18.75">
      <c r="A46" s="84" t="s">
        <v>126</v>
      </c>
      <c r="B46" s="198"/>
      <c r="C46" s="199"/>
      <c r="D46" s="204"/>
      <c r="E46" s="204"/>
      <c r="F46" s="16"/>
      <c r="G46" s="14"/>
      <c r="H46" s="14"/>
      <c r="I46" s="14"/>
      <c r="J46" s="14"/>
      <c r="K46" s="14"/>
      <c r="L46" s="14"/>
      <c r="M46" s="21"/>
      <c r="N46" s="21"/>
    </row>
    <row x14ac:dyDescent="0.25" r="47" customHeight="1" ht="18.75">
      <c r="A47" s="44"/>
      <c r="B47" s="97">
        <f>(C13+C15)*(1+0.5*'ABS Presiones de diseño'!B21)</f>
      </c>
      <c r="C47" s="136" t="s">
        <v>117</v>
      </c>
      <c r="D47" s="48"/>
      <c r="E47" s="48"/>
      <c r="F47" s="16"/>
      <c r="G47" s="14"/>
      <c r="H47" s="14"/>
      <c r="I47" s="14"/>
      <c r="J47" s="14"/>
      <c r="K47" s="14"/>
      <c r="L47" s="14"/>
      <c r="M47" s="21"/>
      <c r="N47" s="21"/>
    </row>
    <row x14ac:dyDescent="0.25" r="48" customHeight="1" ht="18.75">
      <c r="A48" s="16"/>
      <c r="B48" s="13"/>
      <c r="C48" s="15"/>
      <c r="D48" s="14"/>
      <c r="E48" s="14"/>
      <c r="F48" s="16"/>
      <c r="G48" s="14"/>
      <c r="H48" s="14"/>
      <c r="I48" s="14"/>
      <c r="J48" s="14"/>
      <c r="K48" s="14"/>
      <c r="L48" s="14"/>
      <c r="M48" s="21"/>
      <c r="N48" s="21"/>
    </row>
    <row x14ac:dyDescent="0.25" r="49" customHeight="1" ht="18.75">
      <c r="A49" s="194" t="s">
        <v>127</v>
      </c>
      <c r="B49" s="200"/>
      <c r="C49" s="202"/>
      <c r="D49" s="203"/>
      <c r="E49" s="203"/>
      <c r="F49" s="16"/>
      <c r="G49" s="14"/>
      <c r="H49" s="14"/>
      <c r="I49" s="14"/>
      <c r="J49" s="14"/>
      <c r="K49" s="14"/>
      <c r="L49" s="14"/>
      <c r="M49" s="21"/>
      <c r="N49" s="21"/>
    </row>
    <row x14ac:dyDescent="0.25" r="50" customHeight="1" ht="18.75">
      <c r="A50" s="16" t="s">
        <v>128</v>
      </c>
      <c r="B50" s="13"/>
      <c r="C50" s="38">
        <v>8.6</v>
      </c>
      <c r="D50" s="14" t="s">
        <v>129</v>
      </c>
      <c r="E50" s="14"/>
      <c r="F50" s="16"/>
      <c r="G50" s="14"/>
      <c r="H50" s="14"/>
      <c r="I50" s="14"/>
      <c r="J50" s="14"/>
      <c r="K50" s="14"/>
      <c r="L50" s="14"/>
      <c r="M50" s="21"/>
      <c r="N50" s="21"/>
    </row>
    <row x14ac:dyDescent="0.25" r="51" customHeight="1" ht="18.75">
      <c r="A51" s="16" t="s">
        <v>130</v>
      </c>
      <c r="B51" s="13"/>
      <c r="C51" s="38">
        <v>0.4</v>
      </c>
      <c r="D51" s="14" t="s">
        <v>69</v>
      </c>
      <c r="E51" s="14"/>
      <c r="F51" s="16"/>
      <c r="G51" s="14"/>
      <c r="H51" s="14"/>
      <c r="I51" s="14"/>
      <c r="J51" s="14"/>
      <c r="K51" s="14"/>
      <c r="L51" s="14"/>
      <c r="M51" s="21"/>
      <c r="N51" s="21"/>
    </row>
    <row x14ac:dyDescent="0.25" r="52" customHeight="1" ht="18.75">
      <c r="A52" s="44" t="s">
        <v>131</v>
      </c>
      <c r="B52" s="97">
        <f>C50*C51*(1+0.5*'ABS Presiones de diseño'!B21)</f>
      </c>
      <c r="C52" s="136" t="s">
        <v>117</v>
      </c>
      <c r="D52" s="48"/>
      <c r="E52" s="48"/>
      <c r="F52" s="44"/>
      <c r="G52" s="48"/>
      <c r="H52" s="48"/>
      <c r="I52" s="48"/>
      <c r="J52" s="48"/>
      <c r="K52" s="48"/>
      <c r="L52" s="48"/>
      <c r="M52" s="49"/>
      <c r="N52" s="21"/>
    </row>
    <row x14ac:dyDescent="0.25" r="53" customHeight="1" ht="18.75">
      <c r="A53" s="16"/>
      <c r="B53" s="13"/>
      <c r="C53" s="15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21"/>
    </row>
    <row x14ac:dyDescent="0.25" r="54" customHeight="1" ht="18.75">
      <c r="A54" s="194" t="s">
        <v>132</v>
      </c>
      <c r="B54" s="200"/>
      <c r="C54" s="202"/>
      <c r="D54" s="203"/>
      <c r="E54" s="205"/>
      <c r="F54" s="14"/>
      <c r="G54" s="14"/>
      <c r="H54" s="14"/>
      <c r="I54" s="14"/>
      <c r="J54" s="14"/>
      <c r="K54" s="14"/>
      <c r="L54" s="14"/>
      <c r="M54" s="14"/>
      <c r="N54" s="21"/>
    </row>
    <row x14ac:dyDescent="0.25" r="55" customHeight="1" ht="18.75">
      <c r="A55" s="16" t="s">
        <v>133</v>
      </c>
      <c r="B55" s="13"/>
      <c r="C55" s="38">
        <v>9.8</v>
      </c>
      <c r="D55" s="14" t="s">
        <v>129</v>
      </c>
      <c r="E55" s="21"/>
      <c r="F55" s="14"/>
      <c r="G55" s="14"/>
      <c r="H55" s="14"/>
      <c r="I55" s="14"/>
      <c r="J55" s="14"/>
      <c r="K55" s="14"/>
      <c r="L55" s="14"/>
      <c r="M55" s="14"/>
      <c r="N55" s="21"/>
    </row>
    <row x14ac:dyDescent="0.25" r="56" customHeight="1" ht="18.75">
      <c r="A56" s="16" t="s">
        <v>130</v>
      </c>
      <c r="B56" s="13"/>
      <c r="C56" s="38">
        <v>0.46</v>
      </c>
      <c r="D56" s="14" t="s">
        <v>69</v>
      </c>
      <c r="E56" s="21"/>
      <c r="F56" s="14"/>
      <c r="G56" s="14"/>
      <c r="H56" s="14"/>
      <c r="I56" s="14"/>
      <c r="J56" s="14"/>
      <c r="K56" s="14"/>
      <c r="L56" s="14"/>
      <c r="M56" s="14"/>
      <c r="N56" s="21"/>
    </row>
    <row x14ac:dyDescent="0.25" r="57" customHeight="1" ht="18.75">
      <c r="A57" s="44" t="s">
        <v>131</v>
      </c>
      <c r="B57" s="97">
        <f>C55*C56*(1+0.5*'ABS Presiones de diseño'!B26)</f>
      </c>
      <c r="C57" s="136" t="s">
        <v>117</v>
      </c>
      <c r="D57" s="48"/>
      <c r="E57" s="49"/>
      <c r="F57" s="14"/>
      <c r="G57" s="14"/>
      <c r="H57" s="14"/>
      <c r="I57" s="14"/>
      <c r="J57" s="14"/>
      <c r="K57" s="14"/>
      <c r="L57" s="14"/>
      <c r="M57" s="14"/>
      <c r="N57" s="21"/>
    </row>
    <row x14ac:dyDescent="0.25" r="58" customHeight="1" ht="18.75">
      <c r="A58" s="16"/>
      <c r="B58" s="13"/>
      <c r="C58" s="15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21"/>
    </row>
    <row x14ac:dyDescent="0.25" r="59" customHeight="1" ht="18.75">
      <c r="A59" s="16"/>
      <c r="B59" s="13"/>
      <c r="C59" s="15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21"/>
    </row>
    <row x14ac:dyDescent="0.25" r="60" customHeight="1" ht="18.75">
      <c r="A60" s="194" t="s">
        <v>134</v>
      </c>
      <c r="B60" s="200"/>
      <c r="C60" s="202"/>
      <c r="D60" s="6"/>
      <c r="E60" s="10"/>
      <c r="F60" s="14"/>
      <c r="G60" s="14"/>
      <c r="H60" s="14"/>
      <c r="I60" s="14"/>
      <c r="J60" s="14"/>
      <c r="K60" s="14"/>
      <c r="L60" s="14"/>
      <c r="M60" s="14"/>
      <c r="N60" s="21"/>
    </row>
    <row x14ac:dyDescent="0.25" r="61" customHeight="1" ht="18.75">
      <c r="A61" s="16" t="s">
        <v>128</v>
      </c>
      <c r="B61" s="13"/>
      <c r="C61" s="38">
        <v>7.04</v>
      </c>
      <c r="D61" s="14" t="s">
        <v>129</v>
      </c>
      <c r="E61" s="21"/>
      <c r="F61" s="14"/>
      <c r="G61" s="14"/>
      <c r="H61" s="14"/>
      <c r="I61" s="14"/>
      <c r="J61" s="14"/>
      <c r="K61" s="14"/>
      <c r="L61" s="14"/>
      <c r="M61" s="14"/>
      <c r="N61" s="21"/>
    </row>
    <row x14ac:dyDescent="0.25" r="62" customHeight="1" ht="18.75">
      <c r="A62" s="44" t="s">
        <v>135</v>
      </c>
      <c r="B62" s="97">
        <f>C61*0.86*(1+0.5*'ABS Datos de entrada'!B27)</f>
      </c>
      <c r="C62" s="136" t="s">
        <v>117</v>
      </c>
      <c r="D62" s="48"/>
      <c r="E62" s="49"/>
      <c r="F62" s="14"/>
      <c r="G62" s="14"/>
      <c r="H62" s="14"/>
      <c r="I62" s="14"/>
      <c r="J62" s="14"/>
      <c r="K62" s="14"/>
      <c r="L62" s="14"/>
      <c r="M62" s="14"/>
      <c r="N62" s="21"/>
    </row>
    <row x14ac:dyDescent="0.25" r="63" customHeight="1" ht="18.75">
      <c r="A63" s="16"/>
      <c r="B63" s="13"/>
      <c r="C63" s="15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21"/>
    </row>
    <row x14ac:dyDescent="0.25" r="64" customHeight="1" ht="18.75">
      <c r="A64" s="16"/>
      <c r="B64" s="13"/>
      <c r="C64" s="15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21"/>
    </row>
    <row x14ac:dyDescent="0.25" r="65" customHeight="1" ht="18.75">
      <c r="A65" s="194" t="s">
        <v>136</v>
      </c>
      <c r="B65" s="200"/>
      <c r="C65" s="202"/>
      <c r="D65" s="206"/>
      <c r="E65" s="207"/>
      <c r="F65" s="14"/>
      <c r="G65" s="14"/>
      <c r="H65" s="14"/>
      <c r="I65" s="14"/>
      <c r="J65" s="14"/>
      <c r="K65" s="14"/>
      <c r="L65" s="14"/>
      <c r="M65" s="14"/>
      <c r="N65" s="21"/>
    </row>
    <row x14ac:dyDescent="0.25" r="66" customHeight="1" ht="18.75">
      <c r="A66" s="44"/>
      <c r="B66" s="97">
        <f>0.2*'ABS Datos de entrada'!B12+7.6</f>
      </c>
      <c r="C66" s="136" t="s">
        <v>117</v>
      </c>
      <c r="D66" s="48"/>
      <c r="E66" s="49"/>
      <c r="F66" s="14"/>
      <c r="G66" s="14"/>
      <c r="H66" s="14"/>
      <c r="I66" s="14"/>
      <c r="J66" s="14"/>
      <c r="K66" s="14"/>
      <c r="L66" s="14"/>
      <c r="M66" s="14"/>
      <c r="N66" s="21"/>
    </row>
    <row x14ac:dyDescent="0.25" r="67" customHeight="1" ht="18.75">
      <c r="A67" s="16"/>
      <c r="B67" s="13"/>
      <c r="C67" s="15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21"/>
    </row>
    <row x14ac:dyDescent="0.25" r="68" customHeight="1" ht="18.75">
      <c r="A68" s="194" t="s">
        <v>137</v>
      </c>
      <c r="B68" s="200"/>
      <c r="C68" s="202"/>
      <c r="D68" s="203"/>
      <c r="E68" s="207"/>
      <c r="F68" s="14"/>
      <c r="G68" s="14"/>
      <c r="H68" s="14"/>
      <c r="I68" s="14"/>
      <c r="J68" s="14"/>
      <c r="K68" s="14"/>
      <c r="L68" s="14"/>
      <c r="M68" s="14"/>
      <c r="N68" s="21"/>
    </row>
    <row x14ac:dyDescent="0.25" r="69" customHeight="1" ht="18.75">
      <c r="A69" s="44"/>
      <c r="B69" s="86">
        <f>0.1*'ABS Datos de entrada'!B12+6.1</f>
      </c>
      <c r="C69" s="136" t="s">
        <v>117</v>
      </c>
      <c r="D69" s="48"/>
      <c r="E69" s="49"/>
      <c r="F69" s="14"/>
      <c r="G69" s="14"/>
      <c r="H69" s="14"/>
      <c r="I69" s="14"/>
      <c r="J69" s="14"/>
      <c r="K69" s="14"/>
      <c r="L69" s="14"/>
      <c r="M69" s="14"/>
      <c r="N69" s="21"/>
    </row>
    <row x14ac:dyDescent="0.25" r="70" customHeight="1" ht="18.75">
      <c r="A70" s="16"/>
      <c r="B70" s="13"/>
      <c r="C70" s="15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21"/>
    </row>
    <row x14ac:dyDescent="0.25" r="71" customHeight="1" ht="18.75">
      <c r="A71" s="16"/>
      <c r="B71" s="13"/>
      <c r="C71" s="15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21"/>
    </row>
    <row x14ac:dyDescent="0.25" r="72" customHeight="1" ht="18.75">
      <c r="A72" s="208" t="s">
        <v>138</v>
      </c>
      <c r="B72" s="209"/>
      <c r="C72" s="210"/>
      <c r="D72" s="211"/>
      <c r="E72" s="211"/>
      <c r="F72" s="14"/>
      <c r="G72" s="14"/>
      <c r="H72" s="14"/>
      <c r="I72" s="14"/>
      <c r="J72" s="14"/>
      <c r="K72" s="14"/>
      <c r="L72" s="14"/>
      <c r="M72" s="14"/>
      <c r="N72" s="21"/>
    </row>
    <row x14ac:dyDescent="0.25" r="73" customHeight="1" ht="18.75">
      <c r="A73" s="1"/>
      <c r="B73" s="212"/>
      <c r="C73" s="9"/>
      <c r="D73" s="213"/>
      <c r="E73" s="14"/>
      <c r="F73" s="14"/>
      <c r="G73" s="14"/>
      <c r="H73" s="14"/>
      <c r="I73" s="14"/>
      <c r="J73" s="14"/>
      <c r="K73" s="14"/>
      <c r="L73" s="14"/>
      <c r="M73" s="14"/>
      <c r="N73" s="21"/>
    </row>
    <row x14ac:dyDescent="0.25" r="74" customHeight="1" ht="18.75">
      <c r="A74" s="84" t="s">
        <v>139</v>
      </c>
      <c r="B74" s="214"/>
      <c r="C74" s="38">
        <v>24.1</v>
      </c>
      <c r="D74" s="215" t="s">
        <v>117</v>
      </c>
      <c r="E74" s="14"/>
      <c r="F74" s="14"/>
      <c r="G74" s="14"/>
      <c r="H74" s="14"/>
      <c r="I74" s="14"/>
      <c r="J74" s="14"/>
      <c r="K74" s="14"/>
      <c r="L74" s="14"/>
      <c r="M74" s="14"/>
      <c r="N74" s="21"/>
    </row>
    <row x14ac:dyDescent="0.25" r="75" customHeight="1" ht="18.75">
      <c r="A75" s="84" t="s">
        <v>140</v>
      </c>
      <c r="B75" s="214"/>
      <c r="C75" s="38">
        <v>24.1</v>
      </c>
      <c r="D75" s="215" t="s">
        <v>117</v>
      </c>
      <c r="E75" s="14"/>
      <c r="F75" s="14"/>
      <c r="G75" s="14"/>
      <c r="H75" s="14"/>
      <c r="I75" s="14"/>
      <c r="J75" s="14"/>
      <c r="K75" s="14"/>
      <c r="L75" s="14"/>
      <c r="M75" s="14"/>
      <c r="N75" s="21"/>
    </row>
    <row x14ac:dyDescent="0.25" r="76" customHeight="1" ht="18.75">
      <c r="A76" s="84" t="s">
        <v>141</v>
      </c>
      <c r="B76" s="214"/>
      <c r="C76" s="38">
        <v>10.3</v>
      </c>
      <c r="D76" s="215" t="s">
        <v>117</v>
      </c>
      <c r="E76" s="14"/>
      <c r="F76" s="14"/>
      <c r="G76" s="14"/>
      <c r="H76" s="14"/>
      <c r="I76" s="14"/>
      <c r="J76" s="14"/>
      <c r="K76" s="14"/>
      <c r="L76" s="14"/>
      <c r="M76" s="14"/>
      <c r="N76" s="21"/>
    </row>
    <row x14ac:dyDescent="0.25" r="77" customHeight="1" ht="18.75">
      <c r="A77" s="84" t="s">
        <v>142</v>
      </c>
      <c r="B77" s="214"/>
      <c r="C77" s="38">
        <v>10.3</v>
      </c>
      <c r="D77" s="215" t="s">
        <v>129</v>
      </c>
      <c r="E77" s="14"/>
      <c r="F77" s="14"/>
      <c r="G77" s="14"/>
      <c r="H77" s="14"/>
      <c r="I77" s="14"/>
      <c r="J77" s="14"/>
      <c r="K77" s="14"/>
      <c r="L77" s="14"/>
      <c r="M77" s="14"/>
      <c r="N77" s="21"/>
    </row>
    <row x14ac:dyDescent="0.25" r="78" customHeight="1" ht="31.149999999999995">
      <c r="A78" s="216" t="s">
        <v>143</v>
      </c>
      <c r="B78" s="217"/>
      <c r="C78" s="38">
        <v>6.9</v>
      </c>
      <c r="D78" s="215" t="s">
        <v>129</v>
      </c>
      <c r="E78" s="14"/>
      <c r="F78" s="14"/>
      <c r="G78" s="14"/>
      <c r="H78" s="14"/>
      <c r="I78" s="14"/>
      <c r="J78" s="14"/>
      <c r="K78" s="14"/>
      <c r="L78" s="14"/>
      <c r="M78" s="14"/>
      <c r="N78" s="21"/>
    </row>
    <row x14ac:dyDescent="0.25" r="79" customHeight="1" ht="33">
      <c r="A79" s="218" t="s">
        <v>144</v>
      </c>
      <c r="B79" s="219"/>
      <c r="C79" s="97">
        <v>3.4</v>
      </c>
      <c r="D79" s="220" t="s">
        <v>129</v>
      </c>
      <c r="E79" s="14"/>
      <c r="F79" s="14"/>
      <c r="G79" s="14"/>
      <c r="H79" s="14"/>
      <c r="I79" s="14"/>
      <c r="J79" s="14"/>
      <c r="K79" s="14"/>
      <c r="L79" s="14"/>
      <c r="M79" s="14"/>
      <c r="N79" s="21"/>
    </row>
    <row x14ac:dyDescent="0.25" r="80" customHeight="1" ht="18.75">
      <c r="A80" s="16"/>
      <c r="B80" s="221"/>
      <c r="C80" s="15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21"/>
    </row>
    <row x14ac:dyDescent="0.25" r="81" customHeight="1" ht="18.75">
      <c r="A81" s="44"/>
      <c r="B81" s="46"/>
      <c r="C81" s="136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9"/>
    </row>
  </sheetData>
  <mergeCells count="21">
    <mergeCell ref="A1:D2"/>
    <mergeCell ref="B4:C4"/>
    <mergeCell ref="F22:M22"/>
    <mergeCell ref="A35:C36"/>
    <mergeCell ref="A38:C38"/>
    <mergeCell ref="A42:E42"/>
    <mergeCell ref="A43:C43"/>
    <mergeCell ref="A46:E46"/>
    <mergeCell ref="A49:E49"/>
    <mergeCell ref="A54:E54"/>
    <mergeCell ref="A60:C60"/>
    <mergeCell ref="A65:C65"/>
    <mergeCell ref="A68:D68"/>
    <mergeCell ref="A72:E72"/>
    <mergeCell ref="A74:B74"/>
    <mergeCell ref="A75:B75"/>
    <mergeCell ref="A76:B76"/>
    <mergeCell ref="A77:B77"/>
    <mergeCell ref="A78:B78"/>
    <mergeCell ref="A79:B79"/>
    <mergeCell ref="A80:B8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B85"/>
  <sheetViews>
    <sheetView workbookViewId="0"/>
  </sheetViews>
  <sheetFormatPr defaultRowHeight="15" x14ac:dyDescent="0.25"/>
  <cols>
    <col min="1" max="1" style="138" width="13.576428571428572" customWidth="1" bestFit="1"/>
    <col min="2" max="2" style="138" width="14.147857142857141" customWidth="1" bestFit="1"/>
    <col min="3" max="3" style="139" width="11.719285714285713" customWidth="1" bestFit="1"/>
    <col min="4" max="4" style="138" width="13.576428571428572" customWidth="1" bestFit="1"/>
    <col min="5" max="5" style="138" width="17.719285714285714" customWidth="1" bestFit="1"/>
    <col min="6" max="6" style="139" width="13.576428571428572" customWidth="1" bestFit="1"/>
    <col min="7" max="7" style="138" width="13.576428571428572" customWidth="1" bestFit="1"/>
    <col min="8" max="8" style="138" width="14.576428571428572" customWidth="1" bestFit="1"/>
    <col min="9" max="9" style="138" width="13.576428571428572" customWidth="1" bestFit="1"/>
    <col min="10" max="10" style="138" width="13.576428571428572" customWidth="1" bestFit="1"/>
    <col min="11" max="11" style="138" width="13.576428571428572" customWidth="1" bestFit="1"/>
    <col min="12" max="12" style="138" width="13.576428571428572" customWidth="1" bestFit="1"/>
    <col min="13" max="13" style="138" width="13.576428571428572" customWidth="1" bestFit="1"/>
    <col min="14" max="14" style="138" width="13.576428571428572" customWidth="1" bestFit="1"/>
    <col min="15" max="15" style="138" width="13.576428571428572" customWidth="1" bestFit="1"/>
    <col min="16" max="16" style="138" width="13.576428571428572" customWidth="1" bestFit="1"/>
    <col min="17" max="17" style="138" width="13.576428571428572" customWidth="1" bestFit="1"/>
    <col min="18" max="18" style="138" width="13.576428571428572" customWidth="1" bestFit="1"/>
    <col min="19" max="19" style="138" width="13.576428571428572" customWidth="1" bestFit="1"/>
    <col min="20" max="20" style="138" width="13.576428571428572" customWidth="1" bestFit="1"/>
    <col min="21" max="21" style="138" width="13.576428571428572" customWidth="1" bestFit="1"/>
    <col min="22" max="22" style="138" width="13.576428571428572" customWidth="1" bestFit="1"/>
    <col min="23" max="23" style="138" width="13.576428571428572" customWidth="1" bestFit="1"/>
    <col min="24" max="24" style="138" width="13.576428571428572" customWidth="1" bestFit="1"/>
    <col min="25" max="25" style="138" width="13.576428571428572" customWidth="1" bestFit="1"/>
    <col min="26" max="26" style="138" width="13.576428571428572" customWidth="1" bestFit="1"/>
    <col min="27" max="27" style="138" width="13.576428571428572" customWidth="1" bestFit="1"/>
    <col min="28" max="28" style="138" width="13.576428571428572" customWidth="1" bestFit="1"/>
  </cols>
  <sheetData>
    <row x14ac:dyDescent="0.25" r="1" customHeight="1" ht="18.75">
      <c r="A1" s="143" t="s">
        <v>77</v>
      </c>
      <c r="B1" s="144"/>
      <c r="C1" s="145"/>
      <c r="D1" s="144"/>
      <c r="E1" s="144"/>
      <c r="F1" s="145"/>
      <c r="G1" s="144"/>
      <c r="H1" s="146"/>
      <c r="I1" s="6"/>
      <c r="J1" s="6"/>
      <c r="K1" s="6"/>
      <c r="L1" s="51" t="s">
        <v>78</v>
      </c>
      <c r="M1" s="52"/>
      <c r="N1" s="52"/>
      <c r="O1" s="52"/>
      <c r="P1" s="52"/>
      <c r="Q1" s="52"/>
      <c r="R1" s="52"/>
      <c r="S1" s="52"/>
      <c r="T1" s="147"/>
      <c r="U1" s="6"/>
      <c r="V1" s="6"/>
      <c r="W1" s="6"/>
      <c r="X1" s="6"/>
      <c r="Y1" s="6"/>
      <c r="Z1" s="6"/>
      <c r="AA1" s="6"/>
      <c r="AB1" s="10"/>
    </row>
    <row x14ac:dyDescent="0.25" r="2" customHeight="1" ht="18.75">
      <c r="A2" s="148"/>
      <c r="B2" s="149"/>
      <c r="C2" s="150"/>
      <c r="D2" s="149"/>
      <c r="E2" s="149"/>
      <c r="F2" s="150"/>
      <c r="G2" s="149"/>
      <c r="H2" s="151"/>
      <c r="I2" s="14"/>
      <c r="J2" s="14"/>
      <c r="K2" s="14"/>
      <c r="L2" s="1"/>
      <c r="M2" s="6"/>
      <c r="N2" s="6"/>
      <c r="O2" s="6"/>
      <c r="P2" s="6"/>
      <c r="Q2" s="6"/>
      <c r="R2" s="6"/>
      <c r="S2" s="6"/>
      <c r="T2" s="10"/>
      <c r="U2" s="14"/>
      <c r="V2" s="14"/>
      <c r="W2" s="14"/>
      <c r="X2" s="14"/>
      <c r="Y2" s="14"/>
      <c r="Z2" s="14"/>
      <c r="AA2" s="14"/>
      <c r="AB2" s="21"/>
    </row>
    <row x14ac:dyDescent="0.25" r="3" customHeight="1" ht="18.75">
      <c r="A3" s="16"/>
      <c r="B3" s="152" t="s">
        <v>79</v>
      </c>
      <c r="C3" s="153"/>
      <c r="D3" s="154"/>
      <c r="E3" s="41"/>
      <c r="F3" s="15"/>
      <c r="G3" s="14"/>
      <c r="H3" s="14"/>
      <c r="I3" s="14"/>
      <c r="J3" s="14"/>
      <c r="K3" s="14"/>
      <c r="L3" s="16"/>
      <c r="M3" s="14"/>
      <c r="N3" s="14"/>
      <c r="O3" s="14"/>
      <c r="P3" s="14"/>
      <c r="Q3" s="14"/>
      <c r="R3" s="14"/>
      <c r="S3" s="14"/>
      <c r="T3" s="21"/>
      <c r="U3" s="14"/>
      <c r="V3" s="14"/>
      <c r="W3" s="14"/>
      <c r="X3" s="14"/>
      <c r="Y3" s="14"/>
      <c r="Z3" s="14"/>
      <c r="AA3" s="14"/>
      <c r="AB3" s="21"/>
    </row>
    <row x14ac:dyDescent="0.25" r="4" customHeight="1" ht="18.75">
      <c r="A4" s="16"/>
      <c r="B4" s="16" t="s">
        <v>80</v>
      </c>
      <c r="C4" s="71">
        <v>200</v>
      </c>
      <c r="D4" s="14" t="s">
        <v>33</v>
      </c>
      <c r="E4" s="21"/>
      <c r="F4" s="15"/>
      <c r="G4" s="14"/>
      <c r="H4" s="14"/>
      <c r="I4" s="14"/>
      <c r="J4" s="14"/>
      <c r="K4" s="14"/>
      <c r="L4" s="16"/>
      <c r="M4" s="14"/>
      <c r="N4" s="14"/>
      <c r="O4" s="14"/>
      <c r="P4" s="14"/>
      <c r="Q4" s="14"/>
      <c r="R4" s="14"/>
      <c r="S4" s="14"/>
      <c r="T4" s="21"/>
      <c r="U4" s="14"/>
      <c r="V4" s="14"/>
      <c r="W4" s="14"/>
      <c r="X4" s="14"/>
      <c r="Y4" s="14"/>
      <c r="Z4" s="14"/>
      <c r="AA4" s="14"/>
      <c r="AB4" s="21"/>
    </row>
    <row x14ac:dyDescent="0.25" r="5" customHeight="1" ht="18.75">
      <c r="A5" s="16"/>
      <c r="B5" s="16" t="s">
        <v>81</v>
      </c>
      <c r="C5" s="71">
        <v>750</v>
      </c>
      <c r="D5" s="14" t="s">
        <v>33</v>
      </c>
      <c r="E5" s="21"/>
      <c r="F5" s="15"/>
      <c r="G5" s="14"/>
      <c r="H5" s="14"/>
      <c r="I5" s="14"/>
      <c r="J5" s="14"/>
      <c r="K5" s="14"/>
      <c r="L5" s="16"/>
      <c r="M5" s="14"/>
      <c r="N5" s="14"/>
      <c r="O5" s="14"/>
      <c r="P5" s="14"/>
      <c r="Q5" s="14"/>
      <c r="R5" s="14"/>
      <c r="S5" s="14"/>
      <c r="T5" s="21"/>
      <c r="U5" s="14"/>
      <c r="V5" s="14"/>
      <c r="W5" s="14"/>
      <c r="X5" s="14"/>
      <c r="Y5" s="14"/>
      <c r="Z5" s="14"/>
      <c r="AA5" s="14"/>
      <c r="AB5" s="21"/>
    </row>
    <row x14ac:dyDescent="0.25" r="6" customHeight="1" ht="18.75">
      <c r="A6" s="16"/>
      <c r="B6" s="16" t="s">
        <v>82</v>
      </c>
      <c r="C6" s="155">
        <v>0.5</v>
      </c>
      <c r="D6" s="14"/>
      <c r="E6" s="21"/>
      <c r="F6" s="15"/>
      <c r="G6" s="14"/>
      <c r="H6" s="14"/>
      <c r="I6" s="14"/>
      <c r="J6" s="14"/>
      <c r="K6" s="14"/>
      <c r="L6" s="16"/>
      <c r="M6" s="14"/>
      <c r="N6" s="14"/>
      <c r="O6" s="14"/>
      <c r="P6" s="14"/>
      <c r="Q6" s="14"/>
      <c r="R6" s="14"/>
      <c r="S6" s="14"/>
      <c r="T6" s="21"/>
      <c r="U6" s="14"/>
      <c r="V6" s="14"/>
      <c r="W6" s="14"/>
      <c r="X6" s="14"/>
      <c r="Y6" s="14"/>
      <c r="Z6" s="14"/>
      <c r="AA6" s="14"/>
      <c r="AB6" s="21"/>
    </row>
    <row x14ac:dyDescent="0.25" r="7" customHeight="1" ht="18.75">
      <c r="A7" s="16"/>
      <c r="B7" s="16" t="s">
        <v>83</v>
      </c>
      <c r="C7" s="71">
        <v>125</v>
      </c>
      <c r="D7" s="14" t="s">
        <v>84</v>
      </c>
      <c r="E7" s="21" t="s">
        <v>85</v>
      </c>
      <c r="F7" s="15"/>
      <c r="G7" s="14"/>
      <c r="H7" s="14"/>
      <c r="I7" s="14"/>
      <c r="J7" s="14"/>
      <c r="K7" s="14"/>
      <c r="L7" s="16"/>
      <c r="M7" s="14"/>
      <c r="N7" s="14"/>
      <c r="O7" s="14"/>
      <c r="P7" s="14"/>
      <c r="Q7" s="14"/>
      <c r="R7" s="14"/>
      <c r="S7" s="14"/>
      <c r="T7" s="21"/>
      <c r="U7" s="14"/>
      <c r="V7" s="14"/>
      <c r="W7" s="14"/>
      <c r="X7" s="14"/>
      <c r="Y7" s="14"/>
      <c r="Z7" s="14"/>
      <c r="AA7" s="14"/>
      <c r="AB7" s="21"/>
    </row>
    <row x14ac:dyDescent="0.25" r="8" customHeight="1" ht="18.75">
      <c r="A8" s="16"/>
      <c r="B8" s="16" t="s">
        <v>86</v>
      </c>
      <c r="C8" s="155">
        <f>C7*0.9</f>
      </c>
      <c r="D8" s="14" t="s">
        <v>84</v>
      </c>
      <c r="E8" s="21"/>
      <c r="F8" s="15"/>
      <c r="G8" s="14"/>
      <c r="H8" s="14"/>
      <c r="I8" s="14"/>
      <c r="J8" s="14"/>
      <c r="K8" s="14"/>
      <c r="L8" s="16"/>
      <c r="M8" s="14"/>
      <c r="N8" s="14"/>
      <c r="O8" s="14"/>
      <c r="P8" s="14"/>
      <c r="Q8" s="14"/>
      <c r="R8" s="14"/>
      <c r="S8" s="14"/>
      <c r="T8" s="21"/>
      <c r="U8" s="14"/>
      <c r="V8" s="14"/>
      <c r="W8" s="14"/>
      <c r="X8" s="14"/>
      <c r="Y8" s="14"/>
      <c r="Z8" s="14"/>
      <c r="AA8" s="14"/>
      <c r="AB8" s="21"/>
    </row>
    <row x14ac:dyDescent="0.25" r="9" customHeight="1" ht="18.75">
      <c r="A9" s="16"/>
      <c r="B9" s="16" t="s">
        <v>87</v>
      </c>
      <c r="C9" s="155">
        <f>C7*0.55</f>
      </c>
      <c r="D9" s="14" t="s">
        <v>84</v>
      </c>
      <c r="E9" s="21"/>
      <c r="F9" s="15"/>
      <c r="G9" s="14"/>
      <c r="H9" s="14"/>
      <c r="I9" s="14"/>
      <c r="J9" s="14"/>
      <c r="K9" s="14"/>
      <c r="L9" s="44"/>
      <c r="M9" s="48"/>
      <c r="N9" s="48"/>
      <c r="O9" s="48"/>
      <c r="P9" s="48"/>
      <c r="Q9" s="48"/>
      <c r="R9" s="48"/>
      <c r="S9" s="48"/>
      <c r="T9" s="49"/>
      <c r="U9" s="14"/>
      <c r="V9" s="14"/>
      <c r="W9" s="14"/>
      <c r="X9" s="14"/>
      <c r="Y9" s="14"/>
      <c r="Z9" s="14"/>
      <c r="AA9" s="14"/>
      <c r="AB9" s="21"/>
    </row>
    <row x14ac:dyDescent="0.25" r="10" customHeight="1" ht="18.75">
      <c r="A10" s="16"/>
      <c r="B10" s="44" t="s">
        <v>88</v>
      </c>
      <c r="C10" s="156">
        <f>115/C7</f>
      </c>
      <c r="D10" s="48"/>
      <c r="E10" s="49"/>
      <c r="F10" s="15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21"/>
    </row>
    <row x14ac:dyDescent="0.25" r="11" customHeight="1" ht="18.75">
      <c r="A11" s="16"/>
      <c r="B11" s="14"/>
      <c r="C11" s="15"/>
      <c r="D11" s="14"/>
      <c r="E11" s="14"/>
      <c r="F11" s="15"/>
      <c r="G11" s="14"/>
      <c r="H11" s="14"/>
      <c r="I11" s="14"/>
      <c r="J11" s="14"/>
      <c r="K11" s="14"/>
      <c r="L11" s="1"/>
      <c r="M11" s="6"/>
      <c r="N11" s="6"/>
      <c r="O11" s="6"/>
      <c r="P11" s="6"/>
      <c r="Q11" s="6"/>
      <c r="R11" s="10"/>
      <c r="S11" s="14"/>
      <c r="T11" s="1"/>
      <c r="U11" s="6"/>
      <c r="V11" s="6"/>
      <c r="W11" s="6"/>
      <c r="X11" s="6"/>
      <c r="Y11" s="6"/>
      <c r="Z11" s="6"/>
      <c r="AA11" s="10"/>
      <c r="AB11" s="21"/>
    </row>
    <row x14ac:dyDescent="0.25" r="12" customHeight="1" ht="18.75">
      <c r="A12" s="16"/>
      <c r="B12" s="14"/>
      <c r="C12" s="15"/>
      <c r="D12" s="14"/>
      <c r="E12" s="14"/>
      <c r="F12" s="15"/>
      <c r="G12" s="14"/>
      <c r="H12" s="14"/>
      <c r="I12" s="14"/>
      <c r="J12" s="14"/>
      <c r="K12" s="14"/>
      <c r="L12" s="16"/>
      <c r="M12" s="14"/>
      <c r="N12" s="14"/>
      <c r="O12" s="14"/>
      <c r="P12" s="14"/>
      <c r="Q12" s="14"/>
      <c r="R12" s="21"/>
      <c r="S12" s="14"/>
      <c r="T12" s="16"/>
      <c r="U12" s="14"/>
      <c r="V12" s="14"/>
      <c r="W12" s="14"/>
      <c r="X12" s="14"/>
      <c r="Y12" s="14"/>
      <c r="Z12" s="14"/>
      <c r="AA12" s="21"/>
      <c r="AB12" s="21"/>
    </row>
    <row x14ac:dyDescent="0.25" r="13" customHeight="1" ht="18.75">
      <c r="A13" s="157" t="s">
        <v>89</v>
      </c>
      <c r="B13" s="6"/>
      <c r="C13" s="9"/>
      <c r="D13" s="6"/>
      <c r="E13" s="6"/>
      <c r="F13" s="9"/>
      <c r="G13" s="6"/>
      <c r="H13" s="6"/>
      <c r="I13" s="10"/>
      <c r="J13" s="14"/>
      <c r="K13" s="14"/>
      <c r="L13" s="16"/>
      <c r="M13" s="14"/>
      <c r="N13" s="14"/>
      <c r="O13" s="14"/>
      <c r="P13" s="14"/>
      <c r="Q13" s="14"/>
      <c r="R13" s="21"/>
      <c r="S13" s="14"/>
      <c r="T13" s="16"/>
      <c r="U13" s="14"/>
      <c r="V13" s="14"/>
      <c r="W13" s="14"/>
      <c r="X13" s="14"/>
      <c r="Y13" s="14"/>
      <c r="Z13" s="14"/>
      <c r="AA13" s="21"/>
      <c r="AB13" s="21"/>
    </row>
    <row x14ac:dyDescent="0.25" r="14" customHeight="1" ht="18.75">
      <c r="A14" s="16"/>
      <c r="B14" s="14"/>
      <c r="C14" s="15"/>
      <c r="D14" s="14"/>
      <c r="E14" s="14"/>
      <c r="F14" s="15"/>
      <c r="G14" s="14"/>
      <c r="H14" s="14"/>
      <c r="I14" s="21"/>
      <c r="J14" s="14"/>
      <c r="K14" s="14"/>
      <c r="L14" s="16"/>
      <c r="M14" s="14"/>
      <c r="N14" s="14"/>
      <c r="O14" s="14"/>
      <c r="P14" s="14"/>
      <c r="Q14" s="14"/>
      <c r="R14" s="21"/>
      <c r="S14" s="14"/>
      <c r="T14" s="16"/>
      <c r="U14" s="14"/>
      <c r="V14" s="14"/>
      <c r="W14" s="14"/>
      <c r="X14" s="14"/>
      <c r="Y14" s="14"/>
      <c r="Z14" s="14"/>
      <c r="AA14" s="21"/>
      <c r="AB14" s="21"/>
    </row>
    <row x14ac:dyDescent="0.25" r="15" customHeight="1" ht="18.75">
      <c r="A15" s="16"/>
      <c r="B15" s="14"/>
      <c r="C15" s="15"/>
      <c r="D15" s="14"/>
      <c r="E15" s="14"/>
      <c r="F15" s="15"/>
      <c r="G15" s="14"/>
      <c r="H15" s="14"/>
      <c r="I15" s="21"/>
      <c r="J15" s="14"/>
      <c r="K15" s="14"/>
      <c r="L15" s="16"/>
      <c r="M15" s="14"/>
      <c r="N15" s="14"/>
      <c r="O15" s="14"/>
      <c r="P15" s="14"/>
      <c r="Q15" s="14"/>
      <c r="R15" s="21"/>
      <c r="S15" s="14"/>
      <c r="T15" s="16"/>
      <c r="U15" s="14"/>
      <c r="V15" s="14"/>
      <c r="W15" s="14"/>
      <c r="X15" s="14"/>
      <c r="Y15" s="14"/>
      <c r="Z15" s="14"/>
      <c r="AA15" s="21"/>
      <c r="AB15" s="21"/>
    </row>
    <row x14ac:dyDescent="0.25" r="16" customHeight="1" ht="18.75">
      <c r="A16" s="16"/>
      <c r="B16" s="14"/>
      <c r="C16" s="15"/>
      <c r="D16" s="14"/>
      <c r="E16" s="14"/>
      <c r="F16" s="15"/>
      <c r="G16" s="14"/>
      <c r="H16" s="14"/>
      <c r="I16" s="21"/>
      <c r="J16" s="14"/>
      <c r="K16" s="14"/>
      <c r="L16" s="16"/>
      <c r="M16" s="14"/>
      <c r="N16" s="14"/>
      <c r="O16" s="14"/>
      <c r="P16" s="14"/>
      <c r="Q16" s="14"/>
      <c r="R16" s="21"/>
      <c r="S16" s="14"/>
      <c r="T16" s="16"/>
      <c r="U16" s="14"/>
      <c r="V16" s="14"/>
      <c r="W16" s="14"/>
      <c r="X16" s="14"/>
      <c r="Y16" s="14"/>
      <c r="Z16" s="14"/>
      <c r="AA16" s="21"/>
      <c r="AB16" s="21"/>
    </row>
    <row x14ac:dyDescent="0.25" r="17" customHeight="1" ht="18.75">
      <c r="A17" s="16"/>
      <c r="B17" s="14"/>
      <c r="C17" s="15"/>
      <c r="D17" s="14"/>
      <c r="E17" s="14"/>
      <c r="F17" s="15"/>
      <c r="G17" s="14"/>
      <c r="H17" s="14"/>
      <c r="I17" s="21"/>
      <c r="J17" s="14"/>
      <c r="K17" s="14"/>
      <c r="L17" s="16"/>
      <c r="M17" s="14"/>
      <c r="N17" s="14"/>
      <c r="O17" s="14"/>
      <c r="P17" s="14"/>
      <c r="Q17" s="14"/>
      <c r="R17" s="21"/>
      <c r="S17" s="14"/>
      <c r="T17" s="16"/>
      <c r="U17" s="14"/>
      <c r="V17" s="14"/>
      <c r="W17" s="14"/>
      <c r="X17" s="14"/>
      <c r="Y17" s="14"/>
      <c r="Z17" s="14"/>
      <c r="AA17" s="21"/>
      <c r="AB17" s="21"/>
    </row>
    <row x14ac:dyDescent="0.25" r="18" customHeight="1" ht="18.75">
      <c r="A18" s="16"/>
      <c r="B18" s="14"/>
      <c r="C18" s="15"/>
      <c r="D18" s="14"/>
      <c r="E18" s="14"/>
      <c r="F18" s="15"/>
      <c r="G18" s="14"/>
      <c r="H18" s="14"/>
      <c r="I18" s="21"/>
      <c r="J18" s="14"/>
      <c r="K18" s="14"/>
      <c r="L18" s="16"/>
      <c r="M18" s="14"/>
      <c r="N18" s="14"/>
      <c r="O18" s="14"/>
      <c r="P18" s="14"/>
      <c r="Q18" s="14"/>
      <c r="R18" s="21"/>
      <c r="S18" s="14"/>
      <c r="T18" s="16"/>
      <c r="U18" s="14"/>
      <c r="V18" s="14"/>
      <c r="W18" s="14"/>
      <c r="X18" s="14"/>
      <c r="Y18" s="14"/>
      <c r="Z18" s="14"/>
      <c r="AA18" s="21"/>
      <c r="AB18" s="21"/>
    </row>
    <row x14ac:dyDescent="0.25" r="19" customHeight="1" ht="18.75">
      <c r="A19" s="16"/>
      <c r="B19" s="14"/>
      <c r="C19" s="15"/>
      <c r="D19" s="14"/>
      <c r="E19" s="14"/>
      <c r="F19" s="15"/>
      <c r="G19" s="14"/>
      <c r="H19" s="14"/>
      <c r="I19" s="21"/>
      <c r="J19" s="14"/>
      <c r="K19" s="14"/>
      <c r="L19" s="16"/>
      <c r="M19" s="14"/>
      <c r="N19" s="14"/>
      <c r="O19" s="14"/>
      <c r="P19" s="14"/>
      <c r="Q19" s="14"/>
      <c r="R19" s="21"/>
      <c r="S19" s="14"/>
      <c r="T19" s="16"/>
      <c r="U19" s="14"/>
      <c r="V19" s="14"/>
      <c r="W19" s="14"/>
      <c r="X19" s="14"/>
      <c r="Y19" s="14"/>
      <c r="Z19" s="14"/>
      <c r="AA19" s="21"/>
      <c r="AB19" s="21"/>
    </row>
    <row x14ac:dyDescent="0.25" r="20" customHeight="1" ht="18.75">
      <c r="A20" s="16"/>
      <c r="B20" s="14"/>
      <c r="C20" s="15"/>
      <c r="D20" s="14"/>
      <c r="E20" s="14"/>
      <c r="F20" s="15"/>
      <c r="G20" s="14"/>
      <c r="H20" s="14"/>
      <c r="I20" s="21"/>
      <c r="J20" s="14"/>
      <c r="K20" s="14"/>
      <c r="L20" s="16"/>
      <c r="M20" s="14"/>
      <c r="N20" s="14"/>
      <c r="O20" s="14"/>
      <c r="P20" s="14"/>
      <c r="Q20" s="14"/>
      <c r="R20" s="21"/>
      <c r="S20" s="14"/>
      <c r="T20" s="16"/>
      <c r="U20" s="14"/>
      <c r="V20" s="14"/>
      <c r="W20" s="14"/>
      <c r="X20" s="14"/>
      <c r="Y20" s="14"/>
      <c r="Z20" s="14"/>
      <c r="AA20" s="21"/>
      <c r="AB20" s="21"/>
    </row>
    <row x14ac:dyDescent="0.25" r="21" customHeight="1" ht="18.75">
      <c r="A21" s="16"/>
      <c r="B21" s="14"/>
      <c r="C21" s="15"/>
      <c r="D21" s="14"/>
      <c r="E21" s="14"/>
      <c r="F21" s="15"/>
      <c r="G21" s="14"/>
      <c r="H21" s="14"/>
      <c r="I21" s="21"/>
      <c r="J21" s="14"/>
      <c r="K21" s="14"/>
      <c r="L21" s="16"/>
      <c r="M21" s="14"/>
      <c r="N21" s="14"/>
      <c r="O21" s="14"/>
      <c r="P21" s="14"/>
      <c r="Q21" s="14"/>
      <c r="R21" s="21"/>
      <c r="S21" s="14"/>
      <c r="T21" s="16"/>
      <c r="U21" s="14"/>
      <c r="V21" s="14"/>
      <c r="W21" s="14"/>
      <c r="X21" s="14"/>
      <c r="Y21" s="14"/>
      <c r="Z21" s="14"/>
      <c r="AA21" s="21"/>
      <c r="AB21" s="21"/>
    </row>
    <row x14ac:dyDescent="0.25" r="22" customHeight="1" ht="18.75">
      <c r="A22" s="16"/>
      <c r="B22" s="22" t="s">
        <v>90</v>
      </c>
      <c r="C22" s="158">
        <f>0.7*('ABS Datos de entrada'!B12*paneles!C10)^0.5+1</f>
      </c>
      <c r="D22" s="58" t="s">
        <v>33</v>
      </c>
      <c r="E22" s="14"/>
      <c r="F22" s="15"/>
      <c r="G22" s="14"/>
      <c r="H22" s="14"/>
      <c r="I22" s="21"/>
      <c r="J22" s="14"/>
      <c r="K22" s="14"/>
      <c r="L22" s="16"/>
      <c r="M22" s="14"/>
      <c r="N22" s="14"/>
      <c r="O22" s="14"/>
      <c r="P22" s="14"/>
      <c r="Q22" s="14"/>
      <c r="R22" s="21"/>
      <c r="S22" s="14"/>
      <c r="T22" s="16"/>
      <c r="U22" s="14"/>
      <c r="V22" s="14"/>
      <c r="W22" s="14"/>
      <c r="X22" s="14"/>
      <c r="Y22" s="14"/>
      <c r="Z22" s="14"/>
      <c r="AA22" s="21"/>
      <c r="AB22" s="21"/>
    </row>
    <row x14ac:dyDescent="0.25" r="23" customHeight="1" ht="18.75">
      <c r="A23" s="16"/>
      <c r="B23" s="14"/>
      <c r="C23" s="15"/>
      <c r="D23" s="14"/>
      <c r="E23" s="14" t="s">
        <v>91</v>
      </c>
      <c r="F23" s="38">
        <f>IF(IF(C24&lt;C22,C22,C24)&lt;3.5,3.5,IF(C24&lt;C22,C22,C24))</f>
      </c>
      <c r="G23" s="14" t="s">
        <v>33</v>
      </c>
      <c r="H23" s="159" t="s">
        <v>92</v>
      </c>
      <c r="I23" s="21"/>
      <c r="J23" s="14"/>
      <c r="K23" s="14"/>
      <c r="L23" s="16"/>
      <c r="M23" s="14"/>
      <c r="N23" s="14"/>
      <c r="O23" s="14"/>
      <c r="P23" s="14"/>
      <c r="Q23" s="14"/>
      <c r="R23" s="21"/>
      <c r="S23" s="14"/>
      <c r="T23" s="16"/>
      <c r="U23" s="14"/>
      <c r="V23" s="14"/>
      <c r="W23" s="14"/>
      <c r="X23" s="14"/>
      <c r="Y23" s="14"/>
      <c r="Z23" s="14"/>
      <c r="AA23" s="21"/>
      <c r="AB23" s="21"/>
    </row>
    <row x14ac:dyDescent="0.25" r="24" customHeight="1" ht="18.75">
      <c r="A24" s="16"/>
      <c r="B24" s="22" t="s">
        <v>93</v>
      </c>
      <c r="C24" s="160">
        <f>C4*('ABS Presiones de diseño'!B18*paneles!C6/(1000*paneles!C8))^0.5</f>
      </c>
      <c r="D24" s="58" t="s">
        <v>33</v>
      </c>
      <c r="E24" s="14"/>
      <c r="F24" s="15"/>
      <c r="G24" s="14"/>
      <c r="H24" s="161" t="s">
        <v>94</v>
      </c>
      <c r="I24" s="21"/>
      <c r="J24" s="14"/>
      <c r="K24" s="14"/>
      <c r="L24" s="16"/>
      <c r="M24" s="14"/>
      <c r="N24" s="14"/>
      <c r="O24" s="14"/>
      <c r="P24" s="14"/>
      <c r="Q24" s="14"/>
      <c r="R24" s="21"/>
      <c r="S24" s="14"/>
      <c r="T24" s="16"/>
      <c r="U24" s="14"/>
      <c r="V24" s="14"/>
      <c r="W24" s="14"/>
      <c r="X24" s="14"/>
      <c r="Y24" s="14"/>
      <c r="Z24" s="14"/>
      <c r="AA24" s="21"/>
      <c r="AB24" s="21"/>
    </row>
    <row x14ac:dyDescent="0.25" r="25" customHeight="1" ht="18.75">
      <c r="A25" s="44"/>
      <c r="B25" s="48"/>
      <c r="C25" s="136"/>
      <c r="D25" s="48"/>
      <c r="E25" s="48"/>
      <c r="F25" s="136"/>
      <c r="G25" s="48"/>
      <c r="H25" s="48"/>
      <c r="I25" s="49"/>
      <c r="J25" s="14"/>
      <c r="K25" s="14"/>
      <c r="L25" s="16"/>
      <c r="M25" s="14"/>
      <c r="N25" s="14"/>
      <c r="O25" s="14"/>
      <c r="P25" s="14"/>
      <c r="Q25" s="14"/>
      <c r="R25" s="21"/>
      <c r="S25" s="14"/>
      <c r="T25" s="16"/>
      <c r="U25" s="14"/>
      <c r="V25" s="14"/>
      <c r="W25" s="14"/>
      <c r="X25" s="14"/>
      <c r="Y25" s="14"/>
      <c r="Z25" s="14"/>
      <c r="AA25" s="21"/>
      <c r="AB25" s="21"/>
    </row>
    <row x14ac:dyDescent="0.25" r="26" customHeight="1" ht="18.75">
      <c r="A26" s="1"/>
      <c r="B26" s="6"/>
      <c r="C26" s="9"/>
      <c r="D26" s="6"/>
      <c r="E26" s="6"/>
      <c r="F26" s="9"/>
      <c r="G26" s="6"/>
      <c r="H26" s="6"/>
      <c r="I26" s="10"/>
      <c r="J26" s="14"/>
      <c r="K26" s="14"/>
      <c r="L26" s="16"/>
      <c r="M26" s="14"/>
      <c r="N26" s="14"/>
      <c r="O26" s="14"/>
      <c r="P26" s="14"/>
      <c r="Q26" s="14"/>
      <c r="R26" s="21"/>
      <c r="S26" s="14"/>
      <c r="T26" s="16"/>
      <c r="U26" s="14"/>
      <c r="V26" s="14"/>
      <c r="W26" s="14"/>
      <c r="X26" s="14"/>
      <c r="Y26" s="14"/>
      <c r="Z26" s="14"/>
      <c r="AA26" s="21"/>
      <c r="AB26" s="21"/>
    </row>
    <row x14ac:dyDescent="0.25" r="27" customHeight="1" ht="18.75">
      <c r="A27" s="16"/>
      <c r="B27" s="14"/>
      <c r="C27" s="15"/>
      <c r="D27" s="14"/>
      <c r="E27" s="14"/>
      <c r="F27" s="15"/>
      <c r="G27" s="14"/>
      <c r="H27" s="14"/>
      <c r="I27" s="21"/>
      <c r="J27" s="14"/>
      <c r="K27" s="14"/>
      <c r="L27" s="16"/>
      <c r="M27" s="14"/>
      <c r="N27" s="14"/>
      <c r="O27" s="14"/>
      <c r="P27" s="14"/>
      <c r="Q27" s="14"/>
      <c r="R27" s="21"/>
      <c r="S27" s="14"/>
      <c r="T27" s="16"/>
      <c r="U27" s="14"/>
      <c r="V27" s="14"/>
      <c r="W27" s="14"/>
      <c r="X27" s="14"/>
      <c r="Y27" s="14"/>
      <c r="Z27" s="14"/>
      <c r="AA27" s="21"/>
      <c r="AB27" s="21"/>
    </row>
    <row x14ac:dyDescent="0.25" r="28" customHeight="1" ht="18.75">
      <c r="A28" s="16"/>
      <c r="B28" s="14"/>
      <c r="C28" s="15"/>
      <c r="D28" s="14"/>
      <c r="E28" s="14"/>
      <c r="F28" s="15"/>
      <c r="G28" s="14"/>
      <c r="H28" s="14"/>
      <c r="I28" s="21"/>
      <c r="J28" s="14"/>
      <c r="K28" s="14"/>
      <c r="L28" s="16"/>
      <c r="M28" s="14"/>
      <c r="N28" s="14"/>
      <c r="O28" s="14"/>
      <c r="P28" s="14"/>
      <c r="Q28" s="14"/>
      <c r="R28" s="21"/>
      <c r="S28" s="14"/>
      <c r="T28" s="16"/>
      <c r="U28" s="14"/>
      <c r="V28" s="14"/>
      <c r="W28" s="14"/>
      <c r="X28" s="14"/>
      <c r="Y28" s="14"/>
      <c r="Z28" s="14"/>
      <c r="AA28" s="21"/>
      <c r="AB28" s="21"/>
    </row>
    <row x14ac:dyDescent="0.25" r="29" customHeight="1" ht="18.75">
      <c r="A29" s="16"/>
      <c r="B29" s="14"/>
      <c r="C29" s="15"/>
      <c r="D29" s="14"/>
      <c r="E29" s="14"/>
      <c r="F29" s="15"/>
      <c r="G29" s="14"/>
      <c r="H29" s="14"/>
      <c r="I29" s="21"/>
      <c r="J29" s="14"/>
      <c r="K29" s="14"/>
      <c r="L29" s="16"/>
      <c r="M29" s="14"/>
      <c r="N29" s="14"/>
      <c r="O29" s="14"/>
      <c r="P29" s="14"/>
      <c r="Q29" s="14"/>
      <c r="R29" s="21"/>
      <c r="S29" s="14"/>
      <c r="T29" s="16"/>
      <c r="U29" s="14"/>
      <c r="V29" s="14"/>
      <c r="W29" s="14"/>
      <c r="X29" s="14"/>
      <c r="Y29" s="14"/>
      <c r="Z29" s="14"/>
      <c r="AA29" s="21"/>
      <c r="AB29" s="21"/>
    </row>
    <row x14ac:dyDescent="0.25" r="30" customHeight="1" ht="18.75">
      <c r="A30" s="16"/>
      <c r="B30" s="14"/>
      <c r="C30" s="15"/>
      <c r="D30" s="14"/>
      <c r="E30" s="14"/>
      <c r="F30" s="15"/>
      <c r="G30" s="14"/>
      <c r="H30" s="14"/>
      <c r="I30" s="21"/>
      <c r="J30" s="14"/>
      <c r="K30" s="14"/>
      <c r="L30" s="16"/>
      <c r="M30" s="14"/>
      <c r="N30" s="14"/>
      <c r="O30" s="14"/>
      <c r="P30" s="14"/>
      <c r="Q30" s="14"/>
      <c r="R30" s="21"/>
      <c r="S30" s="14"/>
      <c r="T30" s="16"/>
      <c r="U30" s="14"/>
      <c r="V30" s="14"/>
      <c r="W30" s="14"/>
      <c r="X30" s="14"/>
      <c r="Y30" s="14"/>
      <c r="Z30" s="14"/>
      <c r="AA30" s="21"/>
      <c r="AB30" s="21"/>
    </row>
    <row x14ac:dyDescent="0.25" r="31" customHeight="1" ht="18.75">
      <c r="A31" s="16"/>
      <c r="B31" s="14"/>
      <c r="C31" s="15"/>
      <c r="D31" s="14"/>
      <c r="E31" s="14"/>
      <c r="F31" s="15"/>
      <c r="G31" s="14"/>
      <c r="H31" s="14"/>
      <c r="I31" s="21"/>
      <c r="J31" s="14"/>
      <c r="K31" s="14"/>
      <c r="L31" s="16"/>
      <c r="M31" s="14"/>
      <c r="N31" s="14"/>
      <c r="O31" s="14"/>
      <c r="P31" s="14"/>
      <c r="Q31" s="14"/>
      <c r="R31" s="21"/>
      <c r="S31" s="14"/>
      <c r="T31" s="16"/>
      <c r="U31" s="14"/>
      <c r="V31" s="14"/>
      <c r="W31" s="14"/>
      <c r="X31" s="14"/>
      <c r="Y31" s="14"/>
      <c r="Z31" s="14"/>
      <c r="AA31" s="21"/>
      <c r="AB31" s="21"/>
    </row>
    <row x14ac:dyDescent="0.25" r="32" customHeight="1" ht="18.75">
      <c r="A32" s="16"/>
      <c r="B32" s="14"/>
      <c r="C32" s="15"/>
      <c r="D32" s="14"/>
      <c r="E32" s="14"/>
      <c r="F32" s="15"/>
      <c r="G32" s="14"/>
      <c r="H32" s="14"/>
      <c r="I32" s="21"/>
      <c r="J32" s="14"/>
      <c r="K32" s="14"/>
      <c r="L32" s="16"/>
      <c r="M32" s="14"/>
      <c r="N32" s="14"/>
      <c r="O32" s="14"/>
      <c r="P32" s="14"/>
      <c r="Q32" s="14"/>
      <c r="R32" s="21"/>
      <c r="S32" s="14"/>
      <c r="T32" s="16"/>
      <c r="U32" s="14"/>
      <c r="V32" s="14"/>
      <c r="W32" s="14"/>
      <c r="X32" s="14"/>
      <c r="Y32" s="14"/>
      <c r="Z32" s="14"/>
      <c r="AA32" s="21"/>
      <c r="AB32" s="21"/>
    </row>
    <row x14ac:dyDescent="0.25" r="33" customHeight="1" ht="18.75">
      <c r="A33" s="16"/>
      <c r="B33" s="14"/>
      <c r="C33" s="15"/>
      <c r="D33" s="14"/>
      <c r="E33" s="14"/>
      <c r="F33" s="15"/>
      <c r="G33" s="14"/>
      <c r="H33" s="14"/>
      <c r="I33" s="21"/>
      <c r="J33" s="14"/>
      <c r="K33" s="14"/>
      <c r="L33" s="16"/>
      <c r="M33" s="14"/>
      <c r="N33" s="14"/>
      <c r="O33" s="14"/>
      <c r="P33" s="14"/>
      <c r="Q33" s="14"/>
      <c r="R33" s="21"/>
      <c r="S33" s="14"/>
      <c r="T33" s="16"/>
      <c r="U33" s="14"/>
      <c r="V33" s="14"/>
      <c r="W33" s="14"/>
      <c r="X33" s="14"/>
      <c r="Y33" s="14"/>
      <c r="Z33" s="14"/>
      <c r="AA33" s="21"/>
      <c r="AB33" s="21"/>
    </row>
    <row x14ac:dyDescent="0.25" r="34" customHeight="1" ht="18.75">
      <c r="A34" s="16"/>
      <c r="B34" s="14"/>
      <c r="C34" s="15"/>
      <c r="D34" s="14"/>
      <c r="E34" s="14"/>
      <c r="F34" s="15"/>
      <c r="G34" s="14"/>
      <c r="H34" s="14"/>
      <c r="I34" s="21"/>
      <c r="J34" s="14"/>
      <c r="K34" s="14"/>
      <c r="L34" s="16"/>
      <c r="M34" s="14"/>
      <c r="N34" s="14"/>
      <c r="O34" s="14"/>
      <c r="P34" s="14"/>
      <c r="Q34" s="14"/>
      <c r="R34" s="21"/>
      <c r="S34" s="14"/>
      <c r="T34" s="16"/>
      <c r="U34" s="14"/>
      <c r="V34" s="14"/>
      <c r="W34" s="14"/>
      <c r="X34" s="14"/>
      <c r="Y34" s="14"/>
      <c r="Z34" s="14"/>
      <c r="AA34" s="21"/>
      <c r="AB34" s="21"/>
    </row>
    <row x14ac:dyDescent="0.25" r="35" customHeight="1" ht="18.75">
      <c r="A35" s="16"/>
      <c r="B35" s="162" t="s">
        <v>80</v>
      </c>
      <c r="C35" s="163">
        <v>250</v>
      </c>
      <c r="D35" s="58" t="s">
        <v>33</v>
      </c>
      <c r="E35" s="14"/>
      <c r="F35" s="15"/>
      <c r="G35" s="14"/>
      <c r="H35" s="14"/>
      <c r="I35" s="21"/>
      <c r="J35" s="14"/>
      <c r="K35" s="14"/>
      <c r="L35" s="44"/>
      <c r="M35" s="48"/>
      <c r="N35" s="48"/>
      <c r="O35" s="48"/>
      <c r="P35" s="48"/>
      <c r="Q35" s="48"/>
      <c r="R35" s="49"/>
      <c r="S35" s="14"/>
      <c r="T35" s="44"/>
      <c r="U35" s="48"/>
      <c r="V35" s="48"/>
      <c r="W35" s="48"/>
      <c r="X35" s="48"/>
      <c r="Y35" s="48"/>
      <c r="Z35" s="48"/>
      <c r="AA35" s="49"/>
      <c r="AB35" s="21"/>
    </row>
    <row x14ac:dyDescent="0.25" r="36" customHeight="1" ht="18.75">
      <c r="A36" s="16"/>
      <c r="B36" s="14"/>
      <c r="C36" s="15"/>
      <c r="D36" s="14"/>
      <c r="E36" s="14"/>
      <c r="F36" s="15"/>
      <c r="G36" s="14"/>
      <c r="H36" s="14"/>
      <c r="I36" s="21"/>
      <c r="J36" s="14"/>
      <c r="K36" s="14"/>
      <c r="L36" s="51" t="s">
        <v>95</v>
      </c>
      <c r="M36" s="52"/>
      <c r="N36" s="52"/>
      <c r="O36" s="52"/>
      <c r="P36" s="52"/>
      <c r="Q36" s="52"/>
      <c r="R36" s="147"/>
      <c r="S36" s="14"/>
      <c r="T36" s="14"/>
      <c r="U36" s="14"/>
      <c r="V36" s="14"/>
      <c r="W36" s="14"/>
      <c r="X36" s="14"/>
      <c r="Y36" s="14"/>
      <c r="Z36" s="14"/>
      <c r="AA36" s="14"/>
      <c r="AB36" s="21"/>
    </row>
    <row x14ac:dyDescent="0.25" r="37" customHeight="1" ht="18.75">
      <c r="A37" s="16"/>
      <c r="B37" s="22" t="s">
        <v>90</v>
      </c>
      <c r="C37" s="158">
        <f>0.62*('ABS Datos de entrada'!B12*paneles!C10)^0.5+1</f>
      </c>
      <c r="D37" s="58" t="s">
        <v>33</v>
      </c>
      <c r="E37" s="14"/>
      <c r="F37" s="15"/>
      <c r="G37" s="14"/>
      <c r="H37" s="14"/>
      <c r="I37" s="21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21"/>
    </row>
    <row x14ac:dyDescent="0.25" r="38" customHeight="1" ht="18.75">
      <c r="A38" s="16"/>
      <c r="B38" s="14"/>
      <c r="C38" s="15"/>
      <c r="D38" s="14"/>
      <c r="E38" s="14" t="s">
        <v>91</v>
      </c>
      <c r="F38" s="38">
        <f>IF(IF(C37&lt;C39,C39,C37)&lt;3.5,3.5,IF(C37&lt;C39,C39,C37))</f>
      </c>
      <c r="G38" s="14" t="s">
        <v>33</v>
      </c>
      <c r="H38" s="159" t="s">
        <v>96</v>
      </c>
      <c r="I38" s="161"/>
      <c r="J38" s="14"/>
      <c r="K38" s="14"/>
      <c r="L38" s="1"/>
      <c r="M38" s="6"/>
      <c r="N38" s="6"/>
      <c r="O38" s="6"/>
      <c r="P38" s="6"/>
      <c r="Q38" s="6"/>
      <c r="R38" s="10"/>
      <c r="S38" s="14"/>
      <c r="T38" s="14"/>
      <c r="U38" s="14"/>
      <c r="V38" s="14"/>
      <c r="W38" s="14"/>
      <c r="X38" s="14"/>
      <c r="Y38" s="14"/>
      <c r="Z38" s="14"/>
      <c r="AA38" s="14"/>
      <c r="AB38" s="21"/>
    </row>
    <row x14ac:dyDescent="0.25" r="39" customHeight="1" ht="18.75">
      <c r="A39" s="16"/>
      <c r="B39" s="22" t="s">
        <v>93</v>
      </c>
      <c r="C39" s="158">
        <f>C35*('ABS Presiones de diseño'!B27*paneles!C6/(1000*paneles!C8))^0.5</f>
      </c>
      <c r="D39" s="58" t="s">
        <v>33</v>
      </c>
      <c r="E39" s="14"/>
      <c r="F39" s="15"/>
      <c r="G39" s="14"/>
      <c r="H39" s="161" t="s">
        <v>94</v>
      </c>
      <c r="I39" s="21"/>
      <c r="J39" s="14"/>
      <c r="K39" s="14"/>
      <c r="L39" s="16"/>
      <c r="M39" s="14"/>
      <c r="N39" s="14"/>
      <c r="O39" s="14"/>
      <c r="P39" s="14"/>
      <c r="Q39" s="14"/>
      <c r="R39" s="21"/>
      <c r="S39" s="14"/>
      <c r="T39" s="14"/>
      <c r="U39" s="14"/>
      <c r="V39" s="14"/>
      <c r="W39" s="14"/>
      <c r="X39" s="14"/>
      <c r="Y39" s="14"/>
      <c r="Z39" s="14"/>
      <c r="AA39" s="14"/>
      <c r="AB39" s="21"/>
    </row>
    <row x14ac:dyDescent="0.25" r="40" customHeight="1" ht="18.75">
      <c r="A40" s="44"/>
      <c r="B40" s="48"/>
      <c r="C40" s="136"/>
      <c r="D40" s="48"/>
      <c r="E40" s="48"/>
      <c r="F40" s="136"/>
      <c r="G40" s="48"/>
      <c r="H40" s="48"/>
      <c r="I40" s="49"/>
      <c r="J40" s="14"/>
      <c r="K40" s="14"/>
      <c r="L40" s="16"/>
      <c r="M40" s="14"/>
      <c r="N40" s="14"/>
      <c r="O40" s="14"/>
      <c r="P40" s="14"/>
      <c r="Q40" s="14"/>
      <c r="R40" s="21"/>
      <c r="S40" s="14"/>
      <c r="T40" s="14"/>
      <c r="U40" s="14"/>
      <c r="V40" s="14"/>
      <c r="W40" s="14"/>
      <c r="X40" s="14"/>
      <c r="Y40" s="14"/>
      <c r="Z40" s="14"/>
      <c r="AA40" s="14"/>
      <c r="AB40" s="21"/>
    </row>
    <row x14ac:dyDescent="0.25" r="41" customHeight="1" ht="18.75">
      <c r="A41" s="16"/>
      <c r="B41" s="14"/>
      <c r="C41" s="15"/>
      <c r="D41" s="14"/>
      <c r="E41" s="14"/>
      <c r="F41" s="15"/>
      <c r="G41" s="14"/>
      <c r="H41" s="14"/>
      <c r="I41" s="14"/>
      <c r="J41" s="14"/>
      <c r="K41" s="14"/>
      <c r="L41" s="16"/>
      <c r="M41" s="14"/>
      <c r="N41" s="14"/>
      <c r="O41" s="14"/>
      <c r="P41" s="14"/>
      <c r="Q41" s="14"/>
      <c r="R41" s="21"/>
      <c r="S41" s="14"/>
      <c r="T41" s="14"/>
      <c r="U41" s="14"/>
      <c r="V41" s="14"/>
      <c r="W41" s="14"/>
      <c r="X41" s="14"/>
      <c r="Y41" s="14"/>
      <c r="Z41" s="14"/>
      <c r="AA41" s="14"/>
      <c r="AB41" s="21"/>
    </row>
    <row x14ac:dyDescent="0.25" r="42" customHeight="1" ht="18.75">
      <c r="A42" s="16"/>
      <c r="B42" s="14"/>
      <c r="C42" s="15"/>
      <c r="D42" s="14"/>
      <c r="E42" s="14"/>
      <c r="F42" s="15"/>
      <c r="G42" s="14"/>
      <c r="H42" s="14"/>
      <c r="I42" s="14"/>
      <c r="J42" s="14"/>
      <c r="K42" s="14"/>
      <c r="L42" s="16"/>
      <c r="M42" s="14"/>
      <c r="N42" s="14"/>
      <c r="O42" s="14"/>
      <c r="P42" s="14"/>
      <c r="Q42" s="14"/>
      <c r="R42" s="21"/>
      <c r="S42" s="14"/>
      <c r="T42" s="14"/>
      <c r="U42" s="14"/>
      <c r="V42" s="14"/>
      <c r="W42" s="14"/>
      <c r="X42" s="14"/>
      <c r="Y42" s="14"/>
      <c r="Z42" s="14"/>
      <c r="AA42" s="14"/>
      <c r="AB42" s="21"/>
    </row>
    <row x14ac:dyDescent="0.25" r="43" customHeight="1" ht="18.75">
      <c r="A43" s="1"/>
      <c r="B43" s="6"/>
      <c r="C43" s="9"/>
      <c r="D43" s="6"/>
      <c r="E43" s="6"/>
      <c r="F43" s="9"/>
      <c r="G43" s="6"/>
      <c r="H43" s="6"/>
      <c r="I43" s="10"/>
      <c r="J43" s="14"/>
      <c r="K43" s="14"/>
      <c r="L43" s="16"/>
      <c r="M43" s="14"/>
      <c r="N43" s="14"/>
      <c r="O43" s="14"/>
      <c r="P43" s="14"/>
      <c r="Q43" s="14"/>
      <c r="R43" s="21"/>
      <c r="S43" s="14"/>
      <c r="T43" s="14"/>
      <c r="U43" s="14"/>
      <c r="V43" s="14"/>
      <c r="W43" s="14"/>
      <c r="X43" s="14"/>
      <c r="Y43" s="14"/>
      <c r="Z43" s="14"/>
      <c r="AA43" s="14"/>
      <c r="AB43" s="21"/>
    </row>
    <row x14ac:dyDescent="0.25" r="44" customHeight="1" ht="18.75">
      <c r="A44" s="16"/>
      <c r="B44" s="14"/>
      <c r="C44" s="15"/>
      <c r="D44" s="14"/>
      <c r="E44" s="14"/>
      <c r="F44" s="15"/>
      <c r="G44" s="14"/>
      <c r="H44" s="14"/>
      <c r="I44" s="21"/>
      <c r="J44" s="14"/>
      <c r="K44" s="14"/>
      <c r="L44" s="16"/>
      <c r="M44" s="14"/>
      <c r="N44" s="14"/>
      <c r="O44" s="14"/>
      <c r="P44" s="14"/>
      <c r="Q44" s="14"/>
      <c r="R44" s="21"/>
      <c r="S44" s="14"/>
      <c r="T44" s="14"/>
      <c r="U44" s="14"/>
      <c r="V44" s="14"/>
      <c r="W44" s="14"/>
      <c r="X44" s="14"/>
      <c r="Y44" s="14"/>
      <c r="Z44" s="14"/>
      <c r="AA44" s="14"/>
      <c r="AB44" s="21"/>
    </row>
    <row x14ac:dyDescent="0.25" r="45" customHeight="1" ht="18.75">
      <c r="A45" s="16"/>
      <c r="B45" s="14"/>
      <c r="C45" s="15"/>
      <c r="D45" s="14"/>
      <c r="E45" s="14"/>
      <c r="F45" s="15"/>
      <c r="G45" s="14"/>
      <c r="H45" s="14"/>
      <c r="I45" s="21"/>
      <c r="J45" s="14"/>
      <c r="K45" s="14"/>
      <c r="L45" s="16"/>
      <c r="M45" s="14"/>
      <c r="N45" s="14"/>
      <c r="O45" s="14"/>
      <c r="P45" s="14"/>
      <c r="Q45" s="14"/>
      <c r="R45" s="21"/>
      <c r="S45" s="14"/>
      <c r="T45" s="14"/>
      <c r="U45" s="14"/>
      <c r="V45" s="14"/>
      <c r="W45" s="14"/>
      <c r="X45" s="14"/>
      <c r="Y45" s="14"/>
      <c r="Z45" s="14"/>
      <c r="AA45" s="14"/>
      <c r="AB45" s="21"/>
    </row>
    <row x14ac:dyDescent="0.25" r="46" customHeight="1" ht="18.75">
      <c r="A46" s="16"/>
      <c r="B46" s="14"/>
      <c r="C46" s="15"/>
      <c r="D46" s="14"/>
      <c r="E46" s="14"/>
      <c r="F46" s="15"/>
      <c r="G46" s="14"/>
      <c r="H46" s="14"/>
      <c r="I46" s="21"/>
      <c r="J46" s="14"/>
      <c r="K46" s="14"/>
      <c r="L46" s="16"/>
      <c r="M46" s="14"/>
      <c r="N46" s="14"/>
      <c r="O46" s="14"/>
      <c r="P46" s="14"/>
      <c r="Q46" s="14"/>
      <c r="R46" s="21"/>
      <c r="S46" s="14"/>
      <c r="T46" s="14"/>
      <c r="U46" s="14"/>
      <c r="V46" s="14"/>
      <c r="W46" s="14"/>
      <c r="X46" s="14"/>
      <c r="Y46" s="14"/>
      <c r="Z46" s="14"/>
      <c r="AA46" s="14"/>
      <c r="AB46" s="21"/>
    </row>
    <row x14ac:dyDescent="0.25" r="47" customHeight="1" ht="18.75">
      <c r="A47" s="16"/>
      <c r="B47" s="14"/>
      <c r="C47" s="15"/>
      <c r="D47" s="14"/>
      <c r="E47" s="14"/>
      <c r="F47" s="15"/>
      <c r="G47" s="14"/>
      <c r="H47" s="14"/>
      <c r="I47" s="21"/>
      <c r="J47" s="14"/>
      <c r="K47" s="14"/>
      <c r="L47" s="16"/>
      <c r="M47" s="14"/>
      <c r="N47" s="14"/>
      <c r="O47" s="14"/>
      <c r="P47" s="14"/>
      <c r="Q47" s="14"/>
      <c r="R47" s="21"/>
      <c r="S47" s="14"/>
      <c r="T47" s="14"/>
      <c r="U47" s="14"/>
      <c r="V47" s="14"/>
      <c r="W47" s="14"/>
      <c r="X47" s="14"/>
      <c r="Y47" s="14"/>
      <c r="Z47" s="14"/>
      <c r="AA47" s="14"/>
      <c r="AB47" s="21"/>
    </row>
    <row x14ac:dyDescent="0.25" r="48" customHeight="1" ht="18.75">
      <c r="A48" s="16"/>
      <c r="B48" s="14"/>
      <c r="C48" s="15"/>
      <c r="D48" s="14"/>
      <c r="E48" s="14"/>
      <c r="F48" s="15"/>
      <c r="G48" s="14"/>
      <c r="H48" s="14"/>
      <c r="I48" s="21"/>
      <c r="J48" s="14"/>
      <c r="K48" s="14"/>
      <c r="L48" s="16"/>
      <c r="M48" s="14"/>
      <c r="N48" s="14"/>
      <c r="O48" s="14"/>
      <c r="P48" s="14"/>
      <c r="Q48" s="14"/>
      <c r="R48" s="21"/>
      <c r="S48" s="14"/>
      <c r="T48" s="14"/>
      <c r="U48" s="14"/>
      <c r="V48" s="14"/>
      <c r="W48" s="14"/>
      <c r="X48" s="14"/>
      <c r="Y48" s="14"/>
      <c r="Z48" s="14"/>
      <c r="AA48" s="14"/>
      <c r="AB48" s="21"/>
    </row>
    <row x14ac:dyDescent="0.25" r="49" customHeight="1" ht="18.75">
      <c r="A49" s="16"/>
      <c r="B49" s="14"/>
      <c r="C49" s="15"/>
      <c r="D49" s="14"/>
      <c r="E49" s="14"/>
      <c r="F49" s="15"/>
      <c r="G49" s="14"/>
      <c r="H49" s="14"/>
      <c r="I49" s="21"/>
      <c r="J49" s="14"/>
      <c r="K49" s="14"/>
      <c r="L49" s="16"/>
      <c r="M49" s="14"/>
      <c r="N49" s="14"/>
      <c r="O49" s="14"/>
      <c r="P49" s="14"/>
      <c r="Q49" s="14"/>
      <c r="R49" s="21"/>
      <c r="S49" s="14"/>
      <c r="T49" s="14"/>
      <c r="U49" s="14"/>
      <c r="V49" s="14"/>
      <c r="W49" s="14"/>
      <c r="X49" s="14"/>
      <c r="Y49" s="14"/>
      <c r="Z49" s="14"/>
      <c r="AA49" s="14"/>
      <c r="AB49" s="21"/>
    </row>
    <row x14ac:dyDescent="0.25" r="50" customHeight="1" ht="18.75">
      <c r="A50" s="16"/>
      <c r="B50" s="14"/>
      <c r="C50" s="15"/>
      <c r="D50" s="14"/>
      <c r="E50" s="14"/>
      <c r="F50" s="15"/>
      <c r="G50" s="14"/>
      <c r="H50" s="14"/>
      <c r="I50" s="21"/>
      <c r="J50" s="14"/>
      <c r="K50" s="14"/>
      <c r="L50" s="16"/>
      <c r="M50" s="14"/>
      <c r="N50" s="14"/>
      <c r="O50" s="14"/>
      <c r="P50" s="14"/>
      <c r="Q50" s="14"/>
      <c r="R50" s="21"/>
      <c r="S50" s="14"/>
      <c r="T50" s="14"/>
      <c r="U50" s="14"/>
      <c r="V50" s="14"/>
      <c r="W50" s="14"/>
      <c r="X50" s="14"/>
      <c r="Y50" s="14"/>
      <c r="Z50" s="14"/>
      <c r="AA50" s="14"/>
      <c r="AB50" s="21"/>
    </row>
    <row x14ac:dyDescent="0.25" r="51" customHeight="1" ht="18.75">
      <c r="A51" s="16"/>
      <c r="B51" s="14"/>
      <c r="C51" s="15"/>
      <c r="D51" s="14"/>
      <c r="E51" s="14"/>
      <c r="F51" s="15"/>
      <c r="G51" s="14"/>
      <c r="H51" s="14"/>
      <c r="I51" s="21"/>
      <c r="J51" s="14"/>
      <c r="K51" s="14"/>
      <c r="L51" s="16"/>
      <c r="M51" s="14"/>
      <c r="N51" s="14"/>
      <c r="O51" s="14"/>
      <c r="P51" s="14"/>
      <c r="Q51" s="14"/>
      <c r="R51" s="21"/>
      <c r="S51" s="14"/>
      <c r="T51" s="14"/>
      <c r="U51" s="14"/>
      <c r="V51" s="14"/>
      <c r="W51" s="14"/>
      <c r="X51" s="14"/>
      <c r="Y51" s="14"/>
      <c r="Z51" s="14"/>
      <c r="AA51" s="14"/>
      <c r="AB51" s="21"/>
    </row>
    <row x14ac:dyDescent="0.25" r="52" customHeight="1" ht="18.75">
      <c r="A52" s="16"/>
      <c r="B52" s="1" t="s">
        <v>97</v>
      </c>
      <c r="C52" s="43">
        <v>250</v>
      </c>
      <c r="D52" s="10"/>
      <c r="E52" s="14"/>
      <c r="F52" s="15"/>
      <c r="G52" s="14"/>
      <c r="H52" s="14"/>
      <c r="I52" s="21"/>
      <c r="J52" s="14"/>
      <c r="K52" s="14"/>
      <c r="L52" s="16"/>
      <c r="M52" s="14"/>
      <c r="N52" s="14"/>
      <c r="O52" s="14"/>
      <c r="P52" s="14"/>
      <c r="Q52" s="14"/>
      <c r="R52" s="21"/>
      <c r="S52" s="14"/>
      <c r="T52" s="14"/>
      <c r="U52" s="14"/>
      <c r="V52" s="14"/>
      <c r="W52" s="14"/>
      <c r="X52" s="14"/>
      <c r="Y52" s="14"/>
      <c r="Z52" s="14"/>
      <c r="AA52" s="14"/>
      <c r="AB52" s="21"/>
    </row>
    <row x14ac:dyDescent="0.25" r="53" customHeight="1" ht="18.75">
      <c r="A53" s="16"/>
      <c r="B53" s="164" t="s">
        <v>98</v>
      </c>
      <c r="C53" s="165"/>
      <c r="D53" s="166"/>
      <c r="E53" s="14"/>
      <c r="F53" s="15"/>
      <c r="G53" s="14"/>
      <c r="H53" s="14"/>
      <c r="I53" s="21"/>
      <c r="J53" s="14"/>
      <c r="K53" s="14"/>
      <c r="L53" s="16"/>
      <c r="M53" s="14"/>
      <c r="N53" s="14"/>
      <c r="O53" s="14"/>
      <c r="P53" s="14"/>
      <c r="Q53" s="14"/>
      <c r="R53" s="21"/>
      <c r="S53" s="14"/>
      <c r="T53" s="14"/>
      <c r="U53" s="14"/>
      <c r="V53" s="14"/>
      <c r="W53" s="14"/>
      <c r="X53" s="14"/>
      <c r="Y53" s="14"/>
      <c r="Z53" s="14"/>
      <c r="AA53" s="14"/>
      <c r="AB53" s="21"/>
    </row>
    <row x14ac:dyDescent="0.25" r="54" customHeight="1" ht="18.75">
      <c r="A54" s="16"/>
      <c r="B54" s="167" t="s">
        <v>90</v>
      </c>
      <c r="C54" s="38">
        <f>0.52*('ABS Datos de entrada'!B12*paneles!C10)^0.5+1</f>
      </c>
      <c r="D54" s="21" t="s">
        <v>33</v>
      </c>
      <c r="E54" s="14"/>
      <c r="F54" s="15"/>
      <c r="G54" s="14"/>
      <c r="H54" s="14"/>
      <c r="I54" s="21"/>
      <c r="J54" s="14"/>
      <c r="K54" s="14"/>
      <c r="L54" s="16"/>
      <c r="M54" s="14"/>
      <c r="N54" s="14"/>
      <c r="O54" s="14"/>
      <c r="P54" s="14"/>
      <c r="Q54" s="14"/>
      <c r="R54" s="21"/>
      <c r="S54" s="14"/>
      <c r="T54" s="14"/>
      <c r="U54" s="14"/>
      <c r="V54" s="14"/>
      <c r="W54" s="14"/>
      <c r="X54" s="14"/>
      <c r="Y54" s="14"/>
      <c r="Z54" s="14"/>
      <c r="AA54" s="14"/>
      <c r="AB54" s="21"/>
    </row>
    <row x14ac:dyDescent="0.25" r="55" customHeight="1" ht="18.75">
      <c r="A55" s="16"/>
      <c r="B55" s="16"/>
      <c r="C55" s="15"/>
      <c r="D55" s="21"/>
      <c r="E55" s="14" t="s">
        <v>99</v>
      </c>
      <c r="F55" s="38">
        <f>IF(IF(C54&lt;C56,C56,C54)&lt;3.5,3.5,IF(C54&lt;C56,C56,C54))</f>
      </c>
      <c r="G55" s="14" t="s">
        <v>33</v>
      </c>
      <c r="H55" s="159" t="s">
        <v>96</v>
      </c>
      <c r="I55" s="161"/>
      <c r="J55" s="14"/>
      <c r="K55" s="14"/>
      <c r="L55" s="16"/>
      <c r="M55" s="14"/>
      <c r="N55" s="14"/>
      <c r="O55" s="14"/>
      <c r="P55" s="14"/>
      <c r="Q55" s="14"/>
      <c r="R55" s="21"/>
      <c r="S55" s="14"/>
      <c r="T55" s="14"/>
      <c r="U55" s="14"/>
      <c r="V55" s="14"/>
      <c r="W55" s="14"/>
      <c r="X55" s="14"/>
      <c r="Y55" s="14"/>
      <c r="Z55" s="14"/>
      <c r="AA55" s="14"/>
      <c r="AB55" s="21"/>
    </row>
    <row x14ac:dyDescent="0.25" r="56" customHeight="1" ht="18.75">
      <c r="A56" s="16"/>
      <c r="B56" s="124" t="s">
        <v>93</v>
      </c>
      <c r="C56" s="97">
        <f>C52*('ABS Presiones de diseño'!B52*paneles!C6/(1000*0.6*paneles!C7))^0.5</f>
      </c>
      <c r="D56" s="49" t="s">
        <v>33</v>
      </c>
      <c r="E56" s="14"/>
      <c r="F56" s="15"/>
      <c r="G56" s="14"/>
      <c r="H56" s="161" t="s">
        <v>94</v>
      </c>
      <c r="I56" s="21"/>
      <c r="J56" s="14"/>
      <c r="K56" s="14"/>
      <c r="L56" s="16"/>
      <c r="M56" s="14"/>
      <c r="N56" s="14"/>
      <c r="O56" s="14"/>
      <c r="P56" s="14"/>
      <c r="Q56" s="14"/>
      <c r="R56" s="21"/>
      <c r="S56" s="14"/>
      <c r="T56" s="14"/>
      <c r="U56" s="14"/>
      <c r="V56" s="14"/>
      <c r="W56" s="14"/>
      <c r="X56" s="14"/>
      <c r="Y56" s="14"/>
      <c r="Z56" s="14"/>
      <c r="AA56" s="14"/>
      <c r="AB56" s="21"/>
    </row>
    <row x14ac:dyDescent="0.25" r="57" customHeight="1" ht="18.75">
      <c r="A57" s="16"/>
      <c r="B57" s="14"/>
      <c r="C57" s="15"/>
      <c r="D57" s="14"/>
      <c r="E57" s="14"/>
      <c r="F57" s="15"/>
      <c r="G57" s="14"/>
      <c r="H57" s="14"/>
      <c r="I57" s="21"/>
      <c r="J57" s="14"/>
      <c r="K57" s="14"/>
      <c r="L57" s="16"/>
      <c r="M57" s="14"/>
      <c r="N57" s="14"/>
      <c r="O57" s="14"/>
      <c r="P57" s="14"/>
      <c r="Q57" s="14"/>
      <c r="R57" s="21"/>
      <c r="S57" s="14"/>
      <c r="T57" s="14"/>
      <c r="U57" s="14"/>
      <c r="V57" s="14"/>
      <c r="W57" s="14"/>
      <c r="X57" s="14"/>
      <c r="Y57" s="14"/>
      <c r="Z57" s="14"/>
      <c r="AA57" s="14"/>
      <c r="AB57" s="21"/>
    </row>
    <row x14ac:dyDescent="0.25" r="58" customHeight="1" ht="18.75">
      <c r="A58" s="16"/>
      <c r="B58" s="14"/>
      <c r="C58" s="15"/>
      <c r="D58" s="14"/>
      <c r="E58" s="14"/>
      <c r="F58" s="15"/>
      <c r="G58" s="14"/>
      <c r="H58" s="14"/>
      <c r="I58" s="21"/>
      <c r="J58" s="14"/>
      <c r="K58" s="14"/>
      <c r="L58" s="16"/>
      <c r="M58" s="14"/>
      <c r="N58" s="14"/>
      <c r="O58" s="14"/>
      <c r="P58" s="14"/>
      <c r="Q58" s="14"/>
      <c r="R58" s="21"/>
      <c r="S58" s="14"/>
      <c r="T58" s="14"/>
      <c r="U58" s="14"/>
      <c r="V58" s="14"/>
      <c r="W58" s="14"/>
      <c r="X58" s="14"/>
      <c r="Y58" s="14"/>
      <c r="Z58" s="14"/>
      <c r="AA58" s="14"/>
      <c r="AB58" s="21"/>
    </row>
    <row x14ac:dyDescent="0.25" r="59" customHeight="1" ht="18.75">
      <c r="A59" s="16"/>
      <c r="B59" s="164" t="s">
        <v>100</v>
      </c>
      <c r="C59" s="165"/>
      <c r="D59" s="166"/>
      <c r="E59" s="14"/>
      <c r="F59" s="15"/>
      <c r="G59" s="14"/>
      <c r="H59" s="14"/>
      <c r="I59" s="21"/>
      <c r="J59" s="14"/>
      <c r="K59" s="14"/>
      <c r="L59" s="16"/>
      <c r="M59" s="14"/>
      <c r="N59" s="14"/>
      <c r="O59" s="14"/>
      <c r="P59" s="14"/>
      <c r="Q59" s="14"/>
      <c r="R59" s="21"/>
      <c r="S59" s="14"/>
      <c r="T59" s="14"/>
      <c r="U59" s="14"/>
      <c r="V59" s="14"/>
      <c r="W59" s="14"/>
      <c r="X59" s="14"/>
      <c r="Y59" s="14"/>
      <c r="Z59" s="14"/>
      <c r="AA59" s="14"/>
      <c r="AB59" s="21"/>
    </row>
    <row x14ac:dyDescent="0.25" r="60" customHeight="1" ht="18.75">
      <c r="A60" s="16"/>
      <c r="B60" s="167" t="s">
        <v>90</v>
      </c>
      <c r="C60" s="38">
        <f>0.52*('ABS Datos de entrada'!B12*paneles!C10)^0.5+1</f>
      </c>
      <c r="D60" s="21" t="s">
        <v>33</v>
      </c>
      <c r="E60" s="14"/>
      <c r="F60" s="15"/>
      <c r="G60" s="14"/>
      <c r="H60" s="14"/>
      <c r="I60" s="21"/>
      <c r="J60" s="14"/>
      <c r="K60" s="14"/>
      <c r="L60" s="16"/>
      <c r="M60" s="14"/>
      <c r="N60" s="14"/>
      <c r="O60" s="14"/>
      <c r="P60" s="14"/>
      <c r="Q60" s="14"/>
      <c r="R60" s="21"/>
      <c r="S60" s="14"/>
      <c r="T60" s="14"/>
      <c r="U60" s="14"/>
      <c r="V60" s="14"/>
      <c r="W60" s="14"/>
      <c r="X60" s="14"/>
      <c r="Y60" s="14"/>
      <c r="Z60" s="14"/>
      <c r="AA60" s="14"/>
      <c r="AB60" s="21"/>
    </row>
    <row x14ac:dyDescent="0.25" r="61" customHeight="1" ht="18.75">
      <c r="A61" s="16"/>
      <c r="B61" s="16"/>
      <c r="C61" s="15"/>
      <c r="D61" s="21"/>
      <c r="E61" s="14" t="s">
        <v>99</v>
      </c>
      <c r="F61" s="38">
        <f>IF(C62&lt;3.5,3.5,C62)</f>
      </c>
      <c r="G61" s="14" t="s">
        <v>33</v>
      </c>
      <c r="H61" s="159" t="s">
        <v>96</v>
      </c>
      <c r="I61" s="161"/>
      <c r="J61" s="14"/>
      <c r="K61" s="14"/>
      <c r="L61" s="16"/>
      <c r="M61" s="14"/>
      <c r="N61" s="14"/>
      <c r="O61" s="14"/>
      <c r="P61" s="14"/>
      <c r="Q61" s="14"/>
      <c r="R61" s="21"/>
      <c r="S61" s="14"/>
      <c r="T61" s="14"/>
      <c r="U61" s="14"/>
      <c r="V61" s="14"/>
      <c r="W61" s="14"/>
      <c r="X61" s="14"/>
      <c r="Y61" s="14"/>
      <c r="Z61" s="14"/>
      <c r="AA61" s="14"/>
      <c r="AB61" s="21"/>
    </row>
    <row x14ac:dyDescent="0.25" r="62" customHeight="1" ht="18.75">
      <c r="A62" s="16"/>
      <c r="B62" s="124" t="s">
        <v>93</v>
      </c>
      <c r="C62" s="97">
        <f>C35*(C6*'ABS Presiones de diseño'!B62/(1000*0.6*paneles!C7))^0.5</f>
      </c>
      <c r="D62" s="49" t="s">
        <v>33</v>
      </c>
      <c r="E62" s="14"/>
      <c r="F62" s="15"/>
      <c r="G62" s="14"/>
      <c r="H62" s="161" t="s">
        <v>94</v>
      </c>
      <c r="I62" s="21"/>
      <c r="J62" s="14"/>
      <c r="K62" s="14"/>
      <c r="L62" s="16"/>
      <c r="M62" s="14"/>
      <c r="N62" s="14"/>
      <c r="O62" s="14"/>
      <c r="P62" s="14"/>
      <c r="Q62" s="14"/>
      <c r="R62" s="21"/>
      <c r="S62" s="14"/>
      <c r="T62" s="14"/>
      <c r="U62" s="14"/>
      <c r="V62" s="14"/>
      <c r="W62" s="14"/>
      <c r="X62" s="14"/>
      <c r="Y62" s="14"/>
      <c r="Z62" s="14"/>
      <c r="AA62" s="14"/>
      <c r="AB62" s="21"/>
    </row>
    <row x14ac:dyDescent="0.25" r="63" customHeight="1" ht="18.75">
      <c r="A63" s="16"/>
      <c r="B63" s="14"/>
      <c r="C63" s="15"/>
      <c r="D63" s="14"/>
      <c r="E63" s="14"/>
      <c r="F63" s="15"/>
      <c r="G63" s="14"/>
      <c r="H63" s="14"/>
      <c r="I63" s="21"/>
      <c r="J63" s="14"/>
      <c r="K63" s="14"/>
      <c r="L63" s="44"/>
      <c r="M63" s="48"/>
      <c r="N63" s="48"/>
      <c r="O63" s="48"/>
      <c r="P63" s="48"/>
      <c r="Q63" s="48"/>
      <c r="R63" s="49"/>
      <c r="S63" s="14"/>
      <c r="T63" s="14"/>
      <c r="U63" s="14"/>
      <c r="V63" s="14"/>
      <c r="W63" s="14"/>
      <c r="X63" s="14"/>
      <c r="Y63" s="14"/>
      <c r="Z63" s="14"/>
      <c r="AA63" s="14"/>
      <c r="AB63" s="21"/>
    </row>
    <row x14ac:dyDescent="0.25" r="64" customHeight="1" ht="18.75">
      <c r="A64" s="16"/>
      <c r="B64" s="14"/>
      <c r="C64" s="15"/>
      <c r="D64" s="14"/>
      <c r="E64" s="14"/>
      <c r="F64" s="15"/>
      <c r="G64" s="14"/>
      <c r="H64" s="14"/>
      <c r="I64" s="21"/>
      <c r="J64" s="14"/>
      <c r="K64" s="14"/>
      <c r="L64" s="51" t="s">
        <v>101</v>
      </c>
      <c r="M64" s="52"/>
      <c r="N64" s="52"/>
      <c r="O64" s="52"/>
      <c r="P64" s="52"/>
      <c r="Q64" s="52"/>
      <c r="R64" s="147"/>
      <c r="S64" s="14"/>
      <c r="T64" s="14"/>
      <c r="U64" s="14"/>
      <c r="V64" s="14"/>
      <c r="W64" s="14"/>
      <c r="X64" s="14"/>
      <c r="Y64" s="14"/>
      <c r="Z64" s="14"/>
      <c r="AA64" s="14"/>
      <c r="AB64" s="21"/>
    </row>
    <row x14ac:dyDescent="0.25" r="65" customHeight="1" ht="18.75">
      <c r="A65" s="16"/>
      <c r="B65" s="164" t="s">
        <v>102</v>
      </c>
      <c r="C65" s="165"/>
      <c r="D65" s="166"/>
      <c r="E65" s="14"/>
      <c r="F65" s="15"/>
      <c r="G65" s="14"/>
      <c r="H65" s="14"/>
      <c r="I65" s="21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21"/>
    </row>
    <row x14ac:dyDescent="0.25" r="66" customHeight="1" ht="18.75">
      <c r="A66" s="16"/>
      <c r="B66" s="124" t="s">
        <v>90</v>
      </c>
      <c r="C66" s="97">
        <f>0.52*('ABS Datos de entrada'!B12*paneles!C10)^0.5+1</f>
      </c>
      <c r="D66" s="49" t="s">
        <v>33</v>
      </c>
      <c r="E66" s="14"/>
      <c r="F66" s="15"/>
      <c r="G66" s="14"/>
      <c r="H66" s="14"/>
      <c r="I66" s="21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21"/>
    </row>
    <row x14ac:dyDescent="0.25" r="67" customHeight="1" ht="18.75">
      <c r="A67" s="16"/>
      <c r="B67" s="14"/>
      <c r="C67" s="15"/>
      <c r="D67" s="14"/>
      <c r="E67" s="14" t="s">
        <v>99</v>
      </c>
      <c r="F67" s="38">
        <f>IF(C68&lt;3.5,3.5,C68)</f>
      </c>
      <c r="G67" s="14" t="s">
        <v>33</v>
      </c>
      <c r="H67" s="159" t="s">
        <v>96</v>
      </c>
      <c r="I67" s="161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21"/>
    </row>
    <row x14ac:dyDescent="0.25" r="68" customHeight="1" ht="18.75">
      <c r="A68" s="44"/>
      <c r="B68" s="48"/>
      <c r="C68" s="97"/>
      <c r="D68" s="48"/>
      <c r="E68" s="48"/>
      <c r="F68" s="136"/>
      <c r="G68" s="48"/>
      <c r="H68" s="161" t="s">
        <v>94</v>
      </c>
      <c r="I68" s="49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21"/>
    </row>
    <row x14ac:dyDescent="0.25" r="69" customHeight="1" ht="18.75">
      <c r="A69" s="1"/>
      <c r="B69" s="6"/>
      <c r="C69" s="9"/>
      <c r="D69" s="6"/>
      <c r="E69" s="6"/>
      <c r="F69" s="9"/>
      <c r="G69" s="6"/>
      <c r="H69" s="6"/>
      <c r="I69" s="10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21"/>
    </row>
    <row x14ac:dyDescent="0.25" r="70" customHeight="1" ht="18.75">
      <c r="A70" s="16"/>
      <c r="B70" s="14"/>
      <c r="C70" s="15"/>
      <c r="D70" s="14"/>
      <c r="E70" s="14"/>
      <c r="F70" s="15"/>
      <c r="G70" s="14"/>
      <c r="H70" s="14"/>
      <c r="I70" s="21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21"/>
    </row>
    <row x14ac:dyDescent="0.25" r="71" customHeight="1" ht="18.75">
      <c r="A71" s="16"/>
      <c r="B71" s="14"/>
      <c r="C71" s="15"/>
      <c r="D71" s="14"/>
      <c r="E71" s="14"/>
      <c r="F71" s="15"/>
      <c r="G71" s="14"/>
      <c r="H71" s="14"/>
      <c r="I71" s="21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21"/>
    </row>
    <row x14ac:dyDescent="0.25" r="72" customHeight="1" ht="18.75">
      <c r="A72" s="16"/>
      <c r="B72" s="14"/>
      <c r="C72" s="15"/>
      <c r="D72" s="14"/>
      <c r="E72" s="14"/>
      <c r="F72" s="15"/>
      <c r="G72" s="14"/>
      <c r="H72" s="14"/>
      <c r="I72" s="21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21"/>
    </row>
    <row x14ac:dyDescent="0.25" r="73" customHeight="1" ht="18.75">
      <c r="A73" s="16"/>
      <c r="B73" s="14"/>
      <c r="C73" s="15"/>
      <c r="D73" s="14"/>
      <c r="E73" s="14"/>
      <c r="F73" s="15"/>
      <c r="G73" s="14"/>
      <c r="H73" s="14"/>
      <c r="I73" s="21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21"/>
    </row>
    <row x14ac:dyDescent="0.25" r="74" customHeight="1" ht="18.75">
      <c r="A74" s="16"/>
      <c r="B74" s="14"/>
      <c r="C74" s="15"/>
      <c r="D74" s="14"/>
      <c r="E74" s="14"/>
      <c r="F74" s="15"/>
      <c r="G74" s="14"/>
      <c r="H74" s="14"/>
      <c r="I74" s="21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21"/>
    </row>
    <row x14ac:dyDescent="0.25" r="75" customHeight="1" ht="18.75">
      <c r="A75" s="16"/>
      <c r="B75" s="14"/>
      <c r="C75" s="15"/>
      <c r="D75" s="14"/>
      <c r="E75" s="14"/>
      <c r="F75" s="15"/>
      <c r="G75" s="14"/>
      <c r="H75" s="14"/>
      <c r="I75" s="21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21"/>
    </row>
    <row x14ac:dyDescent="0.25" r="76" customHeight="1" ht="18.75">
      <c r="A76" s="16"/>
      <c r="B76" s="14"/>
      <c r="C76" s="15"/>
      <c r="D76" s="14"/>
      <c r="E76" s="14"/>
      <c r="F76" s="15"/>
      <c r="G76" s="14"/>
      <c r="H76" s="14"/>
      <c r="I76" s="21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21"/>
    </row>
    <row x14ac:dyDescent="0.25" r="77" customHeight="1" ht="18.75">
      <c r="A77" s="16"/>
      <c r="B77" s="14"/>
      <c r="C77" s="15"/>
      <c r="D77" s="14"/>
      <c r="E77" s="14"/>
      <c r="F77" s="15"/>
      <c r="G77" s="14"/>
      <c r="H77" s="14"/>
      <c r="I77" s="21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21"/>
    </row>
    <row x14ac:dyDescent="0.25" r="78" customHeight="1" ht="18.75">
      <c r="A78" s="16"/>
      <c r="B78" s="168" t="s">
        <v>103</v>
      </c>
      <c r="C78" s="169"/>
      <c r="D78" s="168"/>
      <c r="E78" s="14"/>
      <c r="F78" s="15"/>
      <c r="G78" s="14"/>
      <c r="H78" s="14"/>
      <c r="I78" s="21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21"/>
    </row>
    <row x14ac:dyDescent="0.25" r="79" customHeight="1" ht="18.75">
      <c r="A79" s="16"/>
      <c r="B79" s="170" t="s">
        <v>90</v>
      </c>
      <c r="C79" s="38">
        <f>0.62*('ABS Datos de entrada'!B12*paneles!C6)^0.5+1</f>
      </c>
      <c r="D79" s="14" t="s">
        <v>33</v>
      </c>
      <c r="E79" s="14"/>
      <c r="F79" s="15"/>
      <c r="G79" s="14"/>
      <c r="H79" s="14"/>
      <c r="I79" s="21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21"/>
    </row>
    <row x14ac:dyDescent="0.25" r="80" customHeight="1" ht="18.75">
      <c r="A80" s="16"/>
      <c r="B80" s="14"/>
      <c r="C80" s="15"/>
      <c r="D80" s="14"/>
      <c r="E80" s="14" t="s">
        <v>91</v>
      </c>
      <c r="F80" s="38">
        <f>IF(C79&lt;3.5,3.5,C79)</f>
      </c>
      <c r="G80" s="14" t="s">
        <v>33</v>
      </c>
      <c r="H80" s="159" t="s">
        <v>96</v>
      </c>
      <c r="I80" s="161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21"/>
    </row>
    <row x14ac:dyDescent="0.25" r="81" customHeight="1" ht="18.75">
      <c r="A81" s="16"/>
      <c r="B81" s="170" t="s">
        <v>93</v>
      </c>
      <c r="C81" s="38">
        <f>C52*(C6*'ABS Presiones de diseño'!B47/(1000*paneles!C7*0.6))^0.5</f>
      </c>
      <c r="D81" s="14" t="s">
        <v>33</v>
      </c>
      <c r="E81" s="14"/>
      <c r="F81" s="15"/>
      <c r="G81" s="14"/>
      <c r="H81" s="161" t="s">
        <v>94</v>
      </c>
      <c r="I81" s="21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21"/>
    </row>
    <row x14ac:dyDescent="0.25" r="82" customHeight="1" ht="18.75">
      <c r="A82" s="44"/>
      <c r="B82" s="48"/>
      <c r="C82" s="136"/>
      <c r="D82" s="48"/>
      <c r="E82" s="48"/>
      <c r="F82" s="136"/>
      <c r="G82" s="48"/>
      <c r="H82" s="48"/>
      <c r="I82" s="49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21"/>
    </row>
    <row x14ac:dyDescent="0.25" r="83" customHeight="1" ht="18.75">
      <c r="A83" s="16"/>
      <c r="B83" s="14"/>
      <c r="C83" s="15"/>
      <c r="D83" s="14"/>
      <c r="E83" s="14"/>
      <c r="F83" s="15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21"/>
    </row>
    <row x14ac:dyDescent="0.25" r="84" customHeight="1" ht="18.75">
      <c r="A84" s="16"/>
      <c r="B84" s="14"/>
      <c r="C84" s="15"/>
      <c r="D84" s="14"/>
      <c r="E84" s="14"/>
      <c r="F84" s="15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21"/>
    </row>
    <row x14ac:dyDescent="0.25" r="85" customHeight="1" ht="18.75">
      <c r="A85" s="44"/>
      <c r="B85" s="48"/>
      <c r="C85" s="136"/>
      <c r="D85" s="48"/>
      <c r="E85" s="48"/>
      <c r="F85" s="136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9"/>
    </row>
  </sheetData>
  <mergeCells count="9">
    <mergeCell ref="A1:H2"/>
    <mergeCell ref="L1:T1"/>
    <mergeCell ref="B3:D3"/>
    <mergeCell ref="L36:R36"/>
    <mergeCell ref="B53:D53"/>
    <mergeCell ref="B59:D59"/>
    <mergeCell ref="L64:R64"/>
    <mergeCell ref="B65:D65"/>
    <mergeCell ref="B78:D7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P101"/>
  <sheetViews>
    <sheetView workbookViewId="0"/>
  </sheetViews>
  <sheetFormatPr defaultRowHeight="15" x14ac:dyDescent="0.25"/>
  <cols>
    <col min="1" max="1" style="138" width="5.2907142857142855" customWidth="1" bestFit="1"/>
    <col min="2" max="2" style="138" width="12.719285714285713" customWidth="1" bestFit="1"/>
    <col min="3" max="3" style="139" width="11.719285714285713" customWidth="1" bestFit="1"/>
    <col min="4" max="4" style="138" width="17.719285714285714" customWidth="1" bestFit="1"/>
    <col min="5" max="5" style="138" width="13.576428571428572" customWidth="1" bestFit="1"/>
    <col min="6" max="6" style="138" width="13.576428571428572" customWidth="1" bestFit="1"/>
    <col min="7" max="7" style="138" width="13.576428571428572" customWidth="1" bestFit="1"/>
    <col min="8" max="8" style="138" width="13.576428571428572" customWidth="1" bestFit="1"/>
    <col min="9" max="9" style="138" width="13.576428571428572" customWidth="1" bestFit="1"/>
    <col min="10" max="10" style="138" width="13.576428571428572" customWidth="1" bestFit="1"/>
    <col min="11" max="11" style="138" width="13.576428571428572" customWidth="1" bestFit="1"/>
    <col min="12" max="12" style="138" width="21.290714285714284" customWidth="1" bestFit="1"/>
    <col min="13" max="13" style="140" width="12.862142857142858" customWidth="1" bestFit="1"/>
    <col min="14" max="14" style="141" width="6.433571428571429" customWidth="1" bestFit="1"/>
    <col min="15" max="15" style="138" width="13.576428571428572" customWidth="1" bestFit="1"/>
    <col min="16" max="16" style="138" width="14.43357142857143" customWidth="1" bestFit="1"/>
    <col min="17" max="17" style="141" width="13.576428571428572" customWidth="1" bestFit="1"/>
    <col min="18" max="18" style="141" width="12.719285714285713" customWidth="1" bestFit="1"/>
    <col min="19" max="19" style="141" width="13.576428571428572" customWidth="1" bestFit="1"/>
    <col min="20" max="20" style="141" width="15.576428571428572" customWidth="1" bestFit="1"/>
    <col min="21" max="21" style="140" width="10.862142857142858" customWidth="1" bestFit="1"/>
    <col min="22" max="22" style="139" width="11.290714285714287" customWidth="1" bestFit="1"/>
    <col min="23" max="23" style="138" width="5.2907142857142855" customWidth="1" bestFit="1"/>
    <col min="24" max="24" style="138" width="13.576428571428572" customWidth="1" bestFit="1"/>
    <col min="25" max="25" style="138" width="13.576428571428572" customWidth="1" bestFit="1"/>
    <col min="26" max="26" style="138" width="13.576428571428572" customWidth="1" bestFit="1"/>
    <col min="27" max="27" style="138" width="13.576428571428572" customWidth="1" bestFit="1"/>
    <col min="28" max="28" style="138" width="13.576428571428572" customWidth="1" bestFit="1"/>
    <col min="29" max="29" style="138" width="13.576428571428572" customWidth="1" bestFit="1"/>
    <col min="30" max="30" style="138" width="13.576428571428572" customWidth="1" bestFit="1"/>
    <col min="31" max="31" style="138" width="13.576428571428572" customWidth="1" bestFit="1"/>
    <col min="32" max="32" style="138" width="9.862142857142858" customWidth="1" bestFit="1"/>
    <col min="33" max="33" style="141" width="13.576428571428572" customWidth="1" bestFit="1" hidden="1"/>
    <col min="34" max="34" style="141" width="13.576428571428572" customWidth="1" bestFit="1" hidden="1"/>
    <col min="35" max="35" style="142" width="13.576428571428572" customWidth="1" bestFit="1" hidden="1"/>
    <col min="36" max="36" style="141" width="13.576428571428572" customWidth="1" bestFit="1" hidden="1"/>
    <col min="37" max="37" style="141" width="13.576428571428572" customWidth="1" bestFit="1" hidden="1"/>
    <col min="38" max="38" style="141" width="13.576428571428572" customWidth="1" bestFit="1" hidden="1"/>
    <col min="39" max="39" style="140" width="13.576428571428572" customWidth="1" bestFit="1" hidden="1"/>
    <col min="40" max="40" style="138" width="13.576428571428572" customWidth="1" bestFit="1" hidden="1"/>
    <col min="41" max="41" style="139" width="13.576428571428572" customWidth="1" bestFit="1" hidden="1"/>
    <col min="42" max="42" style="139" width="13.576428571428572" customWidth="1" bestFit="1" hidden="1"/>
  </cols>
  <sheetData>
    <row x14ac:dyDescent="0.25" r="1" customHeight="1" ht="18.75">
      <c r="A1" s="1"/>
      <c r="B1" s="2" t="s">
        <v>0</v>
      </c>
      <c r="C1" s="3"/>
      <c r="D1" s="4"/>
      <c r="E1" s="5"/>
      <c r="F1" s="6"/>
      <c r="G1" s="6"/>
      <c r="H1" s="6"/>
      <c r="I1" s="6"/>
      <c r="J1" s="6"/>
      <c r="K1" s="6"/>
      <c r="L1" s="6"/>
      <c r="M1" s="7"/>
      <c r="N1" s="8"/>
      <c r="O1" s="6"/>
      <c r="P1" s="6"/>
      <c r="Q1" s="8"/>
      <c r="R1" s="8"/>
      <c r="S1" s="8"/>
      <c r="T1" s="8"/>
      <c r="U1" s="7"/>
      <c r="V1" s="9"/>
      <c r="W1" s="6"/>
      <c r="X1" s="6"/>
      <c r="Y1" s="6"/>
      <c r="Z1" s="6"/>
      <c r="AA1" s="6"/>
      <c r="AB1" s="6"/>
      <c r="AC1" s="6"/>
      <c r="AD1" s="6"/>
      <c r="AE1" s="6"/>
      <c r="AF1" s="10"/>
      <c r="AG1" s="11"/>
      <c r="AH1" s="11"/>
      <c r="AI1" s="12"/>
      <c r="AJ1" s="11"/>
      <c r="AK1" s="11"/>
      <c r="AL1" s="11"/>
      <c r="AM1" s="13"/>
      <c r="AN1" s="14"/>
      <c r="AO1" s="15"/>
      <c r="AP1" s="15"/>
    </row>
    <row x14ac:dyDescent="0.25" r="2" customHeight="1" ht="18.75">
      <c r="A2" s="16"/>
      <c r="B2" s="17"/>
      <c r="C2" s="18"/>
      <c r="D2" s="19"/>
      <c r="E2" s="20"/>
      <c r="F2" s="14"/>
      <c r="G2" s="14"/>
      <c r="H2" s="14"/>
      <c r="I2" s="14"/>
      <c r="J2" s="14"/>
      <c r="K2" s="14"/>
      <c r="L2" s="14"/>
      <c r="M2" s="13"/>
      <c r="N2" s="11"/>
      <c r="O2" s="14"/>
      <c r="P2" s="14"/>
      <c r="Q2" s="11"/>
      <c r="R2" s="11"/>
      <c r="S2" s="11"/>
      <c r="T2" s="11"/>
      <c r="U2" s="13"/>
      <c r="V2" s="15"/>
      <c r="W2" s="14"/>
      <c r="X2" s="14"/>
      <c r="Y2" s="14"/>
      <c r="Z2" s="14"/>
      <c r="AA2" s="14"/>
      <c r="AB2" s="14"/>
      <c r="AC2" s="14"/>
      <c r="AD2" s="14"/>
      <c r="AE2" s="14"/>
      <c r="AF2" s="21"/>
      <c r="AG2" s="11"/>
      <c r="AH2" s="11"/>
      <c r="AI2" s="12"/>
      <c r="AJ2" s="11"/>
      <c r="AK2" s="11"/>
      <c r="AL2" s="11"/>
      <c r="AM2" s="13"/>
      <c r="AN2" s="14"/>
      <c r="AO2" s="15"/>
      <c r="AP2" s="15"/>
    </row>
    <row x14ac:dyDescent="0.25" r="3" customHeight="1" ht="18.75">
      <c r="A3" s="16"/>
      <c r="B3" s="14"/>
      <c r="C3" s="15"/>
      <c r="D3" s="14"/>
      <c r="E3" s="14"/>
      <c r="F3" s="14"/>
      <c r="G3" s="14"/>
      <c r="H3" s="14"/>
      <c r="I3" s="14"/>
      <c r="J3" s="14"/>
      <c r="K3" s="14"/>
      <c r="L3" s="14"/>
      <c r="M3" s="13"/>
      <c r="N3" s="11"/>
      <c r="O3" s="14"/>
      <c r="P3" s="14"/>
      <c r="Q3" s="11"/>
      <c r="R3" s="11"/>
      <c r="S3" s="11"/>
      <c r="T3" s="11"/>
      <c r="U3" s="13"/>
      <c r="V3" s="15"/>
      <c r="W3" s="14"/>
      <c r="X3" s="14"/>
      <c r="Y3" s="14"/>
      <c r="Z3" s="14"/>
      <c r="AA3" s="14"/>
      <c r="AB3" s="14"/>
      <c r="AC3" s="14"/>
      <c r="AD3" s="14"/>
      <c r="AE3" s="14"/>
      <c r="AF3" s="21"/>
      <c r="AG3" s="11"/>
      <c r="AH3" s="11"/>
      <c r="AI3" s="12"/>
      <c r="AJ3" s="11"/>
      <c r="AK3" s="11"/>
      <c r="AL3" s="11"/>
      <c r="AM3" s="13"/>
      <c r="AN3" s="14"/>
      <c r="AO3" s="15"/>
      <c r="AP3" s="15"/>
    </row>
    <row x14ac:dyDescent="0.25" r="4" customHeight="1" ht="18.75">
      <c r="A4" s="16"/>
      <c r="B4" s="22" t="s">
        <v>1</v>
      </c>
      <c r="C4" s="23"/>
      <c r="D4" s="14"/>
      <c r="E4" s="14"/>
      <c r="F4" s="1"/>
      <c r="G4" s="6"/>
      <c r="H4" s="6"/>
      <c r="I4" s="6"/>
      <c r="J4" s="6"/>
      <c r="K4" s="6"/>
      <c r="L4" s="6"/>
      <c r="M4" s="7"/>
      <c r="N4" s="24"/>
      <c r="O4" s="14"/>
      <c r="P4" s="1"/>
      <c r="Q4" s="8"/>
      <c r="R4" s="8"/>
      <c r="S4" s="8"/>
      <c r="T4" s="8"/>
      <c r="U4" s="7"/>
      <c r="V4" s="25"/>
      <c r="W4" s="14"/>
      <c r="X4" s="1"/>
      <c r="Y4" s="6"/>
      <c r="Z4" s="6"/>
      <c r="AA4" s="6"/>
      <c r="AB4" s="6"/>
      <c r="AC4" s="6"/>
      <c r="AD4" s="10"/>
      <c r="AE4" s="10"/>
      <c r="AF4" s="21"/>
      <c r="AG4" s="11"/>
      <c r="AH4" s="11"/>
      <c r="AI4" s="12"/>
      <c r="AJ4" s="11"/>
      <c r="AK4" s="11"/>
      <c r="AL4" s="11"/>
      <c r="AM4" s="13"/>
      <c r="AN4" s="14"/>
      <c r="AO4" s="15"/>
      <c r="AP4" s="15"/>
    </row>
    <row x14ac:dyDescent="0.25" r="5" customHeight="1" ht="18.75">
      <c r="A5" s="16"/>
      <c r="B5" s="26" t="s">
        <v>2</v>
      </c>
      <c r="C5" s="27"/>
      <c r="D5" s="28"/>
      <c r="E5" s="14"/>
      <c r="F5" s="16"/>
      <c r="G5" s="14"/>
      <c r="H5" s="14"/>
      <c r="I5" s="14"/>
      <c r="J5" s="14"/>
      <c r="K5" s="14"/>
      <c r="L5" s="14"/>
      <c r="M5" s="13"/>
      <c r="N5" s="29"/>
      <c r="O5" s="14"/>
      <c r="P5" s="16"/>
      <c r="Q5" s="11"/>
      <c r="R5" s="11"/>
      <c r="S5" s="11"/>
      <c r="T5" s="11"/>
      <c r="U5" s="13"/>
      <c r="V5" s="30"/>
      <c r="W5" s="14"/>
      <c r="X5" s="16"/>
      <c r="Y5" s="14"/>
      <c r="Z5" s="14"/>
      <c r="AA5" s="14"/>
      <c r="AB5" s="14"/>
      <c r="AC5" s="14"/>
      <c r="AD5" s="21"/>
      <c r="AE5" s="21"/>
      <c r="AF5" s="21"/>
      <c r="AG5" s="11"/>
      <c r="AH5" s="11"/>
      <c r="AI5" s="12"/>
      <c r="AJ5" s="11"/>
      <c r="AK5" s="11"/>
      <c r="AL5" s="11"/>
      <c r="AM5" s="13"/>
      <c r="AN5" s="14"/>
      <c r="AO5" s="15"/>
      <c r="AP5" s="15"/>
    </row>
    <row x14ac:dyDescent="0.25" r="6" customHeight="1" ht="18.75">
      <c r="A6" s="16"/>
      <c r="B6" s="14"/>
      <c r="C6" s="15"/>
      <c r="D6" s="14"/>
      <c r="E6" s="14"/>
      <c r="F6" s="16"/>
      <c r="G6" s="14"/>
      <c r="H6" s="14"/>
      <c r="I6" s="14"/>
      <c r="J6" s="14"/>
      <c r="K6" s="14"/>
      <c r="L6" s="14"/>
      <c r="M6" s="13"/>
      <c r="N6" s="29"/>
      <c r="O6" s="14"/>
      <c r="P6" s="16"/>
      <c r="Q6" s="11"/>
      <c r="R6" s="11"/>
      <c r="S6" s="11"/>
      <c r="T6" s="11"/>
      <c r="U6" s="13"/>
      <c r="V6" s="30"/>
      <c r="W6" s="14"/>
      <c r="X6" s="16"/>
      <c r="Y6" s="14"/>
      <c r="Z6" s="14"/>
      <c r="AA6" s="14"/>
      <c r="AB6" s="14"/>
      <c r="AC6" s="14"/>
      <c r="AD6" s="21"/>
      <c r="AE6" s="21"/>
      <c r="AF6" s="21"/>
      <c r="AG6" s="11"/>
      <c r="AH6" s="11"/>
      <c r="AI6" s="12"/>
      <c r="AJ6" s="11"/>
      <c r="AK6" s="11"/>
      <c r="AL6" s="11"/>
      <c r="AM6" s="13"/>
      <c r="AN6" s="14"/>
      <c r="AO6" s="15"/>
      <c r="AP6" s="15"/>
    </row>
    <row x14ac:dyDescent="0.25" r="7" customHeight="1" ht="18.75">
      <c r="A7" s="16"/>
      <c r="B7" s="14"/>
      <c r="C7" s="15"/>
      <c r="D7" s="14"/>
      <c r="E7" s="14"/>
      <c r="F7" s="16"/>
      <c r="G7" s="14"/>
      <c r="H7" s="14"/>
      <c r="I7" s="14"/>
      <c r="J7" s="14"/>
      <c r="K7" s="14"/>
      <c r="L7" s="14"/>
      <c r="M7" s="13"/>
      <c r="N7" s="29"/>
      <c r="O7" s="14"/>
      <c r="P7" s="16"/>
      <c r="Q7" s="11"/>
      <c r="R7" s="11"/>
      <c r="S7" s="11"/>
      <c r="T7" s="11"/>
      <c r="U7" s="13"/>
      <c r="V7" s="30"/>
      <c r="W7" s="14"/>
      <c r="X7" s="16"/>
      <c r="Y7" s="14"/>
      <c r="Z7" s="14"/>
      <c r="AA7" s="14"/>
      <c r="AB7" s="14"/>
      <c r="AC7" s="14"/>
      <c r="AD7" s="21"/>
      <c r="AE7" s="21"/>
      <c r="AF7" s="21"/>
      <c r="AG7" s="11"/>
      <c r="AH7" s="11"/>
      <c r="AI7" s="12"/>
      <c r="AJ7" s="11"/>
      <c r="AK7" s="11"/>
      <c r="AL7" s="11"/>
      <c r="AM7" s="13"/>
      <c r="AN7" s="14"/>
      <c r="AO7" s="15"/>
      <c r="AP7" s="15"/>
    </row>
    <row x14ac:dyDescent="0.25" r="8" customHeight="1" ht="18.75">
      <c r="A8" s="16"/>
      <c r="B8" s="31" t="s">
        <v>3</v>
      </c>
      <c r="C8" s="32">
        <f>0.65*125</f>
      </c>
      <c r="D8" s="10" t="s">
        <v>4</v>
      </c>
      <c r="E8" s="14"/>
      <c r="F8" s="16"/>
      <c r="G8" s="14"/>
      <c r="H8" s="14"/>
      <c r="I8" s="14"/>
      <c r="J8" s="14"/>
      <c r="K8" s="14"/>
      <c r="L8" s="14"/>
      <c r="M8" s="13"/>
      <c r="N8" s="29"/>
      <c r="O8" s="14"/>
      <c r="P8" s="16"/>
      <c r="Q8" s="11"/>
      <c r="R8" s="11"/>
      <c r="S8" s="11"/>
      <c r="T8" s="11"/>
      <c r="U8" s="13"/>
      <c r="V8" s="30"/>
      <c r="W8" s="14"/>
      <c r="X8" s="16"/>
      <c r="Y8" s="14"/>
      <c r="Z8" s="14"/>
      <c r="AA8" s="14"/>
      <c r="AB8" s="14"/>
      <c r="AC8" s="14"/>
      <c r="AD8" s="21"/>
      <c r="AE8" s="21"/>
      <c r="AF8" s="21"/>
      <c r="AG8" s="11"/>
      <c r="AH8" s="11"/>
      <c r="AI8" s="12"/>
      <c r="AJ8" s="11"/>
      <c r="AK8" s="11"/>
      <c r="AL8" s="11"/>
      <c r="AM8" s="13"/>
      <c r="AN8" s="14"/>
      <c r="AO8" s="15"/>
      <c r="AP8" s="15"/>
    </row>
    <row x14ac:dyDescent="0.25" r="9" customHeight="1" ht="18.75">
      <c r="A9" s="16"/>
      <c r="B9" s="33"/>
      <c r="C9" s="15"/>
      <c r="D9" s="21"/>
      <c r="E9" s="14"/>
      <c r="F9" s="16"/>
      <c r="G9" s="14"/>
      <c r="H9" s="14"/>
      <c r="I9" s="14"/>
      <c r="J9" s="14"/>
      <c r="K9" s="14"/>
      <c r="L9" s="14"/>
      <c r="M9" s="13"/>
      <c r="N9" s="29"/>
      <c r="O9" s="14"/>
      <c r="P9" s="16"/>
      <c r="Q9" s="11"/>
      <c r="R9" s="11"/>
      <c r="S9" s="11"/>
      <c r="T9" s="11"/>
      <c r="U9" s="13"/>
      <c r="V9" s="30"/>
      <c r="W9" s="14"/>
      <c r="X9" s="16"/>
      <c r="Y9" s="14"/>
      <c r="Z9" s="14"/>
      <c r="AA9" s="14"/>
      <c r="AB9" s="14"/>
      <c r="AC9" s="14"/>
      <c r="AD9" s="21"/>
      <c r="AE9" s="21"/>
      <c r="AF9" s="21"/>
      <c r="AG9" s="11"/>
      <c r="AH9" s="11"/>
      <c r="AI9" s="12"/>
      <c r="AJ9" s="11"/>
      <c r="AK9" s="11"/>
      <c r="AL9" s="11"/>
      <c r="AM9" s="13"/>
      <c r="AN9" s="14"/>
      <c r="AO9" s="15"/>
      <c r="AP9" s="15"/>
    </row>
    <row x14ac:dyDescent="0.25" r="10" customHeight="1" ht="18.75">
      <c r="A10" s="16"/>
      <c r="B10" s="34" t="s">
        <v>5</v>
      </c>
      <c r="C10" s="35">
        <f>83.3*'ABS Presiones de diseño'!B18*(paneles!C4/1000)*(paneles!C5/1000)^2/internos!C8</f>
      </c>
      <c r="D10" s="36" t="s">
        <v>6</v>
      </c>
      <c r="E10" s="14"/>
      <c r="F10" s="16"/>
      <c r="G10" s="14"/>
      <c r="H10" s="14"/>
      <c r="I10" s="14"/>
      <c r="J10" s="14"/>
      <c r="K10" s="14"/>
      <c r="L10" s="14"/>
      <c r="M10" s="13"/>
      <c r="N10" s="29"/>
      <c r="O10" s="14"/>
      <c r="P10" s="16"/>
      <c r="Q10" s="11"/>
      <c r="R10" s="11"/>
      <c r="S10" s="11"/>
      <c r="T10" s="11"/>
      <c r="U10" s="13"/>
      <c r="V10" s="30"/>
      <c r="W10" s="14"/>
      <c r="X10" s="16"/>
      <c r="Y10" s="14"/>
      <c r="Z10" s="14"/>
      <c r="AA10" s="14"/>
      <c r="AB10" s="14"/>
      <c r="AC10" s="14"/>
      <c r="AD10" s="21"/>
      <c r="AE10" s="21"/>
      <c r="AF10" s="21"/>
      <c r="AG10" s="11"/>
      <c r="AH10" s="11"/>
      <c r="AI10" s="12"/>
      <c r="AJ10" s="11"/>
      <c r="AK10" s="11"/>
      <c r="AL10" s="11"/>
      <c r="AM10" s="13"/>
      <c r="AN10" s="14"/>
      <c r="AO10" s="15"/>
      <c r="AP10" s="15"/>
    </row>
    <row x14ac:dyDescent="0.25" r="11" customHeight="1" ht="18.75">
      <c r="A11" s="16"/>
      <c r="B11" s="33" t="s">
        <v>7</v>
      </c>
      <c r="C11" s="37">
        <v>69000</v>
      </c>
      <c r="D11" s="21" t="s">
        <v>8</v>
      </c>
      <c r="E11" s="14"/>
      <c r="F11" s="16"/>
      <c r="G11" s="14"/>
      <c r="H11" s="14"/>
      <c r="I11" s="14"/>
      <c r="J11" s="14"/>
      <c r="K11" s="14"/>
      <c r="L11" s="14"/>
      <c r="M11" s="13"/>
      <c r="N11" s="29"/>
      <c r="O11" s="14"/>
      <c r="P11" s="16"/>
      <c r="Q11" s="11"/>
      <c r="R11" s="11"/>
      <c r="S11" s="11"/>
      <c r="T11" s="11"/>
      <c r="U11" s="13"/>
      <c r="V11" s="30"/>
      <c r="W11" s="14"/>
      <c r="X11" s="16"/>
      <c r="Y11" s="14"/>
      <c r="Z11" s="14"/>
      <c r="AA11" s="14"/>
      <c r="AB11" s="14"/>
      <c r="AC11" s="14"/>
      <c r="AD11" s="21"/>
      <c r="AE11" s="21"/>
      <c r="AF11" s="21"/>
      <c r="AG11" s="11"/>
      <c r="AH11" s="11"/>
      <c r="AI11" s="12"/>
      <c r="AJ11" s="11"/>
      <c r="AK11" s="11"/>
      <c r="AL11" s="11"/>
      <c r="AM11" s="13"/>
      <c r="AN11" s="14"/>
      <c r="AO11" s="15"/>
      <c r="AP11" s="15"/>
    </row>
    <row x14ac:dyDescent="0.25" r="12" customHeight="1" ht="18.75">
      <c r="A12" s="16"/>
      <c r="B12" s="33" t="s">
        <v>9</v>
      </c>
      <c r="C12" s="38">
        <v>0.0021</v>
      </c>
      <c r="D12" s="21"/>
      <c r="E12" s="14"/>
      <c r="F12" s="16"/>
      <c r="G12" s="14"/>
      <c r="H12" s="14"/>
      <c r="I12" s="14"/>
      <c r="J12" s="14"/>
      <c r="K12" s="14"/>
      <c r="L12" s="14"/>
      <c r="M12" s="13"/>
      <c r="N12" s="29"/>
      <c r="O12" s="14"/>
      <c r="P12" s="16"/>
      <c r="Q12" s="11"/>
      <c r="R12" s="11"/>
      <c r="S12" s="11"/>
      <c r="T12" s="11"/>
      <c r="U12" s="13"/>
      <c r="V12" s="30"/>
      <c r="W12" s="14"/>
      <c r="X12" s="16"/>
      <c r="Y12" s="14"/>
      <c r="Z12" s="14"/>
      <c r="AA12" s="14"/>
      <c r="AB12" s="14"/>
      <c r="AC12" s="14"/>
      <c r="AD12" s="21"/>
      <c r="AE12" s="21"/>
      <c r="AF12" s="21"/>
      <c r="AG12" s="11"/>
      <c r="AH12" s="11"/>
      <c r="AI12" s="12"/>
      <c r="AJ12" s="11"/>
      <c r="AK12" s="11"/>
      <c r="AL12" s="11"/>
      <c r="AM12" s="13"/>
      <c r="AN12" s="14"/>
      <c r="AO12" s="15"/>
      <c r="AP12" s="15"/>
    </row>
    <row x14ac:dyDescent="0.25" r="13" customHeight="1" ht="18.75">
      <c r="A13" s="16"/>
      <c r="B13" s="39" t="s">
        <v>10</v>
      </c>
      <c r="C13" s="40">
        <f>260*'ABS Presiones de diseño'!B18*(paneles!C4/1000)*(paneles!C5/1000)^3/(C12*C11)</f>
      </c>
      <c r="D13" s="41" t="s">
        <v>11</v>
      </c>
      <c r="E13" s="14"/>
      <c r="F13" s="16"/>
      <c r="G13" s="14"/>
      <c r="H13" s="14"/>
      <c r="I13" s="14"/>
      <c r="J13" s="14"/>
      <c r="K13" s="14"/>
      <c r="L13" s="14"/>
      <c r="M13" s="13"/>
      <c r="N13" s="29"/>
      <c r="O13" s="14"/>
      <c r="P13" s="16"/>
      <c r="Q13" s="11"/>
      <c r="R13" s="11"/>
      <c r="S13" s="11"/>
      <c r="T13" s="11"/>
      <c r="U13" s="13"/>
      <c r="V13" s="30"/>
      <c r="W13" s="14"/>
      <c r="X13" s="16"/>
      <c r="Y13" s="14"/>
      <c r="Z13" s="14"/>
      <c r="AA13" s="14"/>
      <c r="AB13" s="14"/>
      <c r="AC13" s="14"/>
      <c r="AD13" s="21"/>
      <c r="AE13" s="21"/>
      <c r="AF13" s="21"/>
      <c r="AG13" s="11"/>
      <c r="AH13" s="11"/>
      <c r="AI13" s="12"/>
      <c r="AJ13" s="11"/>
      <c r="AK13" s="11"/>
      <c r="AL13" s="11"/>
      <c r="AM13" s="13"/>
      <c r="AN13" s="14"/>
      <c r="AO13" s="15"/>
      <c r="AP13" s="15"/>
    </row>
    <row x14ac:dyDescent="0.25" r="14" customHeight="1" ht="18.75">
      <c r="A14" s="16"/>
      <c r="B14" s="42" t="s">
        <v>12</v>
      </c>
      <c r="C14" s="38">
        <f>M37/C10</f>
      </c>
      <c r="D14" s="14"/>
      <c r="E14" s="14"/>
      <c r="F14" s="16"/>
      <c r="G14" s="14"/>
      <c r="H14" s="14"/>
      <c r="I14" s="14"/>
      <c r="J14" s="14"/>
      <c r="K14" s="14"/>
      <c r="L14" s="14"/>
      <c r="M14" s="13"/>
      <c r="N14" s="29"/>
      <c r="O14" s="14"/>
      <c r="P14" s="16"/>
      <c r="Q14" s="11"/>
      <c r="R14" s="11"/>
      <c r="S14" s="11"/>
      <c r="T14" s="11"/>
      <c r="U14" s="13"/>
      <c r="V14" s="30"/>
      <c r="W14" s="14"/>
      <c r="X14" s="16"/>
      <c r="Y14" s="14"/>
      <c r="Z14" s="14"/>
      <c r="AA14" s="14"/>
      <c r="AB14" s="14"/>
      <c r="AC14" s="14"/>
      <c r="AD14" s="21"/>
      <c r="AE14" s="21"/>
      <c r="AF14" s="21"/>
      <c r="AG14" s="11"/>
      <c r="AH14" s="11"/>
      <c r="AI14" s="12"/>
      <c r="AJ14" s="11"/>
      <c r="AK14" s="11"/>
      <c r="AL14" s="11"/>
      <c r="AM14" s="13"/>
      <c r="AN14" s="14"/>
      <c r="AO14" s="15"/>
      <c r="AP14" s="15"/>
    </row>
    <row x14ac:dyDescent="0.25" r="15" customHeight="1" ht="18.75">
      <c r="A15" s="16"/>
      <c r="B15" s="14"/>
      <c r="C15" s="15"/>
      <c r="D15" s="14"/>
      <c r="E15" s="14"/>
      <c r="F15" s="16"/>
      <c r="G15" s="14"/>
      <c r="H15" s="14"/>
      <c r="I15" s="14"/>
      <c r="J15" s="14"/>
      <c r="K15" s="14"/>
      <c r="L15" s="14"/>
      <c r="M15" s="13"/>
      <c r="N15" s="29"/>
      <c r="O15" s="14"/>
      <c r="P15" s="16"/>
      <c r="Q15" s="11"/>
      <c r="R15" s="11"/>
      <c r="S15" s="11"/>
      <c r="T15" s="11"/>
      <c r="U15" s="13"/>
      <c r="V15" s="30"/>
      <c r="W15" s="14"/>
      <c r="X15" s="16"/>
      <c r="Y15" s="14"/>
      <c r="Z15" s="14"/>
      <c r="AA15" s="14"/>
      <c r="AB15" s="14"/>
      <c r="AC15" s="14"/>
      <c r="AD15" s="21"/>
      <c r="AE15" s="21"/>
      <c r="AF15" s="21"/>
      <c r="AG15" s="11"/>
      <c r="AH15" s="11"/>
      <c r="AI15" s="12"/>
      <c r="AJ15" s="11"/>
      <c r="AK15" s="11"/>
      <c r="AL15" s="11"/>
      <c r="AM15" s="13"/>
      <c r="AN15" s="14"/>
      <c r="AO15" s="15"/>
      <c r="AP15" s="15"/>
    </row>
    <row x14ac:dyDescent="0.25" r="16" customHeight="1" ht="18.75">
      <c r="A16" s="16"/>
      <c r="B16" s="14"/>
      <c r="C16" s="15"/>
      <c r="D16" s="14"/>
      <c r="E16" s="14"/>
      <c r="F16" s="16"/>
      <c r="G16" s="14"/>
      <c r="H16" s="14"/>
      <c r="I16" s="14"/>
      <c r="J16" s="14"/>
      <c r="K16" s="14"/>
      <c r="L16" s="14"/>
      <c r="M16" s="13"/>
      <c r="N16" s="29"/>
      <c r="O16" s="14"/>
      <c r="P16" s="16"/>
      <c r="Q16" s="11"/>
      <c r="R16" s="11"/>
      <c r="S16" s="11"/>
      <c r="T16" s="11"/>
      <c r="U16" s="13"/>
      <c r="V16" s="30"/>
      <c r="W16" s="14"/>
      <c r="X16" s="16"/>
      <c r="Y16" s="14"/>
      <c r="Z16" s="14"/>
      <c r="AA16" s="14"/>
      <c r="AB16" s="14"/>
      <c r="AC16" s="14"/>
      <c r="AD16" s="21"/>
      <c r="AE16" s="21"/>
      <c r="AF16" s="21"/>
      <c r="AG16" s="11"/>
      <c r="AH16" s="11"/>
      <c r="AI16" s="12"/>
      <c r="AJ16" s="11"/>
      <c r="AK16" s="11"/>
      <c r="AL16" s="11"/>
      <c r="AM16" s="13"/>
      <c r="AN16" s="14"/>
      <c r="AO16" s="15"/>
      <c r="AP16" s="15"/>
    </row>
    <row x14ac:dyDescent="0.25" r="17" customHeight="1" ht="18.75">
      <c r="A17" s="16"/>
      <c r="B17" s="26" t="s">
        <v>13</v>
      </c>
      <c r="C17" s="27"/>
      <c r="D17" s="28"/>
      <c r="E17" s="14"/>
      <c r="F17" s="16"/>
      <c r="G17" s="14"/>
      <c r="H17" s="14"/>
      <c r="I17" s="14"/>
      <c r="J17" s="14"/>
      <c r="K17" s="14"/>
      <c r="L17" s="14"/>
      <c r="M17" s="13"/>
      <c r="N17" s="29"/>
      <c r="O17" s="14"/>
      <c r="P17" s="16"/>
      <c r="Q17" s="11"/>
      <c r="R17" s="11"/>
      <c r="S17" s="11"/>
      <c r="T17" s="11"/>
      <c r="U17" s="13"/>
      <c r="V17" s="30"/>
      <c r="W17" s="14"/>
      <c r="X17" s="16"/>
      <c r="Y17" s="14"/>
      <c r="Z17" s="14"/>
      <c r="AA17" s="14"/>
      <c r="AB17" s="14"/>
      <c r="AC17" s="14"/>
      <c r="AD17" s="21"/>
      <c r="AE17" s="21"/>
      <c r="AF17" s="21"/>
      <c r="AG17" s="11"/>
      <c r="AH17" s="11"/>
      <c r="AI17" s="12"/>
      <c r="AJ17" s="11"/>
      <c r="AK17" s="11"/>
      <c r="AL17" s="11"/>
      <c r="AM17" s="13"/>
      <c r="AN17" s="14"/>
      <c r="AO17" s="15"/>
      <c r="AP17" s="15"/>
    </row>
    <row x14ac:dyDescent="0.25" r="18" customHeight="1" ht="18.75">
      <c r="A18" s="16"/>
      <c r="B18" s="14"/>
      <c r="C18" s="15"/>
      <c r="D18" s="14"/>
      <c r="E18" s="14"/>
      <c r="F18" s="16"/>
      <c r="G18" s="14"/>
      <c r="H18" s="14"/>
      <c r="I18" s="14"/>
      <c r="J18" s="14"/>
      <c r="K18" s="14"/>
      <c r="L18" s="14"/>
      <c r="M18" s="13"/>
      <c r="N18" s="29"/>
      <c r="O18" s="14"/>
      <c r="P18" s="16"/>
      <c r="Q18" s="11"/>
      <c r="R18" s="11"/>
      <c r="S18" s="11"/>
      <c r="T18" s="11"/>
      <c r="U18" s="13"/>
      <c r="V18" s="30"/>
      <c r="W18" s="14"/>
      <c r="X18" s="16"/>
      <c r="Y18" s="14"/>
      <c r="Z18" s="14"/>
      <c r="AA18" s="14"/>
      <c r="AB18" s="14"/>
      <c r="AC18" s="14"/>
      <c r="AD18" s="21"/>
      <c r="AE18" s="21"/>
      <c r="AF18" s="21"/>
      <c r="AG18" s="11"/>
      <c r="AH18" s="11"/>
      <c r="AI18" s="12"/>
      <c r="AJ18" s="11"/>
      <c r="AK18" s="11"/>
      <c r="AL18" s="11"/>
      <c r="AM18" s="13"/>
      <c r="AN18" s="14"/>
      <c r="AO18" s="15"/>
      <c r="AP18" s="15"/>
    </row>
    <row x14ac:dyDescent="0.25" r="19" customHeight="1" ht="18.75">
      <c r="A19" s="16"/>
      <c r="B19" s="14"/>
      <c r="C19" s="15"/>
      <c r="D19" s="14"/>
      <c r="E19" s="14"/>
      <c r="F19" s="16"/>
      <c r="G19" s="14"/>
      <c r="H19" s="14"/>
      <c r="I19" s="14"/>
      <c r="J19" s="14"/>
      <c r="K19" s="14"/>
      <c r="L19" s="14"/>
      <c r="M19" s="13"/>
      <c r="N19" s="29"/>
      <c r="O19" s="14"/>
      <c r="P19" s="16"/>
      <c r="Q19" s="11"/>
      <c r="R19" s="11"/>
      <c r="S19" s="11"/>
      <c r="T19" s="11"/>
      <c r="U19" s="13"/>
      <c r="V19" s="30"/>
      <c r="W19" s="14"/>
      <c r="X19" s="16"/>
      <c r="Y19" s="14"/>
      <c r="Z19" s="14"/>
      <c r="AA19" s="14"/>
      <c r="AB19" s="14"/>
      <c r="AC19" s="14"/>
      <c r="AD19" s="21"/>
      <c r="AE19" s="21"/>
      <c r="AF19" s="21"/>
      <c r="AG19" s="11"/>
      <c r="AH19" s="11"/>
      <c r="AI19" s="12"/>
      <c r="AJ19" s="11"/>
      <c r="AK19" s="11"/>
      <c r="AL19" s="11"/>
      <c r="AM19" s="13"/>
      <c r="AN19" s="14"/>
      <c r="AO19" s="15"/>
      <c r="AP19" s="15"/>
    </row>
    <row x14ac:dyDescent="0.25" r="20" customHeight="1" ht="18.75">
      <c r="A20" s="16"/>
      <c r="B20" s="31" t="s">
        <v>3</v>
      </c>
      <c r="C20" s="43">
        <f>0.6*125</f>
      </c>
      <c r="D20" s="10" t="s">
        <v>4</v>
      </c>
      <c r="E20" s="14"/>
      <c r="F20" s="16"/>
      <c r="G20" s="14"/>
      <c r="H20" s="14"/>
      <c r="I20" s="14"/>
      <c r="J20" s="14"/>
      <c r="K20" s="14"/>
      <c r="L20" s="14"/>
      <c r="M20" s="13"/>
      <c r="N20" s="29"/>
      <c r="O20" s="14"/>
      <c r="P20" s="16"/>
      <c r="Q20" s="11"/>
      <c r="R20" s="11"/>
      <c r="S20" s="11"/>
      <c r="T20" s="11"/>
      <c r="U20" s="13"/>
      <c r="V20" s="30"/>
      <c r="W20" s="14"/>
      <c r="X20" s="16"/>
      <c r="Y20" s="14"/>
      <c r="Z20" s="14"/>
      <c r="AA20" s="14"/>
      <c r="AB20" s="14"/>
      <c r="AC20" s="14"/>
      <c r="AD20" s="21"/>
      <c r="AE20" s="21"/>
      <c r="AF20" s="21"/>
      <c r="AG20" s="11"/>
      <c r="AH20" s="11"/>
      <c r="AI20" s="12"/>
      <c r="AJ20" s="11"/>
      <c r="AK20" s="11"/>
      <c r="AL20" s="11"/>
      <c r="AM20" s="13"/>
      <c r="AN20" s="14"/>
      <c r="AO20" s="38">
        <f>AO30</f>
      </c>
      <c r="AP20" s="15"/>
    </row>
    <row x14ac:dyDescent="0.25" r="21" customHeight="1" ht="18.75">
      <c r="A21" s="16"/>
      <c r="B21" s="33"/>
      <c r="C21" s="15"/>
      <c r="D21" s="21"/>
      <c r="E21" s="14"/>
      <c r="F21" s="16"/>
      <c r="G21" s="14"/>
      <c r="H21" s="14"/>
      <c r="I21" s="14"/>
      <c r="J21" s="14"/>
      <c r="K21" s="14"/>
      <c r="L21" s="14"/>
      <c r="M21" s="13"/>
      <c r="N21" s="29"/>
      <c r="O21" s="14"/>
      <c r="P21" s="16"/>
      <c r="Q21" s="11"/>
      <c r="R21" s="11"/>
      <c r="S21" s="11"/>
      <c r="T21" s="11"/>
      <c r="U21" s="13"/>
      <c r="V21" s="30"/>
      <c r="W21" s="14"/>
      <c r="X21" s="16"/>
      <c r="Y21" s="14"/>
      <c r="Z21" s="14"/>
      <c r="AA21" s="14"/>
      <c r="AB21" s="14"/>
      <c r="AC21" s="14"/>
      <c r="AD21" s="21"/>
      <c r="AE21" s="21"/>
      <c r="AF21" s="21"/>
      <c r="AG21" s="11"/>
      <c r="AH21" s="11"/>
      <c r="AI21" s="12"/>
      <c r="AJ21" s="11"/>
      <c r="AK21" s="11"/>
      <c r="AL21" s="11"/>
      <c r="AM21" s="13"/>
      <c r="AN21" s="14"/>
      <c r="AO21" s="15"/>
      <c r="AP21" s="15"/>
    </row>
    <row x14ac:dyDescent="0.25" r="22" customHeight="1" ht="18.75">
      <c r="A22" s="16"/>
      <c r="B22" s="34" t="s">
        <v>5</v>
      </c>
      <c r="C22" s="35">
        <f>83.3*'ABS Presiones de diseño'!B27*(paneles!C35/1000)*(paneles!C5/1000)^2/internos!C20</f>
      </c>
      <c r="D22" s="36" t="s">
        <v>6</v>
      </c>
      <c r="E22" s="14"/>
      <c r="F22" s="16"/>
      <c r="G22" s="14"/>
      <c r="H22" s="14"/>
      <c r="I22" s="14"/>
      <c r="J22" s="14"/>
      <c r="K22" s="14"/>
      <c r="L22" s="14"/>
      <c r="M22" s="13"/>
      <c r="N22" s="29"/>
      <c r="O22" s="14"/>
      <c r="P22" s="16"/>
      <c r="Q22" s="11"/>
      <c r="R22" s="11"/>
      <c r="S22" s="11"/>
      <c r="T22" s="11"/>
      <c r="U22" s="13"/>
      <c r="V22" s="30"/>
      <c r="W22" s="14"/>
      <c r="X22" s="16"/>
      <c r="Y22" s="14"/>
      <c r="Z22" s="14"/>
      <c r="AA22" s="14"/>
      <c r="AB22" s="14"/>
      <c r="AC22" s="14"/>
      <c r="AD22" s="21"/>
      <c r="AE22" s="21"/>
      <c r="AF22" s="21"/>
      <c r="AG22" s="11"/>
      <c r="AH22" s="11"/>
      <c r="AI22" s="12"/>
      <c r="AJ22" s="11"/>
      <c r="AK22" s="11"/>
      <c r="AL22" s="11"/>
      <c r="AM22" s="13"/>
      <c r="AN22" s="14"/>
      <c r="AO22" s="15"/>
      <c r="AP22" s="15"/>
    </row>
    <row x14ac:dyDescent="0.25" r="23" customHeight="1" ht="18.75">
      <c r="A23" s="16"/>
      <c r="B23" s="33" t="s">
        <v>7</v>
      </c>
      <c r="C23" s="37">
        <f>C11</f>
      </c>
      <c r="D23" s="21" t="s">
        <v>8</v>
      </c>
      <c r="E23" s="14"/>
      <c r="F23" s="16"/>
      <c r="G23" s="14"/>
      <c r="H23" s="14"/>
      <c r="I23" s="14"/>
      <c r="J23" s="14"/>
      <c r="K23" s="14"/>
      <c r="L23" s="14"/>
      <c r="M23" s="13"/>
      <c r="N23" s="29"/>
      <c r="O23" s="14"/>
      <c r="P23" s="44"/>
      <c r="Q23" s="45"/>
      <c r="R23" s="45"/>
      <c r="S23" s="45"/>
      <c r="T23" s="45"/>
      <c r="U23" s="46"/>
      <c r="V23" s="47"/>
      <c r="W23" s="14"/>
      <c r="X23" s="44"/>
      <c r="Y23" s="48"/>
      <c r="Z23" s="48"/>
      <c r="AA23" s="48"/>
      <c r="AB23" s="48"/>
      <c r="AC23" s="48"/>
      <c r="AD23" s="49"/>
      <c r="AE23" s="49"/>
      <c r="AF23" s="21"/>
      <c r="AG23" s="11"/>
      <c r="AH23" s="11"/>
      <c r="AI23" s="12"/>
      <c r="AJ23" s="11"/>
      <c r="AK23" s="11"/>
      <c r="AL23" s="11"/>
      <c r="AM23" s="13"/>
      <c r="AN23" s="14"/>
      <c r="AO23" s="15"/>
      <c r="AP23" s="15"/>
    </row>
    <row x14ac:dyDescent="0.25" r="24" customHeight="1" ht="18.75">
      <c r="A24" s="16"/>
      <c r="B24" s="33" t="s">
        <v>9</v>
      </c>
      <c r="C24" s="38">
        <f>C12</f>
      </c>
      <c r="D24" s="21"/>
      <c r="E24" s="14"/>
      <c r="F24" s="44"/>
      <c r="G24" s="48"/>
      <c r="H24" s="48"/>
      <c r="I24" s="48"/>
      <c r="J24" s="48"/>
      <c r="K24" s="48"/>
      <c r="L24" s="48"/>
      <c r="M24" s="46"/>
      <c r="N24" s="50"/>
      <c r="O24" s="14"/>
      <c r="P24" s="14"/>
      <c r="Q24" s="11"/>
      <c r="R24" s="11"/>
      <c r="S24" s="11"/>
      <c r="T24" s="11"/>
      <c r="U24" s="13"/>
      <c r="V24" s="15"/>
      <c r="W24" s="14"/>
      <c r="X24" s="14"/>
      <c r="Y24" s="14"/>
      <c r="Z24" s="14"/>
      <c r="AA24" s="14"/>
      <c r="AB24" s="14"/>
      <c r="AC24" s="14"/>
      <c r="AD24" s="14"/>
      <c r="AE24" s="14"/>
      <c r="AF24" s="21"/>
      <c r="AG24" s="11"/>
      <c r="AH24" s="11"/>
      <c r="AI24" s="12"/>
      <c r="AJ24" s="11"/>
      <c r="AK24" s="11"/>
      <c r="AL24" s="11"/>
      <c r="AM24" s="13"/>
      <c r="AN24" s="14"/>
      <c r="AO24" s="15"/>
      <c r="AP24" s="15"/>
    </row>
    <row x14ac:dyDescent="0.25" r="25" customHeight="1" ht="18.75">
      <c r="A25" s="16"/>
      <c r="B25" s="39" t="s">
        <v>10</v>
      </c>
      <c r="C25" s="40">
        <f>(260*'ABS Presiones de diseño'!B27*(paneles!C4/1000)*(paneles!C5/1000)^3/(internos!C23*internos!C24))</f>
      </c>
      <c r="D25" s="41" t="s">
        <v>11</v>
      </c>
      <c r="E25" s="14"/>
      <c r="F25" s="51" t="s">
        <v>14</v>
      </c>
      <c r="G25" s="52"/>
      <c r="H25" s="52"/>
      <c r="I25" s="52"/>
      <c r="J25" s="52"/>
      <c r="K25" s="52"/>
      <c r="L25" s="52"/>
      <c r="M25" s="53"/>
      <c r="N25" s="54"/>
      <c r="O25" s="14"/>
      <c r="P25" s="14"/>
      <c r="Q25" s="11"/>
      <c r="R25" s="11"/>
      <c r="S25" s="11"/>
      <c r="T25" s="11"/>
      <c r="U25" s="13"/>
      <c r="V25" s="15"/>
      <c r="W25" s="14"/>
      <c r="X25" s="14"/>
      <c r="Y25" s="14"/>
      <c r="Z25" s="14"/>
      <c r="AA25" s="14"/>
      <c r="AB25" s="14"/>
      <c r="AC25" s="14"/>
      <c r="AD25" s="14"/>
      <c r="AE25" s="14"/>
      <c r="AF25" s="21"/>
      <c r="AG25" s="11"/>
      <c r="AH25" s="11"/>
      <c r="AI25" s="12"/>
      <c r="AJ25" s="11"/>
      <c r="AK25" s="11"/>
      <c r="AL25" s="11"/>
      <c r="AM25" s="13"/>
      <c r="AN25" s="14"/>
      <c r="AO25" s="15"/>
      <c r="AP25" s="15"/>
    </row>
    <row x14ac:dyDescent="0.25" r="26" customHeight="1" ht="18.75">
      <c r="A26" s="16"/>
      <c r="B26" s="33" t="s">
        <v>15</v>
      </c>
      <c r="C26" s="55">
        <f>M69/C22</f>
      </c>
      <c r="D26" s="14"/>
      <c r="E26" s="14"/>
      <c r="F26" s="14"/>
      <c r="G26" s="14"/>
      <c r="H26" s="14"/>
      <c r="I26" s="14"/>
      <c r="J26" s="14"/>
      <c r="K26" s="14"/>
      <c r="L26" s="14"/>
      <c r="M26" s="13"/>
      <c r="N26" s="11"/>
      <c r="O26" s="14"/>
      <c r="P26" s="14"/>
      <c r="Q26" s="11"/>
      <c r="R26" s="11"/>
      <c r="S26" s="11"/>
      <c r="T26" s="11"/>
      <c r="U26" s="13"/>
      <c r="V26" s="15"/>
      <c r="W26" s="14"/>
      <c r="X26" s="14"/>
      <c r="Y26" s="14"/>
      <c r="Z26" s="14"/>
      <c r="AA26" s="14"/>
      <c r="AB26" s="14"/>
      <c r="AC26" s="14"/>
      <c r="AD26" s="14"/>
      <c r="AE26" s="14"/>
      <c r="AF26" s="21"/>
      <c r="AG26" s="11" t="s">
        <v>16</v>
      </c>
      <c r="AH26" s="11" t="s">
        <v>17</v>
      </c>
      <c r="AI26" s="37">
        <v>60</v>
      </c>
      <c r="AJ26" s="11"/>
      <c r="AK26" s="11"/>
      <c r="AL26" s="11"/>
      <c r="AM26" s="13"/>
      <c r="AN26" s="14"/>
      <c r="AO26" s="15"/>
      <c r="AP26" s="15"/>
    </row>
    <row x14ac:dyDescent="0.25" r="27" customHeight="1" ht="18.75">
      <c r="A27" s="16"/>
      <c r="B27" s="14"/>
      <c r="C27" s="15"/>
      <c r="D27" s="14"/>
      <c r="E27" s="14"/>
      <c r="F27" s="14"/>
      <c r="G27" s="14"/>
      <c r="H27" s="14"/>
      <c r="I27" s="14"/>
      <c r="J27" s="14"/>
      <c r="K27" s="14"/>
      <c r="L27" s="14"/>
      <c r="M27" s="13"/>
      <c r="N27" s="11"/>
      <c r="O27" s="14"/>
      <c r="P27" s="14"/>
      <c r="Q27" s="11"/>
      <c r="R27" s="37">
        <f>(R34+Q35)*Q34</f>
      </c>
      <c r="S27" s="11"/>
      <c r="T27" s="11"/>
      <c r="U27" s="13"/>
      <c r="V27" s="15"/>
      <c r="W27" s="14"/>
      <c r="X27" s="14"/>
      <c r="Y27" s="14"/>
      <c r="Z27" s="14"/>
      <c r="AA27" s="14"/>
      <c r="AB27" s="14"/>
      <c r="AC27" s="14"/>
      <c r="AD27" s="14"/>
      <c r="AE27" s="14"/>
      <c r="AF27" s="21"/>
      <c r="AG27" s="11"/>
      <c r="AH27" s="11" t="s">
        <v>18</v>
      </c>
      <c r="AI27" s="37">
        <v>20</v>
      </c>
      <c r="AJ27" s="11"/>
      <c r="AK27" s="11"/>
      <c r="AL27" s="11"/>
      <c r="AM27" s="13"/>
      <c r="AN27" s="14"/>
      <c r="AO27" s="15"/>
      <c r="AP27" s="15"/>
    </row>
    <row x14ac:dyDescent="0.25" r="28" customHeight="1" ht="18.75">
      <c r="A28" s="16"/>
      <c r="B28" s="14"/>
      <c r="C28" s="15"/>
      <c r="D28" s="14"/>
      <c r="E28" s="14"/>
      <c r="F28" s="14"/>
      <c r="G28" s="14"/>
      <c r="H28" s="14"/>
      <c r="I28" s="14"/>
      <c r="J28" s="14"/>
      <c r="K28" s="14"/>
      <c r="L28" s="14"/>
      <c r="M28" s="56"/>
      <c r="N28" s="11"/>
      <c r="O28" s="14"/>
      <c r="P28" s="14"/>
      <c r="Q28" s="11"/>
      <c r="R28" s="11"/>
      <c r="S28" s="11"/>
      <c r="T28" s="11"/>
      <c r="U28" s="13"/>
      <c r="V28" s="15"/>
      <c r="W28" s="14"/>
      <c r="X28" s="14"/>
      <c r="Y28" s="14"/>
      <c r="Z28" s="14"/>
      <c r="AA28" s="14"/>
      <c r="AB28" s="14"/>
      <c r="AC28" s="14"/>
      <c r="AD28" s="14"/>
      <c r="AE28" s="14"/>
      <c r="AF28" s="21"/>
      <c r="AG28" s="11"/>
      <c r="AH28" s="11" t="s">
        <v>19</v>
      </c>
      <c r="AI28" s="37">
        <v>5</v>
      </c>
      <c r="AJ28" s="11"/>
      <c r="AK28" s="11"/>
      <c r="AL28" s="11"/>
      <c r="AM28" s="13"/>
      <c r="AN28" s="14"/>
      <c r="AO28" s="15"/>
      <c r="AP28" s="15"/>
    </row>
    <row x14ac:dyDescent="0.25" r="29" customHeight="1" ht="18.75">
      <c r="A29" s="16"/>
      <c r="B29" s="26" t="s">
        <v>20</v>
      </c>
      <c r="C29" s="57"/>
      <c r="D29" s="58"/>
      <c r="E29" s="14"/>
      <c r="F29" s="14"/>
      <c r="G29" s="14"/>
      <c r="H29" s="14"/>
      <c r="I29" s="14"/>
      <c r="J29" s="14"/>
      <c r="K29" s="14"/>
      <c r="L29" s="14"/>
      <c r="M29" s="13"/>
      <c r="N29" s="11"/>
      <c r="O29" s="14"/>
      <c r="P29" s="14"/>
      <c r="Q29" s="11"/>
      <c r="R29" s="11"/>
      <c r="S29" s="11"/>
      <c r="T29" s="11"/>
      <c r="U29" s="13"/>
      <c r="V29" s="15"/>
      <c r="W29" s="14"/>
      <c r="X29" s="14"/>
      <c r="Y29" s="14"/>
      <c r="Z29" s="14"/>
      <c r="AA29" s="14"/>
      <c r="AB29" s="14"/>
      <c r="AC29" s="14"/>
      <c r="AD29" s="14"/>
      <c r="AE29" s="14"/>
      <c r="AF29" s="21"/>
      <c r="AG29" s="11"/>
      <c r="AH29" s="11" t="s">
        <v>21</v>
      </c>
      <c r="AI29" s="12" t="s">
        <v>22</v>
      </c>
      <c r="AJ29" s="11" t="s">
        <v>23</v>
      </c>
      <c r="AK29" s="11" t="s">
        <v>24</v>
      </c>
      <c r="AL29" s="11" t="s">
        <v>25</v>
      </c>
      <c r="AM29" s="13" t="s">
        <v>10</v>
      </c>
      <c r="AN29" s="14"/>
      <c r="AO29" s="15"/>
      <c r="AP29" s="15"/>
    </row>
    <row x14ac:dyDescent="0.25" r="30" customHeight="1" ht="18.75">
      <c r="A30" s="16"/>
      <c r="B30" s="14"/>
      <c r="C30" s="15"/>
      <c r="D30" s="14"/>
      <c r="E30" s="14"/>
      <c r="F30" s="14"/>
      <c r="G30" s="14"/>
      <c r="H30" s="14"/>
      <c r="I30" s="14"/>
      <c r="J30" s="14"/>
      <c r="K30" s="14"/>
      <c r="L30" s="14"/>
      <c r="M30" s="13"/>
      <c r="N30" s="11"/>
      <c r="O30" s="14"/>
      <c r="P30" s="14"/>
      <c r="Q30" s="11"/>
      <c r="R30" s="11"/>
      <c r="S30" s="11"/>
      <c r="T30" s="11"/>
      <c r="U30" s="13"/>
      <c r="V30" s="15"/>
      <c r="W30" s="14"/>
      <c r="X30" s="14"/>
      <c r="Y30" s="14"/>
      <c r="Z30" s="14"/>
      <c r="AA30" s="14"/>
      <c r="AB30" s="14"/>
      <c r="AC30" s="14"/>
      <c r="AD30" s="14"/>
      <c r="AE30" s="14"/>
      <c r="AF30" s="21"/>
      <c r="AG30" s="11" t="s">
        <v>26</v>
      </c>
      <c r="AH30" s="37">
        <v>250</v>
      </c>
      <c r="AI30" s="37">
        <v>6</v>
      </c>
      <c r="AJ30" s="37">
        <f>AI30*AH30</f>
      </c>
      <c r="AK30" s="37">
        <f>AI30/2</f>
      </c>
      <c r="AL30" s="37">
        <f>AJ30*AK30</f>
      </c>
      <c r="AM30" s="38">
        <f>(1/12)*AH30*AI30^3+AJ30*(AO20-AK30)^2</f>
      </c>
      <c r="AN30" s="14"/>
      <c r="AO30" s="38">
        <f>SUM(AL30:AL32)/SUM(AJ30:AJ32)</f>
      </c>
      <c r="AP30" s="15"/>
    </row>
    <row x14ac:dyDescent="0.25" r="31" customHeight="1" ht="18.75">
      <c r="A31" s="16"/>
      <c r="B31" s="14"/>
      <c r="C31" s="15"/>
      <c r="D31" s="14"/>
      <c r="E31" s="14"/>
      <c r="F31" s="14"/>
      <c r="G31" s="14"/>
      <c r="H31" s="14"/>
      <c r="I31" s="14"/>
      <c r="J31" s="14"/>
      <c r="K31" s="14"/>
      <c r="L31" s="59"/>
      <c r="M31" s="60"/>
      <c r="N31" s="61"/>
      <c r="O31" s="14"/>
      <c r="P31" s="51" t="s">
        <v>27</v>
      </c>
      <c r="Q31" s="62"/>
      <c r="R31" s="62"/>
      <c r="S31" s="62"/>
      <c r="T31" s="62"/>
      <c r="U31" s="53"/>
      <c r="V31" s="63"/>
      <c r="W31" s="14"/>
      <c r="X31" s="14"/>
      <c r="Y31" s="14"/>
      <c r="Z31" s="14"/>
      <c r="AA31" s="14"/>
      <c r="AB31" s="14"/>
      <c r="AC31" s="14"/>
      <c r="AD31" s="14"/>
      <c r="AE31" s="14"/>
      <c r="AF31" s="21"/>
      <c r="AG31" s="11" t="s">
        <v>28</v>
      </c>
      <c r="AH31" s="37">
        <f>AI28</f>
      </c>
      <c r="AI31" s="37">
        <f>AI26-AI28</f>
      </c>
      <c r="AJ31" s="37">
        <f>AI31*AH31</f>
      </c>
      <c r="AK31" s="38">
        <f>AI30+(AI31/2)</f>
      </c>
      <c r="AL31" s="38">
        <f>AJ31*AK31</f>
      </c>
      <c r="AM31" s="38">
        <f>(1/12)*AH31*AI31^3+AJ31*(AK31-AO20)^2</f>
      </c>
      <c r="AN31" s="14"/>
      <c r="AO31" s="15"/>
      <c r="AP31" s="15"/>
    </row>
    <row x14ac:dyDescent="0.25" r="32" customHeight="1" ht="18.75">
      <c r="A32" s="16"/>
      <c r="B32" s="31" t="s">
        <v>3</v>
      </c>
      <c r="C32" s="32">
        <f>133*0.75</f>
      </c>
      <c r="D32" s="10" t="s">
        <v>4</v>
      </c>
      <c r="E32" s="14"/>
      <c r="F32" s="14"/>
      <c r="G32" s="14"/>
      <c r="H32" s="14"/>
      <c r="I32" s="14"/>
      <c r="J32" s="14"/>
      <c r="K32" s="14"/>
      <c r="L32" s="64" t="s">
        <v>29</v>
      </c>
      <c r="M32" s="65"/>
      <c r="N32" s="66"/>
      <c r="O32" s="14"/>
      <c r="P32" s="67"/>
      <c r="Q32" s="68" t="s">
        <v>21</v>
      </c>
      <c r="R32" s="68" t="s">
        <v>22</v>
      </c>
      <c r="S32" s="68" t="s">
        <v>23</v>
      </c>
      <c r="T32" s="68" t="s">
        <v>24</v>
      </c>
      <c r="U32" s="69" t="s">
        <v>25</v>
      </c>
      <c r="V32" s="70" t="s">
        <v>10</v>
      </c>
      <c r="W32" s="14"/>
      <c r="X32" s="14"/>
      <c r="Y32" s="14"/>
      <c r="Z32" s="14"/>
      <c r="AA32" s="14"/>
      <c r="AB32" s="14"/>
      <c r="AC32" s="14"/>
      <c r="AD32" s="14"/>
      <c r="AE32" s="14"/>
      <c r="AF32" s="21"/>
      <c r="AG32" s="11" t="s">
        <v>30</v>
      </c>
      <c r="AH32" s="37">
        <f>AI27</f>
      </c>
      <c r="AI32" s="37">
        <v>5</v>
      </c>
      <c r="AJ32" s="37">
        <f>AI32*AH32</f>
      </c>
      <c r="AK32" s="38">
        <f>AI30+AI31+(AI32/2)</f>
      </c>
      <c r="AL32" s="37">
        <f>AJ32*AK32</f>
      </c>
      <c r="AM32" s="38">
        <f>(1/12)*AH32*AI32^3+AJ32*(AK32-AO20)^2</f>
      </c>
      <c r="AN32" s="14"/>
      <c r="AO32" s="15" t="s">
        <v>31</v>
      </c>
      <c r="AP32" s="38">
        <f>AI26-AO30</f>
      </c>
    </row>
    <row x14ac:dyDescent="0.25" r="33" customHeight="1" ht="18.75">
      <c r="A33" s="16"/>
      <c r="B33" s="33" t="s">
        <v>32</v>
      </c>
      <c r="C33" s="71">
        <v>1000</v>
      </c>
      <c r="D33" s="21" t="s">
        <v>33</v>
      </c>
      <c r="E33" s="14"/>
      <c r="F33" s="14"/>
      <c r="G33" s="14"/>
      <c r="H33" s="14"/>
      <c r="I33" s="14"/>
      <c r="J33" s="14"/>
      <c r="K33" s="14"/>
      <c r="L33" s="16"/>
      <c r="M33" s="13"/>
      <c r="N33" s="29"/>
      <c r="O33" s="14"/>
      <c r="P33" s="72" t="s">
        <v>26</v>
      </c>
      <c r="Q33" s="73">
        <f>60*6</f>
      </c>
      <c r="R33" s="73">
        <v>6</v>
      </c>
      <c r="S33" s="74">
        <f>R33*Q33</f>
      </c>
      <c r="T33" s="74">
        <f>R33/2</f>
      </c>
      <c r="U33" s="74">
        <f>S33*T33</f>
      </c>
      <c r="V33" s="75">
        <f>((1/12)*Q33*R33^3+S33*(U36-T33)^2)/10000</f>
      </c>
      <c r="W33" s="14"/>
      <c r="X33" s="14"/>
      <c r="Y33" s="14"/>
      <c r="Z33" s="14"/>
      <c r="AA33" s="14"/>
      <c r="AB33" s="14"/>
      <c r="AC33" s="14"/>
      <c r="AD33" s="14"/>
      <c r="AE33" s="14"/>
      <c r="AF33" s="21"/>
      <c r="AG33" s="11"/>
      <c r="AH33" s="11"/>
      <c r="AI33" s="12"/>
      <c r="AJ33" s="11"/>
      <c r="AK33" s="11"/>
      <c r="AL33" s="11"/>
      <c r="AM33" s="13"/>
      <c r="AN33" s="14"/>
      <c r="AO33" s="15"/>
      <c r="AP33" s="15"/>
    </row>
    <row x14ac:dyDescent="0.25" r="34" customHeight="1" ht="18.75">
      <c r="A34" s="16"/>
      <c r="B34" s="34" t="s">
        <v>5</v>
      </c>
      <c r="C34" s="35">
        <f>83.3*'ABS Presiones de diseño'!B40*(paneles!C5/1000)*(C33/1000)^2/internos!C32</f>
      </c>
      <c r="D34" s="36" t="s">
        <v>34</v>
      </c>
      <c r="E34" s="14"/>
      <c r="F34" s="14"/>
      <c r="G34" s="14"/>
      <c r="H34" s="14"/>
      <c r="I34" s="14"/>
      <c r="J34" s="14"/>
      <c r="K34" s="14"/>
      <c r="L34" s="76" t="s">
        <v>35</v>
      </c>
      <c r="M34" s="77" t="s">
        <v>36</v>
      </c>
      <c r="N34" s="78">
        <v>6</v>
      </c>
      <c r="O34" s="14"/>
      <c r="P34" s="72" t="s">
        <v>28</v>
      </c>
      <c r="Q34" s="73">
        <v>6</v>
      </c>
      <c r="R34" s="73">
        <v>65</v>
      </c>
      <c r="S34" s="74">
        <f>R34*Q34</f>
      </c>
      <c r="T34" s="79">
        <f>R33+(R34/2)</f>
      </c>
      <c r="U34" s="74">
        <f>S34*T34</f>
      </c>
      <c r="V34" s="75">
        <f>((1/12)*Q34*R34^3+S34*(T34-U36)^2)/10000</f>
      </c>
      <c r="W34" s="14"/>
      <c r="X34" s="14"/>
      <c r="Y34" s="14"/>
      <c r="Z34" s="14"/>
      <c r="AA34" s="14"/>
      <c r="AB34" s="14"/>
      <c r="AC34" s="14"/>
      <c r="AD34" s="14"/>
      <c r="AE34" s="14"/>
      <c r="AF34" s="21"/>
      <c r="AG34" s="11"/>
      <c r="AH34" s="11"/>
      <c r="AI34" s="12"/>
      <c r="AJ34" s="11"/>
      <c r="AK34" s="11"/>
      <c r="AL34" s="11"/>
      <c r="AM34" s="38">
        <f>SUM(AM30:AM32)/10000</f>
      </c>
      <c r="AN34" s="14"/>
      <c r="AO34" s="15"/>
      <c r="AP34" s="15"/>
    </row>
    <row x14ac:dyDescent="0.25" r="35" customHeight="1" ht="18.75">
      <c r="A35" s="16"/>
      <c r="B35" s="33" t="s">
        <v>7</v>
      </c>
      <c r="C35" s="37">
        <f>C11</f>
      </c>
      <c r="D35" s="80">
        <f>D11</f>
      </c>
      <c r="E35" s="14"/>
      <c r="F35" s="14"/>
      <c r="G35" s="14"/>
      <c r="H35" s="14"/>
      <c r="I35" s="14"/>
      <c r="J35" s="14"/>
      <c r="K35" s="14"/>
      <c r="L35" s="81"/>
      <c r="M35" s="82" t="s">
        <v>37</v>
      </c>
      <c r="N35" s="83">
        <v>65</v>
      </c>
      <c r="O35" s="14"/>
      <c r="P35" s="72" t="s">
        <v>38</v>
      </c>
      <c r="Q35" s="74">
        <v>0</v>
      </c>
      <c r="R35" s="74">
        <v>0</v>
      </c>
      <c r="S35" s="74">
        <f>R35*Q35</f>
      </c>
      <c r="T35" s="74">
        <v>0</v>
      </c>
      <c r="U35" s="74">
        <f>S35*T35</f>
      </c>
      <c r="V35" s="75">
        <f>((1/12)*Q35*R35^3+S35*(T35-U36)^2)/10000</f>
      </c>
      <c r="W35" s="14"/>
      <c r="X35" s="14"/>
      <c r="Y35" s="14"/>
      <c r="Z35" s="14"/>
      <c r="AA35" s="14"/>
      <c r="AB35" s="14"/>
      <c r="AC35" s="14"/>
      <c r="AD35" s="14"/>
      <c r="AE35" s="14"/>
      <c r="AF35" s="21"/>
      <c r="AG35" s="11"/>
      <c r="AH35" s="11"/>
      <c r="AI35" s="12"/>
      <c r="AJ35" s="11"/>
      <c r="AK35" s="11"/>
      <c r="AL35" s="11"/>
      <c r="AM35" s="38">
        <f>AM34/(AP32/10)</f>
      </c>
      <c r="AN35" s="14"/>
      <c r="AO35" s="15"/>
      <c r="AP35" s="15"/>
    </row>
    <row x14ac:dyDescent="0.25" r="36" customHeight="1" ht="18.75">
      <c r="A36" s="16"/>
      <c r="B36" s="33" t="s">
        <v>9</v>
      </c>
      <c r="C36" s="38">
        <v>0.0021</v>
      </c>
      <c r="D36" s="21"/>
      <c r="E36" s="14"/>
      <c r="F36" s="14"/>
      <c r="G36" s="14"/>
      <c r="H36" s="14"/>
      <c r="I36" s="14"/>
      <c r="J36" s="14"/>
      <c r="K36" s="14"/>
      <c r="L36" s="16" t="s">
        <v>39</v>
      </c>
      <c r="M36" s="55">
        <f>SUM(V33:V35)</f>
      </c>
      <c r="N36" s="29" t="s">
        <v>11</v>
      </c>
      <c r="O36" s="14"/>
      <c r="P36" s="84"/>
      <c r="Q36" s="11"/>
      <c r="R36" s="11"/>
      <c r="S36" s="11"/>
      <c r="T36" s="85" t="s">
        <v>40</v>
      </c>
      <c r="U36" s="55">
        <f>SUM(U33:U35)/(SUM(S33:S35))</f>
      </c>
      <c r="V36" s="30"/>
      <c r="W36" s="14"/>
      <c r="X36" s="14"/>
      <c r="Y36" s="14"/>
      <c r="Z36" s="14"/>
      <c r="AA36" s="14"/>
      <c r="AB36" s="14"/>
      <c r="AC36" s="14"/>
      <c r="AD36" s="14"/>
      <c r="AE36" s="14"/>
      <c r="AF36" s="21"/>
      <c r="AG36" s="11"/>
      <c r="AH36" s="11"/>
      <c r="AI36" s="12"/>
      <c r="AJ36" s="11"/>
      <c r="AK36" s="11"/>
      <c r="AL36" s="11"/>
      <c r="AM36" s="13"/>
      <c r="AN36" s="14"/>
      <c r="AO36" s="15"/>
      <c r="AP36" s="15"/>
    </row>
    <row x14ac:dyDescent="0.25" r="37" customHeight="1" ht="18.75">
      <c r="A37" s="16"/>
      <c r="B37" s="39" t="s">
        <v>10</v>
      </c>
      <c r="C37" s="40">
        <f>(260*'ABS Presiones de diseño'!B40*(paneles!C5/1000)*(C33/1000)^3/(internos!C36*internos!C35))</f>
      </c>
      <c r="D37" s="41" t="s">
        <v>11</v>
      </c>
      <c r="E37" s="14"/>
      <c r="F37" s="14"/>
      <c r="G37" s="14"/>
      <c r="H37" s="14"/>
      <c r="I37" s="14"/>
      <c r="J37" s="14"/>
      <c r="K37" s="14"/>
      <c r="L37" s="44" t="s">
        <v>5</v>
      </c>
      <c r="M37" s="86">
        <f>M36/((SUM(R33:R34)-U36)/10)</f>
      </c>
      <c r="N37" s="50" t="s">
        <v>6</v>
      </c>
      <c r="O37" s="14"/>
      <c r="P37" s="16"/>
      <c r="Q37" s="11"/>
      <c r="R37" s="11"/>
      <c r="S37" s="11"/>
      <c r="T37" s="11"/>
      <c r="U37" s="13"/>
      <c r="V37" s="30"/>
      <c r="W37" s="14"/>
      <c r="X37" s="14"/>
      <c r="Y37" s="14"/>
      <c r="Z37" s="14"/>
      <c r="AA37" s="14"/>
      <c r="AB37" s="14"/>
      <c r="AC37" s="14"/>
      <c r="AD37" s="14"/>
      <c r="AE37" s="14"/>
      <c r="AF37" s="21"/>
      <c r="AG37" s="11"/>
      <c r="AH37" s="11"/>
      <c r="AI37" s="12"/>
      <c r="AJ37" s="11"/>
      <c r="AK37" s="11"/>
      <c r="AL37" s="11"/>
      <c r="AM37" s="13"/>
      <c r="AN37" s="14"/>
      <c r="AO37" s="15"/>
      <c r="AP37" s="15"/>
    </row>
    <row x14ac:dyDescent="0.25" r="38" customHeight="1" ht="18.75">
      <c r="A38" s="16"/>
      <c r="B38" s="33" t="s">
        <v>15</v>
      </c>
      <c r="C38" s="38">
        <f>M63/C34</f>
      </c>
      <c r="D38" s="14"/>
      <c r="E38" s="14"/>
      <c r="F38" s="14"/>
      <c r="G38" s="14"/>
      <c r="H38" s="14"/>
      <c r="I38" s="14"/>
      <c r="J38" s="14"/>
      <c r="K38" s="14"/>
      <c r="L38" s="16"/>
      <c r="M38" s="13"/>
      <c r="N38" s="29"/>
      <c r="O38" s="14"/>
      <c r="P38" s="16"/>
      <c r="Q38" s="11"/>
      <c r="R38" s="11"/>
      <c r="S38" s="11"/>
      <c r="T38" s="11"/>
      <c r="U38" s="13"/>
      <c r="V38" s="30"/>
      <c r="W38" s="14"/>
      <c r="X38" s="14"/>
      <c r="Y38" s="14"/>
      <c r="Z38" s="14"/>
      <c r="AA38" s="14"/>
      <c r="AB38" s="14"/>
      <c r="AC38" s="14"/>
      <c r="AD38" s="14"/>
      <c r="AE38" s="14"/>
      <c r="AF38" s="21"/>
      <c r="AG38" s="11"/>
      <c r="AH38" s="11"/>
      <c r="AI38" s="12"/>
      <c r="AJ38" s="11"/>
      <c r="AK38" s="11"/>
      <c r="AL38" s="11"/>
      <c r="AM38" s="13"/>
      <c r="AN38" s="14"/>
      <c r="AO38" s="15"/>
      <c r="AP38" s="15"/>
    </row>
    <row x14ac:dyDescent="0.25" r="39" customHeight="1" ht="18.75">
      <c r="A39" s="16"/>
      <c r="B39" s="14"/>
      <c r="C39" s="15"/>
      <c r="D39" s="14"/>
      <c r="E39" s="14"/>
      <c r="F39" s="14"/>
      <c r="G39" s="14"/>
      <c r="H39" s="14"/>
      <c r="I39" s="14"/>
      <c r="J39" s="14"/>
      <c r="K39" s="14"/>
      <c r="L39" s="87" t="s">
        <v>41</v>
      </c>
      <c r="M39" s="77" t="s">
        <v>36</v>
      </c>
      <c r="N39" s="78">
        <v>4</v>
      </c>
      <c r="O39" s="14"/>
      <c r="P39" s="51" t="s">
        <v>42</v>
      </c>
      <c r="Q39" s="62"/>
      <c r="R39" s="62"/>
      <c r="S39" s="62"/>
      <c r="T39" s="62"/>
      <c r="U39" s="88"/>
      <c r="V39" s="30"/>
      <c r="W39" s="14"/>
      <c r="X39" s="14"/>
      <c r="Y39" s="14"/>
      <c r="Z39" s="14"/>
      <c r="AA39" s="14"/>
      <c r="AB39" s="14"/>
      <c r="AC39" s="14"/>
      <c r="AD39" s="14"/>
      <c r="AE39" s="14"/>
      <c r="AF39" s="21"/>
      <c r="AG39" s="11"/>
      <c r="AH39" s="11"/>
      <c r="AI39" s="12"/>
      <c r="AJ39" s="11"/>
      <c r="AK39" s="11"/>
      <c r="AL39" s="11"/>
      <c r="AM39" s="13"/>
      <c r="AN39" s="14"/>
      <c r="AO39" s="15"/>
      <c r="AP39" s="15"/>
    </row>
    <row x14ac:dyDescent="0.25" r="40" customHeight="1" ht="15.6">
      <c r="A40" s="16"/>
      <c r="B40" s="14"/>
      <c r="C40" s="15"/>
      <c r="D40" s="14"/>
      <c r="E40" s="14"/>
      <c r="F40" s="14"/>
      <c r="G40" s="14"/>
      <c r="H40" s="14"/>
      <c r="I40" s="14"/>
      <c r="J40" s="14"/>
      <c r="K40" s="14"/>
      <c r="L40" s="89"/>
      <c r="M40" s="82" t="s">
        <v>37</v>
      </c>
      <c r="N40" s="83">
        <v>100</v>
      </c>
      <c r="O40" s="14"/>
      <c r="P40" s="90"/>
      <c r="Q40" s="91" t="s">
        <v>43</v>
      </c>
      <c r="R40" s="91" t="s">
        <v>44</v>
      </c>
      <c r="S40" s="92"/>
      <c r="T40" s="93" t="s">
        <v>5</v>
      </c>
      <c r="U40" s="94">
        <f>(U42+U43)/((Q42-U41)/10)</f>
      </c>
      <c r="V40" s="30"/>
      <c r="W40" s="14"/>
      <c r="X40" s="14"/>
      <c r="Y40" s="14"/>
      <c r="Z40" s="14"/>
      <c r="AA40" s="14"/>
      <c r="AB40" s="14"/>
      <c r="AC40" s="14"/>
      <c r="AD40" s="14"/>
      <c r="AE40" s="14"/>
      <c r="AF40" s="21"/>
      <c r="AG40" s="11"/>
      <c r="AH40" s="11"/>
      <c r="AI40" s="12"/>
      <c r="AJ40" s="11"/>
      <c r="AK40" s="11"/>
      <c r="AL40" s="11"/>
      <c r="AM40" s="13"/>
      <c r="AN40" s="14"/>
      <c r="AO40" s="15"/>
      <c r="AP40" s="15"/>
    </row>
    <row x14ac:dyDescent="0.25" r="41" customHeight="1" ht="18.75">
      <c r="A41" s="16"/>
      <c r="B41" s="26" t="s">
        <v>45</v>
      </c>
      <c r="C41" s="57"/>
      <c r="D41" s="58"/>
      <c r="E41" s="14"/>
      <c r="F41" s="14"/>
      <c r="G41" s="14"/>
      <c r="H41" s="14"/>
      <c r="I41" s="14"/>
      <c r="J41" s="14"/>
      <c r="K41" s="14"/>
      <c r="L41" s="16" t="s">
        <v>39</v>
      </c>
      <c r="M41" s="55">
        <f>AI86</f>
      </c>
      <c r="N41" s="29" t="s">
        <v>11</v>
      </c>
      <c r="O41" s="14"/>
      <c r="P41" s="72" t="s">
        <v>46</v>
      </c>
      <c r="Q41" s="73">
        <v>5</v>
      </c>
      <c r="R41" s="73">
        <f>IF(60*Q41&lt;500,60*Q41,250)</f>
      </c>
      <c r="S41" s="11"/>
      <c r="T41" s="95" t="s">
        <v>40</v>
      </c>
      <c r="U41" s="75">
        <f>((R42+Q42/2)*Q43+(R42/2)*R43)/(Q43+R43)</f>
      </c>
      <c r="V41" s="96"/>
      <c r="W41" s="14"/>
      <c r="X41" s="14"/>
      <c r="Y41" s="14"/>
      <c r="Z41" s="14"/>
      <c r="AA41" s="14"/>
      <c r="AB41" s="14"/>
      <c r="AC41" s="14"/>
      <c r="AD41" s="14"/>
      <c r="AE41" s="14"/>
      <c r="AF41" s="21"/>
      <c r="AG41" s="11" t="s">
        <v>47</v>
      </c>
      <c r="AH41" s="11" t="s">
        <v>17</v>
      </c>
      <c r="AI41" s="37">
        <v>60</v>
      </c>
      <c r="AJ41" s="11"/>
      <c r="AK41" s="11"/>
      <c r="AL41" s="11"/>
      <c r="AM41" s="13"/>
      <c r="AN41" s="14"/>
      <c r="AO41" s="15"/>
      <c r="AP41" s="15"/>
    </row>
    <row x14ac:dyDescent="0.25" r="42" customHeight="1" ht="18.75">
      <c r="A42" s="16"/>
      <c r="B42" s="14"/>
      <c r="C42" s="15"/>
      <c r="D42" s="14"/>
      <c r="E42" s="14"/>
      <c r="F42" s="14"/>
      <c r="G42" s="14"/>
      <c r="H42" s="14"/>
      <c r="I42" s="14"/>
      <c r="J42" s="14"/>
      <c r="K42" s="14"/>
      <c r="L42" s="44" t="s">
        <v>5</v>
      </c>
      <c r="M42" s="97">
        <f>AI87</f>
      </c>
      <c r="N42" s="50" t="s">
        <v>6</v>
      </c>
      <c r="O42" s="14"/>
      <c r="P42" s="72" t="s">
        <v>37</v>
      </c>
      <c r="Q42" s="73">
        <v>40</v>
      </c>
      <c r="R42" s="73">
        <v>4</v>
      </c>
      <c r="S42" s="11"/>
      <c r="T42" s="95" t="s">
        <v>48</v>
      </c>
      <c r="U42" s="98">
        <f>((1/12)*Q41*Q42^3+Q43*((R42+Q42/2)-U41)^2)/10000</f>
      </c>
      <c r="V42" s="30"/>
      <c r="W42" s="14"/>
      <c r="X42" s="14"/>
      <c r="Y42" s="14"/>
      <c r="Z42" s="14"/>
      <c r="AA42" s="14"/>
      <c r="AB42" s="14"/>
      <c r="AC42" s="14"/>
      <c r="AD42" s="14"/>
      <c r="AE42" s="14"/>
      <c r="AF42" s="21"/>
      <c r="AG42" s="11"/>
      <c r="AH42" s="11" t="s">
        <v>18</v>
      </c>
      <c r="AI42" s="37">
        <v>19</v>
      </c>
      <c r="AJ42" s="11"/>
      <c r="AK42" s="11"/>
      <c r="AL42" s="11"/>
      <c r="AM42" s="13"/>
      <c r="AN42" s="14"/>
      <c r="AO42" s="15"/>
      <c r="AP42" s="15"/>
    </row>
    <row x14ac:dyDescent="0.25" r="43" customHeight="1" ht="18.75">
      <c r="A43" s="16"/>
      <c r="B43" s="14"/>
      <c r="C43" s="15"/>
      <c r="D43" s="14"/>
      <c r="E43" s="14"/>
      <c r="F43" s="14"/>
      <c r="G43" s="14"/>
      <c r="H43" s="14"/>
      <c r="I43" s="14"/>
      <c r="J43" s="14"/>
      <c r="K43" s="14"/>
      <c r="L43" s="16"/>
      <c r="M43" s="13"/>
      <c r="N43" s="29"/>
      <c r="O43" s="14"/>
      <c r="P43" s="99" t="s">
        <v>49</v>
      </c>
      <c r="Q43" s="100">
        <f>Q42*Q41</f>
      </c>
      <c r="R43" s="100">
        <f>R41*R42</f>
      </c>
      <c r="S43" s="45"/>
      <c r="T43" s="101" t="s">
        <v>50</v>
      </c>
      <c r="U43" s="102">
        <f>((1/12)*R41*R42^3+R43*((R42/2)-U41)^2)/10000</f>
      </c>
      <c r="V43" s="30"/>
      <c r="W43" s="14"/>
      <c r="X43" s="14"/>
      <c r="Y43" s="14"/>
      <c r="Z43" s="14"/>
      <c r="AA43" s="14"/>
      <c r="AB43" s="14"/>
      <c r="AC43" s="14"/>
      <c r="AD43" s="14"/>
      <c r="AE43" s="14"/>
      <c r="AF43" s="21"/>
      <c r="AG43" s="11"/>
      <c r="AH43" s="11" t="s">
        <v>19</v>
      </c>
      <c r="AI43" s="37">
        <v>5</v>
      </c>
      <c r="AJ43" s="11"/>
      <c r="AK43" s="11"/>
      <c r="AL43" s="11"/>
      <c r="AM43" s="13"/>
      <c r="AN43" s="14"/>
      <c r="AO43" s="15"/>
      <c r="AP43" s="15"/>
    </row>
    <row x14ac:dyDescent="0.25" r="44" customHeight="1" ht="18.75">
      <c r="A44" s="16"/>
      <c r="B44" s="31" t="s">
        <v>3</v>
      </c>
      <c r="C44" s="32">
        <f>0.65*125</f>
      </c>
      <c r="D44" s="10" t="s">
        <v>4</v>
      </c>
      <c r="E44" s="14"/>
      <c r="F44" s="14"/>
      <c r="G44" s="14"/>
      <c r="H44" s="14"/>
      <c r="I44" s="14"/>
      <c r="J44" s="14"/>
      <c r="K44" s="14"/>
      <c r="L44" s="103" t="s">
        <v>51</v>
      </c>
      <c r="M44" s="77" t="s">
        <v>36</v>
      </c>
      <c r="N44" s="78">
        <v>12</v>
      </c>
      <c r="O44" s="14"/>
      <c r="P44" s="16"/>
      <c r="Q44" s="11"/>
      <c r="R44" s="11"/>
      <c r="S44" s="11"/>
      <c r="T44" s="11"/>
      <c r="U44" s="13"/>
      <c r="V44" s="30"/>
      <c r="W44" s="14"/>
      <c r="X44" s="14"/>
      <c r="Y44" s="14"/>
      <c r="Z44" s="14"/>
      <c r="AA44" s="14"/>
      <c r="AB44" s="14"/>
      <c r="AC44" s="14"/>
      <c r="AD44" s="14"/>
      <c r="AE44" s="14"/>
      <c r="AF44" s="21"/>
      <c r="AG44" s="11"/>
      <c r="AH44" s="11" t="s">
        <v>21</v>
      </c>
      <c r="AI44" s="12" t="s">
        <v>22</v>
      </c>
      <c r="AJ44" s="11" t="s">
        <v>23</v>
      </c>
      <c r="AK44" s="11" t="s">
        <v>24</v>
      </c>
      <c r="AL44" s="11" t="s">
        <v>25</v>
      </c>
      <c r="AM44" s="13" t="s">
        <v>10</v>
      </c>
      <c r="AN44" s="14"/>
      <c r="AO44" s="15"/>
      <c r="AP44" s="15"/>
    </row>
    <row x14ac:dyDescent="0.25" r="45" customHeight="1" ht="18.75">
      <c r="A45" s="16"/>
      <c r="B45" s="33"/>
      <c r="C45" s="15"/>
      <c r="D45" s="21"/>
      <c r="E45" s="14"/>
      <c r="F45" s="14"/>
      <c r="G45" s="14"/>
      <c r="H45" s="14"/>
      <c r="I45" s="14"/>
      <c r="J45" s="14"/>
      <c r="K45" s="14"/>
      <c r="L45" s="104"/>
      <c r="M45" s="82" t="s">
        <v>37</v>
      </c>
      <c r="N45" s="83">
        <v>80</v>
      </c>
      <c r="O45" s="14"/>
      <c r="P45" s="16"/>
      <c r="Q45" s="11"/>
      <c r="R45" s="11"/>
      <c r="S45" s="11"/>
      <c r="T45" s="11"/>
      <c r="U45" s="13"/>
      <c r="V45" s="30"/>
      <c r="W45" s="14"/>
      <c r="X45" s="14"/>
      <c r="Y45" s="14"/>
      <c r="Z45" s="14"/>
      <c r="AA45" s="14"/>
      <c r="AB45" s="14"/>
      <c r="AC45" s="14"/>
      <c r="AD45" s="14"/>
      <c r="AE45" s="14"/>
      <c r="AF45" s="21"/>
      <c r="AG45" s="11" t="s">
        <v>26</v>
      </c>
      <c r="AH45" s="37">
        <v>250</v>
      </c>
      <c r="AI45" s="37">
        <v>6</v>
      </c>
      <c r="AJ45" s="37">
        <f>AI45*AH45</f>
      </c>
      <c r="AK45" s="37">
        <f>AI45/2</f>
      </c>
      <c r="AL45" s="37">
        <f>AJ45*AK45</f>
      </c>
      <c r="AM45" s="38">
        <f>(1/12)*AH45*AI45^3+AJ45*(AL49-AK45)^2</f>
      </c>
      <c r="AN45" s="14"/>
      <c r="AO45" s="15"/>
      <c r="AP45" s="15"/>
    </row>
    <row x14ac:dyDescent="0.25" r="46" customHeight="1" ht="18.75">
      <c r="A46" s="16"/>
      <c r="B46" s="34" t="s">
        <v>5</v>
      </c>
      <c r="C46" s="105">
        <f>83.3*'ABS Presiones de diseño'!B18*(paneles!C4/1000)*(paneles!C5/1000)^2/internos!C44</f>
      </c>
      <c r="D46" s="36" t="s">
        <v>34</v>
      </c>
      <c r="E46" s="14"/>
      <c r="F46" s="14"/>
      <c r="G46" s="14"/>
      <c r="H46" s="14"/>
      <c r="I46" s="14"/>
      <c r="J46" s="14"/>
      <c r="K46" s="14"/>
      <c r="L46" s="16" t="s">
        <v>39</v>
      </c>
      <c r="M46" s="55">
        <f>AI100</f>
      </c>
      <c r="N46" s="29" t="s">
        <v>11</v>
      </c>
      <c r="O46" s="14"/>
      <c r="P46" s="16"/>
      <c r="Q46" s="11"/>
      <c r="R46" s="11"/>
      <c r="S46" s="11"/>
      <c r="T46" s="11"/>
      <c r="U46" s="13"/>
      <c r="V46" s="30"/>
      <c r="W46" s="14"/>
      <c r="X46" s="14"/>
      <c r="Y46" s="14"/>
      <c r="Z46" s="14"/>
      <c r="AA46" s="14"/>
      <c r="AB46" s="14"/>
      <c r="AC46" s="14"/>
      <c r="AD46" s="14"/>
      <c r="AE46" s="14"/>
      <c r="AF46" s="21"/>
      <c r="AG46" s="11" t="s">
        <v>28</v>
      </c>
      <c r="AH46" s="37">
        <f>AI43</f>
      </c>
      <c r="AI46" s="37">
        <f>AI41-AI47</f>
      </c>
      <c r="AJ46" s="37">
        <f>AI46*AH46</f>
      </c>
      <c r="AK46" s="37">
        <f>AI45+(AI46/2)</f>
      </c>
      <c r="AL46" s="37">
        <f>AJ46*AK46</f>
      </c>
      <c r="AM46" s="38">
        <f>(1/12)*AH46*AI46^3+AJ46*(AK46-AL49)^2</f>
      </c>
      <c r="AN46" s="14"/>
      <c r="AO46" s="15"/>
      <c r="AP46" s="15"/>
    </row>
    <row x14ac:dyDescent="0.25" r="47" customHeight="1" ht="18.75">
      <c r="A47" s="16"/>
      <c r="B47" s="33" t="s">
        <v>7</v>
      </c>
      <c r="C47" s="37">
        <f>C35</f>
      </c>
      <c r="D47" s="80">
        <f>D23</f>
      </c>
      <c r="E47" s="14"/>
      <c r="F47" s="14"/>
      <c r="G47" s="14"/>
      <c r="H47" s="14"/>
      <c r="I47" s="14"/>
      <c r="J47" s="14"/>
      <c r="K47" s="14"/>
      <c r="L47" s="44" t="s">
        <v>5</v>
      </c>
      <c r="M47" s="86">
        <f>AI101</f>
      </c>
      <c r="N47" s="50" t="s">
        <v>6</v>
      </c>
      <c r="O47" s="14"/>
      <c r="P47" s="16"/>
      <c r="Q47" s="11"/>
      <c r="R47" s="11"/>
      <c r="S47" s="11"/>
      <c r="T47" s="11"/>
      <c r="U47" s="13"/>
      <c r="V47" s="30"/>
      <c r="W47" s="14"/>
      <c r="X47" s="14"/>
      <c r="Y47" s="14"/>
      <c r="Z47" s="14"/>
      <c r="AA47" s="14"/>
      <c r="AB47" s="14"/>
      <c r="AC47" s="14"/>
      <c r="AD47" s="14"/>
      <c r="AE47" s="14"/>
      <c r="AF47" s="21"/>
      <c r="AG47" s="11" t="s">
        <v>30</v>
      </c>
      <c r="AH47" s="37">
        <f>AI42</f>
      </c>
      <c r="AI47" s="37">
        <v>10</v>
      </c>
      <c r="AJ47" s="37">
        <f>AI47*AH47</f>
      </c>
      <c r="AK47" s="37">
        <f>AI45+AI46+(AI47/2)</f>
      </c>
      <c r="AL47" s="37">
        <f>AJ47*AK47</f>
      </c>
      <c r="AM47" s="38">
        <f>(1/12)*AH47*AI47^3+AJ47*(AK47-AL49)^2</f>
      </c>
      <c r="AN47" s="14"/>
      <c r="AO47" s="15"/>
      <c r="AP47" s="15"/>
    </row>
    <row x14ac:dyDescent="0.25" r="48" customHeight="1" ht="18.75">
      <c r="A48" s="16"/>
      <c r="B48" s="33" t="s">
        <v>9</v>
      </c>
      <c r="C48" s="38">
        <v>0.0018</v>
      </c>
      <c r="D48" s="21"/>
      <c r="E48" s="14"/>
      <c r="F48" s="106" t="s">
        <v>52</v>
      </c>
      <c r="G48" s="106"/>
      <c r="H48" s="106"/>
      <c r="I48" s="106"/>
      <c r="J48" s="106"/>
      <c r="K48" s="14"/>
      <c r="L48" s="16"/>
      <c r="M48" s="13"/>
      <c r="N48" s="29"/>
      <c r="O48" s="14"/>
      <c r="P48" s="16"/>
      <c r="Q48" s="11"/>
      <c r="R48" s="11"/>
      <c r="S48" s="11"/>
      <c r="T48" s="11"/>
      <c r="U48" s="13"/>
      <c r="V48" s="30"/>
      <c r="W48" s="14"/>
      <c r="X48" s="14"/>
      <c r="Y48" s="14"/>
      <c r="Z48" s="14"/>
      <c r="AA48" s="14"/>
      <c r="AB48" s="14"/>
      <c r="AC48" s="14"/>
      <c r="AD48" s="14"/>
      <c r="AE48" s="14"/>
      <c r="AF48" s="21"/>
      <c r="AG48" s="11"/>
      <c r="AH48" s="11"/>
      <c r="AI48" s="12"/>
      <c r="AJ48" s="11"/>
      <c r="AK48" s="11"/>
      <c r="AL48" s="11"/>
      <c r="AM48" s="13"/>
      <c r="AN48" s="14"/>
      <c r="AO48" s="15"/>
      <c r="AP48" s="15"/>
    </row>
    <row x14ac:dyDescent="0.25" r="49" customHeight="1" ht="18.75">
      <c r="A49" s="16"/>
      <c r="B49" s="39" t="s">
        <v>10</v>
      </c>
      <c r="C49" s="40">
        <f>260*'ABS Presiones de diseño'!B18*(paneles!C4/1000)*(paneles!C5/1000)^3/(C48*C47)</f>
      </c>
      <c r="D49" s="41" t="s">
        <v>11</v>
      </c>
      <c r="E49" s="14"/>
      <c r="F49" s="14"/>
      <c r="G49" s="14"/>
      <c r="H49" s="14"/>
      <c r="I49" s="14"/>
      <c r="J49" s="14"/>
      <c r="K49" s="14"/>
      <c r="L49" s="16"/>
      <c r="M49" s="13"/>
      <c r="N49" s="29"/>
      <c r="O49" s="14"/>
      <c r="P49" s="51" t="s">
        <v>53</v>
      </c>
      <c r="Q49" s="62"/>
      <c r="R49" s="62"/>
      <c r="S49" s="62"/>
      <c r="T49" s="62"/>
      <c r="U49" s="88"/>
      <c r="V49" s="30"/>
      <c r="W49" s="14"/>
      <c r="X49" s="14"/>
      <c r="Y49" s="14"/>
      <c r="Z49" s="14"/>
      <c r="AA49" s="14"/>
      <c r="AB49" s="14"/>
      <c r="AC49" s="14"/>
      <c r="AD49" s="14"/>
      <c r="AE49" s="14"/>
      <c r="AF49" s="21"/>
      <c r="AG49" s="11"/>
      <c r="AH49" s="11"/>
      <c r="AI49" s="12"/>
      <c r="AJ49" s="11"/>
      <c r="AK49" s="11"/>
      <c r="AL49" s="38">
        <f>SUM(AL45:AL47)/SUM(AJ45:AJ47)</f>
      </c>
      <c r="AM49" s="13"/>
      <c r="AN49" s="14"/>
      <c r="AO49" s="15"/>
      <c r="AP49" s="15"/>
    </row>
    <row x14ac:dyDescent="0.25" r="50" customHeight="1" ht="18.75">
      <c r="A50" s="16"/>
      <c r="B50" s="33" t="s">
        <v>15</v>
      </c>
      <c r="C50" s="38">
        <f>M42/C46</f>
      </c>
      <c r="D50" s="14"/>
      <c r="E50" s="14"/>
      <c r="F50" s="14"/>
      <c r="G50" s="14"/>
      <c r="H50" s="14"/>
      <c r="I50" s="14"/>
      <c r="J50" s="14"/>
      <c r="K50" s="14"/>
      <c r="L50" s="107" t="s">
        <v>54</v>
      </c>
      <c r="M50" s="7"/>
      <c r="N50" s="24"/>
      <c r="O50" s="14"/>
      <c r="P50" s="90"/>
      <c r="Q50" s="91" t="s">
        <v>28</v>
      </c>
      <c r="R50" s="91" t="s">
        <v>30</v>
      </c>
      <c r="S50" s="92" t="s">
        <v>26</v>
      </c>
      <c r="T50" s="93"/>
      <c r="U50" s="108"/>
      <c r="V50" s="30"/>
      <c r="W50" s="14"/>
      <c r="X50" s="14"/>
      <c r="Y50" s="14"/>
      <c r="Z50" s="14"/>
      <c r="AA50" s="14"/>
      <c r="AB50" s="14"/>
      <c r="AC50" s="14"/>
      <c r="AD50" s="14"/>
      <c r="AE50" s="14"/>
      <c r="AF50" s="21"/>
      <c r="AG50" s="11"/>
      <c r="AH50" s="11"/>
      <c r="AI50" s="12"/>
      <c r="AJ50" s="11"/>
      <c r="AK50" s="11"/>
      <c r="AL50" s="38">
        <f>AM47+AM46+AM45</f>
      </c>
      <c r="AM50" s="38">
        <f>AL50/10000</f>
      </c>
      <c r="AN50" s="14"/>
      <c r="AO50" s="15"/>
      <c r="AP50" s="15"/>
    </row>
    <row x14ac:dyDescent="0.25" r="51" customHeight="1" ht="18.75">
      <c r="A51" s="16"/>
      <c r="B51" s="14"/>
      <c r="C51" s="15"/>
      <c r="D51" s="14"/>
      <c r="E51" s="14"/>
      <c r="F51" s="14"/>
      <c r="G51" s="14"/>
      <c r="H51" s="14"/>
      <c r="I51" s="14"/>
      <c r="J51" s="14"/>
      <c r="K51" s="14"/>
      <c r="L51" s="109"/>
      <c r="M51" s="46"/>
      <c r="N51" s="50"/>
      <c r="O51" s="14"/>
      <c r="P51" s="72" t="s">
        <v>46</v>
      </c>
      <c r="Q51" s="73">
        <v>4</v>
      </c>
      <c r="R51" s="73">
        <v>38</v>
      </c>
      <c r="S51" s="73">
        <f>Q51*60</f>
      </c>
      <c r="T51" s="95" t="s">
        <v>40</v>
      </c>
      <c r="U51" s="75">
        <f>SUM(AH52:AH54)/SUM(Q53:S53)</f>
      </c>
      <c r="V51" s="30"/>
      <c r="W51" s="14"/>
      <c r="X51" s="14"/>
      <c r="Y51" s="14"/>
      <c r="Z51" s="14"/>
      <c r="AA51" s="14"/>
      <c r="AB51" s="14"/>
      <c r="AC51" s="14"/>
      <c r="AD51" s="14"/>
      <c r="AE51" s="14"/>
      <c r="AF51" s="21"/>
      <c r="AG51" s="11" t="s">
        <v>55</v>
      </c>
      <c r="AH51" s="11" t="s">
        <v>56</v>
      </c>
      <c r="AI51" s="12" t="s">
        <v>10</v>
      </c>
      <c r="AJ51" s="11"/>
      <c r="AK51" s="11"/>
      <c r="AL51" s="38">
        <f>AI41-AL49</f>
      </c>
      <c r="AM51" s="13"/>
      <c r="AN51" s="14"/>
      <c r="AO51" s="15"/>
      <c r="AP51" s="15"/>
    </row>
    <row x14ac:dyDescent="0.25" r="52" customHeight="1" ht="18.75">
      <c r="A52" s="16"/>
      <c r="B52" s="14"/>
      <c r="C52" s="15"/>
      <c r="D52" s="14"/>
      <c r="E52" s="14"/>
      <c r="F52" s="14"/>
      <c r="G52" s="14"/>
      <c r="H52" s="14"/>
      <c r="I52" s="14"/>
      <c r="J52" s="14"/>
      <c r="K52" s="14"/>
      <c r="L52" s="16" t="s">
        <v>39</v>
      </c>
      <c r="M52" s="55">
        <f>U52+U53</f>
      </c>
      <c r="N52" s="29" t="s">
        <v>11</v>
      </c>
      <c r="O52" s="14"/>
      <c r="P52" s="72" t="s">
        <v>37</v>
      </c>
      <c r="Q52" s="73">
        <v>100</v>
      </c>
      <c r="R52" s="73">
        <v>4</v>
      </c>
      <c r="S52" s="73">
        <v>6</v>
      </c>
      <c r="T52" s="95" t="s">
        <v>48</v>
      </c>
      <c r="U52" s="98">
        <f>(AI53+AI54)/10000</f>
      </c>
      <c r="V52" s="30"/>
      <c r="W52" s="14"/>
      <c r="X52" s="14"/>
      <c r="Y52" s="14"/>
      <c r="Z52" s="14"/>
      <c r="AA52" s="14"/>
      <c r="AB52" s="14"/>
      <c r="AC52" s="14"/>
      <c r="AD52" s="14"/>
      <c r="AE52" s="14"/>
      <c r="AF52" s="21"/>
      <c r="AG52" s="37">
        <f>S52/2</f>
      </c>
      <c r="AH52" s="37">
        <f>AG52*S53</f>
      </c>
      <c r="AI52" s="110">
        <f>(1/12)*S51*S52^3+S53*((S52/2)-U51)^2</f>
      </c>
      <c r="AJ52" s="11"/>
      <c r="AK52" s="11"/>
      <c r="AL52" s="38">
        <f>AL50/(AL51/10)/10000</f>
      </c>
      <c r="AM52" s="13"/>
      <c r="AN52" s="14"/>
      <c r="AO52" s="15"/>
      <c r="AP52" s="15"/>
    </row>
    <row x14ac:dyDescent="0.25" r="53" customHeight="1" ht="18.75">
      <c r="A53" s="16"/>
      <c r="B53" s="26" t="s">
        <v>57</v>
      </c>
      <c r="C53" s="57"/>
      <c r="D53" s="58"/>
      <c r="E53" s="14"/>
      <c r="F53" s="14"/>
      <c r="G53" s="14"/>
      <c r="H53" s="14"/>
      <c r="I53" s="14"/>
      <c r="J53" s="14"/>
      <c r="K53" s="14"/>
      <c r="L53" s="44" t="s">
        <v>5</v>
      </c>
      <c r="M53" s="111">
        <f>M52/((Q52+R52+S52-U51)/10)</f>
      </c>
      <c r="N53" s="50" t="s">
        <v>6</v>
      </c>
      <c r="O53" s="14"/>
      <c r="P53" s="99" t="s">
        <v>49</v>
      </c>
      <c r="Q53" s="100">
        <f>Q52*Q51</f>
      </c>
      <c r="R53" s="100">
        <f>R51*R52</f>
      </c>
      <c r="S53" s="112">
        <f>S52*S51</f>
      </c>
      <c r="T53" s="101" t="s">
        <v>50</v>
      </c>
      <c r="U53" s="102">
        <f>AI52/10000</f>
      </c>
      <c r="V53" s="30"/>
      <c r="W53" s="14"/>
      <c r="X53" s="14"/>
      <c r="Y53" s="14"/>
      <c r="Z53" s="14"/>
      <c r="AA53" s="14"/>
      <c r="AB53" s="14"/>
      <c r="AC53" s="14"/>
      <c r="AD53" s="14"/>
      <c r="AE53" s="14"/>
      <c r="AF53" s="21"/>
      <c r="AG53" s="37">
        <f>S52+Q52/2</f>
      </c>
      <c r="AH53" s="37">
        <f>AG53*Q53</f>
      </c>
      <c r="AI53" s="110">
        <f>(1/12)*Q51*Q52^3+Q53*(AG53-U51)^2</f>
      </c>
      <c r="AJ53" s="11"/>
      <c r="AK53" s="11"/>
      <c r="AL53" s="11"/>
      <c r="AM53" s="13"/>
      <c r="AN53" s="14"/>
      <c r="AO53" s="15"/>
      <c r="AP53" s="15"/>
    </row>
    <row x14ac:dyDescent="0.25" r="54" customHeight="1" ht="18.75">
      <c r="A54" s="16"/>
      <c r="B54" s="14"/>
      <c r="C54" s="15"/>
      <c r="D54" s="14"/>
      <c r="E54" s="14"/>
      <c r="F54" s="14"/>
      <c r="G54" s="14"/>
      <c r="H54" s="14"/>
      <c r="I54" s="14"/>
      <c r="J54" s="14"/>
      <c r="K54" s="14"/>
      <c r="L54" s="16"/>
      <c r="M54" s="13"/>
      <c r="N54" s="29"/>
      <c r="O54" s="14"/>
      <c r="P54" s="16"/>
      <c r="Q54" s="11"/>
      <c r="R54" s="11"/>
      <c r="S54" s="11"/>
      <c r="T54" s="11"/>
      <c r="U54" s="13"/>
      <c r="V54" s="30"/>
      <c r="W54" s="14"/>
      <c r="X54" s="14"/>
      <c r="Y54" s="14"/>
      <c r="Z54" s="14"/>
      <c r="AA54" s="14"/>
      <c r="AB54" s="14"/>
      <c r="AC54" s="14"/>
      <c r="AD54" s="14"/>
      <c r="AE54" s="14"/>
      <c r="AF54" s="21"/>
      <c r="AG54" s="37">
        <f>S52+Q52+R52/2</f>
      </c>
      <c r="AH54" s="37">
        <f>AG54*R53</f>
      </c>
      <c r="AI54" s="38">
        <f>(1/12)*R51*R52^3+R53*(AG54-U51)^2</f>
      </c>
      <c r="AJ54" s="11"/>
      <c r="AK54" s="11"/>
      <c r="AL54" s="11"/>
      <c r="AM54" s="13"/>
      <c r="AN54" s="14"/>
      <c r="AO54" s="15"/>
      <c r="AP54" s="15"/>
    </row>
    <row x14ac:dyDescent="0.25" r="55" customHeight="1" ht="18.75">
      <c r="A55" s="16"/>
      <c r="B55" s="14"/>
      <c r="C55" s="15"/>
      <c r="D55" s="14"/>
      <c r="E55" s="14"/>
      <c r="F55" s="14"/>
      <c r="G55" s="14"/>
      <c r="H55" s="14"/>
      <c r="I55" s="14"/>
      <c r="J55" s="14"/>
      <c r="K55" s="14"/>
      <c r="L55" s="113" t="s">
        <v>58</v>
      </c>
      <c r="M55" s="7"/>
      <c r="N55" s="24"/>
      <c r="O55" s="14"/>
      <c r="P55" s="90"/>
      <c r="Q55" s="91" t="s">
        <v>28</v>
      </c>
      <c r="R55" s="91" t="s">
        <v>30</v>
      </c>
      <c r="S55" s="92" t="s">
        <v>26</v>
      </c>
      <c r="T55" s="93"/>
      <c r="U55" s="108"/>
      <c r="V55" s="30"/>
      <c r="W55" s="14"/>
      <c r="X55" s="14"/>
      <c r="Y55" s="14"/>
      <c r="Z55" s="14"/>
      <c r="AA55" s="14"/>
      <c r="AB55" s="14"/>
      <c r="AC55" s="14"/>
      <c r="AD55" s="14"/>
      <c r="AE55" s="14"/>
      <c r="AF55" s="21"/>
      <c r="AG55" s="11"/>
      <c r="AH55" s="11"/>
      <c r="AI55" s="12"/>
      <c r="AJ55" s="11"/>
      <c r="AK55" s="11"/>
      <c r="AL55" s="11"/>
      <c r="AM55" s="13"/>
      <c r="AN55" s="14"/>
      <c r="AO55" s="15"/>
      <c r="AP55" s="15"/>
    </row>
    <row x14ac:dyDescent="0.25" r="56" customHeight="1" ht="18.75">
      <c r="A56" s="16"/>
      <c r="B56" s="31" t="s">
        <v>3</v>
      </c>
      <c r="C56" s="43">
        <f>125*0.8</f>
      </c>
      <c r="D56" s="10" t="s">
        <v>4</v>
      </c>
      <c r="E56" s="14"/>
      <c r="F56" s="14"/>
      <c r="G56" s="14"/>
      <c r="H56" s="14"/>
      <c r="I56" s="14"/>
      <c r="J56" s="14"/>
      <c r="K56" s="14"/>
      <c r="L56" s="114"/>
      <c r="M56" s="46"/>
      <c r="N56" s="50"/>
      <c r="O56" s="14"/>
      <c r="P56" s="72" t="s">
        <v>46</v>
      </c>
      <c r="Q56" s="73">
        <v>4</v>
      </c>
      <c r="R56" s="73">
        <v>38</v>
      </c>
      <c r="S56" s="73">
        <f>Q56*60</f>
      </c>
      <c r="T56" s="95" t="s">
        <v>40</v>
      </c>
      <c r="U56" s="75">
        <f>SUM(AH65:AH67)/SUM(Q58:S58)</f>
      </c>
      <c r="V56" s="30"/>
      <c r="W56" s="14"/>
      <c r="X56" s="14"/>
      <c r="Y56" s="14"/>
      <c r="Z56" s="14"/>
      <c r="AA56" s="14"/>
      <c r="AB56" s="14"/>
      <c r="AC56" s="14"/>
      <c r="AD56" s="14"/>
      <c r="AE56" s="14"/>
      <c r="AF56" s="21"/>
      <c r="AG56" s="11"/>
      <c r="AH56" s="11"/>
      <c r="AI56" s="38">
        <f>(AI54+AI53+AI52)/10000</f>
      </c>
      <c r="AJ56" s="11"/>
      <c r="AK56" s="11"/>
      <c r="AL56" s="11"/>
      <c r="AM56" s="13"/>
      <c r="AN56" s="14"/>
      <c r="AO56" s="15"/>
      <c r="AP56" s="15"/>
    </row>
    <row x14ac:dyDescent="0.25" r="57" customHeight="1" ht="18.75">
      <c r="A57" s="16"/>
      <c r="B57" s="33"/>
      <c r="C57" s="15"/>
      <c r="D57" s="21"/>
      <c r="E57" s="14"/>
      <c r="F57" s="14"/>
      <c r="G57" s="14"/>
      <c r="H57" s="14"/>
      <c r="I57" s="14"/>
      <c r="J57" s="14"/>
      <c r="K57" s="14"/>
      <c r="L57" s="16" t="s">
        <v>39</v>
      </c>
      <c r="M57" s="55">
        <f>U57+U58</f>
      </c>
      <c r="N57" s="29" t="s">
        <v>11</v>
      </c>
      <c r="O57" s="14"/>
      <c r="P57" s="72" t="s">
        <v>37</v>
      </c>
      <c r="Q57" s="73">
        <v>80</v>
      </c>
      <c r="R57" s="73">
        <v>4</v>
      </c>
      <c r="S57" s="73">
        <v>4</v>
      </c>
      <c r="T57" s="95" t="s">
        <v>48</v>
      </c>
      <c r="U57" s="75">
        <f>(AI66+AI67)/10000</f>
      </c>
      <c r="V57" s="30"/>
      <c r="W57" s="14"/>
      <c r="X57" s="14"/>
      <c r="Y57" s="14"/>
      <c r="Z57" s="14"/>
      <c r="AA57" s="14"/>
      <c r="AB57" s="14"/>
      <c r="AC57" s="14"/>
      <c r="AD57" s="14"/>
      <c r="AE57" s="14"/>
      <c r="AF57" s="21"/>
      <c r="AG57" s="11"/>
      <c r="AH57" s="11"/>
      <c r="AI57" s="37">
        <f>Q52+R52+S52</f>
      </c>
      <c r="AJ57" s="11"/>
      <c r="AK57" s="11"/>
      <c r="AL57" s="11"/>
      <c r="AM57" s="13"/>
      <c r="AN57" s="14"/>
      <c r="AO57" s="15"/>
      <c r="AP57" s="15"/>
    </row>
    <row x14ac:dyDescent="0.25" r="58" customHeight="1" ht="18.75">
      <c r="A58" s="16"/>
      <c r="B58" s="34" t="s">
        <v>5</v>
      </c>
      <c r="C58" s="35">
        <f>(83.3*'ABS Presiones de diseño'!B18*(paneles!C5/1000)*(0.5)^2/internos!C56)</f>
      </c>
      <c r="D58" s="36" t="s">
        <v>34</v>
      </c>
      <c r="E58" s="14"/>
      <c r="F58" s="14"/>
      <c r="G58" s="14"/>
      <c r="H58" s="14"/>
      <c r="I58" s="14"/>
      <c r="J58" s="14"/>
      <c r="K58" s="14"/>
      <c r="L58" s="44" t="s">
        <v>5</v>
      </c>
      <c r="M58" s="111">
        <f>M57/((SUM(Q57:S57)-U56)/10)</f>
      </c>
      <c r="N58" s="50" t="s">
        <v>6</v>
      </c>
      <c r="O58" s="14"/>
      <c r="P58" s="99" t="s">
        <v>49</v>
      </c>
      <c r="Q58" s="100">
        <f>Q57*Q56</f>
      </c>
      <c r="R58" s="100">
        <f>R56*R57</f>
      </c>
      <c r="S58" s="112">
        <f>S57*S56</f>
      </c>
      <c r="T58" s="101" t="s">
        <v>50</v>
      </c>
      <c r="U58" s="115">
        <f>AI65/10000</f>
      </c>
      <c r="V58" s="30"/>
      <c r="W58" s="14"/>
      <c r="X58" s="14"/>
      <c r="Y58" s="14"/>
      <c r="Z58" s="14"/>
      <c r="AA58" s="14"/>
      <c r="AB58" s="14"/>
      <c r="AC58" s="14"/>
      <c r="AD58" s="14"/>
      <c r="AE58" s="14"/>
      <c r="AF58" s="21"/>
      <c r="AG58" s="11"/>
      <c r="AH58" s="11"/>
      <c r="AI58" s="38">
        <f>(AI57-U51)/10</f>
      </c>
      <c r="AJ58" s="11"/>
      <c r="AK58" s="11"/>
      <c r="AL58" s="11"/>
      <c r="AM58" s="13"/>
      <c r="AN58" s="14"/>
      <c r="AO58" s="15"/>
      <c r="AP58" s="15"/>
    </row>
    <row x14ac:dyDescent="0.25" r="59" customHeight="1" ht="18.75">
      <c r="A59" s="16"/>
      <c r="B59" s="33" t="s">
        <v>7</v>
      </c>
      <c r="C59" s="37">
        <f>C35</f>
      </c>
      <c r="D59" s="80">
        <f>D35</f>
      </c>
      <c r="E59" s="14"/>
      <c r="F59" s="14"/>
      <c r="G59" s="14"/>
      <c r="H59" s="14"/>
      <c r="I59" s="14"/>
      <c r="J59" s="14"/>
      <c r="K59" s="14"/>
      <c r="L59" s="16"/>
      <c r="M59" s="13"/>
      <c r="N59" s="29"/>
      <c r="O59" s="14"/>
      <c r="P59" s="16"/>
      <c r="Q59" s="11"/>
      <c r="R59" s="11"/>
      <c r="S59" s="11"/>
      <c r="T59" s="11"/>
      <c r="U59" s="13"/>
      <c r="V59" s="30"/>
      <c r="W59" s="14"/>
      <c r="X59" s="14"/>
      <c r="Y59" s="14"/>
      <c r="Z59" s="14"/>
      <c r="AA59" s="14"/>
      <c r="AB59" s="14"/>
      <c r="AC59" s="14"/>
      <c r="AD59" s="14"/>
      <c r="AE59" s="14"/>
      <c r="AF59" s="21"/>
      <c r="AG59" s="11"/>
      <c r="AH59" s="11"/>
      <c r="AI59" s="38">
        <f>AI56/AI58</f>
      </c>
      <c r="AJ59" s="11"/>
      <c r="AK59" s="11"/>
      <c r="AL59" s="11"/>
      <c r="AM59" s="13"/>
      <c r="AN59" s="14"/>
      <c r="AO59" s="15"/>
      <c r="AP59" s="15"/>
    </row>
    <row x14ac:dyDescent="0.25" r="60" customHeight="1" ht="18.75">
      <c r="A60" s="16"/>
      <c r="B60" s="33" t="s">
        <v>9</v>
      </c>
      <c r="C60" s="38">
        <v>0.0021</v>
      </c>
      <c r="D60" s="21"/>
      <c r="E60" s="14"/>
      <c r="F60" s="14"/>
      <c r="G60" s="14"/>
      <c r="H60" s="14"/>
      <c r="I60" s="14"/>
      <c r="J60" s="14"/>
      <c r="K60" s="14"/>
      <c r="L60" s="113" t="s">
        <v>59</v>
      </c>
      <c r="M60" s="116" t="s">
        <v>46</v>
      </c>
      <c r="N60" s="117">
        <v>30</v>
      </c>
      <c r="O60" s="14"/>
      <c r="P60" s="51" t="s">
        <v>60</v>
      </c>
      <c r="Q60" s="62"/>
      <c r="R60" s="62"/>
      <c r="S60" s="62"/>
      <c r="T60" s="62"/>
      <c r="U60" s="53"/>
      <c r="V60" s="63"/>
      <c r="W60" s="14"/>
      <c r="X60" s="14"/>
      <c r="Y60" s="14"/>
      <c r="Z60" s="14"/>
      <c r="AA60" s="14"/>
      <c r="AB60" s="14"/>
      <c r="AC60" s="14"/>
      <c r="AD60" s="14"/>
      <c r="AE60" s="14"/>
      <c r="AF60" s="21"/>
      <c r="AG60" s="11"/>
      <c r="AH60" s="11"/>
      <c r="AI60" s="12"/>
      <c r="AJ60" s="11"/>
      <c r="AK60" s="11"/>
      <c r="AL60" s="11"/>
      <c r="AM60" s="13"/>
      <c r="AN60" s="14"/>
      <c r="AO60" s="15"/>
      <c r="AP60" s="15"/>
    </row>
    <row x14ac:dyDescent="0.25" r="61" customHeight="1" ht="18.75">
      <c r="A61" s="16"/>
      <c r="B61" s="39" t="s">
        <v>10</v>
      </c>
      <c r="C61" s="40">
        <f>(260*'ABS Presiones de diseño'!B27*(paneles!C5/1000)*(0.5)^3)/(internos!C60*internos!C59)</f>
      </c>
      <c r="D61" s="41" t="s">
        <v>11</v>
      </c>
      <c r="E61" s="14"/>
      <c r="F61" s="14"/>
      <c r="G61" s="14"/>
      <c r="H61" s="14"/>
      <c r="I61" s="14"/>
      <c r="J61" s="14"/>
      <c r="K61" s="14"/>
      <c r="L61" s="114"/>
      <c r="M61" s="118" t="s">
        <v>36</v>
      </c>
      <c r="N61" s="119">
        <v>4</v>
      </c>
      <c r="O61" s="14"/>
      <c r="P61" s="120"/>
      <c r="Q61" s="93" t="s">
        <v>21</v>
      </c>
      <c r="R61" s="93" t="s">
        <v>22</v>
      </c>
      <c r="S61" s="93" t="s">
        <v>23</v>
      </c>
      <c r="T61" s="91" t="s">
        <v>61</v>
      </c>
      <c r="U61" s="121" t="s">
        <v>62</v>
      </c>
      <c r="V61" s="122" t="s">
        <v>10</v>
      </c>
      <c r="W61" s="14"/>
      <c r="X61" s="14"/>
      <c r="Y61" s="14"/>
      <c r="Z61" s="14"/>
      <c r="AA61" s="14"/>
      <c r="AB61" s="14"/>
      <c r="AC61" s="14"/>
      <c r="AD61" s="14"/>
      <c r="AE61" s="14"/>
      <c r="AF61" s="21"/>
      <c r="AG61" s="11"/>
      <c r="AH61" s="11"/>
      <c r="AI61" s="12"/>
      <c r="AJ61" s="11"/>
      <c r="AK61" s="11"/>
      <c r="AL61" s="11"/>
      <c r="AM61" s="13"/>
      <c r="AN61" s="14"/>
      <c r="AO61" s="15"/>
      <c r="AP61" s="15"/>
    </row>
    <row x14ac:dyDescent="0.25" r="62" customHeight="1" ht="18.75">
      <c r="A62" s="16"/>
      <c r="B62" s="33" t="s">
        <v>15</v>
      </c>
      <c r="C62" s="38">
        <f>M53/C58</f>
      </c>
      <c r="D62" s="14"/>
      <c r="E62" s="14"/>
      <c r="F62" s="14"/>
      <c r="G62" s="14"/>
      <c r="H62" s="14"/>
      <c r="I62" s="14"/>
      <c r="J62" s="14"/>
      <c r="K62" s="14"/>
      <c r="L62" s="16" t="s">
        <v>39</v>
      </c>
      <c r="M62" s="38">
        <f>V65</f>
      </c>
      <c r="N62" s="29" t="s">
        <v>11</v>
      </c>
      <c r="O62" s="14"/>
      <c r="P62" s="72" t="s">
        <v>63</v>
      </c>
      <c r="Q62" s="73">
        <v>30</v>
      </c>
      <c r="R62" s="73">
        <v>4</v>
      </c>
      <c r="S62" s="73">
        <f>Q62*R62</f>
      </c>
      <c r="T62" s="123">
        <f>R64+R63+R62/2</f>
      </c>
      <c r="U62" s="79">
        <f>S62*T62</f>
      </c>
      <c r="V62" s="75">
        <f>((1/12)*(Q62)*R62^3+S62*(T62-Q66)^2)/10000</f>
      </c>
      <c r="W62" s="14"/>
      <c r="X62" s="14"/>
      <c r="Y62" s="14"/>
      <c r="Z62" s="14"/>
      <c r="AA62" s="14"/>
      <c r="AB62" s="14"/>
      <c r="AC62" s="14"/>
      <c r="AD62" s="14"/>
      <c r="AE62" s="14"/>
      <c r="AF62" s="21"/>
      <c r="AG62" s="11"/>
      <c r="AH62" s="11"/>
      <c r="AI62" s="12"/>
      <c r="AJ62" s="11"/>
      <c r="AK62" s="11"/>
      <c r="AL62" s="11"/>
      <c r="AM62" s="13"/>
      <c r="AN62" s="14"/>
      <c r="AO62" s="15"/>
      <c r="AP62" s="15"/>
    </row>
    <row x14ac:dyDescent="0.25" r="63" customHeight="1" ht="18.75">
      <c r="A63" s="16"/>
      <c r="B63" s="14"/>
      <c r="C63" s="15"/>
      <c r="D63" s="14"/>
      <c r="E63" s="14"/>
      <c r="F63" s="14"/>
      <c r="G63" s="14"/>
      <c r="H63" s="14"/>
      <c r="I63" s="14"/>
      <c r="J63" s="14"/>
      <c r="K63" s="14"/>
      <c r="L63" s="44" t="s">
        <v>5</v>
      </c>
      <c r="M63" s="97">
        <f>((M62/(((R64+R63+R62)-Q66)/10)))</f>
      </c>
      <c r="N63" s="50" t="s">
        <v>6</v>
      </c>
      <c r="O63" s="14"/>
      <c r="P63" s="72" t="s">
        <v>64</v>
      </c>
      <c r="Q63" s="73">
        <f>R62</f>
      </c>
      <c r="R63" s="73">
        <f>Q62-R62</f>
      </c>
      <c r="S63" s="73">
        <f>Q63*R63</f>
      </c>
      <c r="T63" s="123">
        <f>R64+R63/2</f>
      </c>
      <c r="U63" s="79">
        <f>S63*T63</f>
      </c>
      <c r="V63" s="75">
        <f>((1/12)*(Q63)*R63^3+S63*(T63-Q67)^2)/10000</f>
      </c>
      <c r="W63" s="14"/>
      <c r="X63" s="14"/>
      <c r="Y63" s="14"/>
      <c r="Z63" s="14"/>
      <c r="AA63" s="14"/>
      <c r="AB63" s="14"/>
      <c r="AC63" s="14"/>
      <c r="AD63" s="14"/>
      <c r="AE63" s="14"/>
      <c r="AF63" s="21"/>
      <c r="AG63" s="11"/>
      <c r="AH63" s="11"/>
      <c r="AI63" s="12"/>
      <c r="AJ63" s="11"/>
      <c r="AK63" s="11"/>
      <c r="AL63" s="11"/>
      <c r="AM63" s="13"/>
      <c r="AN63" s="14"/>
      <c r="AO63" s="15"/>
      <c r="AP63" s="15"/>
    </row>
    <row x14ac:dyDescent="0.25" r="64" customHeight="1" ht="18.75">
      <c r="A64" s="16"/>
      <c r="B64" s="14"/>
      <c r="C64" s="15"/>
      <c r="D64" s="14"/>
      <c r="E64" s="14"/>
      <c r="F64" s="14"/>
      <c r="G64" s="14"/>
      <c r="H64" s="14"/>
      <c r="I64" s="14"/>
      <c r="J64" s="14"/>
      <c r="K64" s="14"/>
      <c r="L64" s="124"/>
      <c r="M64" s="125"/>
      <c r="N64" s="126"/>
      <c r="O64" s="14"/>
      <c r="P64" s="127" t="s">
        <v>26</v>
      </c>
      <c r="Q64" s="100">
        <v>200</v>
      </c>
      <c r="R64" s="100">
        <v>4</v>
      </c>
      <c r="S64" s="100">
        <f>Q64*R64</f>
      </c>
      <c r="T64" s="128">
        <f>R64/2</f>
      </c>
      <c r="U64" s="129">
        <f>S64*T64</f>
      </c>
      <c r="V64" s="115">
        <f>((1/12)*(Q64)*R64^3+S64*(T64-Q68)^2)/10000</f>
      </c>
      <c r="W64" s="14"/>
      <c r="X64" s="14"/>
      <c r="Y64" s="14"/>
      <c r="Z64" s="14"/>
      <c r="AA64" s="14"/>
      <c r="AB64" s="14"/>
      <c r="AC64" s="14"/>
      <c r="AD64" s="14"/>
      <c r="AE64" s="14"/>
      <c r="AF64" s="21"/>
      <c r="AG64" s="11" t="s">
        <v>55</v>
      </c>
      <c r="AH64" s="11" t="s">
        <v>56</v>
      </c>
      <c r="AI64" s="12" t="s">
        <v>10</v>
      </c>
      <c r="AJ64" s="11"/>
      <c r="AK64" s="11"/>
      <c r="AL64" s="11"/>
      <c r="AM64" s="13"/>
      <c r="AN64" s="14"/>
      <c r="AO64" s="15"/>
      <c r="AP64" s="15"/>
    </row>
    <row x14ac:dyDescent="0.25" r="65" customHeight="1" ht="18.75">
      <c r="A65" s="16"/>
      <c r="B65" s="26" t="s">
        <v>65</v>
      </c>
      <c r="C65" s="57"/>
      <c r="D65" s="58"/>
      <c r="E65" s="14"/>
      <c r="F65" s="14"/>
      <c r="G65" s="14"/>
      <c r="H65" s="14"/>
      <c r="I65" s="14"/>
      <c r="J65" s="14"/>
      <c r="K65" s="14"/>
      <c r="L65" s="14"/>
      <c r="M65" s="13"/>
      <c r="N65" s="11"/>
      <c r="O65" s="14"/>
      <c r="P65" s="16"/>
      <c r="Q65" s="11"/>
      <c r="R65" s="11"/>
      <c r="S65" s="11"/>
      <c r="T65" s="130" t="s">
        <v>66</v>
      </c>
      <c r="U65" s="131">
        <f>U62+U63+U64</f>
      </c>
      <c r="V65" s="132">
        <f>SUM(V62:V64)</f>
      </c>
      <c r="W65" s="14"/>
      <c r="X65" s="14"/>
      <c r="Y65" s="14"/>
      <c r="Z65" s="14"/>
      <c r="AA65" s="14"/>
      <c r="AB65" s="14"/>
      <c r="AC65" s="14"/>
      <c r="AD65" s="14"/>
      <c r="AE65" s="14"/>
      <c r="AF65" s="21"/>
      <c r="AG65" s="37">
        <f>S57/2</f>
      </c>
      <c r="AH65" s="37">
        <f>AG65*S58</f>
      </c>
      <c r="AI65" s="110">
        <f>(1/12)*S56*S57^3+S58*(U56-AG65)^2</f>
      </c>
      <c r="AJ65" s="11"/>
      <c r="AK65" s="11"/>
      <c r="AL65" s="11"/>
      <c r="AM65" s="13"/>
      <c r="AN65" s="14"/>
      <c r="AO65" s="15"/>
      <c r="AP65" s="15"/>
    </row>
    <row x14ac:dyDescent="0.25" r="66" customHeight="1" ht="18.75">
      <c r="A66" s="16"/>
      <c r="B66" s="14"/>
      <c r="C66" s="15"/>
      <c r="D66" s="14"/>
      <c r="E66" s="14"/>
      <c r="F66" s="14"/>
      <c r="G66" s="14"/>
      <c r="H66" s="14"/>
      <c r="I66" s="14"/>
      <c r="J66" s="14"/>
      <c r="K66" s="14"/>
      <c r="L66" s="133" t="s">
        <v>67</v>
      </c>
      <c r="M66" s="77" t="s">
        <v>36</v>
      </c>
      <c r="N66" s="78">
        <v>5</v>
      </c>
      <c r="O66" s="14"/>
      <c r="P66" s="84" t="s">
        <v>68</v>
      </c>
      <c r="Q66" s="38">
        <f>U65/(S62+S63+S64)</f>
      </c>
      <c r="R66" s="11"/>
      <c r="S66" s="11"/>
      <c r="T66" s="11"/>
      <c r="U66" s="13"/>
      <c r="V66" s="30"/>
      <c r="W66" s="14"/>
      <c r="X66" s="14"/>
      <c r="Y66" s="14"/>
      <c r="Z66" s="14"/>
      <c r="AA66" s="14"/>
      <c r="AB66" s="14"/>
      <c r="AC66" s="14"/>
      <c r="AD66" s="14"/>
      <c r="AE66" s="14"/>
      <c r="AF66" s="21"/>
      <c r="AG66" s="37">
        <f>S57+Q57/2</f>
      </c>
      <c r="AH66" s="37">
        <f>AG66*Q58</f>
      </c>
      <c r="AI66" s="110">
        <f>(1/12)*Q56*Q57^3+Q58*(U56-AG66)^2</f>
      </c>
      <c r="AJ66" s="11"/>
      <c r="AK66" s="11"/>
      <c r="AL66" s="11"/>
      <c r="AM66" s="13"/>
      <c r="AN66" s="14"/>
      <c r="AO66" s="15"/>
      <c r="AP66" s="15"/>
    </row>
    <row x14ac:dyDescent="0.25" r="67" customHeight="1" ht="18.75">
      <c r="A67" s="16"/>
      <c r="B67" s="14"/>
      <c r="C67" s="15"/>
      <c r="D67" s="14"/>
      <c r="E67" s="14"/>
      <c r="F67" s="14"/>
      <c r="G67" s="14"/>
      <c r="H67" s="14"/>
      <c r="I67" s="14"/>
      <c r="J67" s="14"/>
      <c r="K67" s="14"/>
      <c r="L67" s="134"/>
      <c r="M67" s="82" t="s">
        <v>37</v>
      </c>
      <c r="N67" s="83">
        <v>40</v>
      </c>
      <c r="O67" s="14"/>
      <c r="P67" s="16"/>
      <c r="Q67" s="11"/>
      <c r="R67" s="11"/>
      <c r="S67" s="11"/>
      <c r="T67" s="11"/>
      <c r="U67" s="13"/>
      <c r="V67" s="30"/>
      <c r="W67" s="14"/>
      <c r="X67" s="14"/>
      <c r="Y67" s="14"/>
      <c r="Z67" s="14"/>
      <c r="AA67" s="14"/>
      <c r="AB67" s="14"/>
      <c r="AC67" s="14"/>
      <c r="AD67" s="14"/>
      <c r="AE67" s="14"/>
      <c r="AF67" s="21"/>
      <c r="AG67" s="37">
        <f>S57+Q57+R57/2</f>
      </c>
      <c r="AH67" s="37">
        <f>AG67*R58</f>
      </c>
      <c r="AI67" s="38">
        <f>(1/12)*R56*R57^3+R58*(AG67-U56)^2</f>
      </c>
      <c r="AJ67" s="11"/>
      <c r="AK67" s="11"/>
      <c r="AL67" s="11"/>
      <c r="AM67" s="13"/>
      <c r="AN67" s="14"/>
      <c r="AO67" s="15"/>
      <c r="AP67" s="15"/>
    </row>
    <row x14ac:dyDescent="0.25" r="68" customHeight="1" ht="18.75">
      <c r="A68" s="16"/>
      <c r="B68" s="31" t="s">
        <v>3</v>
      </c>
      <c r="C68" s="43">
        <f>125*0.8</f>
      </c>
      <c r="D68" s="10" t="s">
        <v>4</v>
      </c>
      <c r="E68" s="14"/>
      <c r="F68" s="14"/>
      <c r="G68" s="14"/>
      <c r="H68" s="14"/>
      <c r="I68" s="14"/>
      <c r="J68" s="14"/>
      <c r="K68" s="14"/>
      <c r="L68" s="16" t="s">
        <v>39</v>
      </c>
      <c r="M68" s="55">
        <f>U42+U43</f>
      </c>
      <c r="N68" s="29" t="s">
        <v>11</v>
      </c>
      <c r="O68" s="14"/>
      <c r="P68" s="16"/>
      <c r="Q68" s="11"/>
      <c r="R68" s="11"/>
      <c r="S68" s="11"/>
      <c r="T68" s="11"/>
      <c r="U68" s="13"/>
      <c r="V68" s="30"/>
      <c r="W68" s="14"/>
      <c r="X68" s="14"/>
      <c r="Y68" s="14"/>
      <c r="Z68" s="14"/>
      <c r="AA68" s="14"/>
      <c r="AB68" s="14"/>
      <c r="AC68" s="14"/>
      <c r="AD68" s="14"/>
      <c r="AE68" s="14"/>
      <c r="AF68" s="21"/>
      <c r="AG68" s="11"/>
      <c r="AH68" s="11"/>
      <c r="AI68" s="12"/>
      <c r="AJ68" s="11"/>
      <c r="AK68" s="11"/>
      <c r="AL68" s="11"/>
      <c r="AM68" s="13"/>
      <c r="AN68" s="14"/>
      <c r="AO68" s="15"/>
      <c r="AP68" s="15"/>
    </row>
    <row x14ac:dyDescent="0.25" r="69" customHeight="1" ht="18.75">
      <c r="A69" s="16"/>
      <c r="B69" s="33" t="s">
        <v>16</v>
      </c>
      <c r="C69" s="38">
        <v>0.75</v>
      </c>
      <c r="D69" s="21" t="s">
        <v>69</v>
      </c>
      <c r="E69" s="14"/>
      <c r="F69" s="14"/>
      <c r="G69" s="14"/>
      <c r="H69" s="14"/>
      <c r="I69" s="14"/>
      <c r="J69" s="14"/>
      <c r="K69" s="14"/>
      <c r="L69" s="44" t="s">
        <v>5</v>
      </c>
      <c r="M69" s="86">
        <f>U40</f>
      </c>
      <c r="N69" s="50" t="s">
        <v>6</v>
      </c>
      <c r="O69" s="14"/>
      <c r="P69" s="16"/>
      <c r="Q69" s="11"/>
      <c r="R69" s="11"/>
      <c r="S69" s="11"/>
      <c r="T69" s="11"/>
      <c r="U69" s="13"/>
      <c r="V69" s="30"/>
      <c r="W69" s="14"/>
      <c r="X69" s="14"/>
      <c r="Y69" s="14"/>
      <c r="Z69" s="14"/>
      <c r="AA69" s="14"/>
      <c r="AB69" s="14"/>
      <c r="AC69" s="14"/>
      <c r="AD69" s="14"/>
      <c r="AE69" s="14"/>
      <c r="AF69" s="21"/>
      <c r="AG69" s="11"/>
      <c r="AH69" s="11"/>
      <c r="AI69" s="38">
        <f>(AI67+AI66+AI65)/10000</f>
      </c>
      <c r="AJ69" s="11"/>
      <c r="AK69" s="11"/>
      <c r="AL69" s="11"/>
      <c r="AM69" s="13"/>
      <c r="AN69" s="14"/>
      <c r="AO69" s="15"/>
      <c r="AP69" s="15"/>
    </row>
    <row x14ac:dyDescent="0.25" r="70" customHeight="1" ht="18.75">
      <c r="A70" s="16"/>
      <c r="B70" s="34" t="s">
        <v>5</v>
      </c>
      <c r="C70" s="35">
        <f>(83.3*'ABS Presiones de diseño'!B27*(paneles!C5/1000)*(C69)^2)/(internos!C68)</f>
      </c>
      <c r="D70" s="36" t="s">
        <v>34</v>
      </c>
      <c r="E70" s="14"/>
      <c r="F70" s="14"/>
      <c r="G70" s="14"/>
      <c r="H70" s="14"/>
      <c r="I70" s="14"/>
      <c r="J70" s="14"/>
      <c r="K70" s="14"/>
      <c r="L70" s="14"/>
      <c r="M70" s="13"/>
      <c r="N70" s="11"/>
      <c r="O70" s="14"/>
      <c r="P70" s="16"/>
      <c r="Q70" s="11"/>
      <c r="R70" s="11"/>
      <c r="S70" s="11"/>
      <c r="T70" s="11"/>
      <c r="U70" s="13"/>
      <c r="V70" s="30"/>
      <c r="W70" s="14"/>
      <c r="X70" s="14"/>
      <c r="Y70" s="14"/>
      <c r="Z70" s="14"/>
      <c r="AA70" s="14"/>
      <c r="AB70" s="14"/>
      <c r="AC70" s="14"/>
      <c r="AD70" s="14"/>
      <c r="AE70" s="14"/>
      <c r="AF70" s="21"/>
      <c r="AG70" s="11"/>
      <c r="AH70" s="11"/>
      <c r="AI70" s="37">
        <f>Q65+R65+S65</f>
      </c>
      <c r="AJ70" s="11"/>
      <c r="AK70" s="11"/>
      <c r="AL70" s="11"/>
      <c r="AM70" s="13"/>
      <c r="AN70" s="14"/>
      <c r="AO70" s="15"/>
      <c r="AP70" s="15"/>
    </row>
    <row x14ac:dyDescent="0.25" r="71" customHeight="1" ht="18.75">
      <c r="A71" s="16"/>
      <c r="B71" s="33" t="s">
        <v>7</v>
      </c>
      <c r="C71" s="37">
        <f>C47</f>
      </c>
      <c r="D71" s="80">
        <f>D47</f>
      </c>
      <c r="E71" s="14"/>
      <c r="F71" s="14"/>
      <c r="G71" s="14"/>
      <c r="H71" s="14"/>
      <c r="I71" s="14"/>
      <c r="J71" s="14"/>
      <c r="K71" s="14"/>
      <c r="L71" s="14"/>
      <c r="M71" s="13"/>
      <c r="N71" s="11"/>
      <c r="O71" s="14"/>
      <c r="P71" s="16"/>
      <c r="Q71" s="11"/>
      <c r="R71" s="11"/>
      <c r="S71" s="11"/>
      <c r="T71" s="11"/>
      <c r="U71" s="13"/>
      <c r="V71" s="30"/>
      <c r="W71" s="14"/>
      <c r="X71" s="14"/>
      <c r="Y71" s="14"/>
      <c r="Z71" s="14"/>
      <c r="AA71" s="14"/>
      <c r="AB71" s="14"/>
      <c r="AC71" s="14"/>
      <c r="AD71" s="14"/>
      <c r="AE71" s="14"/>
      <c r="AF71" s="21"/>
      <c r="AG71" s="11"/>
      <c r="AH71" s="11"/>
      <c r="AI71" s="38">
        <f>(AI70-U64)/10</f>
      </c>
      <c r="AJ71" s="11"/>
      <c r="AK71" s="11"/>
      <c r="AL71" s="11"/>
      <c r="AM71" s="13"/>
      <c r="AN71" s="14"/>
      <c r="AO71" s="15"/>
      <c r="AP71" s="15"/>
    </row>
    <row x14ac:dyDescent="0.25" r="72" customHeight="1" ht="18.75">
      <c r="A72" s="16"/>
      <c r="B72" s="33" t="s">
        <v>9</v>
      </c>
      <c r="C72" s="38">
        <v>0.0021</v>
      </c>
      <c r="D72" s="21"/>
      <c r="E72" s="14"/>
      <c r="F72" s="14"/>
      <c r="G72" s="14"/>
      <c r="H72" s="14"/>
      <c r="I72" s="14"/>
      <c r="J72" s="14"/>
      <c r="K72" s="14"/>
      <c r="L72" s="14"/>
      <c r="M72" s="13"/>
      <c r="N72" s="11"/>
      <c r="O72" s="14"/>
      <c r="P72" s="16"/>
      <c r="Q72" s="11"/>
      <c r="R72" s="11"/>
      <c r="S72" s="11"/>
      <c r="T72" s="11"/>
      <c r="U72" s="13"/>
      <c r="V72" s="30"/>
      <c r="W72" s="14"/>
      <c r="X72" s="14"/>
      <c r="Y72" s="14"/>
      <c r="Z72" s="14"/>
      <c r="AA72" s="14"/>
      <c r="AB72" s="14"/>
      <c r="AC72" s="14"/>
      <c r="AD72" s="14"/>
      <c r="AE72" s="14"/>
      <c r="AF72" s="21"/>
      <c r="AG72" s="11"/>
      <c r="AH72" s="11"/>
      <c r="AI72" s="38">
        <f>AI69/AI71</f>
      </c>
      <c r="AJ72" s="11"/>
      <c r="AK72" s="11"/>
      <c r="AL72" s="11"/>
      <c r="AM72" s="13"/>
      <c r="AN72" s="14"/>
      <c r="AO72" s="15"/>
      <c r="AP72" s="15"/>
    </row>
    <row x14ac:dyDescent="0.25" r="73" customHeight="1" ht="18.75">
      <c r="A73" s="16"/>
      <c r="B73" s="39" t="s">
        <v>10</v>
      </c>
      <c r="C73" s="40">
        <f>(260*'ABS Presiones de diseño'!B27*(paneles!C5/1000)*(0.75)^3)/(internos!C60*internos!C59)</f>
      </c>
      <c r="D73" s="41" t="s">
        <v>11</v>
      </c>
      <c r="E73" s="14"/>
      <c r="F73" s="14"/>
      <c r="G73" s="14"/>
      <c r="H73" s="14"/>
      <c r="I73" s="14"/>
      <c r="J73" s="14"/>
      <c r="K73" s="14"/>
      <c r="L73" s="14"/>
      <c r="M73" s="13"/>
      <c r="N73" s="11"/>
      <c r="O73" s="14"/>
      <c r="P73" s="16"/>
      <c r="Q73" s="11"/>
      <c r="R73" s="11"/>
      <c r="S73" s="11"/>
      <c r="T73" s="11"/>
      <c r="U73" s="13"/>
      <c r="V73" s="30"/>
      <c r="W73" s="14"/>
      <c r="X73" s="14"/>
      <c r="Y73" s="14"/>
      <c r="Z73" s="14"/>
      <c r="AA73" s="14"/>
      <c r="AB73" s="14"/>
      <c r="AC73" s="14"/>
      <c r="AD73" s="14"/>
      <c r="AE73" s="14"/>
      <c r="AF73" s="21"/>
      <c r="AG73" s="11"/>
      <c r="AH73" s="11"/>
      <c r="AI73" s="12"/>
      <c r="AJ73" s="11"/>
      <c r="AK73" s="11"/>
      <c r="AL73" s="11"/>
      <c r="AM73" s="13"/>
      <c r="AN73" s="14"/>
      <c r="AO73" s="15"/>
      <c r="AP73" s="15"/>
    </row>
    <row x14ac:dyDescent="0.25" r="74" customHeight="1" ht="18.75">
      <c r="A74" s="16"/>
      <c r="B74" s="33" t="s">
        <v>15</v>
      </c>
      <c r="C74" s="38">
        <f>M58/C70</f>
      </c>
      <c r="D74" s="14"/>
      <c r="E74" s="14"/>
      <c r="F74" s="14"/>
      <c r="G74" s="14"/>
      <c r="H74" s="14"/>
      <c r="I74" s="14"/>
      <c r="J74" s="14"/>
      <c r="K74" s="14"/>
      <c r="L74" s="14"/>
      <c r="M74" s="13"/>
      <c r="N74" s="11"/>
      <c r="O74" s="14"/>
      <c r="P74" s="16"/>
      <c r="Q74" s="11"/>
      <c r="R74" s="11"/>
      <c r="S74" s="11"/>
      <c r="T74" s="11"/>
      <c r="U74" s="13"/>
      <c r="V74" s="30"/>
      <c r="W74" s="14"/>
      <c r="X74" s="14"/>
      <c r="Y74" s="14"/>
      <c r="Z74" s="14"/>
      <c r="AA74" s="14"/>
      <c r="AB74" s="14"/>
      <c r="AC74" s="14"/>
      <c r="AD74" s="14"/>
      <c r="AE74" s="14"/>
      <c r="AF74" s="21"/>
      <c r="AG74" s="11"/>
      <c r="AH74" s="11"/>
      <c r="AI74" s="12"/>
      <c r="AJ74" s="11"/>
      <c r="AK74" s="11"/>
      <c r="AL74" s="11"/>
      <c r="AM74" s="13"/>
      <c r="AN74" s="14"/>
      <c r="AO74" s="15"/>
      <c r="AP74" s="15"/>
    </row>
    <row x14ac:dyDescent="0.25" r="75" customHeight="1" ht="18.75">
      <c r="A75" s="16"/>
      <c r="B75" s="14"/>
      <c r="C75" s="15"/>
      <c r="D75" s="14"/>
      <c r="E75" s="14"/>
      <c r="F75" s="14"/>
      <c r="G75" s="14"/>
      <c r="H75" s="14"/>
      <c r="I75" s="14"/>
      <c r="J75" s="14"/>
      <c r="K75" s="14"/>
      <c r="L75" s="14"/>
      <c r="M75" s="13"/>
      <c r="N75" s="11"/>
      <c r="O75" s="14"/>
      <c r="P75" s="16"/>
      <c r="Q75" s="11"/>
      <c r="R75" s="11"/>
      <c r="S75" s="11"/>
      <c r="T75" s="11"/>
      <c r="U75" s="13"/>
      <c r="V75" s="30"/>
      <c r="W75" s="14"/>
      <c r="X75" s="14"/>
      <c r="Y75" s="14"/>
      <c r="Z75" s="14"/>
      <c r="AA75" s="14"/>
      <c r="AB75" s="14"/>
      <c r="AC75" s="14"/>
      <c r="AD75" s="14"/>
      <c r="AE75" s="14"/>
      <c r="AF75" s="21"/>
      <c r="AG75" s="11"/>
      <c r="AH75" s="11"/>
      <c r="AI75" s="12"/>
      <c r="AJ75" s="11"/>
      <c r="AK75" s="11"/>
      <c r="AL75" s="11"/>
      <c r="AM75" s="13"/>
      <c r="AN75" s="14"/>
      <c r="AO75" s="15"/>
      <c r="AP75" s="15"/>
    </row>
    <row x14ac:dyDescent="0.25" r="76" customHeight="1" ht="18.75">
      <c r="A76" s="16"/>
      <c r="B76" s="14"/>
      <c r="C76" s="15"/>
      <c r="D76" s="14"/>
      <c r="E76" s="14"/>
      <c r="F76" s="14"/>
      <c r="G76" s="14"/>
      <c r="H76" s="14"/>
      <c r="I76" s="14"/>
      <c r="J76" s="14"/>
      <c r="K76" s="14"/>
      <c r="L76" s="14"/>
      <c r="M76" s="13"/>
      <c r="N76" s="11"/>
      <c r="O76" s="14"/>
      <c r="P76" s="16"/>
      <c r="Q76" s="11"/>
      <c r="R76" s="11"/>
      <c r="S76" s="11"/>
      <c r="T76" s="11"/>
      <c r="U76" s="13"/>
      <c r="V76" s="30"/>
      <c r="W76" s="14"/>
      <c r="X76" s="14"/>
      <c r="Y76" s="14"/>
      <c r="Z76" s="14"/>
      <c r="AA76" s="14"/>
      <c r="AB76" s="14"/>
      <c r="AC76" s="14"/>
      <c r="AD76" s="14"/>
      <c r="AE76" s="14"/>
      <c r="AF76" s="21"/>
      <c r="AG76" s="11"/>
      <c r="AH76" s="11"/>
      <c r="AI76" s="12"/>
      <c r="AJ76" s="11"/>
      <c r="AK76" s="11"/>
      <c r="AL76" s="11"/>
      <c r="AM76" s="13"/>
      <c r="AN76" s="14"/>
      <c r="AO76" s="15"/>
      <c r="AP76" s="15"/>
    </row>
    <row x14ac:dyDescent="0.25" r="77" customHeight="1" ht="18.75">
      <c r="A77" s="16"/>
      <c r="B77" s="135" t="s">
        <v>70</v>
      </c>
      <c r="C77" s="136"/>
      <c r="D77" s="49"/>
      <c r="E77" s="14"/>
      <c r="F77" s="14"/>
      <c r="G77" s="14"/>
      <c r="H77" s="14"/>
      <c r="I77" s="14"/>
      <c r="J77" s="14"/>
      <c r="K77" s="14"/>
      <c r="L77" s="133" t="s">
        <v>71</v>
      </c>
      <c r="M77" s="77" t="s">
        <v>36</v>
      </c>
      <c r="N77" s="78">
        <v>5</v>
      </c>
      <c r="O77" s="14"/>
      <c r="P77" s="51" t="s">
        <v>72</v>
      </c>
      <c r="Q77" s="62"/>
      <c r="R77" s="62"/>
      <c r="S77" s="62"/>
      <c r="T77" s="62"/>
      <c r="U77" s="88"/>
      <c r="V77" s="30"/>
      <c r="W77" s="14"/>
      <c r="X77" s="14"/>
      <c r="Y77" s="14"/>
      <c r="Z77" s="14"/>
      <c r="AA77" s="14"/>
      <c r="AB77" s="14"/>
      <c r="AC77" s="14"/>
      <c r="AD77" s="14"/>
      <c r="AE77" s="14"/>
      <c r="AF77" s="21"/>
      <c r="AG77" s="11"/>
      <c r="AH77" s="11"/>
      <c r="AI77" s="12"/>
      <c r="AJ77" s="11"/>
      <c r="AK77" s="11"/>
      <c r="AL77" s="11"/>
      <c r="AM77" s="13"/>
      <c r="AN77" s="14"/>
      <c r="AO77" s="15"/>
      <c r="AP77" s="15"/>
    </row>
    <row x14ac:dyDescent="0.25" r="78" customHeight="1" ht="18.75">
      <c r="A78" s="16"/>
      <c r="B78" s="31" t="s">
        <v>3</v>
      </c>
      <c r="C78" s="32">
        <f>125*0.85</f>
      </c>
      <c r="D78" s="10" t="s">
        <v>4</v>
      </c>
      <c r="E78" s="14"/>
      <c r="F78" s="14"/>
      <c r="G78" s="14"/>
      <c r="H78" s="14"/>
      <c r="I78" s="14"/>
      <c r="J78" s="14"/>
      <c r="K78" s="14"/>
      <c r="L78" s="134"/>
      <c r="M78" s="82" t="s">
        <v>37</v>
      </c>
      <c r="N78" s="83">
        <v>40</v>
      </c>
      <c r="O78" s="14"/>
      <c r="P78" s="90"/>
      <c r="Q78" s="91" t="s">
        <v>43</v>
      </c>
      <c r="R78" s="91" t="s">
        <v>44</v>
      </c>
      <c r="S78" s="92"/>
      <c r="T78" s="93" t="s">
        <v>5</v>
      </c>
      <c r="U78" s="94">
        <f>(U80+U81)/((Q80-U79)/10)</f>
      </c>
      <c r="V78" s="30"/>
      <c r="W78" s="14"/>
      <c r="X78" s="14"/>
      <c r="Y78" s="14"/>
      <c r="Z78" s="14"/>
      <c r="AA78" s="14"/>
      <c r="AB78" s="14"/>
      <c r="AC78" s="14"/>
      <c r="AD78" s="14"/>
      <c r="AE78" s="14"/>
      <c r="AF78" s="21"/>
      <c r="AG78" s="11" t="s">
        <v>73</v>
      </c>
      <c r="AH78" s="11"/>
      <c r="AI78" s="12"/>
      <c r="AJ78" s="11"/>
      <c r="AK78" s="11"/>
      <c r="AL78" s="11"/>
      <c r="AM78" s="13"/>
      <c r="AN78" s="14"/>
      <c r="AO78" s="15"/>
      <c r="AP78" s="15"/>
    </row>
    <row x14ac:dyDescent="0.25" r="79" customHeight="1" ht="18.75">
      <c r="A79" s="16"/>
      <c r="B79" s="33" t="s">
        <v>16</v>
      </c>
      <c r="C79" s="37">
        <v>1</v>
      </c>
      <c r="D79" s="21" t="s">
        <v>69</v>
      </c>
      <c r="E79" s="14"/>
      <c r="F79" s="14"/>
      <c r="G79" s="14"/>
      <c r="H79" s="14"/>
      <c r="I79" s="14"/>
      <c r="J79" s="14"/>
      <c r="K79" s="14"/>
      <c r="L79" s="16" t="s">
        <v>39</v>
      </c>
      <c r="M79" s="55">
        <f>U80+U81</f>
      </c>
      <c r="N79" s="29" t="s">
        <v>11</v>
      </c>
      <c r="O79" s="14"/>
      <c r="P79" s="72" t="s">
        <v>46</v>
      </c>
      <c r="Q79" s="73">
        <f>N77</f>
      </c>
      <c r="R79" s="73">
        <f>IF(60*Q79&lt;250,60*Q79,250)</f>
      </c>
      <c r="S79" s="11"/>
      <c r="T79" s="95" t="s">
        <v>40</v>
      </c>
      <c r="U79" s="75">
        <f>((R80+Q80/2)*Q81+(R80/2)*R81)/(Q81+R81)</f>
      </c>
      <c r="V79" s="30"/>
      <c r="W79" s="14"/>
      <c r="X79" s="14"/>
      <c r="Y79" s="14"/>
      <c r="Z79" s="14"/>
      <c r="AA79" s="14"/>
      <c r="AB79" s="14"/>
      <c r="AC79" s="14"/>
      <c r="AD79" s="14"/>
      <c r="AE79" s="14"/>
      <c r="AF79" s="21"/>
      <c r="AG79" s="11"/>
      <c r="AH79" s="11"/>
      <c r="AI79" s="12"/>
      <c r="AJ79" s="11"/>
      <c r="AK79" s="11"/>
      <c r="AL79" s="11"/>
      <c r="AM79" s="13"/>
      <c r="AN79" s="14"/>
      <c r="AO79" s="15"/>
      <c r="AP79" s="15"/>
    </row>
    <row x14ac:dyDescent="0.25" r="80" customHeight="1" ht="18.75">
      <c r="A80" s="16"/>
      <c r="B80" s="34" t="s">
        <v>5</v>
      </c>
      <c r="C80" s="35">
        <f>(83.3*'ABS Presiones de diseño'!B57*(paneles!C5/1000)*(C79)^2)/(internos!C78)</f>
      </c>
      <c r="D80" s="36" t="s">
        <v>34</v>
      </c>
      <c r="E80" s="14"/>
      <c r="F80" s="14"/>
      <c r="G80" s="14"/>
      <c r="H80" s="14"/>
      <c r="I80" s="14"/>
      <c r="J80" s="14"/>
      <c r="K80" s="14"/>
      <c r="L80" s="44" t="s">
        <v>5</v>
      </c>
      <c r="M80" s="86">
        <f>U78</f>
      </c>
      <c r="N80" s="50" t="s">
        <v>6</v>
      </c>
      <c r="O80" s="14"/>
      <c r="P80" s="72" t="s">
        <v>37</v>
      </c>
      <c r="Q80" s="73">
        <f>N78</f>
      </c>
      <c r="R80" s="73">
        <v>4</v>
      </c>
      <c r="S80" s="11"/>
      <c r="T80" s="95" t="s">
        <v>48</v>
      </c>
      <c r="U80" s="98">
        <f>((1/12)*Q79*Q80^3+Q81*((R80+Q80/2)-U79)^2)/10000</f>
      </c>
      <c r="V80" s="30"/>
      <c r="W80" s="14"/>
      <c r="X80" s="14"/>
      <c r="Y80" s="14"/>
      <c r="Z80" s="14"/>
      <c r="AA80" s="14"/>
      <c r="AB80" s="14"/>
      <c r="AC80" s="14"/>
      <c r="AD80" s="14"/>
      <c r="AE80" s="14"/>
      <c r="AF80" s="21"/>
      <c r="AG80" s="11"/>
      <c r="AH80" s="11" t="s">
        <v>21</v>
      </c>
      <c r="AI80" s="12" t="s">
        <v>22</v>
      </c>
      <c r="AJ80" s="11" t="s">
        <v>23</v>
      </c>
      <c r="AK80" s="11" t="s">
        <v>61</v>
      </c>
      <c r="AL80" s="11" t="s">
        <v>25</v>
      </c>
      <c r="AM80" s="13" t="s">
        <v>10</v>
      </c>
      <c r="AN80" s="14"/>
      <c r="AO80" s="15"/>
      <c r="AP80" s="15"/>
    </row>
    <row x14ac:dyDescent="0.25" r="81" customHeight="1" ht="18.75">
      <c r="A81" s="16"/>
      <c r="B81" s="33" t="s">
        <v>7</v>
      </c>
      <c r="C81" s="37">
        <f>C47</f>
      </c>
      <c r="D81" s="80">
        <f>D71</f>
      </c>
      <c r="E81" s="14"/>
      <c r="F81" s="14"/>
      <c r="G81" s="14"/>
      <c r="H81" s="14"/>
      <c r="I81" s="14"/>
      <c r="J81" s="14"/>
      <c r="K81" s="14"/>
      <c r="L81" s="14"/>
      <c r="M81" s="13"/>
      <c r="N81" s="11"/>
      <c r="O81" s="14"/>
      <c r="P81" s="99" t="s">
        <v>49</v>
      </c>
      <c r="Q81" s="100">
        <f>Q80*Q79</f>
      </c>
      <c r="R81" s="100">
        <f>R79*R80</f>
      </c>
      <c r="S81" s="45"/>
      <c r="T81" s="101" t="s">
        <v>50</v>
      </c>
      <c r="U81" s="102">
        <f>((1/12)*R79*R80^3+R81*((R80/2)-U79)^2)/10000</f>
      </c>
      <c r="V81" s="30"/>
      <c r="W81" s="14"/>
      <c r="X81" s="14"/>
      <c r="Y81" s="14"/>
      <c r="Z81" s="14"/>
      <c r="AA81" s="14"/>
      <c r="AB81" s="14"/>
      <c r="AC81" s="14"/>
      <c r="AD81" s="14"/>
      <c r="AE81" s="14"/>
      <c r="AF81" s="21"/>
      <c r="AG81" s="11" t="s">
        <v>26</v>
      </c>
      <c r="AH81" s="37">
        <v>250</v>
      </c>
      <c r="AI81" s="37">
        <v>6</v>
      </c>
      <c r="AJ81" s="37">
        <f>AH81*AI81</f>
      </c>
      <c r="AK81" s="37">
        <f>AI81/2</f>
      </c>
      <c r="AL81" s="37">
        <f>AK81*AJ81</f>
      </c>
      <c r="AM81" s="55">
        <f>((1/12)*((AH81)*(AI81)^3)+(AJ81)*(AK81-AI85)^2)/10000</f>
      </c>
      <c r="AN81" s="14"/>
      <c r="AO81" s="15"/>
      <c r="AP81" s="15"/>
    </row>
    <row x14ac:dyDescent="0.25" r="82" customHeight="1" ht="18.75">
      <c r="A82" s="16"/>
      <c r="B82" s="33" t="s">
        <v>9</v>
      </c>
      <c r="C82" s="38">
        <v>0.0021</v>
      </c>
      <c r="D82" s="21"/>
      <c r="E82" s="14"/>
      <c r="F82" s="14"/>
      <c r="G82" s="14"/>
      <c r="H82" s="14"/>
      <c r="I82" s="14"/>
      <c r="J82" s="14"/>
      <c r="K82" s="14"/>
      <c r="L82" s="14"/>
      <c r="M82" s="13"/>
      <c r="N82" s="11"/>
      <c r="O82" s="14"/>
      <c r="P82" s="16"/>
      <c r="Q82" s="11"/>
      <c r="R82" s="11"/>
      <c r="S82" s="11"/>
      <c r="T82" s="11"/>
      <c r="U82" s="13"/>
      <c r="V82" s="30"/>
      <c r="W82" s="14"/>
      <c r="X82" s="14"/>
      <c r="Y82" s="14"/>
      <c r="Z82" s="14"/>
      <c r="AA82" s="14"/>
      <c r="AB82" s="14"/>
      <c r="AC82" s="14"/>
      <c r="AD82" s="14"/>
      <c r="AE82" s="14"/>
      <c r="AF82" s="21"/>
      <c r="AG82" s="11" t="s">
        <v>28</v>
      </c>
      <c r="AH82" s="37">
        <f>N39</f>
      </c>
      <c r="AI82" s="37">
        <f>N40</f>
      </c>
      <c r="AJ82" s="37">
        <f>AH82*AI82</f>
      </c>
      <c r="AK82" s="37">
        <f>(AI82/2)+AI81</f>
      </c>
      <c r="AL82" s="37">
        <f>AK82*AJ82</f>
      </c>
      <c r="AM82" s="55">
        <f>((1/12)*((AH82)*(AI82)^3)+(AJ82)*(AK82-AI85)^2)/10000</f>
      </c>
      <c r="AN82" s="14"/>
      <c r="AO82" s="15"/>
      <c r="AP82" s="15"/>
    </row>
    <row x14ac:dyDescent="0.25" r="83" customHeight="1" ht="18.75">
      <c r="A83" s="16"/>
      <c r="B83" s="39" t="s">
        <v>10</v>
      </c>
      <c r="C83" s="40">
        <f>(260*'ABS Presiones de diseño'!B57*(paneles!C5/1000)*(C79)^3)/(internos!C60*internos!C59)</f>
      </c>
      <c r="D83" s="41" t="s">
        <v>11</v>
      </c>
      <c r="E83" s="14"/>
      <c r="F83" s="14"/>
      <c r="G83" s="14"/>
      <c r="H83" s="14"/>
      <c r="I83" s="14"/>
      <c r="J83" s="14"/>
      <c r="K83" s="14"/>
      <c r="L83" s="14"/>
      <c r="M83" s="13"/>
      <c r="N83" s="11"/>
      <c r="O83" s="14"/>
      <c r="P83" s="16"/>
      <c r="Q83" s="11"/>
      <c r="R83" s="11"/>
      <c r="S83" s="11"/>
      <c r="T83" s="11"/>
      <c r="U83" s="13"/>
      <c r="V83" s="30"/>
      <c r="W83" s="14"/>
      <c r="X83" s="14"/>
      <c r="Y83" s="14"/>
      <c r="Z83" s="14"/>
      <c r="AA83" s="14"/>
      <c r="AB83" s="14"/>
      <c r="AC83" s="14"/>
      <c r="AD83" s="14"/>
      <c r="AE83" s="14"/>
      <c r="AF83" s="21"/>
      <c r="AG83" s="11" t="s">
        <v>30</v>
      </c>
      <c r="AH83" s="37">
        <v>0</v>
      </c>
      <c r="AI83" s="37">
        <v>0</v>
      </c>
      <c r="AJ83" s="37">
        <f>AH83*AI83</f>
      </c>
      <c r="AK83" s="37">
        <f>AI82+AI81+AI83/2</f>
      </c>
      <c r="AL83" s="37">
        <f>AK83*AJ83</f>
      </c>
      <c r="AM83" s="55">
        <f>((1/12)*((AH83)*(AI83)^3)+(AJ83)*(AK83-AI85)^2)/10000</f>
      </c>
      <c r="AN83" s="14"/>
      <c r="AO83" s="15"/>
      <c r="AP83" s="15"/>
    </row>
    <row x14ac:dyDescent="0.25" r="84" customHeight="1" ht="18.75">
      <c r="A84" s="16"/>
      <c r="B84" s="33" t="s">
        <v>15</v>
      </c>
      <c r="C84" s="38">
        <f>M69/C80</f>
      </c>
      <c r="D84" s="14"/>
      <c r="E84" s="14"/>
      <c r="F84" s="14"/>
      <c r="G84" s="14"/>
      <c r="H84" s="14"/>
      <c r="I84" s="14"/>
      <c r="J84" s="14"/>
      <c r="K84" s="14"/>
      <c r="L84" s="14"/>
      <c r="M84" s="13"/>
      <c r="N84" s="11"/>
      <c r="O84" s="14"/>
      <c r="P84" s="16"/>
      <c r="Q84" s="11"/>
      <c r="R84" s="11"/>
      <c r="S84" s="11"/>
      <c r="T84" s="11"/>
      <c r="U84" s="13"/>
      <c r="V84" s="30"/>
      <c r="W84" s="14"/>
      <c r="X84" s="14"/>
      <c r="Y84" s="14"/>
      <c r="Z84" s="14"/>
      <c r="AA84" s="14"/>
      <c r="AB84" s="14"/>
      <c r="AC84" s="14"/>
      <c r="AD84" s="14"/>
      <c r="AE84" s="14"/>
      <c r="AF84" s="21"/>
      <c r="AG84" s="11"/>
      <c r="AH84" s="11"/>
      <c r="AI84" s="12"/>
      <c r="AJ84" s="11"/>
      <c r="AK84" s="11"/>
      <c r="AL84" s="11"/>
      <c r="AM84" s="13"/>
      <c r="AN84" s="14"/>
      <c r="AO84" s="15"/>
      <c r="AP84" s="15"/>
    </row>
    <row x14ac:dyDescent="0.25" r="85" customHeight="1" ht="18.75">
      <c r="A85" s="16"/>
      <c r="B85" s="14"/>
      <c r="C85" s="15"/>
      <c r="D85" s="14"/>
      <c r="E85" s="14"/>
      <c r="F85" s="14"/>
      <c r="G85" s="14"/>
      <c r="H85" s="14"/>
      <c r="I85" s="14"/>
      <c r="J85" s="14"/>
      <c r="K85" s="14"/>
      <c r="L85" s="14"/>
      <c r="M85" s="13"/>
      <c r="N85" s="11"/>
      <c r="O85" s="14"/>
      <c r="P85" s="16"/>
      <c r="Q85" s="11"/>
      <c r="R85" s="11"/>
      <c r="S85" s="11"/>
      <c r="T85" s="11"/>
      <c r="U85" s="13"/>
      <c r="V85" s="30"/>
      <c r="W85" s="14"/>
      <c r="X85" s="14"/>
      <c r="Y85" s="14"/>
      <c r="Z85" s="14"/>
      <c r="AA85" s="14"/>
      <c r="AB85" s="14"/>
      <c r="AC85" s="14"/>
      <c r="AD85" s="14"/>
      <c r="AE85" s="14"/>
      <c r="AF85" s="21"/>
      <c r="AG85" s="11"/>
      <c r="AH85" s="11" t="s">
        <v>61</v>
      </c>
      <c r="AI85" s="38">
        <f>(AL81+AL82+AL83)/(AJ81+AJ82+AJ83)</f>
      </c>
      <c r="AJ85" s="11" t="s">
        <v>33</v>
      </c>
      <c r="AK85" s="11"/>
      <c r="AL85" s="11"/>
      <c r="AM85" s="13"/>
      <c r="AN85" s="14"/>
      <c r="AO85" s="15"/>
      <c r="AP85" s="15"/>
    </row>
    <row x14ac:dyDescent="0.25" r="86" customHeight="1" ht="18.75">
      <c r="A86" s="16"/>
      <c r="B86" s="14"/>
      <c r="C86" s="15"/>
      <c r="D86" s="14"/>
      <c r="E86" s="14"/>
      <c r="F86" s="14"/>
      <c r="G86" s="14"/>
      <c r="H86" s="14"/>
      <c r="I86" s="14"/>
      <c r="J86" s="14"/>
      <c r="K86" s="14"/>
      <c r="L86" s="14"/>
      <c r="M86" s="13"/>
      <c r="N86" s="11"/>
      <c r="O86" s="14"/>
      <c r="P86" s="16"/>
      <c r="Q86" s="11"/>
      <c r="R86" s="11"/>
      <c r="S86" s="11"/>
      <c r="T86" s="11"/>
      <c r="U86" s="13"/>
      <c r="V86" s="30"/>
      <c r="W86" s="14"/>
      <c r="X86" s="14"/>
      <c r="Y86" s="14"/>
      <c r="Z86" s="14"/>
      <c r="AA86" s="14"/>
      <c r="AB86" s="14"/>
      <c r="AC86" s="14"/>
      <c r="AD86" s="14"/>
      <c r="AE86" s="14"/>
      <c r="AF86" s="21"/>
      <c r="AG86" s="11"/>
      <c r="AH86" s="11" t="s">
        <v>10</v>
      </c>
      <c r="AI86" s="55">
        <f>AM81+AM82+AM83</f>
      </c>
      <c r="AJ86" s="11"/>
      <c r="AK86" s="11"/>
      <c r="AL86" s="11"/>
      <c r="AM86" s="13"/>
      <c r="AN86" s="14"/>
      <c r="AO86" s="15"/>
      <c r="AP86" s="15"/>
    </row>
    <row x14ac:dyDescent="0.25" r="87" customHeight="1" ht="18.75">
      <c r="A87" s="16"/>
      <c r="B87" s="14"/>
      <c r="C87" s="15"/>
      <c r="D87" s="14"/>
      <c r="E87" s="14"/>
      <c r="F87" s="14"/>
      <c r="G87" s="14"/>
      <c r="H87" s="14"/>
      <c r="I87" s="14"/>
      <c r="J87" s="14"/>
      <c r="K87" s="14"/>
      <c r="L87" s="14"/>
      <c r="M87" s="13"/>
      <c r="N87" s="11"/>
      <c r="O87" s="14"/>
      <c r="P87" s="16"/>
      <c r="Q87" s="11"/>
      <c r="R87" s="11"/>
      <c r="S87" s="11"/>
      <c r="T87" s="11"/>
      <c r="U87" s="13"/>
      <c r="V87" s="30"/>
      <c r="W87" s="14"/>
      <c r="X87" s="14"/>
      <c r="Y87" s="14"/>
      <c r="Z87" s="14"/>
      <c r="AA87" s="14"/>
      <c r="AB87" s="14"/>
      <c r="AC87" s="14"/>
      <c r="AD87" s="14"/>
      <c r="AE87" s="14"/>
      <c r="AF87" s="21"/>
      <c r="AG87" s="11"/>
      <c r="AH87" s="11" t="s">
        <v>5</v>
      </c>
      <c r="AI87" s="38">
        <f>AI86/((SUM(AI81:AI83)-AI85)/10)</f>
      </c>
      <c r="AJ87" s="11"/>
      <c r="AK87" s="11"/>
      <c r="AL87" s="11"/>
      <c r="AM87" s="13"/>
      <c r="AN87" s="14"/>
      <c r="AO87" s="15"/>
      <c r="AP87" s="15"/>
    </row>
    <row x14ac:dyDescent="0.25" r="88" customHeight="1" ht="18.75">
      <c r="A88" s="16"/>
      <c r="B88" s="26" t="s">
        <v>74</v>
      </c>
      <c r="C88" s="57"/>
      <c r="D88" s="58"/>
      <c r="E88" s="14"/>
      <c r="F88" s="14"/>
      <c r="G88" s="14"/>
      <c r="H88" s="14"/>
      <c r="I88" s="14"/>
      <c r="J88" s="14"/>
      <c r="K88" s="14"/>
      <c r="L88" s="133" t="s">
        <v>75</v>
      </c>
      <c r="M88" s="77" t="s">
        <v>36</v>
      </c>
      <c r="N88" s="78">
        <v>5</v>
      </c>
      <c r="O88" s="14"/>
      <c r="P88" s="51" t="s">
        <v>76</v>
      </c>
      <c r="Q88" s="62"/>
      <c r="R88" s="62"/>
      <c r="S88" s="62"/>
      <c r="T88" s="62"/>
      <c r="U88" s="88"/>
      <c r="V88" s="30"/>
      <c r="W88" s="14"/>
      <c r="X88" s="14"/>
      <c r="Y88" s="14"/>
      <c r="Z88" s="14"/>
      <c r="AA88" s="14"/>
      <c r="AB88" s="14"/>
      <c r="AC88" s="14"/>
      <c r="AD88" s="14"/>
      <c r="AE88" s="14"/>
      <c r="AF88" s="21"/>
      <c r="AG88" s="11"/>
      <c r="AH88" s="11"/>
      <c r="AI88" s="12"/>
      <c r="AJ88" s="11"/>
      <c r="AK88" s="11"/>
      <c r="AL88" s="11"/>
      <c r="AM88" s="13"/>
      <c r="AN88" s="14"/>
      <c r="AO88" s="15"/>
      <c r="AP88" s="15"/>
    </row>
    <row x14ac:dyDescent="0.25" r="89" customHeight="1" ht="18.75">
      <c r="A89" s="16"/>
      <c r="B89" s="31" t="s">
        <v>3</v>
      </c>
      <c r="C89" s="32">
        <f>125*0.7</f>
      </c>
      <c r="D89" s="10" t="s">
        <v>4</v>
      </c>
      <c r="E89" s="14"/>
      <c r="F89" s="14"/>
      <c r="G89" s="14"/>
      <c r="H89" s="14"/>
      <c r="I89" s="14"/>
      <c r="J89" s="14"/>
      <c r="K89" s="14"/>
      <c r="L89" s="134"/>
      <c r="M89" s="82" t="s">
        <v>37</v>
      </c>
      <c r="N89" s="83">
        <v>40</v>
      </c>
      <c r="O89" s="14"/>
      <c r="P89" s="90"/>
      <c r="Q89" s="91" t="s">
        <v>43</v>
      </c>
      <c r="R89" s="91" t="s">
        <v>44</v>
      </c>
      <c r="S89" s="92"/>
      <c r="T89" s="93" t="s">
        <v>5</v>
      </c>
      <c r="U89" s="94">
        <f>(U91+U92)/((Q91-U90)/10)</f>
      </c>
      <c r="V89" s="30"/>
      <c r="W89" s="14"/>
      <c r="X89" s="14"/>
      <c r="Y89" s="14"/>
      <c r="Z89" s="14"/>
      <c r="AA89" s="14"/>
      <c r="AB89" s="14"/>
      <c r="AC89" s="14"/>
      <c r="AD89" s="14"/>
      <c r="AE89" s="14"/>
      <c r="AF89" s="21"/>
      <c r="AG89" s="11"/>
      <c r="AH89" s="11"/>
      <c r="AI89" s="12"/>
      <c r="AJ89" s="11"/>
      <c r="AK89" s="11"/>
      <c r="AL89" s="11"/>
      <c r="AM89" s="13"/>
      <c r="AN89" s="14"/>
      <c r="AO89" s="15"/>
      <c r="AP89" s="15"/>
    </row>
    <row x14ac:dyDescent="0.25" r="90" customHeight="1" ht="18.75">
      <c r="A90" s="16"/>
      <c r="B90" s="33"/>
      <c r="C90" s="15"/>
      <c r="D90" s="21"/>
      <c r="E90" s="14"/>
      <c r="F90" s="14"/>
      <c r="G90" s="14"/>
      <c r="H90" s="14"/>
      <c r="I90" s="14"/>
      <c r="J90" s="14"/>
      <c r="K90" s="14"/>
      <c r="L90" s="16" t="s">
        <v>39</v>
      </c>
      <c r="M90" s="55">
        <f>U91+U92</f>
      </c>
      <c r="N90" s="29" t="s">
        <v>11</v>
      </c>
      <c r="O90" s="14"/>
      <c r="P90" s="72" t="s">
        <v>46</v>
      </c>
      <c r="Q90" s="73">
        <f>N88</f>
      </c>
      <c r="R90" s="73">
        <f>IF(60*Q90&lt;250,60*Q90,250)</f>
      </c>
      <c r="S90" s="11"/>
      <c r="T90" s="95" t="s">
        <v>40</v>
      </c>
      <c r="U90" s="75">
        <f>((R91+Q91/2)*Q92+(R91/2)*R92)/(Q92+R92)</f>
      </c>
      <c r="V90" s="30"/>
      <c r="W90" s="14"/>
      <c r="X90" s="14"/>
      <c r="Y90" s="14"/>
      <c r="Z90" s="14"/>
      <c r="AA90" s="14"/>
      <c r="AB90" s="14"/>
      <c r="AC90" s="14"/>
      <c r="AD90" s="14"/>
      <c r="AE90" s="14"/>
      <c r="AF90" s="21"/>
      <c r="AG90" s="11"/>
      <c r="AH90" s="11"/>
      <c r="AI90" s="12"/>
      <c r="AJ90" s="11"/>
      <c r="AK90" s="11"/>
      <c r="AL90" s="11"/>
      <c r="AM90" s="13"/>
      <c r="AN90" s="14"/>
      <c r="AO90" s="15"/>
      <c r="AP90" s="15"/>
    </row>
    <row x14ac:dyDescent="0.25" r="91" customHeight="1" ht="18.75">
      <c r="A91" s="16"/>
      <c r="B91" s="34" t="s">
        <v>5</v>
      </c>
      <c r="C91" s="35">
        <f>(83.3*'ABS Presiones de diseño'!B57*(paneles!C5/1000)*(paneles!C5/1000)^2)/(internos!C89)</f>
      </c>
      <c r="D91" s="36" t="s">
        <v>34</v>
      </c>
      <c r="E91" s="14"/>
      <c r="F91" s="14"/>
      <c r="G91" s="14"/>
      <c r="H91" s="14"/>
      <c r="I91" s="14"/>
      <c r="J91" s="14"/>
      <c r="K91" s="14"/>
      <c r="L91" s="44" t="s">
        <v>5</v>
      </c>
      <c r="M91" s="86">
        <f>U89</f>
      </c>
      <c r="N91" s="50" t="s">
        <v>6</v>
      </c>
      <c r="O91" s="14"/>
      <c r="P91" s="72" t="s">
        <v>37</v>
      </c>
      <c r="Q91" s="73">
        <f>N89</f>
      </c>
      <c r="R91" s="73">
        <v>4</v>
      </c>
      <c r="S91" s="11"/>
      <c r="T91" s="95" t="s">
        <v>48</v>
      </c>
      <c r="U91" s="98">
        <f>((1/12)*Q90*Q91^3+Q92*((R91+Q91/2)-U90)^2)/10000</f>
      </c>
      <c r="V91" s="30"/>
      <c r="W91" s="14"/>
      <c r="X91" s="14"/>
      <c r="Y91" s="14"/>
      <c r="Z91" s="14"/>
      <c r="AA91" s="14"/>
      <c r="AB91" s="14"/>
      <c r="AC91" s="14"/>
      <c r="AD91" s="14"/>
      <c r="AE91" s="14"/>
      <c r="AF91" s="21"/>
      <c r="AG91" s="11"/>
      <c r="AH91" s="11"/>
      <c r="AI91" s="12"/>
      <c r="AJ91" s="11"/>
      <c r="AK91" s="11"/>
      <c r="AL91" s="11"/>
      <c r="AM91" s="13"/>
      <c r="AN91" s="14"/>
      <c r="AO91" s="15"/>
      <c r="AP91" s="15"/>
    </row>
    <row x14ac:dyDescent="0.25" r="92" customHeight="1" ht="18.75">
      <c r="A92" s="16"/>
      <c r="B92" s="33" t="s">
        <v>7</v>
      </c>
      <c r="C92" s="37">
        <f>C81</f>
      </c>
      <c r="D92" s="21" t="s">
        <v>8</v>
      </c>
      <c r="E92" s="14"/>
      <c r="F92" s="14"/>
      <c r="G92" s="14"/>
      <c r="H92" s="14"/>
      <c r="I92" s="14"/>
      <c r="J92" s="14"/>
      <c r="K92" s="14"/>
      <c r="L92" s="14"/>
      <c r="M92" s="13"/>
      <c r="N92" s="11"/>
      <c r="O92" s="14"/>
      <c r="P92" s="99" t="s">
        <v>49</v>
      </c>
      <c r="Q92" s="100">
        <f>Q91*Q90</f>
      </c>
      <c r="R92" s="100">
        <f>R90*R91</f>
      </c>
      <c r="S92" s="45"/>
      <c r="T92" s="101" t="s">
        <v>50</v>
      </c>
      <c r="U92" s="102">
        <f>((1/12)*R90*R91^3+R92*((R91/2)-U90)^2)/10000</f>
      </c>
      <c r="V92" s="30"/>
      <c r="W92" s="14"/>
      <c r="X92" s="14"/>
      <c r="Y92" s="14"/>
      <c r="Z92" s="14"/>
      <c r="AA92" s="14"/>
      <c r="AB92" s="14"/>
      <c r="AC92" s="14"/>
      <c r="AD92" s="14"/>
      <c r="AE92" s="14"/>
      <c r="AF92" s="21"/>
      <c r="AG92" s="11" t="s">
        <v>73</v>
      </c>
      <c r="AH92" s="11"/>
      <c r="AI92" s="12"/>
      <c r="AJ92" s="11"/>
      <c r="AK92" s="11"/>
      <c r="AL92" s="11"/>
      <c r="AM92" s="13"/>
      <c r="AN92" s="14"/>
      <c r="AO92" s="15"/>
      <c r="AP92" s="15"/>
    </row>
    <row x14ac:dyDescent="0.25" r="93" customHeight="1" ht="18.75">
      <c r="A93" s="16"/>
      <c r="B93" s="33" t="s">
        <v>9</v>
      </c>
      <c r="C93" s="38">
        <v>0.0021</v>
      </c>
      <c r="D93" s="21"/>
      <c r="E93" s="14"/>
      <c r="F93" s="14"/>
      <c r="G93" s="14"/>
      <c r="H93" s="14"/>
      <c r="I93" s="14"/>
      <c r="J93" s="14"/>
      <c r="K93" s="14"/>
      <c r="L93" s="14"/>
      <c r="M93" s="13"/>
      <c r="N93" s="11"/>
      <c r="O93" s="14"/>
      <c r="P93" s="44"/>
      <c r="Q93" s="45"/>
      <c r="R93" s="45"/>
      <c r="S93" s="45"/>
      <c r="T93" s="45"/>
      <c r="U93" s="46"/>
      <c r="V93" s="47"/>
      <c r="W93" s="14"/>
      <c r="X93" s="14"/>
      <c r="Y93" s="14"/>
      <c r="Z93" s="14"/>
      <c r="AA93" s="14"/>
      <c r="AB93" s="14"/>
      <c r="AC93" s="14"/>
      <c r="AD93" s="14"/>
      <c r="AE93" s="14"/>
      <c r="AF93" s="21"/>
      <c r="AG93" s="11"/>
      <c r="AH93" s="11"/>
      <c r="AI93" s="12"/>
      <c r="AJ93" s="11"/>
      <c r="AK93" s="11"/>
      <c r="AL93" s="11"/>
      <c r="AM93" s="13"/>
      <c r="AN93" s="14"/>
      <c r="AO93" s="15"/>
      <c r="AP93" s="15"/>
    </row>
    <row x14ac:dyDescent="0.25" r="94" customHeight="1" ht="18.75">
      <c r="A94" s="44"/>
      <c r="B94" s="39" t="s">
        <v>10</v>
      </c>
      <c r="C94" s="40">
        <f>(260*'ABS Presiones de diseño'!B57*(paneles!C5/1000)*(paneles!C5/1000)^3)/(internos!C93*internos!C92)</f>
      </c>
      <c r="D94" s="137" t="s">
        <v>11</v>
      </c>
      <c r="E94" s="14"/>
      <c r="F94" s="14"/>
      <c r="G94" s="14"/>
      <c r="H94" s="14"/>
      <c r="I94" s="14"/>
      <c r="J94" s="14"/>
      <c r="K94" s="14"/>
      <c r="L94" s="14"/>
      <c r="M94" s="13"/>
      <c r="N94" s="11"/>
      <c r="O94" s="14"/>
      <c r="P94" s="14"/>
      <c r="Q94" s="11"/>
      <c r="R94" s="11"/>
      <c r="S94" s="11"/>
      <c r="T94" s="11"/>
      <c r="U94" s="13"/>
      <c r="V94" s="15"/>
      <c r="W94" s="14"/>
      <c r="X94" s="14"/>
      <c r="Y94" s="14"/>
      <c r="Z94" s="14"/>
      <c r="AA94" s="14"/>
      <c r="AB94" s="14"/>
      <c r="AC94" s="14"/>
      <c r="AD94" s="14"/>
      <c r="AE94" s="14"/>
      <c r="AF94" s="21"/>
      <c r="AG94" s="11"/>
      <c r="AH94" s="11" t="s">
        <v>21</v>
      </c>
      <c r="AI94" s="12" t="s">
        <v>22</v>
      </c>
      <c r="AJ94" s="11" t="s">
        <v>23</v>
      </c>
      <c r="AK94" s="11" t="s">
        <v>61</v>
      </c>
      <c r="AL94" s="11" t="s">
        <v>25</v>
      </c>
      <c r="AM94" s="13" t="s">
        <v>10</v>
      </c>
      <c r="AN94" s="14"/>
      <c r="AO94" s="15"/>
      <c r="AP94" s="15"/>
    </row>
    <row x14ac:dyDescent="0.25" r="95" customHeight="1" ht="18.75">
      <c r="A95" s="16"/>
      <c r="B95" s="33" t="s">
        <v>15</v>
      </c>
      <c r="C95" s="38">
        <f>M80/C91</f>
      </c>
      <c r="D95" s="14"/>
      <c r="E95" s="14"/>
      <c r="F95" s="14"/>
      <c r="G95" s="14"/>
      <c r="H95" s="14"/>
      <c r="I95" s="14"/>
      <c r="J95" s="14"/>
      <c r="K95" s="14"/>
      <c r="L95" s="14"/>
      <c r="M95" s="13"/>
      <c r="N95" s="11"/>
      <c r="O95" s="14"/>
      <c r="P95" s="14"/>
      <c r="Q95" s="11"/>
      <c r="R95" s="11"/>
      <c r="S95" s="11"/>
      <c r="T95" s="11"/>
      <c r="U95" s="13"/>
      <c r="V95" s="15"/>
      <c r="W95" s="14"/>
      <c r="X95" s="14"/>
      <c r="Y95" s="14"/>
      <c r="Z95" s="14"/>
      <c r="AA95" s="14"/>
      <c r="AB95" s="14"/>
      <c r="AC95" s="14"/>
      <c r="AD95" s="14"/>
      <c r="AE95" s="14"/>
      <c r="AF95" s="21"/>
      <c r="AG95" s="11" t="s">
        <v>26</v>
      </c>
      <c r="AH95" s="37">
        <v>250</v>
      </c>
      <c r="AI95" s="37">
        <v>6</v>
      </c>
      <c r="AJ95" s="37">
        <f>AH95*AI95</f>
      </c>
      <c r="AK95" s="37">
        <f>AI95/2</f>
      </c>
      <c r="AL95" s="37">
        <f>AK95*AJ95</f>
      </c>
      <c r="AM95" s="55">
        <f>((1/12)*((AH95)*(AI95)^3)+(AJ95)*(AK95-AI99)^2)/10000</f>
      </c>
      <c r="AN95" s="14"/>
      <c r="AO95" s="15"/>
      <c r="AP95" s="15"/>
    </row>
    <row x14ac:dyDescent="0.25" r="96" customHeight="1" ht="18.75">
      <c r="A96" s="44"/>
      <c r="B96" s="48"/>
      <c r="C96" s="136"/>
      <c r="D96" s="48"/>
      <c r="E96" s="48"/>
      <c r="F96" s="48"/>
      <c r="G96" s="48"/>
      <c r="H96" s="48"/>
      <c r="I96" s="48"/>
      <c r="J96" s="48"/>
      <c r="K96" s="48"/>
      <c r="L96" s="48"/>
      <c r="M96" s="46"/>
      <c r="N96" s="45"/>
      <c r="O96" s="48"/>
      <c r="P96" s="48"/>
      <c r="Q96" s="45"/>
      <c r="R96" s="45"/>
      <c r="S96" s="45"/>
      <c r="T96" s="45"/>
      <c r="U96" s="46"/>
      <c r="V96" s="136"/>
      <c r="W96" s="48"/>
      <c r="X96" s="48"/>
      <c r="Y96" s="48"/>
      <c r="Z96" s="48"/>
      <c r="AA96" s="48"/>
      <c r="AB96" s="48"/>
      <c r="AC96" s="48"/>
      <c r="AD96" s="48"/>
      <c r="AE96" s="48"/>
      <c r="AF96" s="49"/>
      <c r="AG96" s="11" t="s">
        <v>28</v>
      </c>
      <c r="AH96" s="37">
        <v>8</v>
      </c>
      <c r="AI96" s="37">
        <v>120</v>
      </c>
      <c r="AJ96" s="37">
        <f>AH96*AI96</f>
      </c>
      <c r="AK96" s="37">
        <f>(AI96/2)+AI95</f>
      </c>
      <c r="AL96" s="37">
        <f>AK96*AJ96</f>
      </c>
      <c r="AM96" s="55">
        <f>((1/12)*((AH96)*(AI96)^3)+(AJ96)*(AK96-AI99)^2)/10000</f>
      </c>
      <c r="AN96" s="14"/>
      <c r="AO96" s="15"/>
      <c r="AP96" s="15"/>
    </row>
    <row x14ac:dyDescent="0.25" r="97" customHeight="1" ht="18.75">
      <c r="A97" s="14"/>
      <c r="B97" s="14"/>
      <c r="C97" s="15"/>
      <c r="D97" s="14"/>
      <c r="E97" s="14"/>
      <c r="F97" s="14"/>
      <c r="G97" s="14"/>
      <c r="H97" s="14"/>
      <c r="I97" s="14"/>
      <c r="J97" s="14"/>
      <c r="K97" s="14"/>
      <c r="L97" s="14"/>
      <c r="M97" s="13"/>
      <c r="N97" s="11"/>
      <c r="O97" s="14"/>
      <c r="P97" s="14"/>
      <c r="Q97" s="11"/>
      <c r="R97" s="11"/>
      <c r="S97" s="11"/>
      <c r="T97" s="11"/>
      <c r="U97" s="13"/>
      <c r="V97" s="15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1" t="s">
        <v>30</v>
      </c>
      <c r="AH97" s="37">
        <v>0</v>
      </c>
      <c r="AI97" s="37">
        <v>0</v>
      </c>
      <c r="AJ97" s="37">
        <f>AH97*AI97</f>
      </c>
      <c r="AK97" s="37">
        <f>AI96+AI95+AI97/2</f>
      </c>
      <c r="AL97" s="37">
        <f>AK97*AJ97</f>
      </c>
      <c r="AM97" s="55">
        <f>((1/12)*((AH97)*(AI97)^3)+(AJ97)*(AK97-AI99)^2)/10000</f>
      </c>
      <c r="AN97" s="14"/>
      <c r="AO97" s="15"/>
      <c r="AP97" s="15"/>
    </row>
    <row x14ac:dyDescent="0.25" r="98" customHeight="1" ht="18.75">
      <c r="A98" s="14"/>
      <c r="B98" s="14"/>
      <c r="C98" s="15"/>
      <c r="D98" s="14"/>
      <c r="E98" s="14"/>
      <c r="F98" s="14"/>
      <c r="G98" s="14"/>
      <c r="H98" s="14"/>
      <c r="I98" s="14"/>
      <c r="J98" s="14"/>
      <c r="K98" s="14"/>
      <c r="L98" s="14"/>
      <c r="M98" s="13"/>
      <c r="N98" s="11"/>
      <c r="O98" s="14"/>
      <c r="P98" s="14"/>
      <c r="Q98" s="11"/>
      <c r="R98" s="11"/>
      <c r="S98" s="11"/>
      <c r="T98" s="11"/>
      <c r="U98" s="13"/>
      <c r="V98" s="15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1"/>
      <c r="AH98" s="11"/>
      <c r="AI98" s="12"/>
      <c r="AJ98" s="11"/>
      <c r="AK98" s="11"/>
      <c r="AL98" s="11"/>
      <c r="AM98" s="13"/>
      <c r="AN98" s="14"/>
      <c r="AO98" s="15"/>
      <c r="AP98" s="15"/>
    </row>
    <row x14ac:dyDescent="0.25" r="99" customHeight="1" ht="18.75">
      <c r="A99" s="14"/>
      <c r="B99" s="14"/>
      <c r="C99" s="15"/>
      <c r="D99" s="14"/>
      <c r="E99" s="14"/>
      <c r="F99" s="14"/>
      <c r="G99" s="14"/>
      <c r="H99" s="14"/>
      <c r="I99" s="14"/>
      <c r="J99" s="14"/>
      <c r="K99" s="14"/>
      <c r="L99" s="14"/>
      <c r="M99" s="13"/>
      <c r="N99" s="11"/>
      <c r="O99" s="14"/>
      <c r="P99" s="14"/>
      <c r="Q99" s="11"/>
      <c r="R99" s="11"/>
      <c r="S99" s="11"/>
      <c r="T99" s="11"/>
      <c r="U99" s="13"/>
      <c r="V99" s="15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1"/>
      <c r="AH99" s="11" t="s">
        <v>61</v>
      </c>
      <c r="AI99" s="38">
        <f>(AL95+AL96+AL97)/(AJ95+AJ96+AJ97)</f>
      </c>
      <c r="AJ99" s="11" t="s">
        <v>33</v>
      </c>
      <c r="AK99" s="11"/>
      <c r="AL99" s="11"/>
      <c r="AM99" s="13"/>
      <c r="AN99" s="14"/>
      <c r="AO99" s="15"/>
      <c r="AP99" s="15"/>
    </row>
    <row x14ac:dyDescent="0.25" r="100" customHeight="1" ht="18.75">
      <c r="A100" s="14"/>
      <c r="B100" s="14"/>
      <c r="C100" s="15"/>
      <c r="D100" s="14"/>
      <c r="E100" s="14"/>
      <c r="F100" s="14"/>
      <c r="G100" s="14"/>
      <c r="H100" s="14"/>
      <c r="I100" s="14"/>
      <c r="J100" s="14"/>
      <c r="K100" s="14"/>
      <c r="L100" s="14"/>
      <c r="M100" s="13"/>
      <c r="N100" s="11"/>
      <c r="O100" s="14"/>
      <c r="P100" s="14"/>
      <c r="Q100" s="11"/>
      <c r="R100" s="11"/>
      <c r="S100" s="11"/>
      <c r="T100" s="11"/>
      <c r="U100" s="13"/>
      <c r="V100" s="15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1"/>
      <c r="AH100" s="11" t="s">
        <v>10</v>
      </c>
      <c r="AI100" s="55">
        <f>AM95+AM96+AM97</f>
      </c>
      <c r="AJ100" s="11"/>
      <c r="AK100" s="11"/>
      <c r="AL100" s="11"/>
      <c r="AM100" s="13"/>
      <c r="AN100" s="14"/>
      <c r="AO100" s="15"/>
      <c r="AP100" s="15"/>
    </row>
    <row x14ac:dyDescent="0.25" r="101" customHeight="1" ht="18.75">
      <c r="A101" s="14"/>
      <c r="B101" s="14"/>
      <c r="C101" s="15"/>
      <c r="D101" s="14"/>
      <c r="E101" s="14"/>
      <c r="F101" s="14"/>
      <c r="G101" s="14"/>
      <c r="H101" s="14"/>
      <c r="I101" s="14"/>
      <c r="J101" s="14"/>
      <c r="K101" s="14"/>
      <c r="L101" s="14"/>
      <c r="M101" s="13"/>
      <c r="N101" s="11"/>
      <c r="O101" s="14"/>
      <c r="P101" s="14"/>
      <c r="Q101" s="11"/>
      <c r="R101" s="11"/>
      <c r="S101" s="11"/>
      <c r="T101" s="11"/>
      <c r="U101" s="13"/>
      <c r="V101" s="15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1"/>
      <c r="AH101" s="11" t="s">
        <v>5</v>
      </c>
      <c r="AI101" s="38">
        <f>AI100/((SUM(AI95:AI97)-AI99)/10)</f>
      </c>
      <c r="AJ101" s="11"/>
      <c r="AK101" s="11"/>
      <c r="AL101" s="11"/>
      <c r="AM101" s="13"/>
      <c r="AN101" s="14"/>
      <c r="AO101" s="15"/>
      <c r="AP101" s="15"/>
    </row>
  </sheetData>
  <mergeCells count="20">
    <mergeCell ref="B1:E2"/>
    <mergeCell ref="B4:C4"/>
    <mergeCell ref="F25:N25"/>
    <mergeCell ref="P31:V31"/>
    <mergeCell ref="L32:N32"/>
    <mergeCell ref="L34:L35"/>
    <mergeCell ref="L39:L40"/>
    <mergeCell ref="P39:U39"/>
    <mergeCell ref="L44:L45"/>
    <mergeCell ref="F48:J48"/>
    <mergeCell ref="P49:U49"/>
    <mergeCell ref="L50:L51"/>
    <mergeCell ref="L55:L56"/>
    <mergeCell ref="L60:L61"/>
    <mergeCell ref="P60:V60"/>
    <mergeCell ref="L66:L67"/>
    <mergeCell ref="L77:L78"/>
    <mergeCell ref="P77:U77"/>
    <mergeCell ref="L88:L89"/>
    <mergeCell ref="P88:U8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C152"/>
  <sheetViews>
    <sheetView workbookViewId="0"/>
  </sheetViews>
  <sheetFormatPr defaultRowHeight="15" x14ac:dyDescent="0.25"/>
  <cols>
    <col min="1" max="1" style="141" width="7.005" customWidth="1" bestFit="1"/>
    <col min="2" max="2" style="138" width="41.86214285714286" customWidth="1" bestFit="1"/>
    <col min="3" max="3" style="251" width="21.005" customWidth="1" bestFit="1"/>
    <col min="4" max="4" style="252" width="14.862142857142858" customWidth="1" bestFit="1"/>
    <col min="5" max="5" style="252" width="16.290714285714284" customWidth="1" bestFit="1"/>
    <col min="6" max="6" style="141" width="12.719285714285713" customWidth="1" bestFit="1"/>
    <col min="7" max="7" style="352" width="14.005" customWidth="1" bestFit="1"/>
    <col min="8" max="8" style="139" width="10.719285714285713" customWidth="1" bestFit="1"/>
    <col min="9" max="9" style="139" width="14.719285714285713" customWidth="1" bestFit="1"/>
    <col min="10" max="10" style="732" width="12.290714285714287" customWidth="1" bestFit="1"/>
    <col min="11" max="11" style="732" width="13.43357142857143" customWidth="1" bestFit="1"/>
    <col min="12" max="12" style="138" width="13.576428571428572" customWidth="1" bestFit="1" hidden="1"/>
    <col min="13" max="13" style="138" width="13.576428571428572" customWidth="1" bestFit="1" hidden="1"/>
    <col min="14" max="14" style="141" width="13.576428571428572" customWidth="1" bestFit="1" hidden="1"/>
    <col min="15" max="15" style="138" width="13.576428571428572" customWidth="1" bestFit="1" hidden="1"/>
    <col min="16" max="16" style="140" width="13.576428571428572" customWidth="1" bestFit="1" hidden="1"/>
    <col min="17" max="17" style="141" width="13.576428571428572" customWidth="1" bestFit="1" hidden="1"/>
    <col min="18" max="18" style="141" width="13.576428571428572" customWidth="1" bestFit="1" hidden="1"/>
    <col min="19" max="19" style="138" width="12.005" customWidth="1" bestFit="1"/>
    <col min="20" max="20" style="138" width="13.576428571428572" customWidth="1" bestFit="1"/>
    <col min="21" max="21" style="138" width="13.005" customWidth="1" bestFit="1"/>
    <col min="22" max="22" style="138" width="13.576428571428572" customWidth="1" bestFit="1"/>
    <col min="23" max="23" style="138" width="13.576428571428572" customWidth="1" bestFit="1"/>
    <col min="24" max="24" style="138" width="13.576428571428572" customWidth="1" bestFit="1"/>
    <col min="25" max="25" style="138" width="13.576428571428572" customWidth="1" bestFit="1"/>
    <col min="26" max="26" style="138" width="13.576428571428572" customWidth="1" bestFit="1"/>
    <col min="27" max="27" style="138" width="13.576428571428572" customWidth="1" bestFit="1"/>
    <col min="28" max="28" style="138" width="13.576428571428572" customWidth="1" bestFit="1"/>
    <col min="29" max="29" style="138" width="13.576428571428572" customWidth="1" bestFit="1"/>
  </cols>
  <sheetData>
    <row x14ac:dyDescent="0.25" r="1" customHeight="1" ht="18.75">
      <c r="A1" s="444"/>
      <c r="B1" s="1"/>
      <c r="C1" s="383" t="s">
        <v>162</v>
      </c>
      <c r="D1" s="384" t="s">
        <v>163</v>
      </c>
      <c r="E1" s="445" t="s">
        <v>164</v>
      </c>
      <c r="F1" s="446" t="s">
        <v>301</v>
      </c>
      <c r="G1" s="447"/>
      <c r="H1" s="9"/>
      <c r="I1" s="9"/>
      <c r="J1" s="448" t="s">
        <v>166</v>
      </c>
      <c r="K1" s="449"/>
      <c r="L1" s="259"/>
      <c r="M1" s="14"/>
      <c r="N1" s="11"/>
      <c r="O1" s="14"/>
      <c r="P1" s="13"/>
      <c r="Q1" s="11"/>
      <c r="R1" s="11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</row>
    <row x14ac:dyDescent="0.25" r="2" customHeight="1" ht="18.75">
      <c r="A2" s="450"/>
      <c r="B2" s="16"/>
      <c r="C2" s="386" t="s">
        <v>167</v>
      </c>
      <c r="D2" s="261"/>
      <c r="E2" s="451" t="s">
        <v>168</v>
      </c>
      <c r="F2" s="387">
        <v>4170</v>
      </c>
      <c r="G2" s="329"/>
      <c r="H2" s="15"/>
      <c r="I2" s="15"/>
      <c r="J2" s="452" t="s">
        <v>169</v>
      </c>
      <c r="K2" s="265">
        <v>0</v>
      </c>
      <c r="L2" s="21"/>
      <c r="M2" s="14"/>
      <c r="N2" s="11"/>
      <c r="O2" s="14"/>
      <c r="P2" s="13"/>
      <c r="Q2" s="11"/>
      <c r="R2" s="11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x14ac:dyDescent="0.25" r="3" customHeight="1" ht="16.5">
      <c r="A3" s="453"/>
      <c r="B3" s="16"/>
      <c r="C3" s="386"/>
      <c r="D3" s="388"/>
      <c r="E3" s="451" t="s">
        <v>170</v>
      </c>
      <c r="F3" s="11" t="s">
        <v>302</v>
      </c>
      <c r="G3" s="454"/>
      <c r="H3" s="455"/>
      <c r="I3" s="455"/>
      <c r="J3" s="456"/>
      <c r="K3" s="456"/>
      <c r="L3" s="269"/>
      <c r="M3" s="267"/>
      <c r="N3" s="11"/>
      <c r="O3" s="14"/>
      <c r="P3" s="13"/>
      <c r="Q3" s="11"/>
      <c r="R3" s="11"/>
      <c r="S3" s="14"/>
      <c r="T3" s="14"/>
      <c r="U3" s="262"/>
      <c r="V3" s="14"/>
      <c r="W3" s="14"/>
      <c r="X3" s="14"/>
      <c r="Y3" s="14"/>
      <c r="Z3" s="14"/>
      <c r="AA3" s="14"/>
      <c r="AB3" s="14"/>
      <c r="AC3" s="14"/>
    </row>
    <row x14ac:dyDescent="0.25" r="4" customHeight="1" ht="30.600000000000005">
      <c r="A4" s="453"/>
      <c r="B4" s="16"/>
      <c r="C4" s="389" t="s">
        <v>172</v>
      </c>
      <c r="D4" s="390" t="s">
        <v>303</v>
      </c>
      <c r="E4" s="390"/>
      <c r="F4" s="392"/>
      <c r="G4" s="457"/>
      <c r="H4" s="390"/>
      <c r="I4" s="390"/>
      <c r="J4" s="458"/>
      <c r="K4" s="458"/>
      <c r="L4" s="393"/>
      <c r="M4" s="267"/>
      <c r="N4" s="11"/>
      <c r="O4" s="14"/>
      <c r="P4" s="13"/>
      <c r="Q4" s="11"/>
      <c r="R4" s="11"/>
      <c r="S4" s="14"/>
      <c r="T4" s="14"/>
      <c r="U4" s="262"/>
      <c r="V4" s="14"/>
      <c r="W4" s="14"/>
      <c r="X4" s="14"/>
      <c r="Y4" s="14"/>
      <c r="Z4" s="14"/>
      <c r="AA4" s="14"/>
      <c r="AB4" s="14"/>
      <c r="AC4" s="14"/>
    </row>
    <row x14ac:dyDescent="0.25" r="5" customHeight="1" ht="16.5">
      <c r="A5" s="453"/>
      <c r="B5" s="16"/>
      <c r="C5" s="16"/>
      <c r="D5" s="231"/>
      <c r="E5" s="231"/>
      <c r="F5" s="11"/>
      <c r="G5" s="329"/>
      <c r="H5" s="15"/>
      <c r="I5" s="15"/>
      <c r="J5" s="459"/>
      <c r="K5" s="459"/>
      <c r="L5" s="21"/>
      <c r="M5" s="267"/>
      <c r="N5" s="11"/>
      <c r="O5" s="14"/>
      <c r="P5" s="13"/>
      <c r="Q5" s="11"/>
      <c r="R5" s="11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x14ac:dyDescent="0.25" r="6" customHeight="1" ht="16.5">
      <c r="A6" s="460"/>
      <c r="B6" s="44"/>
      <c r="C6" s="44"/>
      <c r="D6" s="136"/>
      <c r="E6" s="136"/>
      <c r="F6" s="45"/>
      <c r="G6" s="461"/>
      <c r="H6" s="136"/>
      <c r="I6" s="136"/>
      <c r="J6" s="462"/>
      <c r="K6" s="462"/>
      <c r="L6" s="49"/>
      <c r="M6" s="391"/>
      <c r="N6" s="392"/>
      <c r="O6" s="391"/>
      <c r="P6" s="463"/>
      <c r="Q6" s="392"/>
      <c r="R6" s="392"/>
      <c r="S6" s="391"/>
      <c r="T6" s="14"/>
      <c r="U6" s="14"/>
      <c r="V6" s="14"/>
      <c r="W6" s="14"/>
      <c r="X6" s="14"/>
      <c r="Y6" s="14"/>
      <c r="Z6" s="14"/>
      <c r="AA6" s="14"/>
      <c r="AB6" s="14"/>
      <c r="AC6" s="14"/>
    </row>
    <row x14ac:dyDescent="0.25" r="7" customHeight="1" ht="16.5">
      <c r="A7" s="450"/>
      <c r="B7" s="263"/>
      <c r="C7" s="391"/>
      <c r="D7" s="390"/>
      <c r="E7" s="390"/>
      <c r="F7" s="392"/>
      <c r="G7" s="457"/>
      <c r="H7" s="390"/>
      <c r="I7" s="390"/>
      <c r="J7" s="458"/>
      <c r="K7" s="458"/>
      <c r="L7" s="393"/>
      <c r="M7" s="391"/>
      <c r="N7" s="392"/>
      <c r="O7" s="391"/>
      <c r="P7" s="463"/>
      <c r="Q7" s="392"/>
      <c r="R7" s="392"/>
      <c r="S7" s="391"/>
      <c r="T7" s="14"/>
      <c r="U7" s="14"/>
      <c r="V7" s="14"/>
      <c r="W7" s="14"/>
      <c r="X7" s="14"/>
      <c r="Y7" s="14"/>
      <c r="Z7" s="14"/>
      <c r="AA7" s="14"/>
      <c r="AB7" s="14"/>
      <c r="AC7" s="14"/>
    </row>
    <row x14ac:dyDescent="0.25" r="8" customHeight="1" ht="18.75">
      <c r="A8" s="464" t="s">
        <v>304</v>
      </c>
      <c r="B8" s="465"/>
      <c r="C8" s="465"/>
      <c r="D8" s="466"/>
      <c r="E8" s="466"/>
      <c r="F8" s="467"/>
      <c r="G8" s="468"/>
      <c r="H8" s="466"/>
      <c r="I8" s="466"/>
      <c r="J8" s="469"/>
      <c r="K8" s="469"/>
      <c r="L8" s="21"/>
      <c r="M8" s="14"/>
      <c r="N8" s="11"/>
      <c r="O8" s="14"/>
      <c r="P8" s="13"/>
      <c r="Q8" s="11"/>
      <c r="R8" s="11"/>
      <c r="S8" s="14"/>
      <c r="T8" s="1"/>
      <c r="U8" s="6"/>
      <c r="V8" s="6"/>
      <c r="W8" s="6"/>
      <c r="X8" s="6"/>
      <c r="Y8" s="6"/>
      <c r="Z8" s="6"/>
      <c r="AA8" s="6"/>
      <c r="AB8" s="6"/>
      <c r="AC8" s="10"/>
    </row>
    <row x14ac:dyDescent="0.25" r="9" customHeight="1" ht="30">
      <c r="A9" s="470" t="s">
        <v>305</v>
      </c>
      <c r="B9" s="471" t="s">
        <v>306</v>
      </c>
      <c r="C9" s="472" t="s">
        <v>307</v>
      </c>
      <c r="D9" s="473" t="s">
        <v>308</v>
      </c>
      <c r="E9" s="474"/>
      <c r="F9" s="475" t="s">
        <v>309</v>
      </c>
      <c r="G9" s="476" t="s">
        <v>310</v>
      </c>
      <c r="H9" s="477" t="s">
        <v>311</v>
      </c>
      <c r="I9" s="478" t="s">
        <v>312</v>
      </c>
      <c r="J9" s="479" t="s">
        <v>10</v>
      </c>
      <c r="K9" s="480" t="s">
        <v>313</v>
      </c>
      <c r="L9" s="21"/>
      <c r="M9" s="481" t="s">
        <v>314</v>
      </c>
      <c r="N9" s="482" t="s">
        <v>55</v>
      </c>
      <c r="O9" s="481" t="s">
        <v>315</v>
      </c>
      <c r="P9" s="483" t="s">
        <v>316</v>
      </c>
      <c r="Q9" s="482" t="s">
        <v>317</v>
      </c>
      <c r="R9" s="482" t="s">
        <v>318</v>
      </c>
      <c r="S9" s="14"/>
      <c r="T9" s="16"/>
      <c r="U9" s="14"/>
      <c r="V9" s="14"/>
      <c r="W9" s="14"/>
      <c r="X9" s="14"/>
      <c r="Y9" s="14"/>
      <c r="Z9" s="14"/>
      <c r="AA9" s="14"/>
      <c r="AB9" s="14"/>
      <c r="AC9" s="21"/>
    </row>
    <row x14ac:dyDescent="0.25" r="10" customHeight="1" ht="18.75">
      <c r="A10" s="484"/>
      <c r="B10" s="485"/>
      <c r="C10" s="486"/>
      <c r="D10" s="487" t="s">
        <v>319</v>
      </c>
      <c r="E10" s="487" t="s">
        <v>320</v>
      </c>
      <c r="F10" s="488" t="s">
        <v>321</v>
      </c>
      <c r="G10" s="489" t="s">
        <v>322</v>
      </c>
      <c r="H10" s="490" t="s">
        <v>323</v>
      </c>
      <c r="I10" s="491" t="s">
        <v>324</v>
      </c>
      <c r="J10" s="492" t="s">
        <v>325</v>
      </c>
      <c r="K10" s="493" t="s">
        <v>325</v>
      </c>
      <c r="L10" s="21"/>
      <c r="M10" s="494" t="s">
        <v>326</v>
      </c>
      <c r="N10" s="495" t="s">
        <v>326</v>
      </c>
      <c r="O10" s="494" t="s">
        <v>326</v>
      </c>
      <c r="P10" s="496" t="s">
        <v>327</v>
      </c>
      <c r="Q10" s="495" t="s">
        <v>328</v>
      </c>
      <c r="R10" s="495" t="s">
        <v>328</v>
      </c>
      <c r="S10" s="14"/>
      <c r="T10" s="16"/>
      <c r="U10" s="14"/>
      <c r="V10" s="14"/>
      <c r="W10" s="14"/>
      <c r="X10" s="14"/>
      <c r="Y10" s="14"/>
      <c r="Z10" s="14"/>
      <c r="AA10" s="14"/>
      <c r="AB10" s="14"/>
      <c r="AC10" s="21"/>
    </row>
    <row x14ac:dyDescent="0.25" r="11" customHeight="1" ht="18.75">
      <c r="A11" s="497">
        <v>110</v>
      </c>
      <c r="B11" s="498" t="s">
        <v>329</v>
      </c>
      <c r="C11" s="499"/>
      <c r="D11" s="500"/>
      <c r="E11" s="500"/>
      <c r="F11" s="501"/>
      <c r="G11" s="502"/>
      <c r="H11" s="503"/>
      <c r="I11" s="503"/>
      <c r="J11" s="504"/>
      <c r="K11" s="505"/>
      <c r="L11" s="21"/>
      <c r="M11" s="14"/>
      <c r="N11" s="55"/>
      <c r="O11" s="14"/>
      <c r="P11" s="13"/>
      <c r="Q11" s="11"/>
      <c r="R11" s="11"/>
      <c r="S11" s="14"/>
      <c r="T11" s="16"/>
      <c r="U11" s="14"/>
      <c r="V11" s="14"/>
      <c r="W11" s="14"/>
      <c r="X11" s="14"/>
      <c r="Y11" s="14"/>
      <c r="Z11" s="14"/>
      <c r="AA11" s="14"/>
      <c r="AB11" s="14"/>
      <c r="AC11" s="21"/>
    </row>
    <row x14ac:dyDescent="0.25" r="12" customHeight="1" ht="18.75">
      <c r="A12" s="506">
        <v>111</v>
      </c>
      <c r="B12" s="507" t="s">
        <v>330</v>
      </c>
      <c r="C12" s="508"/>
      <c r="D12" s="509"/>
      <c r="E12" s="509"/>
      <c r="F12" s="510"/>
      <c r="G12" s="511"/>
      <c r="H12" s="512"/>
      <c r="I12" s="512"/>
      <c r="J12" s="513"/>
      <c r="K12" s="514"/>
      <c r="L12" s="21"/>
      <c r="M12" s="14"/>
      <c r="N12" s="11"/>
      <c r="O12" s="14"/>
      <c r="P12" s="13"/>
      <c r="Q12" s="11"/>
      <c r="R12" s="11"/>
      <c r="S12" s="14"/>
      <c r="T12" s="16"/>
      <c r="U12" s="14"/>
      <c r="V12" s="14"/>
      <c r="W12" s="14"/>
      <c r="X12" s="14"/>
      <c r="Y12" s="14"/>
      <c r="Z12" s="14"/>
      <c r="AA12" s="14"/>
      <c r="AB12" s="14"/>
      <c r="AC12" s="21"/>
    </row>
    <row x14ac:dyDescent="0.25" r="13" customHeight="1" ht="18.75">
      <c r="A13" s="515"/>
      <c r="B13" s="516" t="s">
        <v>331</v>
      </c>
      <c r="C13" s="517" t="s">
        <v>332</v>
      </c>
      <c r="D13" s="518">
        <v>900</v>
      </c>
      <c r="E13" s="518">
        <v>6</v>
      </c>
      <c r="F13" s="519">
        <v>2</v>
      </c>
      <c r="G13" s="520">
        <f>+D13*E13*F13</f>
      </c>
      <c r="H13" s="521">
        <v>39</v>
      </c>
      <c r="I13" s="521">
        <f>+H13*G13</f>
      </c>
      <c r="J13" s="522">
        <f>17300000*F13</f>
      </c>
      <c r="K13" s="523">
        <f>+J13+(G13*(H13-$E$75)^2)</f>
      </c>
      <c r="L13" s="524"/>
      <c r="M13" s="14"/>
      <c r="N13" s="37">
        <v>0</v>
      </c>
      <c r="O13" s="525"/>
      <c r="P13" s="55">
        <f>+M13*G13</f>
      </c>
      <c r="Q13" s="37">
        <f>+N13*G13</f>
      </c>
      <c r="R13" s="526">
        <f>+G13*O13</f>
      </c>
      <c r="S13" s="14"/>
      <c r="T13" s="16"/>
      <c r="U13" s="14"/>
      <c r="V13" s="14"/>
      <c r="W13" s="14"/>
      <c r="X13" s="14"/>
      <c r="Y13" s="14"/>
      <c r="Z13" s="14"/>
      <c r="AA13" s="14"/>
      <c r="AB13" s="14"/>
      <c r="AC13" s="21"/>
    </row>
    <row x14ac:dyDescent="0.25" r="14" customHeight="1" ht="18.75">
      <c r="A14" s="515"/>
      <c r="B14" s="516" t="s">
        <v>333</v>
      </c>
      <c r="C14" s="517" t="s">
        <v>332</v>
      </c>
      <c r="D14" s="518">
        <v>975</v>
      </c>
      <c r="E14" s="518">
        <v>4</v>
      </c>
      <c r="F14" s="519">
        <v>2</v>
      </c>
      <c r="G14" s="520">
        <f>+D14*E14*F14</f>
      </c>
      <c r="H14" s="521">
        <v>647.7</v>
      </c>
      <c r="I14" s="521">
        <f>+G14*H14</f>
      </c>
      <c r="J14" s="522">
        <f>+((1/12)*(E14*(D14^3)))*F14</f>
      </c>
      <c r="K14" s="523">
        <f>+J14+(G14*(H14-$E$75)^2)</f>
      </c>
      <c r="L14" s="524"/>
      <c r="M14" s="14"/>
      <c r="N14" s="11"/>
      <c r="O14" s="525"/>
      <c r="P14" s="55"/>
      <c r="Q14" s="11"/>
      <c r="R14" s="526"/>
      <c r="S14" s="14"/>
      <c r="T14" s="16"/>
      <c r="U14" s="14"/>
      <c r="V14" s="14"/>
      <c r="W14" s="14"/>
      <c r="X14" s="14"/>
      <c r="Y14" s="14"/>
      <c r="Z14" s="14"/>
      <c r="AA14" s="14"/>
      <c r="AB14" s="14"/>
      <c r="AC14" s="21"/>
    </row>
    <row x14ac:dyDescent="0.25" r="15" customHeight="1" ht="18.75">
      <c r="A15" s="515"/>
      <c r="B15" s="516" t="s">
        <v>334</v>
      </c>
      <c r="C15" s="517" t="s">
        <v>332</v>
      </c>
      <c r="D15" s="518">
        <v>250</v>
      </c>
      <c r="E15" s="518">
        <v>4</v>
      </c>
      <c r="F15" s="519">
        <v>2</v>
      </c>
      <c r="G15" s="520">
        <f>+D15*E15*F15</f>
      </c>
      <c r="H15" s="521">
        <v>78</v>
      </c>
      <c r="I15" s="521">
        <f>+G15*H15</f>
      </c>
      <c r="J15" s="522">
        <f>+((1/12)*(E15*(D15^3)))*F15</f>
      </c>
      <c r="K15" s="523">
        <f>+J15+(G15*(H15-$E$75)^2)</f>
      </c>
      <c r="L15" s="524"/>
      <c r="M15" s="14"/>
      <c r="N15" s="11"/>
      <c r="O15" s="525"/>
      <c r="P15" s="55"/>
      <c r="Q15" s="11"/>
      <c r="R15" s="526"/>
      <c r="S15" s="14"/>
      <c r="T15" s="16"/>
      <c r="U15" s="14"/>
      <c r="V15" s="14"/>
      <c r="W15" s="14"/>
      <c r="X15" s="14"/>
      <c r="Y15" s="14"/>
      <c r="Z15" s="14"/>
      <c r="AA15" s="14"/>
      <c r="AB15" s="14"/>
      <c r="AC15" s="21"/>
    </row>
    <row x14ac:dyDescent="0.25" r="16" customHeight="1" ht="18.75">
      <c r="A16" s="515"/>
      <c r="B16" s="516" t="s">
        <v>335</v>
      </c>
      <c r="C16" s="517" t="s">
        <v>332</v>
      </c>
      <c r="D16" s="518">
        <v>350</v>
      </c>
      <c r="E16" s="518">
        <v>4</v>
      </c>
      <c r="F16" s="519">
        <v>2</v>
      </c>
      <c r="G16" s="520">
        <f>+D16*E16*F16</f>
      </c>
      <c r="H16" s="521">
        <v>1215</v>
      </c>
      <c r="I16" s="521">
        <f>+G16*H16</f>
      </c>
      <c r="J16" s="522">
        <f>+((1/12)*(E16*(D16^3)))*F16</f>
      </c>
      <c r="K16" s="523">
        <f>+J16+(G16*(H16-$E$75)^2)</f>
      </c>
      <c r="L16" s="524"/>
      <c r="M16" s="14"/>
      <c r="N16" s="11"/>
      <c r="O16" s="525"/>
      <c r="P16" s="55"/>
      <c r="Q16" s="11"/>
      <c r="R16" s="526"/>
      <c r="S16" s="14"/>
      <c r="T16" s="16"/>
      <c r="U16" s="14"/>
      <c r="V16" s="14"/>
      <c r="W16" s="14"/>
      <c r="X16" s="14"/>
      <c r="Y16" s="14"/>
      <c r="Z16" s="14"/>
      <c r="AA16" s="14"/>
      <c r="AB16" s="14"/>
      <c r="AC16" s="21"/>
    </row>
    <row x14ac:dyDescent="0.25" r="17" customHeight="1" ht="18.75">
      <c r="A17" s="515"/>
      <c r="B17" s="516" t="s">
        <v>336</v>
      </c>
      <c r="C17" s="517" t="s">
        <v>332</v>
      </c>
      <c r="D17" s="518">
        <v>2080</v>
      </c>
      <c r="E17" s="518">
        <v>4</v>
      </c>
      <c r="F17" s="519">
        <v>1</v>
      </c>
      <c r="G17" s="520">
        <f>+D17*E17*F17</f>
      </c>
      <c r="H17" s="521">
        <v>350</v>
      </c>
      <c r="I17" s="521">
        <f>+G17*H17</f>
      </c>
      <c r="J17" s="522">
        <f>+((1/12)*(D17*(E17^3)))*F17</f>
      </c>
      <c r="K17" s="523">
        <f>+J17+(G17*(H17-$E$75)^2)</f>
      </c>
      <c r="L17" s="524"/>
      <c r="M17" s="14"/>
      <c r="N17" s="11"/>
      <c r="O17" s="525"/>
      <c r="P17" s="55"/>
      <c r="Q17" s="11"/>
      <c r="R17" s="526"/>
      <c r="S17" s="14"/>
      <c r="T17" s="16"/>
      <c r="U17" s="14"/>
      <c r="V17" s="14"/>
      <c r="W17" s="14"/>
      <c r="X17" s="14"/>
      <c r="Y17" s="14"/>
      <c r="Z17" s="14"/>
      <c r="AA17" s="14"/>
      <c r="AB17" s="14"/>
      <c r="AC17" s="21"/>
    </row>
    <row x14ac:dyDescent="0.25" r="18" customHeight="1" ht="18.75">
      <c r="A18" s="515"/>
      <c r="B18" s="516" t="s">
        <v>337</v>
      </c>
      <c r="C18" s="517" t="s">
        <v>338</v>
      </c>
      <c r="D18" s="518">
        <v>65</v>
      </c>
      <c r="E18" s="518">
        <v>6</v>
      </c>
      <c r="F18" s="519">
        <v>2</v>
      </c>
      <c r="G18" s="520">
        <f>(internos!S34+internos!S35)*F18</f>
      </c>
      <c r="H18" s="521">
        <v>54</v>
      </c>
      <c r="I18" s="521">
        <f>+G18*H18</f>
      </c>
      <c r="J18" s="522">
        <f>(internos!V34+internos!V35)*10000</f>
      </c>
      <c r="K18" s="523">
        <f>+J18+(G18*(H18-$E$75)^2)</f>
      </c>
      <c r="L18" s="524"/>
      <c r="M18" s="14"/>
      <c r="N18" s="11"/>
      <c r="O18" s="525"/>
      <c r="P18" s="55"/>
      <c r="Q18" s="11"/>
      <c r="R18" s="526"/>
      <c r="S18" s="14"/>
      <c r="T18" s="16"/>
      <c r="U18" s="14"/>
      <c r="V18" s="14"/>
      <c r="W18" s="14"/>
      <c r="X18" s="14"/>
      <c r="Y18" s="14"/>
      <c r="Z18" s="14"/>
      <c r="AA18" s="14"/>
      <c r="AB18" s="14"/>
      <c r="AC18" s="21"/>
    </row>
    <row x14ac:dyDescent="0.25" r="19" customHeight="1" ht="18.75">
      <c r="A19" s="515"/>
      <c r="B19" s="516" t="s">
        <v>339</v>
      </c>
      <c r="C19" s="517" t="s">
        <v>338</v>
      </c>
      <c r="D19" s="518">
        <v>65</v>
      </c>
      <c r="E19" s="518">
        <v>6</v>
      </c>
      <c r="F19" s="519">
        <v>2</v>
      </c>
      <c r="G19" s="520">
        <f>(internos!S34+internos!S35)*F19</f>
      </c>
      <c r="H19" s="521">
        <v>73</v>
      </c>
      <c r="I19" s="521">
        <f>+G19*H19</f>
      </c>
      <c r="J19" s="522">
        <f>(internos!V34+internos!V35)*10000</f>
      </c>
      <c r="K19" s="523">
        <f>+J19+(G19*(H19-$E$75)^2)</f>
      </c>
      <c r="L19" s="524"/>
      <c r="M19" s="14"/>
      <c r="N19" s="11"/>
      <c r="O19" s="525"/>
      <c r="P19" s="55"/>
      <c r="Q19" s="11"/>
      <c r="R19" s="526"/>
      <c r="S19" s="14"/>
      <c r="T19" s="16"/>
      <c r="U19" s="14"/>
      <c r="V19" s="14"/>
      <c r="W19" s="14"/>
      <c r="X19" s="14"/>
      <c r="Y19" s="14"/>
      <c r="Z19" s="14"/>
      <c r="AA19" s="14"/>
      <c r="AB19" s="14"/>
      <c r="AC19" s="21"/>
    </row>
    <row x14ac:dyDescent="0.25" r="20" customHeight="1" ht="18.75">
      <c r="A20" s="515"/>
      <c r="B20" s="516" t="s">
        <v>340</v>
      </c>
      <c r="C20" s="517" t="s">
        <v>341</v>
      </c>
      <c r="D20" s="518">
        <v>65</v>
      </c>
      <c r="E20" s="518">
        <v>6</v>
      </c>
      <c r="F20" s="519">
        <v>2</v>
      </c>
      <c r="G20" s="520">
        <f>(internos!S34+internos!S35)*F20</f>
      </c>
      <c r="H20" s="521">
        <v>110</v>
      </c>
      <c r="I20" s="521">
        <f>+G20*H20</f>
      </c>
      <c r="J20" s="522">
        <f>(internos!V34+internos!V35)*10000</f>
      </c>
      <c r="K20" s="523">
        <f>+J20+(G20*(H20-$E$75)^2)</f>
      </c>
      <c r="L20" s="524"/>
      <c r="M20" s="14"/>
      <c r="N20" s="11"/>
      <c r="O20" s="525"/>
      <c r="P20" s="55"/>
      <c r="Q20" s="11"/>
      <c r="R20" s="526"/>
      <c r="S20" s="14"/>
      <c r="T20" s="16"/>
      <c r="U20" s="14"/>
      <c r="V20" s="14"/>
      <c r="W20" s="14"/>
      <c r="X20" s="14"/>
      <c r="Y20" s="14"/>
      <c r="Z20" s="14"/>
      <c r="AA20" s="14"/>
      <c r="AB20" s="14"/>
      <c r="AC20" s="21"/>
    </row>
    <row x14ac:dyDescent="0.25" r="21" customHeight="1" ht="18.75">
      <c r="A21" s="527">
        <v>116</v>
      </c>
      <c r="B21" s="528" t="s">
        <v>342</v>
      </c>
      <c r="C21" s="529"/>
      <c r="D21" s="530"/>
      <c r="E21" s="531"/>
      <c r="F21" s="532"/>
      <c r="G21" s="533"/>
      <c r="H21" s="534"/>
      <c r="I21" s="535"/>
      <c r="J21" s="536"/>
      <c r="K21" s="537"/>
      <c r="L21" s="524"/>
      <c r="M21" s="14"/>
      <c r="N21" s="11"/>
      <c r="O21" s="14"/>
      <c r="P21" s="13"/>
      <c r="Q21" s="11"/>
      <c r="R21" s="11"/>
      <c r="S21" s="14"/>
      <c r="T21" s="16"/>
      <c r="U21" s="14"/>
      <c r="V21" s="14"/>
      <c r="W21" s="14"/>
      <c r="X21" s="14"/>
      <c r="Y21" s="14"/>
      <c r="Z21" s="14"/>
      <c r="AA21" s="14"/>
      <c r="AB21" s="14"/>
      <c r="AC21" s="21"/>
    </row>
    <row x14ac:dyDescent="0.25" r="22" customHeight="1" ht="18.75">
      <c r="A22" s="538"/>
      <c r="B22" s="516" t="s">
        <v>343</v>
      </c>
      <c r="C22" s="517" t="s">
        <v>341</v>
      </c>
      <c r="D22" s="518">
        <v>100</v>
      </c>
      <c r="E22" s="519">
        <v>4</v>
      </c>
      <c r="F22" s="519">
        <v>2</v>
      </c>
      <c r="G22" s="539">
        <f>+D22*E22*F22</f>
      </c>
      <c r="H22" s="521">
        <v>1400</v>
      </c>
      <c r="I22" s="521">
        <f>+G22*H22</f>
      </c>
      <c r="J22" s="522">
        <f>+((1/12)*(D22*(E22^3)))*F22</f>
      </c>
      <c r="K22" s="523">
        <f>+J22+(G22*(H22-$E$75)^2)</f>
      </c>
      <c r="L22" s="524"/>
      <c r="M22" s="14"/>
      <c r="N22" s="11"/>
      <c r="O22" s="14"/>
      <c r="P22" s="13"/>
      <c r="Q22" s="11"/>
      <c r="R22" s="11"/>
      <c r="S22" s="14"/>
      <c r="T22" s="16"/>
      <c r="U22" s="14"/>
      <c r="V22" s="14"/>
      <c r="W22" s="14"/>
      <c r="X22" s="14"/>
      <c r="Y22" s="14"/>
      <c r="Z22" s="14"/>
      <c r="AA22" s="14"/>
      <c r="AB22" s="14"/>
      <c r="AC22" s="21"/>
    </row>
    <row x14ac:dyDescent="0.25" r="23" customHeight="1" ht="18.75">
      <c r="A23" s="538"/>
      <c r="B23" s="516" t="s">
        <v>344</v>
      </c>
      <c r="C23" s="517" t="s">
        <v>341</v>
      </c>
      <c r="D23" s="518">
        <v>40</v>
      </c>
      <c r="E23" s="519">
        <v>5</v>
      </c>
      <c r="F23" s="519">
        <v>2</v>
      </c>
      <c r="G23" s="539">
        <f>+D23*E23*F23</f>
      </c>
      <c r="H23" s="521">
        <v>600</v>
      </c>
      <c r="I23" s="521">
        <f>+G23*H23</f>
      </c>
      <c r="J23" s="522">
        <f>+((1/12)*(D23*(E23^3)))*F23</f>
      </c>
      <c r="K23" s="523">
        <f>+J23+(G23*(H23-$E$75)^2)</f>
      </c>
      <c r="L23" s="524"/>
      <c r="M23" s="14"/>
      <c r="N23" s="11"/>
      <c r="O23" s="14"/>
      <c r="P23" s="13"/>
      <c r="Q23" s="11"/>
      <c r="R23" s="11"/>
      <c r="S23" s="14"/>
      <c r="T23" s="16"/>
      <c r="U23" s="14"/>
      <c r="V23" s="14"/>
      <c r="W23" s="14"/>
      <c r="X23" s="14"/>
      <c r="Y23" s="14"/>
      <c r="Z23" s="14"/>
      <c r="AA23" s="14"/>
      <c r="AB23" s="14"/>
      <c r="AC23" s="21"/>
    </row>
    <row x14ac:dyDescent="0.25" r="24" customHeight="1" ht="18.75">
      <c r="A24" s="538"/>
      <c r="B24" s="516" t="s">
        <v>345</v>
      </c>
      <c r="C24" s="517" t="s">
        <v>341</v>
      </c>
      <c r="D24" s="518">
        <v>40</v>
      </c>
      <c r="E24" s="519">
        <v>5</v>
      </c>
      <c r="F24" s="519">
        <v>2</v>
      </c>
      <c r="G24" s="539">
        <f>+D24*E24*F24</f>
      </c>
      <c r="H24" s="521">
        <v>850</v>
      </c>
      <c r="I24" s="521">
        <f>+G24*H24</f>
      </c>
      <c r="J24" s="522">
        <f>+((1/12)*(D24*(E24^3)))*F24</f>
      </c>
      <c r="K24" s="523">
        <f>+J24+(G24*(H24-$E$75)^2)</f>
      </c>
      <c r="L24" s="524"/>
      <c r="M24" s="14"/>
      <c r="N24" s="11"/>
      <c r="O24" s="14"/>
      <c r="P24" s="13"/>
      <c r="Q24" s="11"/>
      <c r="R24" s="11"/>
      <c r="S24" s="14"/>
      <c r="T24" s="16"/>
      <c r="U24" s="14"/>
      <c r="V24" s="14"/>
      <c r="W24" s="14"/>
      <c r="X24" s="14"/>
      <c r="Y24" s="14"/>
      <c r="Z24" s="14"/>
      <c r="AA24" s="14"/>
      <c r="AB24" s="14"/>
      <c r="AC24" s="21"/>
    </row>
    <row x14ac:dyDescent="0.25" r="25" customHeight="1" ht="18.75">
      <c r="A25" s="538"/>
      <c r="B25" s="516" t="s">
        <v>346</v>
      </c>
      <c r="C25" s="517" t="s">
        <v>332</v>
      </c>
      <c r="D25" s="518">
        <v>100</v>
      </c>
      <c r="E25" s="519">
        <v>4</v>
      </c>
      <c r="F25" s="519">
        <v>2</v>
      </c>
      <c r="G25" s="539">
        <f>+D25*E25*F25</f>
      </c>
      <c r="H25" s="521">
        <v>200</v>
      </c>
      <c r="I25" s="521">
        <f>+G25*H25</f>
      </c>
      <c r="J25" s="522">
        <f>+((1/12)*(E25*(D25^3)))*F25</f>
      </c>
      <c r="K25" s="523">
        <f>+J25+(G25*(H25-$E$75)^2)</f>
      </c>
      <c r="L25" s="524"/>
      <c r="M25" s="14"/>
      <c r="N25" s="11"/>
      <c r="O25" s="14"/>
      <c r="P25" s="13"/>
      <c r="Q25" s="11"/>
      <c r="R25" s="11"/>
      <c r="S25" s="14"/>
      <c r="T25" s="16"/>
      <c r="U25" s="14"/>
      <c r="V25" s="14"/>
      <c r="W25" s="14"/>
      <c r="X25" s="14"/>
      <c r="Y25" s="14"/>
      <c r="Z25" s="14"/>
      <c r="AA25" s="14"/>
      <c r="AB25" s="14"/>
      <c r="AC25" s="21"/>
    </row>
    <row x14ac:dyDescent="0.25" r="26" customHeight="1" ht="18.75">
      <c r="A26" s="538"/>
      <c r="B26" s="516" t="s">
        <v>347</v>
      </c>
      <c r="C26" s="517" t="s">
        <v>341</v>
      </c>
      <c r="D26" s="518">
        <v>40</v>
      </c>
      <c r="E26" s="519">
        <v>4</v>
      </c>
      <c r="F26" s="519">
        <v>5</v>
      </c>
      <c r="G26" s="539">
        <f>+D26*E26*F26</f>
      </c>
      <c r="H26" s="521">
        <v>330</v>
      </c>
      <c r="I26" s="521">
        <f>+G26*H26</f>
      </c>
      <c r="J26" s="522">
        <f>+((1/12)*(E26*(D26^3)))*F26</f>
      </c>
      <c r="K26" s="523">
        <f>+J26+(G26*(H26-$E$75)^2)</f>
      </c>
      <c r="L26" s="524"/>
      <c r="M26" s="14"/>
      <c r="N26" s="11"/>
      <c r="O26" s="14"/>
      <c r="P26" s="13"/>
      <c r="Q26" s="11"/>
      <c r="R26" s="11"/>
      <c r="S26" s="14"/>
      <c r="T26" s="16"/>
      <c r="U26" s="14"/>
      <c r="V26" s="14"/>
      <c r="W26" s="14"/>
      <c r="X26" s="14"/>
      <c r="Y26" s="14"/>
      <c r="Z26" s="14"/>
      <c r="AA26" s="14"/>
      <c r="AB26" s="14"/>
      <c r="AC26" s="21"/>
    </row>
    <row x14ac:dyDescent="0.25" r="27" customHeight="1" ht="18.75">
      <c r="A27" s="538"/>
      <c r="B27" s="516" t="s">
        <v>348</v>
      </c>
      <c r="C27" s="517" t="s">
        <v>341</v>
      </c>
      <c r="D27" s="518">
        <v>80</v>
      </c>
      <c r="E27" s="519">
        <v>12</v>
      </c>
      <c r="F27" s="519">
        <v>1</v>
      </c>
      <c r="G27" s="539">
        <f>+D27*E27*F27</f>
      </c>
      <c r="H27" s="521">
        <v>34.57</v>
      </c>
      <c r="I27" s="521">
        <f>+G27*H27</f>
      </c>
      <c r="J27" s="522">
        <f>+((1/12)*(E27*(D27^3)))*F27</f>
      </c>
      <c r="K27" s="523">
        <f>+J27+(G27*(H27-$E$75)^2)</f>
      </c>
      <c r="L27" s="524"/>
      <c r="M27" s="14"/>
      <c r="N27" s="11"/>
      <c r="O27" s="14"/>
      <c r="P27" s="13"/>
      <c r="Q27" s="11"/>
      <c r="R27" s="11"/>
      <c r="S27" s="14"/>
      <c r="T27" s="16"/>
      <c r="U27" s="14"/>
      <c r="V27" s="14"/>
      <c r="W27" s="14"/>
      <c r="X27" s="14"/>
      <c r="Y27" s="14"/>
      <c r="Z27" s="14"/>
      <c r="AA27" s="14"/>
      <c r="AB27" s="14"/>
      <c r="AC27" s="21"/>
    </row>
    <row x14ac:dyDescent="0.25" r="28" customHeight="1" ht="18.75">
      <c r="A28" s="538"/>
      <c r="B28" s="516" t="s">
        <v>349</v>
      </c>
      <c r="C28" s="517" t="s">
        <v>341</v>
      </c>
      <c r="D28" s="518">
        <v>19</v>
      </c>
      <c r="E28" s="519">
        <v>19</v>
      </c>
      <c r="F28" s="519">
        <v>2</v>
      </c>
      <c r="G28" s="539">
        <f>F28*(PI()*((E28/2))^2)</f>
      </c>
      <c r="H28" s="521">
        <v>97</v>
      </c>
      <c r="I28" s="521">
        <f>+G28*H28</f>
      </c>
      <c r="J28" s="522">
        <f>(PI()/64)*(E28^4)</f>
      </c>
      <c r="K28" s="523">
        <f>+J28+(G28*(H28-$E$75)^2)</f>
      </c>
      <c r="L28" s="524"/>
      <c r="M28" s="14"/>
      <c r="N28" s="11"/>
      <c r="O28" s="14"/>
      <c r="P28" s="13"/>
      <c r="Q28" s="11"/>
      <c r="R28" s="11"/>
      <c r="S28" s="14"/>
      <c r="T28" s="16"/>
      <c r="U28" s="14"/>
      <c r="V28" s="14"/>
      <c r="W28" s="14"/>
      <c r="X28" s="14"/>
      <c r="Y28" s="14"/>
      <c r="Z28" s="14"/>
      <c r="AA28" s="14"/>
      <c r="AB28" s="14"/>
      <c r="AC28" s="21"/>
    </row>
    <row x14ac:dyDescent="0.25" r="29" customHeight="1" ht="18.75">
      <c r="A29" s="538"/>
      <c r="B29" s="516" t="s">
        <v>350</v>
      </c>
      <c r="C29" s="517" t="s">
        <v>341</v>
      </c>
      <c r="D29" s="518">
        <v>19</v>
      </c>
      <c r="E29" s="519">
        <v>19</v>
      </c>
      <c r="F29" s="519">
        <v>2</v>
      </c>
      <c r="G29" s="539">
        <f>F29*(PI()*((E29/2))^2)</f>
      </c>
      <c r="H29" s="521">
        <v>140</v>
      </c>
      <c r="I29" s="521">
        <f>+G29*H29</f>
      </c>
      <c r="J29" s="522">
        <f>(PI()/64)*(E29^4)</f>
      </c>
      <c r="K29" s="523">
        <f>+J29+(G29*(H29-$E$75)^2)</f>
      </c>
      <c r="L29" s="524"/>
      <c r="M29" s="14"/>
      <c r="N29" s="11"/>
      <c r="O29" s="14"/>
      <c r="P29" s="13"/>
      <c r="Q29" s="11"/>
      <c r="R29" s="11"/>
      <c r="S29" s="14"/>
      <c r="T29" s="16"/>
      <c r="U29" s="14"/>
      <c r="V29" s="14"/>
      <c r="W29" s="14"/>
      <c r="X29" s="14"/>
      <c r="Y29" s="14"/>
      <c r="Z29" s="14"/>
      <c r="AA29" s="14"/>
      <c r="AB29" s="14"/>
      <c r="AC29" s="21"/>
    </row>
    <row x14ac:dyDescent="0.25" r="30" customHeight="1" ht="18.75">
      <c r="A30" s="540"/>
      <c r="B30" s="541" t="s">
        <v>351</v>
      </c>
      <c r="C30" s="542"/>
      <c r="D30" s="543"/>
      <c r="E30" s="544" t="s">
        <v>352</v>
      </c>
      <c r="F30" s="545"/>
      <c r="G30" s="546" t="s">
        <v>353</v>
      </c>
      <c r="H30" s="547"/>
      <c r="I30" s="548" t="s">
        <v>354</v>
      </c>
      <c r="J30" s="549"/>
      <c r="K30" s="550" t="s">
        <v>355</v>
      </c>
      <c r="L30" s="524"/>
      <c r="M30" s="551" t="s">
        <v>356</v>
      </c>
      <c r="N30" s="552" t="s">
        <v>24</v>
      </c>
      <c r="O30" s="551" t="s">
        <v>357</v>
      </c>
      <c r="P30" s="553" t="s">
        <v>358</v>
      </c>
      <c r="Q30" s="552" t="s">
        <v>359</v>
      </c>
      <c r="R30" s="554" t="s">
        <v>360</v>
      </c>
      <c r="S30" s="14"/>
      <c r="T30" s="44"/>
      <c r="U30" s="555"/>
      <c r="V30" s="48"/>
      <c r="W30" s="48"/>
      <c r="X30" s="48"/>
      <c r="Y30" s="48"/>
      <c r="Z30" s="48"/>
      <c r="AA30" s="48"/>
      <c r="AB30" s="48"/>
      <c r="AC30" s="49"/>
    </row>
    <row x14ac:dyDescent="0.25" r="31" customHeight="1" ht="18.75">
      <c r="A31" s="556"/>
      <c r="B31" s="557"/>
      <c r="C31" s="558"/>
      <c r="D31" s="559"/>
      <c r="E31" s="560"/>
      <c r="F31" s="561"/>
      <c r="G31" s="562">
        <f>SUM(G13:G29)</f>
      </c>
      <c r="H31" s="563"/>
      <c r="I31" s="562">
        <f>SUM(I13:I29)</f>
      </c>
      <c r="J31" s="564"/>
      <c r="K31" s="565">
        <f>SUM(K13:R29)</f>
      </c>
      <c r="L31" s="524"/>
      <c r="M31" s="566" t="s">
        <v>326</v>
      </c>
      <c r="N31" s="567" t="s">
        <v>326</v>
      </c>
      <c r="O31" s="566" t="s">
        <v>326</v>
      </c>
      <c r="P31" s="568" t="s">
        <v>327</v>
      </c>
      <c r="Q31" s="567" t="s">
        <v>327</v>
      </c>
      <c r="R31" s="569" t="s">
        <v>327</v>
      </c>
      <c r="S31" s="14"/>
      <c r="T31" s="570" t="s">
        <v>361</v>
      </c>
      <c r="U31" s="571"/>
      <c r="V31" s="571"/>
      <c r="W31" s="571"/>
      <c r="X31" s="571"/>
      <c r="Y31" s="571"/>
      <c r="Z31" s="571"/>
      <c r="AA31" s="571"/>
      <c r="AB31" s="571"/>
      <c r="AC31" s="572"/>
    </row>
    <row x14ac:dyDescent="0.25" r="32" customHeight="1" ht="18.75" hidden="1">
      <c r="A32" s="573">
        <v>5</v>
      </c>
      <c r="B32" s="574" t="s">
        <v>362</v>
      </c>
      <c r="C32" s="575">
        <f>#REF!</f>
      </c>
      <c r="D32" s="576">
        <v>6.35</v>
      </c>
      <c r="E32" s="577">
        <f>#REF!+#REF!</f>
      </c>
      <c r="F32" s="578">
        <v>0</v>
      </c>
      <c r="G32" s="520"/>
      <c r="H32" s="15"/>
      <c r="I32" s="520">
        <f>J32*1.83*6.1*50.2</f>
      </c>
      <c r="J32" s="579">
        <f>F32-#REF!</f>
      </c>
      <c r="K32" s="459"/>
      <c r="L32" s="580"/>
      <c r="M32" s="14"/>
      <c r="N32" s="11"/>
      <c r="O32" s="38"/>
      <c r="P32" s="13"/>
      <c r="Q32" s="11"/>
      <c r="R32" s="11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x14ac:dyDescent="0.25" r="33" customHeight="1" ht="18.75" hidden="1">
      <c r="A33" s="581" t="s">
        <v>363</v>
      </c>
      <c r="B33" s="582"/>
      <c r="C33" s="582"/>
      <c r="D33" s="521"/>
      <c r="E33" s="583">
        <f>SUM(E32:E32)</f>
      </c>
      <c r="F33" s="584"/>
      <c r="G33" s="539">
        <f>SUM(G32:G32)</f>
      </c>
      <c r="H33" s="15"/>
      <c r="I33" s="585">
        <f>SUM(I32:I32)</f>
      </c>
      <c r="J33" s="459"/>
      <c r="K33" s="459"/>
      <c r="L33" s="580"/>
      <c r="M33" s="14"/>
      <c r="N33" s="11"/>
      <c r="O33" s="14"/>
      <c r="P33" s="13"/>
      <c r="Q33" s="11"/>
      <c r="R33" s="11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x14ac:dyDescent="0.25" r="34" customHeight="1" ht="18.75" hidden="1">
      <c r="A34" s="586"/>
      <c r="B34" s="587"/>
      <c r="C34" s="587"/>
      <c r="D34" s="588"/>
      <c r="E34" s="589"/>
      <c r="F34" s="584"/>
      <c r="G34" s="589"/>
      <c r="H34" s="15"/>
      <c r="I34" s="589"/>
      <c r="J34" s="459"/>
      <c r="K34" s="459"/>
      <c r="L34" s="580"/>
      <c r="M34" s="14"/>
      <c r="N34" s="11"/>
      <c r="O34" s="14"/>
      <c r="P34" s="13"/>
      <c r="Q34" s="11"/>
      <c r="R34" s="11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x14ac:dyDescent="0.25" r="35" customHeight="1" ht="18.75" hidden="1">
      <c r="A35" s="450"/>
      <c r="B35" s="14"/>
      <c r="C35" s="263"/>
      <c r="D35" s="388"/>
      <c r="E35" s="590" t="s">
        <v>364</v>
      </c>
      <c r="F35" s="591" t="s">
        <v>365</v>
      </c>
      <c r="G35" s="592" t="s">
        <v>364</v>
      </c>
      <c r="H35" s="593"/>
      <c r="I35" s="588" t="s">
        <v>364</v>
      </c>
      <c r="J35" s="594" t="s">
        <v>365</v>
      </c>
      <c r="K35" s="459"/>
      <c r="L35" s="580"/>
      <c r="M35" s="595"/>
      <c r="N35" s="11"/>
      <c r="O35" s="14"/>
      <c r="P35" s="13"/>
      <c r="Q35" s="11"/>
      <c r="R35" s="11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x14ac:dyDescent="0.25" r="36" customHeight="1" ht="18.75" hidden="1">
      <c r="A36" s="573">
        <v>1</v>
      </c>
      <c r="B36" s="574" t="s">
        <v>366</v>
      </c>
      <c r="C36" s="596" t="s">
        <v>367</v>
      </c>
      <c r="D36" s="576">
        <v>9.53</v>
      </c>
      <c r="E36" s="597">
        <f>#REF!+#REF!</f>
      </c>
      <c r="F36" s="578"/>
      <c r="G36" s="520">
        <v>5267.21</v>
      </c>
      <c r="H36" s="15"/>
      <c r="I36" s="15"/>
      <c r="J36" s="459"/>
      <c r="K36" s="459"/>
      <c r="L36" s="80">
        <f>IF(M36&gt;=0,#REF!,IF(M36&lt;0,#REF!,0))</f>
      </c>
      <c r="M36" s="598">
        <f>+G36-E36*(1+0.08)</f>
      </c>
      <c r="N36" s="11"/>
      <c r="O36" s="14"/>
      <c r="P36" s="13"/>
      <c r="Q36" s="11"/>
      <c r="R36" s="11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x14ac:dyDescent="0.25" r="37" customHeight="1" ht="18.75" hidden="1">
      <c r="A37" s="573">
        <v>2</v>
      </c>
      <c r="B37" s="574" t="s">
        <v>368</v>
      </c>
      <c r="C37" s="596" t="s">
        <v>367</v>
      </c>
      <c r="D37" s="576">
        <v>7.94</v>
      </c>
      <c r="E37" s="597">
        <f>#REF!+#REF!</f>
      </c>
      <c r="F37" s="578"/>
      <c r="G37" s="520">
        <f>8616.62+26580.068</f>
      </c>
      <c r="H37" s="15"/>
      <c r="I37" s="15"/>
      <c r="J37" s="459"/>
      <c r="K37" s="459"/>
      <c r="L37" s="80">
        <f>IF(M37&gt;=0,#REF!,IF(M37&lt;0,#REF!,0))</f>
      </c>
      <c r="M37" s="598">
        <f>+G37-E37*(1+0.08)</f>
      </c>
      <c r="N37" s="11"/>
      <c r="O37" s="14"/>
      <c r="P37" s="13"/>
      <c r="Q37" s="11"/>
      <c r="R37" s="11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x14ac:dyDescent="0.25" r="38" customHeight="1" ht="18.75" hidden="1">
      <c r="A38" s="573">
        <v>3</v>
      </c>
      <c r="B38" s="574" t="s">
        <v>369</v>
      </c>
      <c r="C38" s="596" t="s">
        <v>367</v>
      </c>
      <c r="D38" s="576">
        <f>D37</f>
      </c>
      <c r="E38" s="597">
        <f>#REF!+#REF!</f>
      </c>
      <c r="F38" s="578"/>
      <c r="G38" s="520">
        <v>9735.6</v>
      </c>
      <c r="H38" s="15"/>
      <c r="I38" s="15"/>
      <c r="J38" s="459"/>
      <c r="K38" s="459"/>
      <c r="L38" s="80">
        <f>IF(M38&gt;=0,#REF!,IF(M38&lt;0,#REF!,0))</f>
      </c>
      <c r="M38" s="598">
        <f>+G38-E38*(1+0.08)</f>
      </c>
      <c r="N38" s="11"/>
      <c r="O38" s="14"/>
      <c r="P38" s="13"/>
      <c r="Q38" s="11"/>
      <c r="R38" s="11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x14ac:dyDescent="0.25" r="39" customHeight="1" ht="18.75" hidden="1">
      <c r="A39" s="573">
        <v>4</v>
      </c>
      <c r="B39" s="574" t="s">
        <v>370</v>
      </c>
      <c r="C39" s="596" t="s">
        <v>367</v>
      </c>
      <c r="D39" s="576">
        <f>D37</f>
      </c>
      <c r="E39" s="597">
        <f>#REF!+#REF!</f>
      </c>
      <c r="F39" s="578"/>
      <c r="G39" s="520">
        <v>20557.2</v>
      </c>
      <c r="H39" s="15"/>
      <c r="I39" s="15"/>
      <c r="J39" s="459"/>
      <c r="K39" s="459"/>
      <c r="L39" s="80">
        <f>IF(M39&gt;=0,#REF!,IF(M39&lt;0,#REF!,0))</f>
      </c>
      <c r="M39" s="598">
        <f>+G39-E39*(1+0.08)</f>
      </c>
      <c r="N39" s="11"/>
      <c r="O39" s="14"/>
      <c r="P39" s="13"/>
      <c r="Q39" s="11"/>
      <c r="R39" s="11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x14ac:dyDescent="0.25" r="40" customHeight="1" ht="18.75" hidden="1">
      <c r="A40" s="573">
        <v>5</v>
      </c>
      <c r="B40" s="574" t="s">
        <v>370</v>
      </c>
      <c r="C40" s="596" t="s">
        <v>367</v>
      </c>
      <c r="D40" s="576">
        <v>6.35</v>
      </c>
      <c r="E40" s="597">
        <f>#REF!+#REF!</f>
      </c>
      <c r="F40" s="578"/>
      <c r="G40" s="520">
        <v>3000.12</v>
      </c>
      <c r="H40" s="15"/>
      <c r="I40" s="15"/>
      <c r="J40" s="459"/>
      <c r="K40" s="459"/>
      <c r="L40" s="80">
        <f>IF(M40&gt;=0,#REF!,IF(M40&lt;0,#REF!,0))</f>
      </c>
      <c r="M40" s="598">
        <f>+G40-E40*(1+0.08)</f>
      </c>
      <c r="N40" s="11"/>
      <c r="O40" s="14"/>
      <c r="P40" s="13"/>
      <c r="Q40" s="11"/>
      <c r="R40" s="11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x14ac:dyDescent="0.25" r="41" customHeight="1" ht="18.75" hidden="1">
      <c r="A41" s="599">
        <v>6</v>
      </c>
      <c r="B41" s="600" t="s">
        <v>371</v>
      </c>
      <c r="C41" s="601" t="s">
        <v>372</v>
      </c>
      <c r="D41" s="602">
        <v>9.53</v>
      </c>
      <c r="E41" s="577">
        <f>#REF!</f>
      </c>
      <c r="F41" s="11"/>
      <c r="G41" s="520">
        <v>0</v>
      </c>
      <c r="H41" s="15"/>
      <c r="I41" s="15"/>
      <c r="J41" s="459"/>
      <c r="K41" s="459"/>
      <c r="L41" s="80">
        <f>IF(M41&gt;=0,#REF!,IF(M41&lt;0,#REF!,0))</f>
      </c>
      <c r="M41" s="598">
        <f>+G41-E41*(1+0.08)</f>
      </c>
      <c r="N41" s="11"/>
      <c r="O41" s="14"/>
      <c r="P41" s="13"/>
      <c r="Q41" s="11"/>
      <c r="R41" s="11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x14ac:dyDescent="0.25" r="42" customHeight="1" ht="18.75" hidden="1">
      <c r="A42" s="603" t="s">
        <v>373</v>
      </c>
      <c r="B42" s="604"/>
      <c r="C42" s="604"/>
      <c r="D42" s="605"/>
      <c r="E42" s="512">
        <f>SUM(E36:E41)</f>
      </c>
      <c r="F42" s="584"/>
      <c r="G42" s="539">
        <f>SUM(G36:G41)</f>
      </c>
      <c r="H42" s="15"/>
      <c r="I42" s="15"/>
      <c r="J42" s="459"/>
      <c r="K42" s="459"/>
      <c r="L42" s="21"/>
      <c r="M42" s="14"/>
      <c r="N42" s="11"/>
      <c r="O42" s="14"/>
      <c r="P42" s="13"/>
      <c r="Q42" s="11"/>
      <c r="R42" s="11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x14ac:dyDescent="0.25" r="43" customHeight="1" ht="18.75" hidden="1">
      <c r="A43" s="606" t="s">
        <v>374</v>
      </c>
      <c r="B43" s="607"/>
      <c r="C43" s="607"/>
      <c r="D43" s="520"/>
      <c r="E43" s="585">
        <f>+E33+E42</f>
      </c>
      <c r="F43" s="608"/>
      <c r="G43" s="539">
        <f>+G33+G42</f>
      </c>
      <c r="H43" s="15"/>
      <c r="I43" s="15"/>
      <c r="J43" s="584"/>
      <c r="K43" s="459"/>
      <c r="L43" s="96"/>
      <c r="M43" s="609">
        <f>G43-E43</f>
      </c>
      <c r="N43" s="11"/>
      <c r="O43" s="14"/>
      <c r="P43" s="13"/>
      <c r="Q43" s="11"/>
      <c r="R43" s="11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x14ac:dyDescent="0.25" r="44" customHeight="1" ht="18.75" hidden="1">
      <c r="A44" s="606" t="s">
        <v>375</v>
      </c>
      <c r="B44" s="607"/>
      <c r="C44" s="607"/>
      <c r="D44" s="520"/>
      <c r="E44" s="512">
        <f>#REF!+#REF!+#REF!+#REF!+#REF!+#REF!+#REF!+#REF!+#REF!*#REF!</f>
      </c>
      <c r="F44" s="11"/>
      <c r="G44" s="329"/>
      <c r="H44" s="15"/>
      <c r="I44" s="15"/>
      <c r="J44" s="459"/>
      <c r="K44" s="459"/>
      <c r="L44" s="21"/>
      <c r="M44" s="609">
        <f>M43/G43</f>
      </c>
      <c r="N44" s="11" t="s">
        <v>376</v>
      </c>
      <c r="O44" s="14"/>
      <c r="P44" s="13"/>
      <c r="Q44" s="11"/>
      <c r="R44" s="11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x14ac:dyDescent="0.25" r="45" customHeight="1" ht="18.75" hidden="1">
      <c r="A45" s="610" t="s">
        <v>377</v>
      </c>
      <c r="B45" s="611"/>
      <c r="C45" s="611"/>
      <c r="D45" s="612"/>
      <c r="E45" s="593">
        <f>E43+E44</f>
      </c>
      <c r="F45" s="11"/>
      <c r="G45" s="329"/>
      <c r="H45" s="15"/>
      <c r="I45" s="15"/>
      <c r="J45" s="459"/>
      <c r="K45" s="459"/>
      <c r="L45" s="21"/>
      <c r="M45" s="609">
        <f>#REF!+#REF!</f>
      </c>
      <c r="N45" s="11"/>
      <c r="O45" s="14"/>
      <c r="P45" s="13"/>
      <c r="Q45" s="11"/>
      <c r="R45" s="11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x14ac:dyDescent="0.25" r="46" customHeight="1" ht="15.75">
      <c r="A46" s="610"/>
      <c r="B46" s="611"/>
      <c r="C46" s="611"/>
      <c r="D46" s="612"/>
      <c r="E46" s="584"/>
      <c r="F46" s="11"/>
      <c r="G46" s="329"/>
      <c r="H46" s="15"/>
      <c r="I46" s="15"/>
      <c r="J46" s="459"/>
      <c r="K46" s="459"/>
      <c r="L46" s="21"/>
      <c r="M46" s="55"/>
      <c r="N46" s="11"/>
      <c r="O46" s="14"/>
      <c r="P46" s="13"/>
      <c r="Q46" s="11"/>
      <c r="R46" s="11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x14ac:dyDescent="0.25" r="47" customHeight="1" ht="18.75">
      <c r="A47" s="450"/>
      <c r="B47" s="14"/>
      <c r="C47" s="613" t="s">
        <v>378</v>
      </c>
      <c r="D47" s="614"/>
      <c r="E47" s="614"/>
      <c r="F47" s="615"/>
      <c r="G47" s="329"/>
      <c r="H47" s="15"/>
      <c r="I47" s="55"/>
      <c r="J47" s="459"/>
      <c r="K47" s="459"/>
      <c r="L47" s="21"/>
      <c r="M47" s="14"/>
      <c r="N47" s="11"/>
      <c r="O47" s="14"/>
      <c r="P47" s="13"/>
      <c r="Q47" s="11"/>
      <c r="R47" s="11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x14ac:dyDescent="0.25" r="48" customHeight="1" ht="18.75" hidden="1">
      <c r="A48" s="450"/>
      <c r="B48" s="14"/>
      <c r="C48" s="226"/>
      <c r="D48" s="231"/>
      <c r="E48" s="231"/>
      <c r="F48" s="38"/>
      <c r="G48" s="329"/>
      <c r="H48" s="15"/>
      <c r="I48" s="15"/>
      <c r="J48" s="459"/>
      <c r="K48" s="459"/>
      <c r="L48" s="21"/>
      <c r="M48" s="14"/>
      <c r="N48" s="11"/>
      <c r="O48" s="14"/>
      <c r="P48" s="13"/>
      <c r="Q48" s="11"/>
      <c r="R48" s="11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x14ac:dyDescent="0.25" r="49" customHeight="1" ht="18.75" hidden="1">
      <c r="A49" s="616" t="s">
        <v>379</v>
      </c>
      <c r="B49" s="617"/>
      <c r="C49" s="617"/>
      <c r="D49" s="618"/>
      <c r="E49" s="618"/>
      <c r="F49" s="619"/>
      <c r="G49" s="620"/>
      <c r="H49" s="15"/>
      <c r="I49" s="15"/>
      <c r="J49" s="459"/>
      <c r="K49" s="459"/>
      <c r="L49" s="21"/>
      <c r="M49" s="14"/>
      <c r="N49" s="11"/>
      <c r="O49" s="14"/>
      <c r="P49" s="13"/>
      <c r="Q49" s="11"/>
      <c r="R49" s="11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x14ac:dyDescent="0.25" r="50" customHeight="1" ht="18.75" hidden="1">
      <c r="A50" s="621" t="s">
        <v>380</v>
      </c>
      <c r="B50" s="622" t="s">
        <v>381</v>
      </c>
      <c r="C50" s="623" t="s">
        <v>382</v>
      </c>
      <c r="D50" s="624"/>
      <c r="E50" s="625" t="s">
        <v>383</v>
      </c>
      <c r="F50" s="626" t="s">
        <v>384</v>
      </c>
      <c r="G50" s="627" t="s">
        <v>385</v>
      </c>
      <c r="H50" s="15"/>
      <c r="I50" s="15"/>
      <c r="J50" s="459"/>
      <c r="K50" s="459"/>
      <c r="L50" s="21"/>
      <c r="M50" s="14"/>
      <c r="N50" s="11"/>
      <c r="O50" s="14"/>
      <c r="P50" s="13"/>
      <c r="Q50" s="11"/>
      <c r="R50" s="11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x14ac:dyDescent="0.25" r="51" customHeight="1" ht="18.75" hidden="1">
      <c r="A51" s="628"/>
      <c r="B51" s="629"/>
      <c r="C51" s="630" t="s">
        <v>386</v>
      </c>
      <c r="D51" s="631" t="s">
        <v>387</v>
      </c>
      <c r="E51" s="632"/>
      <c r="F51" s="633"/>
      <c r="G51" s="634"/>
      <c r="H51" s="15"/>
      <c r="I51" s="15"/>
      <c r="J51" s="459"/>
      <c r="K51" s="459"/>
      <c r="L51" s="21"/>
      <c r="M51" s="14"/>
      <c r="N51" s="11"/>
      <c r="O51" s="14"/>
      <c r="P51" s="13"/>
      <c r="Q51" s="11"/>
      <c r="R51" s="11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x14ac:dyDescent="0.25" r="52" customHeight="1" ht="18.75" hidden="1">
      <c r="A52" s="581">
        <v>1</v>
      </c>
      <c r="B52" s="595" t="s">
        <v>388</v>
      </c>
      <c r="C52" s="582" t="s">
        <v>389</v>
      </c>
      <c r="D52" s="521">
        <v>12.7</v>
      </c>
      <c r="E52" s="635"/>
      <c r="F52" s="578" t="s">
        <v>390</v>
      </c>
      <c r="G52" s="636">
        <f>#REF!</f>
      </c>
      <c r="H52" s="15"/>
      <c r="I52" s="15"/>
      <c r="J52" s="459"/>
      <c r="K52" s="459"/>
      <c r="L52" s="21"/>
      <c r="M52" s="14"/>
      <c r="N52" s="11"/>
      <c r="O52" s="14"/>
      <c r="P52" s="13"/>
      <c r="Q52" s="11"/>
      <c r="R52" s="11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x14ac:dyDescent="0.25" r="53" customHeight="1" ht="18.75" hidden="1">
      <c r="A53" s="581">
        <v>2</v>
      </c>
      <c r="B53" s="637">
        <f>B52</f>
      </c>
      <c r="C53" s="638">
        <f>C52</f>
      </c>
      <c r="D53" s="521">
        <f>#REF!</f>
      </c>
      <c r="E53" s="539"/>
      <c r="F53" s="578">
        <f>F52</f>
      </c>
      <c r="G53" s="636">
        <f>#REF!</f>
      </c>
      <c r="H53" s="15"/>
      <c r="I53" s="15"/>
      <c r="J53" s="459"/>
      <c r="K53" s="459"/>
      <c r="L53" s="21"/>
      <c r="M53" s="14"/>
      <c r="N53" s="11"/>
      <c r="O53" s="14"/>
      <c r="P53" s="13"/>
      <c r="Q53" s="11"/>
      <c r="R53" s="11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x14ac:dyDescent="0.25" r="54" customHeight="1" ht="18.75" hidden="1">
      <c r="A54" s="581">
        <v>3</v>
      </c>
      <c r="B54" s="637">
        <f>B52</f>
      </c>
      <c r="C54" s="638">
        <f>+C53</f>
      </c>
      <c r="D54" s="521">
        <f>#REF!</f>
      </c>
      <c r="E54" s="539"/>
      <c r="F54" s="578">
        <f>F53</f>
      </c>
      <c r="G54" s="636">
        <f>#REF!</f>
      </c>
      <c r="H54" s="15"/>
      <c r="I54" s="15"/>
      <c r="J54" s="459"/>
      <c r="K54" s="459"/>
      <c r="L54" s="21"/>
      <c r="M54" s="14"/>
      <c r="N54" s="11"/>
      <c r="O54" s="14"/>
      <c r="P54" s="13"/>
      <c r="Q54" s="11"/>
      <c r="R54" s="11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x14ac:dyDescent="0.25" r="55" customHeight="1" ht="18.75" hidden="1">
      <c r="A55" s="581">
        <v>4</v>
      </c>
      <c r="B55" s="637">
        <f>B52</f>
      </c>
      <c r="C55" s="638">
        <f>C52</f>
      </c>
      <c r="D55" s="521">
        <f>#REF!</f>
      </c>
      <c r="E55" s="539"/>
      <c r="F55" s="578" t="s">
        <v>391</v>
      </c>
      <c r="G55" s="636"/>
      <c r="H55" s="15"/>
      <c r="I55" s="15"/>
      <c r="J55" s="459"/>
      <c r="K55" s="459"/>
      <c r="L55" s="21"/>
      <c r="M55" s="14"/>
      <c r="N55" s="11"/>
      <c r="O55" s="14"/>
      <c r="P55" s="13"/>
      <c r="Q55" s="11"/>
      <c r="R55" s="11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x14ac:dyDescent="0.25" r="56" customHeight="1" ht="18.75" hidden="1">
      <c r="A56" s="581">
        <v>5</v>
      </c>
      <c r="B56" s="595" t="s">
        <v>392</v>
      </c>
      <c r="C56" s="582" t="s">
        <v>393</v>
      </c>
      <c r="D56" s="521">
        <f>D36</f>
      </c>
      <c r="E56" s="539"/>
      <c r="F56" s="578" t="s">
        <v>394</v>
      </c>
      <c r="G56" s="636">
        <v>48</v>
      </c>
      <c r="H56" s="15"/>
      <c r="I56" s="15"/>
      <c r="J56" s="459"/>
      <c r="K56" s="459"/>
      <c r="L56" s="21"/>
      <c r="M56" s="14"/>
      <c r="N56" s="11"/>
      <c r="O56" s="14"/>
      <c r="P56" s="13"/>
      <c r="Q56" s="11"/>
      <c r="R56" s="11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x14ac:dyDescent="0.25" r="57" customHeight="1" ht="18.75" hidden="1">
      <c r="A57" s="581">
        <v>6</v>
      </c>
      <c r="B57" s="637">
        <f>B56</f>
      </c>
      <c r="C57" s="638">
        <f>C56</f>
      </c>
      <c r="D57" s="521">
        <f>D37</f>
      </c>
      <c r="E57" s="539"/>
      <c r="F57" s="578" t="s">
        <v>395</v>
      </c>
      <c r="G57" s="636"/>
      <c r="H57" s="15"/>
      <c r="I57" s="15"/>
      <c r="J57" s="459"/>
      <c r="K57" s="459"/>
      <c r="L57" s="21"/>
      <c r="M57" s="14"/>
      <c r="N57" s="11"/>
      <c r="O57" s="14"/>
      <c r="P57" s="13"/>
      <c r="Q57" s="11"/>
      <c r="R57" s="11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x14ac:dyDescent="0.25" r="58" customHeight="1" ht="18.75" hidden="1">
      <c r="A58" s="581">
        <v>7</v>
      </c>
      <c r="B58" s="637">
        <f>B56</f>
      </c>
      <c r="C58" s="638">
        <f>C56</f>
      </c>
      <c r="D58" s="521">
        <f>D38</f>
      </c>
      <c r="E58" s="539"/>
      <c r="F58" s="578" t="s">
        <v>396</v>
      </c>
      <c r="G58" s="636"/>
      <c r="H58" s="15"/>
      <c r="I58" s="15"/>
      <c r="J58" s="459"/>
      <c r="K58" s="459"/>
      <c r="L58" s="21"/>
      <c r="M58" s="14"/>
      <c r="N58" s="11"/>
      <c r="O58" s="14"/>
      <c r="P58" s="13"/>
      <c r="Q58" s="11"/>
      <c r="R58" s="11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x14ac:dyDescent="0.25" r="59" customHeight="1" ht="18.75" hidden="1">
      <c r="A59" s="581">
        <v>8</v>
      </c>
      <c r="B59" s="637">
        <f>B56</f>
      </c>
      <c r="C59" s="638">
        <f>C56</f>
      </c>
      <c r="D59" s="521">
        <f>D39</f>
      </c>
      <c r="E59" s="539"/>
      <c r="F59" s="578" t="s">
        <v>397</v>
      </c>
      <c r="G59" s="636"/>
      <c r="H59" s="15"/>
      <c r="I59" s="15"/>
      <c r="J59" s="459"/>
      <c r="K59" s="459"/>
      <c r="L59" s="21"/>
      <c r="M59" s="14"/>
      <c r="N59" s="11"/>
      <c r="O59" s="14"/>
      <c r="P59" s="13"/>
      <c r="Q59" s="11"/>
      <c r="R59" s="11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</row>
    <row x14ac:dyDescent="0.25" r="60" customHeight="1" ht="18.75" hidden="1">
      <c r="A60" s="581">
        <v>9</v>
      </c>
      <c r="B60" s="637">
        <f>B56</f>
      </c>
      <c r="C60" s="638">
        <f>C56</f>
      </c>
      <c r="D60" s="521">
        <f>D40</f>
      </c>
      <c r="E60" s="539"/>
      <c r="F60" s="578">
        <f>F59</f>
      </c>
      <c r="G60" s="636"/>
      <c r="H60" s="15"/>
      <c r="I60" s="15"/>
      <c r="J60" s="459"/>
      <c r="K60" s="459"/>
      <c r="L60" s="21"/>
      <c r="M60" s="14"/>
      <c r="N60" s="11"/>
      <c r="O60" s="14"/>
      <c r="P60" s="13"/>
      <c r="Q60" s="11"/>
      <c r="R60" s="11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x14ac:dyDescent="0.25" r="61" customHeight="1" ht="18.75" hidden="1">
      <c r="A61" s="581">
        <v>10</v>
      </c>
      <c r="B61" s="639" t="s">
        <v>398</v>
      </c>
      <c r="C61" s="640">
        <f>+C60</f>
      </c>
      <c r="D61" s="641">
        <f>+F45</f>
      </c>
      <c r="E61" s="642">
        <f>#REF!</f>
      </c>
      <c r="F61" s="641" t="s">
        <v>399</v>
      </c>
      <c r="G61" s="643"/>
      <c r="H61" s="15" t="s">
        <v>400</v>
      </c>
      <c r="I61" s="15"/>
      <c r="J61" s="459"/>
      <c r="K61" s="459"/>
      <c r="L61" s="21"/>
      <c r="M61" s="14"/>
      <c r="N61" s="11"/>
      <c r="O61" s="14"/>
      <c r="P61" s="13"/>
      <c r="Q61" s="11"/>
      <c r="R61" s="11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x14ac:dyDescent="0.25" r="62" customHeight="1" ht="18.75" hidden="1">
      <c r="A62" s="581">
        <v>11</v>
      </c>
      <c r="B62" s="639" t="s">
        <v>401</v>
      </c>
      <c r="C62" s="640">
        <f>+C61</f>
      </c>
      <c r="D62" s="644">
        <v>3.91</v>
      </c>
      <c r="E62" s="642">
        <f>#REF!</f>
      </c>
      <c r="F62" s="641" t="s">
        <v>399</v>
      </c>
      <c r="G62" s="643"/>
      <c r="H62" s="15" t="s">
        <v>400</v>
      </c>
      <c r="I62" s="15"/>
      <c r="J62" s="459"/>
      <c r="K62" s="459"/>
      <c r="L62" s="21"/>
      <c r="M62" s="14"/>
      <c r="N62" s="11"/>
      <c r="O62" s="14"/>
      <c r="P62" s="13"/>
      <c r="Q62" s="11"/>
      <c r="R62" s="11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x14ac:dyDescent="0.25" r="63" customHeight="1" ht="18.75" hidden="1">
      <c r="A63" s="645">
        <v>12</v>
      </c>
      <c r="B63" s="646" t="s">
        <v>402</v>
      </c>
      <c r="C63" s="647">
        <f>C56</f>
      </c>
      <c r="D63" s="648">
        <v>19.05</v>
      </c>
      <c r="E63" s="649">
        <f>G63*6*#REF!</f>
      </c>
      <c r="F63" s="650" t="s">
        <v>403</v>
      </c>
      <c r="G63" s="651">
        <f>ROUND((#REF!*2+#REF!*4+#REF!*2)/6,0)+1</f>
      </c>
      <c r="H63" s="15" t="s">
        <v>400</v>
      </c>
      <c r="I63" s="15"/>
      <c r="J63" s="459"/>
      <c r="K63" s="459"/>
      <c r="L63" s="21"/>
      <c r="M63" s="14"/>
      <c r="N63" s="11"/>
      <c r="O63" s="14"/>
      <c r="P63" s="13"/>
      <c r="Q63" s="11"/>
      <c r="R63" s="11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x14ac:dyDescent="0.25" r="64" customHeight="1" ht="18.75" hidden="1">
      <c r="A64" s="652" t="s">
        <v>404</v>
      </c>
      <c r="B64" s="653"/>
      <c r="C64" s="263"/>
      <c r="D64" s="388"/>
      <c r="E64" s="451">
        <f>SUM(E52:E63)</f>
      </c>
      <c r="F64" s="11"/>
      <c r="G64" s="329"/>
      <c r="H64" s="15"/>
      <c r="I64" s="15"/>
      <c r="J64" s="459"/>
      <c r="K64" s="459"/>
      <c r="L64" s="21"/>
      <c r="M64" s="14"/>
      <c r="N64" s="11"/>
      <c r="O64" s="14"/>
      <c r="P64" s="13"/>
      <c r="Q64" s="11"/>
      <c r="R64" s="11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x14ac:dyDescent="0.25" r="65" customHeight="1" ht="18.75" hidden="1">
      <c r="A65" s="450"/>
      <c r="B65" s="14"/>
      <c r="C65" s="226"/>
      <c r="D65" s="231"/>
      <c r="E65" s="231"/>
      <c r="F65" s="11"/>
      <c r="G65" s="329"/>
      <c r="H65" s="15"/>
      <c r="I65" s="15"/>
      <c r="J65" s="459"/>
      <c r="K65" s="459"/>
      <c r="L65" s="21"/>
      <c r="M65" s="14"/>
      <c r="N65" s="11"/>
      <c r="O65" s="14"/>
      <c r="P65" s="13"/>
      <c r="Q65" s="11"/>
      <c r="R65" s="11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x14ac:dyDescent="0.25" r="66" customHeight="1" ht="18.75" hidden="1">
      <c r="A66" s="621" t="s">
        <v>380</v>
      </c>
      <c r="B66" s="622" t="s">
        <v>381</v>
      </c>
      <c r="C66" s="623" t="s">
        <v>382</v>
      </c>
      <c r="D66" s="624"/>
      <c r="E66" s="625" t="s">
        <v>383</v>
      </c>
      <c r="F66" s="626" t="s">
        <v>384</v>
      </c>
      <c r="G66" s="627" t="s">
        <v>385</v>
      </c>
      <c r="H66" s="15"/>
      <c r="I66" s="15"/>
      <c r="J66" s="459"/>
      <c r="K66" s="459"/>
      <c r="L66" s="21"/>
      <c r="M66" s="14"/>
      <c r="N66" s="11"/>
      <c r="O66" s="14"/>
      <c r="P66" s="13"/>
      <c r="Q66" s="11"/>
      <c r="R66" s="11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x14ac:dyDescent="0.25" r="67" customHeight="1" ht="18.75" hidden="1">
      <c r="A67" s="628"/>
      <c r="B67" s="629"/>
      <c r="C67" s="630" t="s">
        <v>386</v>
      </c>
      <c r="D67" s="631" t="s">
        <v>387</v>
      </c>
      <c r="E67" s="632"/>
      <c r="F67" s="633"/>
      <c r="G67" s="634"/>
      <c r="H67" s="15"/>
      <c r="I67" s="15"/>
      <c r="J67" s="459"/>
      <c r="K67" s="459"/>
      <c r="L67" s="21"/>
      <c r="M67" s="14"/>
      <c r="N67" s="11"/>
      <c r="O67" s="14"/>
      <c r="P67" s="13"/>
      <c r="Q67" s="11"/>
      <c r="R67" s="11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x14ac:dyDescent="0.25" r="68" customHeight="1" ht="18.75" hidden="1">
      <c r="A68" s="581">
        <v>1</v>
      </c>
      <c r="B68" s="639" t="s">
        <v>405</v>
      </c>
      <c r="C68" s="654" t="s">
        <v>406</v>
      </c>
      <c r="D68" s="644" t="s">
        <v>407</v>
      </c>
      <c r="E68" s="644">
        <f>#REF!</f>
      </c>
      <c r="F68" s="641" t="s">
        <v>408</v>
      </c>
      <c r="G68" s="643">
        <v>10</v>
      </c>
      <c r="H68" s="15"/>
      <c r="I68" s="15"/>
      <c r="J68" s="459"/>
      <c r="K68" s="459"/>
      <c r="L68" s="21"/>
      <c r="M68" s="14"/>
      <c r="N68" s="11"/>
      <c r="O68" s="14"/>
      <c r="P68" s="13"/>
      <c r="Q68" s="11"/>
      <c r="R68" s="11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x14ac:dyDescent="0.25" r="69" customHeight="1" ht="18.75" hidden="1">
      <c r="A69" s="581">
        <v>2</v>
      </c>
      <c r="B69" s="639" t="s">
        <v>409</v>
      </c>
      <c r="C69" s="655">
        <f>C68</f>
      </c>
      <c r="D69" s="644" t="s">
        <v>407</v>
      </c>
      <c r="E69" s="644">
        <f>#REF!*#REF!</f>
      </c>
      <c r="F69" s="641" t="s">
        <v>410</v>
      </c>
      <c r="G69" s="643">
        <f>#REF!*#REF!</f>
      </c>
      <c r="H69" s="15"/>
      <c r="I69" s="15"/>
      <c r="J69" s="459"/>
      <c r="K69" s="459"/>
      <c r="L69" s="21"/>
      <c r="M69" s="14"/>
      <c r="N69" s="11"/>
      <c r="O69" s="14"/>
      <c r="P69" s="13"/>
      <c r="Q69" s="11"/>
      <c r="R69" s="11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x14ac:dyDescent="0.25" r="70" customHeight="1" ht="18.75" hidden="1">
      <c r="A70" s="581">
        <v>3</v>
      </c>
      <c r="B70" s="639" t="s">
        <v>411</v>
      </c>
      <c r="C70" s="655">
        <f>C68</f>
      </c>
      <c r="D70" s="644" t="s">
        <v>407</v>
      </c>
      <c r="E70" s="644">
        <f>#REF!</f>
      </c>
      <c r="F70" s="641" t="s">
        <v>410</v>
      </c>
      <c r="G70" s="643">
        <f>#REF!</f>
      </c>
      <c r="H70" s="15"/>
      <c r="I70" s="15"/>
      <c r="J70" s="459"/>
      <c r="K70" s="459"/>
      <c r="L70" s="21"/>
      <c r="M70" s="14"/>
      <c r="N70" s="11"/>
      <c r="O70" s="14"/>
      <c r="P70" s="13"/>
      <c r="Q70" s="11"/>
      <c r="R70" s="11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x14ac:dyDescent="0.25" r="71" customHeight="1" ht="18.75" hidden="1">
      <c r="A71" s="581">
        <v>4</v>
      </c>
      <c r="B71" s="639" t="s">
        <v>412</v>
      </c>
      <c r="C71" s="655">
        <f>C68</f>
      </c>
      <c r="D71" s="644" t="s">
        <v>407</v>
      </c>
      <c r="E71" s="644">
        <f>#REF!</f>
      </c>
      <c r="F71" s="641" t="s">
        <v>413</v>
      </c>
      <c r="G71" s="643">
        <f>#REF!</f>
      </c>
      <c r="H71" s="15"/>
      <c r="I71" s="15"/>
      <c r="J71" s="459"/>
      <c r="K71" s="459"/>
      <c r="L71" s="21"/>
      <c r="M71" s="14"/>
      <c r="N71" s="11"/>
      <c r="O71" s="14"/>
      <c r="P71" s="13"/>
      <c r="Q71" s="11"/>
      <c r="R71" s="11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x14ac:dyDescent="0.25" r="72" customHeight="1" ht="18.75" hidden="1">
      <c r="A72" s="645">
        <v>5</v>
      </c>
      <c r="B72" s="656" t="s">
        <v>414</v>
      </c>
      <c r="C72" s="657" t="s">
        <v>393</v>
      </c>
      <c r="D72" s="658" t="s">
        <v>407</v>
      </c>
      <c r="E72" s="659">
        <f>#REF!</f>
      </c>
      <c r="F72" s="660" t="s">
        <v>415</v>
      </c>
      <c r="G72" s="661">
        <f>#REF!*0.6</f>
      </c>
      <c r="H72" s="15"/>
      <c r="I72" s="662" t="s">
        <v>416</v>
      </c>
      <c r="J72" s="663" t="s">
        <v>417</v>
      </c>
      <c r="K72" s="459"/>
      <c r="L72" s="21"/>
      <c r="M72" s="14"/>
      <c r="N72" s="11"/>
      <c r="O72" s="14"/>
      <c r="P72" s="13"/>
      <c r="Q72" s="11"/>
      <c r="R72" s="11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x14ac:dyDescent="0.25" r="73" customHeight="1" ht="18.75" hidden="1">
      <c r="A73" s="652" t="s">
        <v>418</v>
      </c>
      <c r="B73" s="653"/>
      <c r="C73" s="263"/>
      <c r="D73" s="388"/>
      <c r="E73" s="451">
        <f>SUM(E68:E72)</f>
      </c>
      <c r="F73" s="11"/>
      <c r="G73" s="329"/>
      <c r="H73" s="15"/>
      <c r="I73" s="15"/>
      <c r="J73" s="459"/>
      <c r="K73" s="459"/>
      <c r="L73" s="21"/>
      <c r="M73" s="14"/>
      <c r="N73" s="11"/>
      <c r="O73" s="14"/>
      <c r="P73" s="13"/>
      <c r="Q73" s="11"/>
      <c r="R73" s="11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x14ac:dyDescent="0.25" r="74" customHeight="1" ht="18.75">
      <c r="A74" s="450"/>
      <c r="B74" s="14"/>
      <c r="C74" s="664" t="s">
        <v>419</v>
      </c>
      <c r="D74" s="665" t="s">
        <v>420</v>
      </c>
      <c r="E74" s="666">
        <v>0</v>
      </c>
      <c r="F74" s="667"/>
      <c r="G74" s="329"/>
      <c r="H74" s="15"/>
      <c r="I74" s="15"/>
      <c r="J74" s="459"/>
      <c r="K74" s="459"/>
      <c r="L74" s="21"/>
      <c r="M74" s="14"/>
      <c r="N74" s="11"/>
      <c r="O74" s="14"/>
      <c r="P74" s="13"/>
      <c r="Q74" s="11"/>
      <c r="R74" s="11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x14ac:dyDescent="0.25" r="75" customHeight="1" ht="18.75">
      <c r="A75" s="450"/>
      <c r="B75" s="668"/>
      <c r="C75" s="669"/>
      <c r="D75" s="670" t="s">
        <v>421</v>
      </c>
      <c r="E75" s="671">
        <f>+I31/G31</f>
      </c>
      <c r="F75" s="672"/>
      <c r="G75" s="329"/>
      <c r="H75" s="15"/>
      <c r="I75" s="15"/>
      <c r="J75" s="459"/>
      <c r="K75" s="459"/>
      <c r="L75" s="673"/>
      <c r="M75" s="582"/>
      <c r="N75" s="539"/>
      <c r="O75" s="14"/>
      <c r="P75" s="635"/>
      <c r="Q75" s="539"/>
      <c r="R75" s="522"/>
      <c r="S75" s="522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x14ac:dyDescent="0.25" r="76" customHeight="1" ht="18.75">
      <c r="A76" s="450"/>
      <c r="B76" s="674"/>
      <c r="C76" s="664" t="s">
        <v>422</v>
      </c>
      <c r="D76" s="665" t="s">
        <v>423</v>
      </c>
      <c r="E76" s="675">
        <f>1.2-E77</f>
      </c>
      <c r="F76" s="667" t="s">
        <v>336</v>
      </c>
      <c r="G76" s="329"/>
      <c r="H76" s="15"/>
      <c r="I76" s="15"/>
      <c r="J76" s="459"/>
      <c r="K76" s="459"/>
      <c r="L76" s="673"/>
      <c r="M76" s="582"/>
      <c r="N76" s="539"/>
      <c r="O76" s="14"/>
      <c r="P76" s="635"/>
      <c r="Q76" s="539"/>
      <c r="R76" s="522"/>
      <c r="S76" s="522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x14ac:dyDescent="0.25" r="77" customHeight="1" ht="18.75">
      <c r="A77" s="450"/>
      <c r="B77" s="14"/>
      <c r="C77" s="669"/>
      <c r="D77" s="670" t="s">
        <v>424</v>
      </c>
      <c r="E77" s="676">
        <f>+E75/1000</f>
      </c>
      <c r="F77" s="672" t="s">
        <v>425</v>
      </c>
      <c r="G77" s="329"/>
      <c r="H77" s="15"/>
      <c r="I77" s="15"/>
      <c r="J77" s="459"/>
      <c r="K77" s="459"/>
      <c r="L77" s="673"/>
      <c r="M77" s="582"/>
      <c r="N77" s="539"/>
      <c r="O77" s="14"/>
      <c r="P77" s="635"/>
      <c r="Q77" s="539"/>
      <c r="R77" s="522"/>
      <c r="S77" s="522"/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x14ac:dyDescent="0.25" r="78" customHeight="1" ht="18.75">
      <c r="A78" s="450"/>
      <c r="B78" s="14"/>
      <c r="C78" s="677" t="s">
        <v>426</v>
      </c>
      <c r="D78" s="678" t="s">
        <v>427</v>
      </c>
      <c r="E78" s="679">
        <f>+((K31/(1000*1000*1000*1000))/(E76))*100*100</f>
      </c>
      <c r="F78" s="680" t="s">
        <v>428</v>
      </c>
      <c r="G78" s="329"/>
      <c r="H78" s="15"/>
      <c r="I78" s="681"/>
      <c r="J78" s="579"/>
      <c r="K78" s="579"/>
      <c r="L78" s="673"/>
      <c r="M78" s="582"/>
      <c r="N78" s="539"/>
      <c r="O78" s="14"/>
      <c r="P78" s="635"/>
      <c r="Q78" s="539"/>
      <c r="R78" s="522"/>
      <c r="S78" s="522"/>
      <c r="T78" s="14"/>
      <c r="U78" s="14"/>
      <c r="V78" s="14"/>
      <c r="W78" s="14"/>
      <c r="X78" s="14"/>
      <c r="Y78" s="14"/>
      <c r="Z78" s="14"/>
      <c r="AA78" s="14"/>
      <c r="AB78" s="14"/>
      <c r="AC78" s="14"/>
    </row>
    <row x14ac:dyDescent="0.25" r="79" customHeight="1" ht="18.75">
      <c r="A79" s="450"/>
      <c r="B79" s="14"/>
      <c r="C79" s="682"/>
      <c r="D79" s="683" t="s">
        <v>429</v>
      </c>
      <c r="E79" s="684">
        <f>+((K31/(1000*1000*1000*1000))/(E77))*100*100</f>
      </c>
      <c r="F79" s="685" t="s">
        <v>425</v>
      </c>
      <c r="G79" s="55"/>
      <c r="H79" s="15"/>
      <c r="I79" s="681"/>
      <c r="J79" s="459"/>
      <c r="K79" s="459"/>
      <c r="L79" s="21"/>
      <c r="M79" s="14"/>
      <c r="N79" s="11"/>
      <c r="O79" s="14"/>
      <c r="P79" s="13"/>
      <c r="Q79" s="11"/>
      <c r="R79" s="11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</row>
    <row x14ac:dyDescent="0.25" r="80" customHeight="1" ht="18.75">
      <c r="A80" s="450"/>
      <c r="B80" s="14"/>
      <c r="C80" s="226"/>
      <c r="D80" s="231"/>
      <c r="E80" s="231"/>
      <c r="F80" s="11"/>
      <c r="G80" s="686"/>
      <c r="H80" s="15"/>
      <c r="I80" s="15"/>
      <c r="J80" s="459"/>
      <c r="K80" s="459"/>
      <c r="L80" s="21"/>
      <c r="M80" s="14"/>
      <c r="N80" s="11"/>
      <c r="O80" s="14"/>
      <c r="P80" s="13"/>
      <c r="Q80" s="11"/>
      <c r="R80" s="11"/>
      <c r="S80" s="14"/>
      <c r="T80" s="14"/>
      <c r="U80" s="14"/>
      <c r="V80" s="14"/>
      <c r="W80" s="14"/>
      <c r="X80" s="14"/>
      <c r="Y80" s="14"/>
      <c r="Z80" s="687"/>
      <c r="AA80" s="14"/>
      <c r="AB80" s="14"/>
      <c r="AC80" s="14"/>
    </row>
    <row x14ac:dyDescent="0.25" r="81" customHeight="1" ht="18.75">
      <c r="A81" s="450"/>
      <c r="B81" s="14"/>
      <c r="C81" s="226"/>
      <c r="D81" s="231"/>
      <c r="E81" s="231"/>
      <c r="F81" s="11"/>
      <c r="G81" s="329"/>
      <c r="H81" s="15"/>
      <c r="I81" s="15"/>
      <c r="J81" s="459"/>
      <c r="K81" s="459"/>
      <c r="L81" s="21"/>
      <c r="M81" s="14"/>
      <c r="N81" s="11"/>
      <c r="O81" s="14"/>
      <c r="P81" s="13"/>
      <c r="Q81" s="11"/>
      <c r="R81" s="11"/>
      <c r="S81" s="14"/>
      <c r="T81" s="14"/>
      <c r="U81" s="14"/>
      <c r="V81" s="14"/>
      <c r="W81" s="14"/>
      <c r="X81" s="14"/>
      <c r="Y81" s="14"/>
      <c r="Z81" s="687"/>
      <c r="AA81" s="14"/>
      <c r="AB81" s="14"/>
      <c r="AC81" s="14"/>
    </row>
    <row x14ac:dyDescent="0.25" r="82" customHeight="1" ht="18.75">
      <c r="A82" s="450"/>
      <c r="B82" s="14"/>
      <c r="C82" s="613" t="s">
        <v>430</v>
      </c>
      <c r="D82" s="614"/>
      <c r="E82" s="614"/>
      <c r="F82" s="615"/>
      <c r="G82" s="329"/>
      <c r="H82" s="593"/>
      <c r="I82" s="593"/>
      <c r="J82" s="688"/>
      <c r="K82" s="688"/>
      <c r="L82" s="21"/>
      <c r="M82" s="14"/>
      <c r="N82" s="11"/>
      <c r="O82" s="14"/>
      <c r="P82" s="13"/>
      <c r="Q82" s="11"/>
      <c r="R82" s="11"/>
      <c r="S82" s="14"/>
      <c r="T82" s="14"/>
      <c r="U82" s="14"/>
      <c r="V82" s="14"/>
      <c r="W82" s="14"/>
      <c r="X82" s="14"/>
      <c r="Y82" s="14"/>
      <c r="Z82" s="687"/>
      <c r="AA82" s="14"/>
      <c r="AB82" s="14"/>
      <c r="AC82" s="14"/>
    </row>
    <row x14ac:dyDescent="0.25" r="83" customHeight="1" ht="25.899999999999995">
      <c r="A83" s="450"/>
      <c r="B83" s="689"/>
      <c r="C83" s="690" t="s">
        <v>431</v>
      </c>
      <c r="D83" s="691">
        <f>'Resistencia viga buque'!C16</f>
      </c>
      <c r="E83" s="692" t="s">
        <v>432</v>
      </c>
      <c r="F83" s="11"/>
      <c r="G83" s="693"/>
      <c r="H83" s="694"/>
      <c r="I83" s="694"/>
      <c r="J83" s="691"/>
      <c r="K83" s="695"/>
      <c r="L83" s="21"/>
      <c r="M83" s="14"/>
      <c r="N83" s="11"/>
      <c r="O83" s="14"/>
      <c r="P83" s="13"/>
      <c r="Q83" s="11"/>
      <c r="R83" s="11"/>
      <c r="S83" s="14"/>
      <c r="T83" s="14"/>
      <c r="U83" s="14"/>
      <c r="V83" s="14"/>
      <c r="W83" s="14"/>
      <c r="X83" s="14"/>
      <c r="Y83" s="14"/>
      <c r="Z83" s="687"/>
      <c r="AA83" s="14"/>
      <c r="AB83" s="14"/>
      <c r="AC83" s="14"/>
    </row>
    <row x14ac:dyDescent="0.25" r="84" customHeight="1" ht="34.9">
      <c r="A84" s="450"/>
      <c r="B84" s="14"/>
      <c r="C84" s="696" t="s">
        <v>433</v>
      </c>
      <c r="D84" s="697"/>
      <c r="E84" s="697"/>
      <c r="F84" s="698"/>
      <c r="G84" s="699"/>
      <c r="H84" s="700"/>
      <c r="I84" s="700"/>
      <c r="J84" s="459"/>
      <c r="K84" s="459"/>
      <c r="L84" s="21"/>
      <c r="M84" s="14"/>
      <c r="N84" s="11"/>
      <c r="O84" s="14"/>
      <c r="P84" s="13"/>
      <c r="Q84" s="11"/>
      <c r="R84" s="11"/>
      <c r="S84" s="14"/>
      <c r="T84" s="14"/>
      <c r="U84" s="14"/>
      <c r="V84" s="14"/>
      <c r="W84" s="14"/>
      <c r="X84" s="14"/>
      <c r="Y84" s="14"/>
      <c r="Z84" s="687"/>
      <c r="AA84" s="14"/>
      <c r="AB84" s="14"/>
      <c r="AC84" s="14"/>
    </row>
    <row x14ac:dyDescent="0.25" r="85" customHeight="1" ht="15">
      <c r="A85" s="450"/>
      <c r="B85" s="14"/>
      <c r="C85" s="226"/>
      <c r="D85" s="231"/>
      <c r="E85" s="231"/>
      <c r="F85" s="11"/>
      <c r="G85" s="699"/>
      <c r="H85" s="199"/>
      <c r="I85" s="700"/>
      <c r="J85" s="701"/>
      <c r="K85" s="701"/>
      <c r="L85" s="702"/>
      <c r="M85" s="703"/>
      <c r="N85" s="704"/>
      <c r="O85" s="703"/>
      <c r="P85" s="705"/>
      <c r="Q85" s="704"/>
      <c r="R85" s="704"/>
      <c r="S85" s="703"/>
      <c r="T85" s="703"/>
      <c r="U85" s="14"/>
      <c r="V85" s="14"/>
      <c r="W85" s="14"/>
      <c r="X85" s="14"/>
      <c r="Y85" s="14"/>
      <c r="Z85" s="687"/>
      <c r="AA85" s="14"/>
      <c r="AB85" s="14"/>
      <c r="AC85" s="14"/>
    </row>
    <row x14ac:dyDescent="0.25" r="86" customHeight="1" ht="18.75">
      <c r="A86" s="450"/>
      <c r="B86" s="14"/>
      <c r="C86" s="204"/>
      <c r="D86" s="231"/>
      <c r="E86" s="231"/>
      <c r="F86" s="11"/>
      <c r="G86" s="699"/>
      <c r="H86" s="15"/>
      <c r="I86" s="15"/>
      <c r="J86" s="459"/>
      <c r="K86" s="459"/>
      <c r="L86" s="524"/>
      <c r="M86" s="706"/>
      <c r="N86" s="265"/>
      <c r="O86" s="706"/>
      <c r="P86" s="707"/>
      <c r="Q86" s="265"/>
      <c r="R86" s="265"/>
      <c r="S86" s="706"/>
      <c r="T86" s="703"/>
      <c r="U86" s="14"/>
      <c r="V86" s="14"/>
      <c r="W86" s="14"/>
      <c r="X86" s="14"/>
      <c r="Y86" s="14"/>
      <c r="Z86" s="14"/>
      <c r="AA86" s="14"/>
      <c r="AB86" s="14"/>
      <c r="AC86" s="14"/>
    </row>
    <row x14ac:dyDescent="0.25" r="87" customHeight="1" ht="18.75">
      <c r="A87" s="450"/>
      <c r="B87" s="14"/>
      <c r="C87" s="613" t="s">
        <v>434</v>
      </c>
      <c r="D87" s="614"/>
      <c r="E87" s="614"/>
      <c r="F87" s="615"/>
      <c r="G87" s="699"/>
      <c r="H87" s="708"/>
      <c r="I87" s="708"/>
      <c r="J87" s="709"/>
      <c r="K87" s="709"/>
      <c r="L87" s="710"/>
      <c r="M87" s="711"/>
      <c r="N87" s="608"/>
      <c r="O87" s="711"/>
      <c r="P87" s="712"/>
      <c r="Q87" s="608"/>
      <c r="R87" s="608"/>
      <c r="S87" s="711"/>
      <c r="T87" s="703"/>
      <c r="U87" s="14"/>
      <c r="V87" s="14"/>
      <c r="W87" s="14"/>
      <c r="X87" s="14"/>
      <c r="Y87" s="14"/>
      <c r="Z87" s="14"/>
      <c r="AA87" s="14"/>
      <c r="AB87" s="14"/>
      <c r="AC87" s="14"/>
    </row>
    <row x14ac:dyDescent="0.25" r="88" customHeight="1" ht="18.75">
      <c r="A88" s="450"/>
      <c r="B88" s="14"/>
      <c r="C88" s="703" t="s">
        <v>435</v>
      </c>
      <c r="D88" s="691">
        <f>+D89/D90</f>
      </c>
      <c r="E88" s="700"/>
      <c r="F88" s="704"/>
      <c r="G88" s="329"/>
      <c r="H88" s="700"/>
      <c r="I88" s="713"/>
      <c r="J88" s="701"/>
      <c r="K88" s="701"/>
      <c r="L88" s="21"/>
      <c r="M88" s="14"/>
      <c r="N88" s="11"/>
      <c r="O88" s="14"/>
      <c r="P88" s="13"/>
      <c r="Q88" s="11"/>
      <c r="R88" s="11"/>
      <c r="S88" s="14"/>
      <c r="T88" s="703"/>
      <c r="U88" s="14"/>
      <c r="V88" s="14"/>
      <c r="W88" s="14"/>
      <c r="X88" s="14"/>
      <c r="Y88" s="14"/>
      <c r="Z88" s="14"/>
      <c r="AA88" s="14"/>
      <c r="AB88" s="14"/>
      <c r="AC88" s="14"/>
    </row>
    <row x14ac:dyDescent="0.25" r="89" customHeight="1" ht="18.75">
      <c r="A89" s="450"/>
      <c r="B89" s="14"/>
      <c r="C89" s="703" t="s">
        <v>436</v>
      </c>
      <c r="D89" s="714">
        <f>+E78</f>
      </c>
      <c r="E89" s="692" t="s">
        <v>432</v>
      </c>
      <c r="F89" s="704"/>
      <c r="G89" s="329"/>
      <c r="H89" s="700"/>
      <c r="I89" s="714"/>
      <c r="J89" s="695"/>
      <c r="K89" s="701"/>
      <c r="L89" s="702"/>
      <c r="M89" s="703"/>
      <c r="N89" s="704"/>
      <c r="O89" s="703"/>
      <c r="P89" s="705"/>
      <c r="Q89" s="704"/>
      <c r="R89" s="704"/>
      <c r="S89" s="703"/>
      <c r="T89" s="703"/>
      <c r="U89" s="14"/>
      <c r="V89" s="14"/>
      <c r="W89" s="14"/>
      <c r="X89" s="14"/>
      <c r="Y89" s="14"/>
      <c r="Z89" s="14"/>
      <c r="AA89" s="14"/>
      <c r="AB89" s="14"/>
      <c r="AC89" s="14"/>
    </row>
    <row x14ac:dyDescent="0.25" r="90" customHeight="1" ht="18.75">
      <c r="A90" s="450"/>
      <c r="B90" s="14"/>
      <c r="C90" s="703" t="s">
        <v>437</v>
      </c>
      <c r="D90" s="714">
        <f>+D83</f>
      </c>
      <c r="E90" s="692" t="s">
        <v>432</v>
      </c>
      <c r="F90" s="11"/>
      <c r="G90" s="329"/>
      <c r="H90" s="700"/>
      <c r="I90" s="714"/>
      <c r="J90" s="695"/>
      <c r="K90" s="459"/>
      <c r="L90" s="702"/>
      <c r="M90" s="703"/>
      <c r="N90" s="704"/>
      <c r="O90" s="703"/>
      <c r="P90" s="705"/>
      <c r="Q90" s="704"/>
      <c r="R90" s="704"/>
      <c r="S90" s="703"/>
      <c r="T90" s="14"/>
      <c r="U90" s="14"/>
      <c r="V90" s="14"/>
      <c r="W90" s="14"/>
      <c r="X90" s="14"/>
      <c r="Y90" s="14"/>
      <c r="Z90" s="14"/>
      <c r="AA90" s="14"/>
      <c r="AB90" s="14"/>
      <c r="AC90" s="14"/>
    </row>
    <row x14ac:dyDescent="0.25" r="91" customHeight="1" ht="18.75">
      <c r="A91" s="450"/>
      <c r="B91" s="14"/>
      <c r="C91" s="508" t="s">
        <v>438</v>
      </c>
      <c r="D91" s="509"/>
      <c r="E91" s="509"/>
      <c r="F91" s="672"/>
      <c r="G91" s="329"/>
      <c r="H91" s="700"/>
      <c r="I91" s="700"/>
      <c r="J91" s="701"/>
      <c r="K91" s="459"/>
      <c r="L91" s="702"/>
      <c r="M91" s="703"/>
      <c r="N91" s="704"/>
      <c r="O91" s="703"/>
      <c r="P91" s="705"/>
      <c r="Q91" s="704"/>
      <c r="R91" s="700"/>
      <c r="S91" s="703"/>
      <c r="T91" s="14"/>
      <c r="U91" s="14"/>
      <c r="V91" s="14"/>
      <c r="W91" s="14"/>
      <c r="X91" s="14"/>
      <c r="Y91" s="14"/>
      <c r="Z91" s="14"/>
      <c r="AA91" s="14"/>
      <c r="AB91" s="14"/>
      <c r="AC91" s="14"/>
    </row>
    <row x14ac:dyDescent="0.25" r="92" customHeight="1" ht="18.75">
      <c r="A92" s="450"/>
      <c r="B92" s="14"/>
      <c r="C92" s="703" t="s">
        <v>439</v>
      </c>
      <c r="D92" s="231"/>
      <c r="E92" s="231"/>
      <c r="F92" s="11"/>
      <c r="G92" s="329"/>
      <c r="H92" s="700"/>
      <c r="I92" s="15"/>
      <c r="J92" s="459"/>
      <c r="K92" s="459"/>
      <c r="L92" s="702"/>
      <c r="M92" s="703"/>
      <c r="N92" s="704"/>
      <c r="O92" s="703"/>
      <c r="P92" s="705"/>
      <c r="Q92" s="704"/>
      <c r="R92" s="699"/>
      <c r="S92" s="703"/>
      <c r="T92" s="14"/>
      <c r="U92" s="14"/>
      <c r="V92" s="14"/>
      <c r="W92" s="14"/>
      <c r="X92" s="14"/>
      <c r="Y92" s="14"/>
      <c r="Z92" s="14"/>
      <c r="AA92" s="14"/>
      <c r="AB92" s="14"/>
      <c r="AC92" s="14"/>
    </row>
    <row x14ac:dyDescent="0.25" r="93" customHeight="1" ht="18.75">
      <c r="A93" s="715"/>
      <c r="B93" s="48"/>
      <c r="C93" s="716"/>
      <c r="D93" s="136"/>
      <c r="E93" s="136"/>
      <c r="F93" s="45"/>
      <c r="G93" s="461"/>
      <c r="H93" s="136"/>
      <c r="I93" s="136"/>
      <c r="J93" s="462"/>
      <c r="K93" s="462"/>
      <c r="L93" s="717"/>
      <c r="M93" s="703"/>
      <c r="N93" s="704"/>
      <c r="O93" s="703"/>
      <c r="P93" s="705"/>
      <c r="Q93" s="704"/>
      <c r="R93" s="699"/>
      <c r="S93" s="703"/>
      <c r="T93" s="14"/>
      <c r="U93" s="14"/>
      <c r="V93" s="14"/>
      <c r="W93" s="14"/>
      <c r="X93" s="14"/>
      <c r="Y93" s="14"/>
      <c r="Z93" s="14"/>
      <c r="AA93" s="14"/>
      <c r="AB93" s="14"/>
      <c r="AC93" s="14"/>
    </row>
    <row x14ac:dyDescent="0.25" r="94" customHeight="1" ht="18.75">
      <c r="A94" s="11"/>
      <c r="B94" s="14"/>
      <c r="C94" s="703"/>
      <c r="D94" s="231"/>
      <c r="E94" s="231"/>
      <c r="F94" s="11"/>
      <c r="G94" s="329"/>
      <c r="H94" s="15"/>
      <c r="I94" s="15"/>
      <c r="J94" s="459"/>
      <c r="K94" s="459"/>
      <c r="L94" s="703"/>
      <c r="M94" s="703"/>
      <c r="N94" s="704"/>
      <c r="O94" s="703"/>
      <c r="P94" s="705"/>
      <c r="Q94" s="704"/>
      <c r="R94" s="699"/>
      <c r="S94" s="703"/>
      <c r="T94" s="14"/>
      <c r="U94" s="14"/>
      <c r="V94" s="14"/>
      <c r="W94" s="14"/>
      <c r="X94" s="14"/>
      <c r="Y94" s="14"/>
      <c r="Z94" s="14"/>
      <c r="AA94" s="14"/>
      <c r="AB94" s="14"/>
      <c r="AC94" s="14"/>
    </row>
    <row x14ac:dyDescent="0.25" r="95" customHeight="1" ht="18.75">
      <c r="A95" s="11"/>
      <c r="B95" s="14"/>
      <c r="C95" s="703"/>
      <c r="D95" s="231"/>
      <c r="E95" s="231"/>
      <c r="F95" s="11"/>
      <c r="G95" s="329"/>
      <c r="H95" s="15"/>
      <c r="I95" s="15"/>
      <c r="J95" s="459"/>
      <c r="K95" s="459"/>
      <c r="L95" s="703"/>
      <c r="M95" s="703"/>
      <c r="N95" s="704"/>
      <c r="O95" s="703"/>
      <c r="P95" s="705"/>
      <c r="Q95" s="704"/>
      <c r="R95" s="699"/>
      <c r="S95" s="703"/>
      <c r="T95" s="14"/>
      <c r="U95" s="14"/>
      <c r="V95" s="14"/>
      <c r="W95" s="14"/>
      <c r="X95" s="14"/>
      <c r="Y95" s="14"/>
      <c r="Z95" s="14"/>
      <c r="AA95" s="14"/>
      <c r="AB95" s="14"/>
      <c r="AC95" s="14"/>
    </row>
    <row x14ac:dyDescent="0.25" r="96" customHeight="1" ht="18.75">
      <c r="A96" s="11"/>
      <c r="B96" s="14"/>
      <c r="C96" s="718"/>
      <c r="D96" s="708"/>
      <c r="E96" s="708"/>
      <c r="F96" s="719"/>
      <c r="G96" s="329"/>
      <c r="H96" s="15"/>
      <c r="I96" s="15"/>
      <c r="J96" s="459"/>
      <c r="K96" s="459"/>
      <c r="L96" s="703"/>
      <c r="M96" s="703"/>
      <c r="N96" s="704"/>
      <c r="O96" s="703"/>
      <c r="P96" s="705"/>
      <c r="Q96" s="704"/>
      <c r="R96" s="699"/>
      <c r="S96" s="703"/>
      <c r="T96" s="14"/>
      <c r="U96" s="14"/>
      <c r="V96" s="14"/>
      <c r="W96" s="14"/>
      <c r="X96" s="14"/>
      <c r="Y96" s="14"/>
      <c r="Z96" s="14"/>
      <c r="AA96" s="14"/>
      <c r="AB96" s="14"/>
      <c r="AC96" s="14"/>
    </row>
    <row x14ac:dyDescent="0.25" r="97" customHeight="1" ht="18.75">
      <c r="A97" s="11"/>
      <c r="B97" s="14"/>
      <c r="C97" s="587"/>
      <c r="D97" s="588"/>
      <c r="E97" s="588"/>
      <c r="F97" s="591"/>
      <c r="G97" s="592"/>
      <c r="H97" s="15"/>
      <c r="I97" s="15"/>
      <c r="J97" s="459"/>
      <c r="K97" s="459"/>
      <c r="L97" s="703"/>
      <c r="M97" s="703"/>
      <c r="N97" s="704"/>
      <c r="O97" s="703"/>
      <c r="P97" s="705"/>
      <c r="Q97" s="704"/>
      <c r="R97" s="700">
        <f>+D103</f>
      </c>
      <c r="S97" s="703"/>
      <c r="T97" s="14"/>
      <c r="U97" s="14"/>
      <c r="V97" s="14"/>
      <c r="W97" s="14"/>
      <c r="X97" s="14"/>
      <c r="Y97" s="14"/>
      <c r="Z97" s="14"/>
      <c r="AA97" s="14"/>
      <c r="AB97" s="14"/>
      <c r="AC97" s="14"/>
    </row>
    <row x14ac:dyDescent="0.25" r="98" customHeight="1" ht="18.75">
      <c r="A98" s="11"/>
      <c r="B98" s="14"/>
      <c r="C98" s="720"/>
      <c r="D98" s="231"/>
      <c r="E98" s="231"/>
      <c r="F98" s="11"/>
      <c r="G98" s="329"/>
      <c r="H98" s="15"/>
      <c r="I98" s="15"/>
      <c r="J98" s="459"/>
      <c r="K98" s="459"/>
      <c r="L98" s="703"/>
      <c r="M98" s="703"/>
      <c r="N98" s="704"/>
      <c r="O98" s="703"/>
      <c r="P98" s="705"/>
      <c r="Q98" s="704"/>
      <c r="R98" s="704">
        <f>+D104</f>
      </c>
      <c r="S98" s="703"/>
      <c r="T98" s="14"/>
      <c r="U98" s="14"/>
      <c r="V98" s="14"/>
      <c r="W98" s="14"/>
      <c r="X98" s="14"/>
      <c r="Y98" s="14"/>
      <c r="Z98" s="14"/>
      <c r="AA98" s="14"/>
      <c r="AB98" s="14"/>
      <c r="AC98" s="14"/>
    </row>
    <row x14ac:dyDescent="0.25" r="99" customHeight="1" ht="18.75">
      <c r="A99" s="11"/>
      <c r="B99" s="14"/>
      <c r="C99" s="721"/>
      <c r="D99" s="714"/>
      <c r="E99" s="231"/>
      <c r="F99" s="11"/>
      <c r="G99" s="699"/>
      <c r="H99" s="15"/>
      <c r="I99" s="15"/>
      <c r="J99" s="459"/>
      <c r="K99" s="459"/>
      <c r="L99" s="703"/>
      <c r="M99" s="703"/>
      <c r="N99" s="704"/>
      <c r="O99" s="703"/>
      <c r="P99" s="705"/>
      <c r="Q99" s="704"/>
      <c r="R99" s="722">
        <f>(-0.11*R91*#REF!*R92*R97*(R98+0.7))*1000</f>
      </c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</row>
    <row x14ac:dyDescent="0.25" r="100" customHeight="1" ht="18.75">
      <c r="A100" s="11"/>
      <c r="B100" s="14"/>
      <c r="C100" s="721"/>
      <c r="D100" s="714"/>
      <c r="E100" s="700"/>
      <c r="F100" s="704"/>
      <c r="G100" s="699"/>
      <c r="H100" s="15"/>
      <c r="I100" s="15"/>
      <c r="J100" s="459"/>
      <c r="K100" s="459"/>
      <c r="L100" s="14"/>
      <c r="M100" s="14"/>
      <c r="N100" s="11"/>
      <c r="O100" s="14"/>
      <c r="P100" s="13"/>
      <c r="Q100" s="11"/>
      <c r="R100" s="11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</row>
    <row x14ac:dyDescent="0.25" r="101" customHeight="1" ht="18.75">
      <c r="A101" s="11"/>
      <c r="B101" s="14"/>
      <c r="C101" s="721"/>
      <c r="D101" s="714"/>
      <c r="E101" s="700"/>
      <c r="F101" s="723"/>
      <c r="G101" s="700"/>
      <c r="H101" s="593"/>
      <c r="I101" s="593"/>
      <c r="J101" s="688"/>
      <c r="K101" s="688"/>
      <c r="L101" s="711"/>
      <c r="M101" s="711"/>
      <c r="N101" s="11"/>
      <c r="O101" s="14"/>
      <c r="P101" s="13"/>
      <c r="Q101" s="11"/>
      <c r="R101" s="11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</row>
    <row x14ac:dyDescent="0.25" r="102" customHeight="1" ht="18.75">
      <c r="A102" s="11"/>
      <c r="B102" s="14"/>
      <c r="C102" s="721"/>
      <c r="D102" s="714"/>
      <c r="E102" s="700"/>
      <c r="F102" s="723"/>
      <c r="G102" s="724"/>
      <c r="H102" s="15"/>
      <c r="I102" s="15"/>
      <c r="J102" s="459"/>
      <c r="K102" s="459"/>
      <c r="L102" s="14"/>
      <c r="M102" s="14"/>
      <c r="N102" s="11"/>
      <c r="O102" s="14"/>
      <c r="P102" s="13"/>
      <c r="Q102" s="11"/>
      <c r="R102" s="11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</row>
    <row x14ac:dyDescent="0.25" r="103" customHeight="1" ht="18.75">
      <c r="A103" s="11"/>
      <c r="B103" s="14"/>
      <c r="C103" s="721"/>
      <c r="D103" s="714"/>
      <c r="E103" s="700"/>
      <c r="F103" s="723"/>
      <c r="G103" s="700"/>
      <c r="H103" s="15"/>
      <c r="I103" s="15"/>
      <c r="J103" s="459"/>
      <c r="K103" s="459"/>
      <c r="L103" s="14"/>
      <c r="M103" s="14"/>
      <c r="N103" s="11"/>
      <c r="O103" s="14"/>
      <c r="P103" s="13"/>
      <c r="Q103" s="11"/>
      <c r="R103" s="11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</row>
    <row x14ac:dyDescent="0.25" r="104" customHeight="1" ht="18.75">
      <c r="A104" s="11"/>
      <c r="B104" s="14"/>
      <c r="C104" s="721"/>
      <c r="D104" s="714"/>
      <c r="E104" s="700"/>
      <c r="F104" s="723"/>
      <c r="G104" s="699"/>
      <c r="H104" s="15"/>
      <c r="I104" s="15"/>
      <c r="J104" s="459"/>
      <c r="K104" s="459"/>
      <c r="L104" s="14"/>
      <c r="M104" s="14"/>
      <c r="N104" s="11"/>
      <c r="O104" s="14"/>
      <c r="P104" s="13"/>
      <c r="Q104" s="11"/>
      <c r="R104" s="11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</row>
    <row x14ac:dyDescent="0.25" r="105" customHeight="1" ht="18.75">
      <c r="A105" s="11"/>
      <c r="B105" s="14"/>
      <c r="C105" s="721"/>
      <c r="D105" s="714"/>
      <c r="E105" s="700"/>
      <c r="F105" s="723"/>
      <c r="G105" s="699"/>
      <c r="H105" s="15"/>
      <c r="I105" s="15"/>
      <c r="J105" s="459"/>
      <c r="K105" s="459"/>
      <c r="L105" s="14"/>
      <c r="M105" s="14"/>
      <c r="N105" s="11"/>
      <c r="O105" s="14"/>
      <c r="P105" s="13"/>
      <c r="Q105" s="11"/>
      <c r="R105" s="11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</row>
    <row x14ac:dyDescent="0.25" r="106" customHeight="1" ht="18.75">
      <c r="A106" s="11"/>
      <c r="B106" s="14"/>
      <c r="C106" s="725"/>
      <c r="D106" s="714"/>
      <c r="E106" s="714"/>
      <c r="F106" s="726"/>
      <c r="G106" s="714"/>
      <c r="H106" s="15"/>
      <c r="I106" s="15"/>
      <c r="J106" s="459"/>
      <c r="K106" s="459"/>
      <c r="L106" s="14"/>
      <c r="M106" s="14"/>
      <c r="N106" s="11"/>
      <c r="O106" s="14"/>
      <c r="P106" s="13"/>
      <c r="Q106" s="11"/>
      <c r="R106" s="11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</row>
    <row x14ac:dyDescent="0.25" r="107" customHeight="1" ht="18.75">
      <c r="A107" s="11"/>
      <c r="B107" s="14"/>
      <c r="C107" s="721"/>
      <c r="D107" s="714"/>
      <c r="E107" s="231"/>
      <c r="F107" s="11"/>
      <c r="G107" s="329"/>
      <c r="H107" s="15"/>
      <c r="I107" s="15"/>
      <c r="J107" s="459"/>
      <c r="K107" s="459"/>
      <c r="L107" s="14"/>
      <c r="M107" s="14"/>
      <c r="N107" s="11"/>
      <c r="O107" s="14"/>
      <c r="P107" s="13"/>
      <c r="Q107" s="11"/>
      <c r="R107" s="11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</row>
    <row x14ac:dyDescent="0.25" r="108" customHeight="1" ht="18.75">
      <c r="A108" s="11"/>
      <c r="B108" s="14"/>
      <c r="C108" s="343"/>
      <c r="D108" s="388"/>
      <c r="E108" s="231"/>
      <c r="F108" s="11"/>
      <c r="G108" s="329"/>
      <c r="H108" s="15"/>
      <c r="I108" s="15"/>
      <c r="J108" s="459"/>
      <c r="K108" s="459"/>
      <c r="L108" s="14"/>
      <c r="M108" s="14"/>
      <c r="N108" s="11"/>
      <c r="O108" s="14"/>
      <c r="P108" s="13"/>
      <c r="Q108" s="11"/>
      <c r="R108" s="11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</row>
    <row x14ac:dyDescent="0.25" r="109" customHeight="1" ht="18.75">
      <c r="A109" s="11"/>
      <c r="B109" s="14"/>
      <c r="C109" s="226"/>
      <c r="D109" s="231"/>
      <c r="E109" s="231"/>
      <c r="F109" s="11"/>
      <c r="G109" s="329"/>
      <c r="H109" s="15"/>
      <c r="I109" s="15"/>
      <c r="J109" s="459"/>
      <c r="K109" s="459"/>
      <c r="L109" s="14"/>
      <c r="M109" s="14"/>
      <c r="N109" s="11"/>
      <c r="O109" s="14"/>
      <c r="P109" s="13"/>
      <c r="Q109" s="11"/>
      <c r="R109" s="11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</row>
    <row x14ac:dyDescent="0.25" r="110" customHeight="1" ht="18.75">
      <c r="A110" s="11"/>
      <c r="B110" s="14"/>
      <c r="C110" s="226"/>
      <c r="D110" s="231"/>
      <c r="E110" s="231"/>
      <c r="F110" s="11"/>
      <c r="G110" s="329"/>
      <c r="H110" s="15"/>
      <c r="I110" s="15"/>
      <c r="J110" s="459"/>
      <c r="K110" s="459"/>
      <c r="L110" s="14"/>
      <c r="M110" s="14"/>
      <c r="N110" s="11"/>
      <c r="O110" s="14"/>
      <c r="P110" s="13"/>
      <c r="Q110" s="11"/>
      <c r="R110" s="11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</row>
    <row x14ac:dyDescent="0.25" r="111" customHeight="1" ht="18.75">
      <c r="A111" s="11"/>
      <c r="B111" s="14"/>
      <c r="C111" s="718"/>
      <c r="D111" s="708"/>
      <c r="E111" s="708"/>
      <c r="F111" s="719"/>
      <c r="G111" s="727"/>
      <c r="H111" s="15"/>
      <c r="I111" s="15"/>
      <c r="J111" s="459"/>
      <c r="K111" s="459"/>
      <c r="L111" s="14"/>
      <c r="M111" s="14"/>
      <c r="N111" s="11"/>
      <c r="O111" s="14"/>
      <c r="P111" s="13"/>
      <c r="Q111" s="11"/>
      <c r="R111" s="11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</row>
    <row x14ac:dyDescent="0.25" r="112" customHeight="1" ht="18.75">
      <c r="A112" s="11"/>
      <c r="B112" s="14"/>
      <c r="C112" s="587"/>
      <c r="D112" s="593"/>
      <c r="E112" s="593"/>
      <c r="F112" s="608"/>
      <c r="G112" s="727"/>
      <c r="H112" s="15"/>
      <c r="I112" s="15"/>
      <c r="J112" s="459"/>
      <c r="K112" s="459"/>
      <c r="L112" s="14"/>
      <c r="M112" s="14"/>
      <c r="N112" s="11"/>
      <c r="O112" s="14"/>
      <c r="P112" s="13"/>
      <c r="Q112" s="11"/>
      <c r="R112" s="11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</row>
    <row x14ac:dyDescent="0.25" r="113" customHeight="1" ht="18.75">
      <c r="A113" s="11"/>
      <c r="B113" s="14"/>
      <c r="C113" s="703"/>
      <c r="D113" s="728"/>
      <c r="E113" s="231"/>
      <c r="F113" s="578"/>
      <c r="G113" s="727"/>
      <c r="H113" s="15"/>
      <c r="I113" s="15"/>
      <c r="J113" s="459"/>
      <c r="K113" s="459"/>
      <c r="L113" s="14"/>
      <c r="M113" s="14"/>
      <c r="N113" s="11"/>
      <c r="O113" s="14"/>
      <c r="P113" s="13"/>
      <c r="Q113" s="11"/>
      <c r="R113" s="11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</row>
    <row x14ac:dyDescent="0.25" r="114" customHeight="1" ht="18.75">
      <c r="A114" s="11"/>
      <c r="B114" s="14"/>
      <c r="C114" s="703"/>
      <c r="D114" s="728"/>
      <c r="E114" s="231"/>
      <c r="F114" s="578"/>
      <c r="G114" s="329"/>
      <c r="H114" s="15"/>
      <c r="I114" s="15"/>
      <c r="J114" s="459"/>
      <c r="K114" s="459"/>
      <c r="L114" s="14"/>
      <c r="M114" s="14"/>
      <c r="N114" s="11"/>
      <c r="O114" s="14"/>
      <c r="P114" s="13"/>
      <c r="Q114" s="11"/>
      <c r="R114" s="11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</row>
    <row x14ac:dyDescent="0.25" r="115" customHeight="1" ht="18.75">
      <c r="A115" s="11"/>
      <c r="B115" s="14"/>
      <c r="C115" s="587"/>
      <c r="D115" s="593"/>
      <c r="E115" s="593"/>
      <c r="F115" s="608"/>
      <c r="G115" s="329"/>
      <c r="H115" s="15"/>
      <c r="I115" s="15"/>
      <c r="J115" s="459"/>
      <c r="K115" s="459"/>
      <c r="L115" s="14"/>
      <c r="M115" s="14"/>
      <c r="N115" s="11"/>
      <c r="O115" s="14"/>
      <c r="P115" s="13"/>
      <c r="Q115" s="11"/>
      <c r="R115" s="11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</row>
    <row x14ac:dyDescent="0.25" r="116" customHeight="1" ht="18.75">
      <c r="A116" s="11"/>
      <c r="B116" s="14"/>
      <c r="C116" s="703"/>
      <c r="D116" s="728"/>
      <c r="E116" s="231"/>
      <c r="F116" s="578"/>
      <c r="G116" s="329"/>
      <c r="H116" s="15"/>
      <c r="I116" s="15"/>
      <c r="J116" s="459"/>
      <c r="K116" s="459"/>
      <c r="L116" s="14"/>
      <c r="M116" s="14"/>
      <c r="N116" s="11"/>
      <c r="O116" s="14"/>
      <c r="P116" s="13"/>
      <c r="Q116" s="11"/>
      <c r="R116" s="11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</row>
    <row x14ac:dyDescent="0.25" r="117" customHeight="1" ht="18.75">
      <c r="A117" s="11"/>
      <c r="B117" s="14"/>
      <c r="C117" s="703"/>
      <c r="D117" s="728"/>
      <c r="E117" s="231"/>
      <c r="F117" s="578"/>
      <c r="G117" s="329"/>
      <c r="H117" s="15"/>
      <c r="I117" s="15"/>
      <c r="J117" s="459"/>
      <c r="K117" s="459"/>
      <c r="L117" s="14"/>
      <c r="M117" s="14"/>
      <c r="N117" s="11"/>
      <c r="O117" s="14"/>
      <c r="P117" s="13"/>
      <c r="Q117" s="11"/>
      <c r="R117" s="11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</row>
    <row x14ac:dyDescent="0.25" r="118" customHeight="1" ht="18.75">
      <c r="A118" s="11"/>
      <c r="B118" s="14"/>
      <c r="C118" s="226"/>
      <c r="D118" s="231"/>
      <c r="E118" s="231"/>
      <c r="F118" s="11"/>
      <c r="G118" s="329"/>
      <c r="H118" s="15"/>
      <c r="I118" s="15"/>
      <c r="J118" s="459"/>
      <c r="K118" s="459"/>
      <c r="L118" s="14"/>
      <c r="M118" s="14"/>
      <c r="N118" s="11"/>
      <c r="O118" s="14"/>
      <c r="P118" s="13"/>
      <c r="Q118" s="11"/>
      <c r="R118" s="11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</row>
    <row x14ac:dyDescent="0.25" r="119" customHeight="1" ht="18.75">
      <c r="A119" s="11"/>
      <c r="B119" s="14"/>
      <c r="C119" s="226"/>
      <c r="D119" s="231"/>
      <c r="E119" s="231"/>
      <c r="F119" s="11"/>
      <c r="G119" s="329"/>
      <c r="H119" s="15"/>
      <c r="I119" s="15"/>
      <c r="J119" s="459"/>
      <c r="K119" s="459"/>
      <c r="L119" s="14"/>
      <c r="M119" s="14"/>
      <c r="N119" s="11"/>
      <c r="O119" s="14"/>
      <c r="P119" s="13"/>
      <c r="Q119" s="11"/>
      <c r="R119" s="11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</row>
    <row x14ac:dyDescent="0.25" r="120" customHeight="1" ht="18.75">
      <c r="A120" s="11"/>
      <c r="B120" s="14"/>
      <c r="C120" s="226"/>
      <c r="D120" s="231"/>
      <c r="E120" s="231"/>
      <c r="F120" s="11"/>
      <c r="G120" s="329"/>
      <c r="H120" s="15"/>
      <c r="I120" s="15"/>
      <c r="J120" s="459"/>
      <c r="K120" s="459"/>
      <c r="L120" s="14"/>
      <c r="M120" s="14"/>
      <c r="N120" s="11"/>
      <c r="O120" s="14"/>
      <c r="P120" s="13"/>
      <c r="Q120" s="11"/>
      <c r="R120" s="11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</row>
    <row x14ac:dyDescent="0.25" r="121" customHeight="1" ht="18.75">
      <c r="A121" s="11"/>
      <c r="B121" s="14"/>
      <c r="C121" s="226"/>
      <c r="D121" s="231"/>
      <c r="E121" s="231"/>
      <c r="F121" s="11"/>
      <c r="G121" s="329"/>
      <c r="H121" s="15"/>
      <c r="I121" s="15"/>
      <c r="J121" s="459"/>
      <c r="K121" s="459"/>
      <c r="L121" s="14"/>
      <c r="M121" s="14"/>
      <c r="N121" s="11"/>
      <c r="O121" s="14"/>
      <c r="P121" s="13"/>
      <c r="Q121" s="11"/>
      <c r="R121" s="11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</row>
    <row x14ac:dyDescent="0.25" r="122" customHeight="1" ht="18.75">
      <c r="A122" s="11"/>
      <c r="B122" s="14"/>
      <c r="C122" s="226"/>
      <c r="D122" s="231"/>
      <c r="E122" s="231"/>
      <c r="F122" s="11"/>
      <c r="G122" s="329"/>
      <c r="H122" s="15"/>
      <c r="I122" s="15"/>
      <c r="J122" s="459"/>
      <c r="K122" s="459"/>
      <c r="L122" s="14"/>
      <c r="M122" s="14"/>
      <c r="N122" s="11"/>
      <c r="O122" s="14"/>
      <c r="P122" s="13"/>
      <c r="Q122" s="11"/>
      <c r="R122" s="11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</row>
    <row x14ac:dyDescent="0.25" r="123" customHeight="1" ht="18.75">
      <c r="A123" s="11"/>
      <c r="B123" s="14"/>
      <c r="C123" s="226"/>
      <c r="D123" s="231"/>
      <c r="E123" s="231"/>
      <c r="F123" s="11"/>
      <c r="G123" s="329"/>
      <c r="H123" s="15"/>
      <c r="I123" s="15"/>
      <c r="J123" s="459"/>
      <c r="K123" s="459"/>
      <c r="L123" s="14"/>
      <c r="M123" s="14"/>
      <c r="N123" s="11"/>
      <c r="O123" s="14"/>
      <c r="P123" s="13"/>
      <c r="Q123" s="11"/>
      <c r="R123" s="11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</row>
    <row x14ac:dyDescent="0.25" r="124" customHeight="1" ht="18.75">
      <c r="A124" s="11"/>
      <c r="B124" s="14"/>
      <c r="C124" s="226"/>
      <c r="D124" s="231"/>
      <c r="E124" s="231"/>
      <c r="F124" s="11"/>
      <c r="G124" s="329"/>
      <c r="H124" s="15"/>
      <c r="I124" s="15"/>
      <c r="J124" s="459"/>
      <c r="K124" s="459"/>
      <c r="L124" s="14"/>
      <c r="M124" s="14"/>
      <c r="N124" s="11"/>
      <c r="O124" s="14"/>
      <c r="P124" s="13"/>
      <c r="Q124" s="11"/>
      <c r="R124" s="11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</row>
    <row x14ac:dyDescent="0.25" r="125" customHeight="1" ht="18.75">
      <c r="A125" s="11"/>
      <c r="B125" s="14"/>
      <c r="C125" s="226"/>
      <c r="D125" s="231"/>
      <c r="E125" s="231"/>
      <c r="F125" s="11"/>
      <c r="G125" s="329"/>
      <c r="H125" s="15"/>
      <c r="I125" s="15"/>
      <c r="J125" s="459"/>
      <c r="K125" s="459"/>
      <c r="L125" s="14"/>
      <c r="M125" s="14"/>
      <c r="N125" s="11"/>
      <c r="O125" s="14"/>
      <c r="P125" s="13"/>
      <c r="Q125" s="11"/>
      <c r="R125" s="11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</row>
    <row x14ac:dyDescent="0.25" r="126" customHeight="1" ht="18.75">
      <c r="A126" s="11"/>
      <c r="B126" s="14"/>
      <c r="C126" s="226"/>
      <c r="D126" s="231"/>
      <c r="E126" s="231"/>
      <c r="F126" s="11"/>
      <c r="G126" s="329"/>
      <c r="H126" s="15"/>
      <c r="I126" s="15"/>
      <c r="J126" s="459"/>
      <c r="K126" s="459"/>
      <c r="L126" s="14"/>
      <c r="M126" s="14"/>
      <c r="N126" s="11"/>
      <c r="O126" s="14"/>
      <c r="P126" s="13"/>
      <c r="Q126" s="11"/>
      <c r="R126" s="11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</row>
    <row x14ac:dyDescent="0.25" r="127" customHeight="1" ht="18.75">
      <c r="A127" s="11"/>
      <c r="B127" s="706"/>
      <c r="C127" s="226"/>
      <c r="D127" s="231"/>
      <c r="E127" s="231"/>
      <c r="F127" s="11"/>
      <c r="G127" s="329"/>
      <c r="H127" s="15"/>
      <c r="I127" s="15"/>
      <c r="J127" s="459"/>
      <c r="K127" s="459"/>
      <c r="L127" s="14"/>
      <c r="M127" s="14"/>
      <c r="N127" s="11"/>
      <c r="O127" s="14"/>
      <c r="P127" s="13"/>
      <c r="Q127" s="11"/>
      <c r="R127" s="11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</row>
    <row x14ac:dyDescent="0.25" r="128" customHeight="1" ht="18.75">
      <c r="A128" s="11"/>
      <c r="B128" s="14"/>
      <c r="C128" s="226"/>
      <c r="D128" s="231"/>
      <c r="E128" s="231"/>
      <c r="F128" s="11"/>
      <c r="G128" s="329"/>
      <c r="H128" s="15"/>
      <c r="I128" s="15"/>
      <c r="J128" s="459"/>
      <c r="K128" s="459"/>
      <c r="L128" s="14"/>
      <c r="M128" s="14"/>
      <c r="N128" s="11"/>
      <c r="O128" s="14"/>
      <c r="P128" s="13"/>
      <c r="Q128" s="11"/>
      <c r="R128" s="11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</row>
    <row x14ac:dyDescent="0.25" r="129" customHeight="1" ht="18.75">
      <c r="A129" s="11"/>
      <c r="B129" s="14"/>
      <c r="C129" s="226"/>
      <c r="D129" s="231"/>
      <c r="E129" s="231"/>
      <c r="F129" s="11"/>
      <c r="G129" s="329"/>
      <c r="H129" s="15"/>
      <c r="I129" s="15"/>
      <c r="J129" s="459"/>
      <c r="K129" s="459"/>
      <c r="L129" s="14"/>
      <c r="M129" s="14"/>
      <c r="N129" s="11"/>
      <c r="O129" s="14"/>
      <c r="P129" s="13"/>
      <c r="Q129" s="11"/>
      <c r="R129" s="11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</row>
    <row x14ac:dyDescent="0.25" r="130" customHeight="1" ht="18.75">
      <c r="A130" s="11"/>
      <c r="B130" s="14"/>
      <c r="C130" s="226"/>
      <c r="D130" s="231"/>
      <c r="E130" s="231"/>
      <c r="F130" s="11"/>
      <c r="G130" s="329"/>
      <c r="H130" s="15"/>
      <c r="I130" s="15"/>
      <c r="J130" s="459"/>
      <c r="K130" s="459"/>
      <c r="L130" s="14"/>
      <c r="M130" s="14"/>
      <c r="N130" s="11"/>
      <c r="O130" s="14"/>
      <c r="P130" s="13"/>
      <c r="Q130" s="11"/>
      <c r="R130" s="11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</row>
    <row x14ac:dyDescent="0.25" r="131" customHeight="1" ht="18.75">
      <c r="A131" s="11"/>
      <c r="B131" s="14"/>
      <c r="C131" s="226"/>
      <c r="D131" s="231"/>
      <c r="E131" s="231"/>
      <c r="F131" s="11"/>
      <c r="G131" s="329"/>
      <c r="H131" s="15"/>
      <c r="I131" s="15"/>
      <c r="J131" s="459"/>
      <c r="K131" s="459"/>
      <c r="L131" s="14"/>
      <c r="M131" s="14"/>
      <c r="N131" s="11"/>
      <c r="O131" s="14"/>
      <c r="P131" s="13"/>
      <c r="Q131" s="11"/>
      <c r="R131" s="11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</row>
    <row x14ac:dyDescent="0.25" r="132" customHeight="1" ht="18.75">
      <c r="A132" s="11"/>
      <c r="B132" s="14"/>
      <c r="C132" s="226"/>
      <c r="D132" s="231"/>
      <c r="E132" s="231"/>
      <c r="F132" s="11"/>
      <c r="G132" s="329"/>
      <c r="H132" s="15"/>
      <c r="I132" s="15"/>
      <c r="J132" s="459"/>
      <c r="K132" s="459"/>
      <c r="L132" s="14"/>
      <c r="M132" s="14"/>
      <c r="N132" s="11"/>
      <c r="O132" s="14"/>
      <c r="P132" s="13"/>
      <c r="Q132" s="11"/>
      <c r="R132" s="11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</row>
    <row x14ac:dyDescent="0.25" r="133" customHeight="1" ht="18.75">
      <c r="A133" s="11"/>
      <c r="B133" s="14"/>
      <c r="C133" s="226"/>
      <c r="D133" s="231"/>
      <c r="E133" s="231"/>
      <c r="F133" s="11"/>
      <c r="G133" s="329"/>
      <c r="H133" s="15"/>
      <c r="I133" s="15"/>
      <c r="J133" s="459"/>
      <c r="K133" s="459"/>
      <c r="L133" s="14"/>
      <c r="M133" s="14"/>
      <c r="N133" s="11"/>
      <c r="O133" s="14"/>
      <c r="P133" s="13"/>
      <c r="Q133" s="11"/>
      <c r="R133" s="11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x14ac:dyDescent="0.25" r="134" customHeight="1" ht="18.75">
      <c r="A134" s="11"/>
      <c r="B134" s="14"/>
      <c r="C134" s="226"/>
      <c r="D134" s="231"/>
      <c r="E134" s="231"/>
      <c r="F134" s="11"/>
      <c r="G134" s="329"/>
      <c r="H134" s="15"/>
      <c r="I134" s="15"/>
      <c r="J134" s="459"/>
      <c r="K134" s="459"/>
      <c r="L134" s="14"/>
      <c r="M134" s="14"/>
      <c r="N134" s="11"/>
      <c r="O134" s="14"/>
      <c r="P134" s="13"/>
      <c r="Q134" s="11"/>
      <c r="R134" s="11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x14ac:dyDescent="0.25" r="135" customHeight="1" ht="18.75">
      <c r="A135" s="11"/>
      <c r="B135" s="14"/>
      <c r="C135" s="226"/>
      <c r="D135" s="231"/>
      <c r="E135" s="231"/>
      <c r="F135" s="11"/>
      <c r="G135" s="329"/>
      <c r="H135" s="15"/>
      <c r="I135" s="15"/>
      <c r="J135" s="459"/>
      <c r="K135" s="459"/>
      <c r="L135" s="14"/>
      <c r="M135" s="14"/>
      <c r="N135" s="11"/>
      <c r="O135" s="14"/>
      <c r="P135" s="13"/>
      <c r="Q135" s="11"/>
      <c r="R135" s="11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</row>
    <row x14ac:dyDescent="0.25" r="136" customHeight="1" ht="18.75">
      <c r="A136" s="11"/>
      <c r="B136" s="14"/>
      <c r="C136" s="226"/>
      <c r="D136" s="231"/>
      <c r="E136" s="231"/>
      <c r="F136" s="11"/>
      <c r="G136" s="329"/>
      <c r="H136" s="15"/>
      <c r="I136" s="15"/>
      <c r="J136" s="459"/>
      <c r="K136" s="459"/>
      <c r="L136" s="14"/>
      <c r="M136" s="14"/>
      <c r="N136" s="11"/>
      <c r="O136" s="14"/>
      <c r="P136" s="13"/>
      <c r="Q136" s="11"/>
      <c r="R136" s="11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</row>
    <row x14ac:dyDescent="0.25" r="137" customHeight="1" ht="18.75">
      <c r="A137" s="11"/>
      <c r="B137" s="14"/>
      <c r="C137" s="226"/>
      <c r="D137" s="231"/>
      <c r="E137" s="231"/>
      <c r="F137" s="11"/>
      <c r="G137" s="329"/>
      <c r="H137" s="15"/>
      <c r="I137" s="15"/>
      <c r="J137" s="459"/>
      <c r="K137" s="459"/>
      <c r="L137" s="14"/>
      <c r="M137" s="14"/>
      <c r="N137" s="11"/>
      <c r="O137" s="14"/>
      <c r="P137" s="13"/>
      <c r="Q137" s="11"/>
      <c r="R137" s="11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</row>
    <row x14ac:dyDescent="0.25" r="138" customHeight="1" ht="18.75">
      <c r="A138" s="11"/>
      <c r="B138" s="14"/>
      <c r="C138" s="226"/>
      <c r="D138" s="231"/>
      <c r="E138" s="231"/>
      <c r="F138" s="11"/>
      <c r="G138" s="329"/>
      <c r="H138" s="15"/>
      <c r="I138" s="15"/>
      <c r="J138" s="459"/>
      <c r="K138" s="459"/>
      <c r="L138" s="14"/>
      <c r="M138" s="14"/>
      <c r="N138" s="11"/>
      <c r="O138" s="14"/>
      <c r="P138" s="13"/>
      <c r="Q138" s="11"/>
      <c r="R138" s="11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</row>
    <row x14ac:dyDescent="0.25" r="139" customHeight="1" ht="18.75">
      <c r="A139" s="11"/>
      <c r="B139" s="14"/>
      <c r="C139" s="226"/>
      <c r="D139" s="231"/>
      <c r="E139" s="231"/>
      <c r="F139" s="11"/>
      <c r="G139" s="329"/>
      <c r="H139" s="15"/>
      <c r="I139" s="15"/>
      <c r="J139" s="459"/>
      <c r="K139" s="459"/>
      <c r="L139" s="14"/>
      <c r="M139" s="14"/>
      <c r="N139" s="11"/>
      <c r="O139" s="14"/>
      <c r="P139" s="13"/>
      <c r="Q139" s="11"/>
      <c r="R139" s="11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</row>
    <row x14ac:dyDescent="0.25" r="140" customHeight="1" ht="18.75">
      <c r="A140" s="11"/>
      <c r="B140" s="14"/>
      <c r="C140" s="226"/>
      <c r="D140" s="231"/>
      <c r="E140" s="231"/>
      <c r="F140" s="11"/>
      <c r="G140" s="329"/>
      <c r="H140" s="15"/>
      <c r="I140" s="15"/>
      <c r="J140" s="459"/>
      <c r="K140" s="459"/>
      <c r="L140" s="14"/>
      <c r="M140" s="14"/>
      <c r="N140" s="11"/>
      <c r="O140" s="14"/>
      <c r="P140" s="13"/>
      <c r="Q140" s="11"/>
      <c r="R140" s="11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</row>
    <row x14ac:dyDescent="0.25" r="141" customHeight="1" ht="18.75">
      <c r="A141" s="11"/>
      <c r="B141" s="14"/>
      <c r="C141" s="226"/>
      <c r="D141" s="231"/>
      <c r="E141" s="231"/>
      <c r="F141" s="11"/>
      <c r="G141" s="329"/>
      <c r="H141" s="15"/>
      <c r="I141" s="15"/>
      <c r="J141" s="459"/>
      <c r="K141" s="459"/>
      <c r="L141" s="14"/>
      <c r="M141" s="14"/>
      <c r="N141" s="11"/>
      <c r="O141" s="14"/>
      <c r="P141" s="13"/>
      <c r="Q141" s="11"/>
      <c r="R141" s="11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</row>
    <row x14ac:dyDescent="0.25" r="142" customHeight="1" ht="18.75">
      <c r="A142" s="11"/>
      <c r="B142" s="14"/>
      <c r="C142" s="226"/>
      <c r="D142" s="231"/>
      <c r="E142" s="231"/>
      <c r="F142" s="11"/>
      <c r="G142" s="329"/>
      <c r="H142" s="15"/>
      <c r="I142" s="15"/>
      <c r="J142" s="459"/>
      <c r="K142" s="459"/>
      <c r="L142" s="14"/>
      <c r="M142" s="14"/>
      <c r="N142" s="11"/>
      <c r="O142" s="14"/>
      <c r="P142" s="13"/>
      <c r="Q142" s="11"/>
      <c r="R142" s="11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</row>
    <row x14ac:dyDescent="0.25" r="143" customHeight="1" ht="18.75">
      <c r="A143" s="11"/>
      <c r="B143" s="14"/>
      <c r="C143" s="226"/>
      <c r="D143" s="231"/>
      <c r="E143" s="231"/>
      <c r="F143" s="11"/>
      <c r="G143" s="329"/>
      <c r="H143" s="15"/>
      <c r="I143" s="15"/>
      <c r="J143" s="459"/>
      <c r="K143" s="459"/>
      <c r="L143" s="14"/>
      <c r="M143" s="14"/>
      <c r="N143" s="11"/>
      <c r="O143" s="14"/>
      <c r="P143" s="13"/>
      <c r="Q143" s="11"/>
      <c r="R143" s="11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</row>
    <row x14ac:dyDescent="0.25" r="144" customHeight="1" ht="18.75">
      <c r="A144" s="11"/>
      <c r="B144" s="14"/>
      <c r="C144" s="226"/>
      <c r="D144" s="231"/>
      <c r="E144" s="231"/>
      <c r="F144" s="11"/>
      <c r="G144" s="329"/>
      <c r="H144" s="15"/>
      <c r="I144" s="15"/>
      <c r="J144" s="459"/>
      <c r="K144" s="459"/>
      <c r="L144" s="14"/>
      <c r="M144" s="14"/>
      <c r="N144" s="11"/>
      <c r="O144" s="14"/>
      <c r="P144" s="13"/>
      <c r="Q144" s="11"/>
      <c r="R144" s="11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</row>
    <row x14ac:dyDescent="0.25" r="145" customHeight="1" ht="18.75">
      <c r="A145" s="11"/>
      <c r="B145" s="14"/>
      <c r="C145" s="226"/>
      <c r="D145" s="231"/>
      <c r="E145" s="231"/>
      <c r="F145" s="11"/>
      <c r="G145" s="329"/>
      <c r="H145" s="15"/>
      <c r="I145" s="15"/>
      <c r="J145" s="459"/>
      <c r="K145" s="459"/>
      <c r="L145" s="14"/>
      <c r="M145" s="14"/>
      <c r="N145" s="11"/>
      <c r="O145" s="14"/>
      <c r="P145" s="13"/>
      <c r="Q145" s="11"/>
      <c r="R145" s="11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</row>
    <row x14ac:dyDescent="0.25" r="146" customHeight="1" ht="18.75">
      <c r="A146" s="11"/>
      <c r="B146" s="14"/>
      <c r="C146" s="226"/>
      <c r="D146" s="231"/>
      <c r="E146" s="231"/>
      <c r="F146" s="11"/>
      <c r="G146" s="329"/>
      <c r="H146" s="15"/>
      <c r="I146" s="15"/>
      <c r="J146" s="459"/>
      <c r="K146" s="459"/>
      <c r="L146" s="14"/>
      <c r="M146" s="14"/>
      <c r="N146" s="11"/>
      <c r="O146" s="14"/>
      <c r="P146" s="13"/>
      <c r="Q146" s="11"/>
      <c r="R146" s="11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</row>
    <row x14ac:dyDescent="0.25" r="147" customHeight="1" ht="18.75">
      <c r="A147" s="11"/>
      <c r="B147" s="14"/>
      <c r="C147" s="226"/>
      <c r="D147" s="231"/>
      <c r="E147" s="231"/>
      <c r="F147" s="265"/>
      <c r="G147" s="329"/>
      <c r="H147" s="15"/>
      <c r="I147" s="15"/>
      <c r="J147" s="459"/>
      <c r="K147" s="459"/>
      <c r="L147" s="14"/>
      <c r="M147" s="14"/>
      <c r="N147" s="11"/>
      <c r="O147" s="14"/>
      <c r="P147" s="13"/>
      <c r="Q147" s="11"/>
      <c r="R147" s="11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</row>
    <row x14ac:dyDescent="0.25" r="148" customHeight="1" ht="18.75">
      <c r="A148" s="11"/>
      <c r="B148" s="14"/>
      <c r="C148" s="226"/>
      <c r="D148" s="231"/>
      <c r="E148" s="231"/>
      <c r="F148" s="11"/>
      <c r="G148" s="329"/>
      <c r="H148" s="15"/>
      <c r="I148" s="15"/>
      <c r="J148" s="459"/>
      <c r="K148" s="459"/>
      <c r="L148" s="14"/>
      <c r="M148" s="14"/>
      <c r="N148" s="11"/>
      <c r="O148" s="14"/>
      <c r="P148" s="13"/>
      <c r="Q148" s="11"/>
      <c r="R148" s="11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</row>
    <row x14ac:dyDescent="0.25" r="149" customHeight="1" ht="18.75">
      <c r="A149" s="11"/>
      <c r="B149" s="14"/>
      <c r="C149" s="226"/>
      <c r="D149" s="231"/>
      <c r="E149" s="231"/>
      <c r="F149" s="11"/>
      <c r="G149" s="329"/>
      <c r="H149" s="15"/>
      <c r="I149" s="15"/>
      <c r="J149" s="459"/>
      <c r="K149" s="459"/>
      <c r="L149" s="14"/>
      <c r="M149" s="14"/>
      <c r="N149" s="11"/>
      <c r="O149" s="14"/>
      <c r="P149" s="13"/>
      <c r="Q149" s="11"/>
      <c r="R149" s="11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</row>
    <row x14ac:dyDescent="0.25" r="150" customHeight="1" ht="18.75">
      <c r="A150" s="11"/>
      <c r="B150" s="14"/>
      <c r="C150" s="226"/>
      <c r="D150" s="231"/>
      <c r="E150" s="231"/>
      <c r="F150" s="11"/>
      <c r="G150" s="329"/>
      <c r="H150" s="15"/>
      <c r="I150" s="15"/>
      <c r="J150" s="459"/>
      <c r="K150" s="459"/>
      <c r="L150" s="14"/>
      <c r="M150" s="14"/>
      <c r="N150" s="11"/>
      <c r="O150" s="14"/>
      <c r="P150" s="13"/>
      <c r="Q150" s="11"/>
      <c r="R150" s="11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</row>
    <row x14ac:dyDescent="0.25" r="151" customHeight="1" ht="18.75">
      <c r="A151" s="11"/>
      <c r="B151" s="14"/>
      <c r="C151" s="729"/>
      <c r="D151" s="730" t="s">
        <v>440</v>
      </c>
      <c r="E151" s="730"/>
      <c r="F151" s="11"/>
      <c r="G151" s="329"/>
      <c r="H151" s="15"/>
      <c r="I151" s="15"/>
      <c r="J151" s="459"/>
      <c r="K151" s="459"/>
      <c r="L151" s="14"/>
      <c r="M151" s="14"/>
      <c r="N151" s="11"/>
      <c r="O151" s="14"/>
      <c r="P151" s="13"/>
      <c r="Q151" s="11"/>
      <c r="R151" s="11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</row>
    <row x14ac:dyDescent="0.25" r="152" customHeight="1" ht="18.75">
      <c r="A152" s="11"/>
      <c r="B152" s="14"/>
      <c r="C152" s="706" t="s">
        <v>441</v>
      </c>
      <c r="D152" s="731"/>
      <c r="E152" s="731"/>
      <c r="F152" s="11"/>
      <c r="G152" s="329"/>
      <c r="H152" s="15"/>
      <c r="I152" s="15"/>
      <c r="J152" s="459"/>
      <c r="K152" s="459"/>
      <c r="L152" s="14"/>
      <c r="M152" s="14"/>
      <c r="N152" s="11"/>
      <c r="O152" s="14"/>
      <c r="P152" s="13"/>
      <c r="Q152" s="11"/>
      <c r="R152" s="11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</row>
  </sheetData>
  <mergeCells count="41">
    <mergeCell ref="F1:G1"/>
    <mergeCell ref="D4:L4"/>
    <mergeCell ref="A8:K8"/>
    <mergeCell ref="A9:A10"/>
    <mergeCell ref="B9:B10"/>
    <mergeCell ref="C9:C10"/>
    <mergeCell ref="D9:E9"/>
    <mergeCell ref="B30:B31"/>
    <mergeCell ref="E30:F31"/>
    <mergeCell ref="T31:AC31"/>
    <mergeCell ref="A33:D33"/>
    <mergeCell ref="A42:D42"/>
    <mergeCell ref="A43:D43"/>
    <mergeCell ref="A44:D44"/>
    <mergeCell ref="A45:D45"/>
    <mergeCell ref="C47:F47"/>
    <mergeCell ref="A49:G49"/>
    <mergeCell ref="A50:A51"/>
    <mergeCell ref="B50:B51"/>
    <mergeCell ref="C50:D50"/>
    <mergeCell ref="E50:E51"/>
    <mergeCell ref="F50:F51"/>
    <mergeCell ref="G50:G51"/>
    <mergeCell ref="A64:B64"/>
    <mergeCell ref="A66:A67"/>
    <mergeCell ref="B66:B67"/>
    <mergeCell ref="C66:D66"/>
    <mergeCell ref="E66:E67"/>
    <mergeCell ref="F66:F67"/>
    <mergeCell ref="G66:G67"/>
    <mergeCell ref="A73:B73"/>
    <mergeCell ref="C74:C75"/>
    <mergeCell ref="C76:C77"/>
    <mergeCell ref="C78:C79"/>
    <mergeCell ref="C82:F82"/>
    <mergeCell ref="C84:F84"/>
    <mergeCell ref="C87:F87"/>
    <mergeCell ref="H87:K87"/>
    <mergeCell ref="C96:F96"/>
    <mergeCell ref="C111:F111"/>
    <mergeCell ref="C152:E15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50"/>
  <sheetViews>
    <sheetView workbookViewId="0"/>
  </sheetViews>
  <sheetFormatPr defaultRowHeight="15" x14ac:dyDescent="0.25"/>
  <cols>
    <col min="1" max="1" style="138" width="18.433571428571426" customWidth="1" bestFit="1"/>
    <col min="2" max="2" style="138" width="39.43357142857143" customWidth="1" bestFit="1"/>
    <col min="3" max="3" style="139" width="18.862142857142857" customWidth="1" bestFit="1"/>
    <col min="4" max="4" style="138" width="17.290714285714284" customWidth="1" bestFit="1"/>
    <col min="5" max="5" style="139" width="17.862142857142857" customWidth="1" bestFit="1"/>
    <col min="6" max="6" style="139" width="13.43357142857143" customWidth="1" bestFit="1"/>
    <col min="7" max="7" style="138" width="23.576428571428572" customWidth="1" bestFit="1"/>
    <col min="8" max="8" style="138" width="13.576428571428572" customWidth="1" bestFit="1"/>
    <col min="9" max="9" style="138" width="13.576428571428572" customWidth="1" bestFit="1"/>
    <col min="10" max="10" style="141" width="13.576428571428572" customWidth="1" bestFit="1"/>
    <col min="11" max="11" style="138" width="13.576428571428572" customWidth="1" bestFit="1"/>
    <col min="12" max="12" style="138" width="13.576428571428572" customWidth="1" bestFit="1"/>
    <col min="13" max="13" style="138" width="13.576428571428572" customWidth="1" bestFit="1"/>
    <col min="14" max="14" style="138" width="13.576428571428572" customWidth="1" bestFit="1"/>
    <col min="15" max="15" style="138" width="13.576428571428572" customWidth="1" bestFit="1"/>
    <col min="16" max="16" style="138" width="13.576428571428572" customWidth="1" bestFit="1"/>
    <col min="17" max="17" style="138" width="13.576428571428572" customWidth="1" bestFit="1"/>
    <col min="18" max="18" style="138" width="13.576428571428572" customWidth="1" bestFit="1"/>
    <col min="19" max="19" style="138" width="13.576428571428572" customWidth="1" bestFit="1"/>
  </cols>
  <sheetData>
    <row x14ac:dyDescent="0.25" r="1" customHeight="1" ht="18.75">
      <c r="A1" s="1"/>
      <c r="B1" s="383" t="s">
        <v>162</v>
      </c>
      <c r="C1" s="384" t="s">
        <v>163</v>
      </c>
      <c r="D1" s="255" t="s">
        <v>164</v>
      </c>
      <c r="E1" s="385" t="s">
        <v>165</v>
      </c>
      <c r="F1" s="385"/>
      <c r="G1" s="6"/>
      <c r="H1" s="6"/>
      <c r="I1" s="258" t="s">
        <v>166</v>
      </c>
      <c r="J1" s="257"/>
      <c r="K1" s="259"/>
      <c r="L1" s="14"/>
      <c r="M1" s="14"/>
      <c r="N1" s="14"/>
      <c r="O1" s="14"/>
      <c r="P1" s="14"/>
      <c r="Q1" s="14"/>
      <c r="R1" s="14"/>
      <c r="S1" s="14"/>
    </row>
    <row x14ac:dyDescent="0.25" r="2" customHeight="1" ht="18.75">
      <c r="A2" s="16"/>
      <c r="B2" s="386" t="s">
        <v>167</v>
      </c>
      <c r="C2" s="261"/>
      <c r="D2" s="262" t="s">
        <v>168</v>
      </c>
      <c r="E2" s="387">
        <v>4020</v>
      </c>
      <c r="F2" s="15"/>
      <c r="G2" s="14"/>
      <c r="H2" s="14"/>
      <c r="I2" s="264" t="s">
        <v>169</v>
      </c>
      <c r="J2" s="265">
        <v>0</v>
      </c>
      <c r="K2" s="21"/>
      <c r="L2" s="14"/>
      <c r="M2" s="14"/>
      <c r="N2" s="14"/>
      <c r="O2" s="14"/>
      <c r="P2" s="14"/>
      <c r="Q2" s="14"/>
      <c r="R2" s="14"/>
      <c r="S2" s="14"/>
    </row>
    <row x14ac:dyDescent="0.25" r="3" customHeight="1" ht="18.75">
      <c r="A3" s="16"/>
      <c r="B3" s="386"/>
      <c r="C3" s="388"/>
      <c r="D3" s="262" t="s">
        <v>170</v>
      </c>
      <c r="E3" s="15" t="s">
        <v>171</v>
      </c>
      <c r="F3" s="388"/>
      <c r="G3" s="267"/>
      <c r="H3" s="267"/>
      <c r="I3" s="267"/>
      <c r="J3" s="268"/>
      <c r="K3" s="269"/>
      <c r="L3" s="14"/>
      <c r="M3" s="14"/>
      <c r="N3" s="14"/>
      <c r="O3" s="14"/>
      <c r="P3" s="14"/>
      <c r="Q3" s="14"/>
      <c r="R3" s="14"/>
      <c r="S3" s="14"/>
    </row>
    <row x14ac:dyDescent="0.25" r="4" customHeight="1" ht="18.75">
      <c r="A4" s="16"/>
      <c r="B4" s="389" t="s">
        <v>172</v>
      </c>
      <c r="C4" s="390" t="s">
        <v>173</v>
      </c>
      <c r="D4" s="391"/>
      <c r="E4" s="390"/>
      <c r="F4" s="390"/>
      <c r="G4" s="391"/>
      <c r="H4" s="391"/>
      <c r="I4" s="391"/>
      <c r="J4" s="392"/>
      <c r="K4" s="393"/>
      <c r="L4" s="14"/>
      <c r="M4" s="14"/>
      <c r="N4" s="14"/>
      <c r="O4" s="14"/>
      <c r="P4" s="14"/>
      <c r="Q4" s="14"/>
      <c r="R4" s="14"/>
      <c r="S4" s="14"/>
    </row>
    <row x14ac:dyDescent="0.25" r="5" customHeight="1" ht="18.75">
      <c r="A5" s="16"/>
      <c r="B5" s="16"/>
      <c r="C5" s="15"/>
      <c r="D5" s="14"/>
      <c r="E5" s="15"/>
      <c r="F5" s="15"/>
      <c r="G5" s="14"/>
      <c r="H5" s="14"/>
      <c r="I5" s="14"/>
      <c r="J5" s="11"/>
      <c r="K5" s="21"/>
      <c r="L5" s="14"/>
      <c r="M5" s="14"/>
      <c r="N5" s="14"/>
      <c r="O5" s="14"/>
      <c r="P5" s="14"/>
      <c r="Q5" s="14"/>
      <c r="R5" s="14"/>
      <c r="S5" s="14"/>
    </row>
    <row x14ac:dyDescent="0.25" r="6" customHeight="1" ht="18.75">
      <c r="A6" s="16"/>
      <c r="B6" s="16"/>
      <c r="C6" s="15"/>
      <c r="D6" s="14"/>
      <c r="E6" s="15"/>
      <c r="F6" s="15"/>
      <c r="G6" s="14"/>
      <c r="H6" s="14"/>
      <c r="I6" s="14"/>
      <c r="J6" s="11"/>
      <c r="K6" s="21"/>
      <c r="L6" s="14"/>
      <c r="M6" s="14"/>
      <c r="N6" s="14"/>
      <c r="O6" s="14"/>
      <c r="P6" s="14"/>
      <c r="Q6" s="14"/>
      <c r="R6" s="14"/>
      <c r="S6" s="14"/>
    </row>
    <row x14ac:dyDescent="0.25" r="7" customHeight="1" ht="18.75">
      <c r="A7" s="2" t="s">
        <v>282</v>
      </c>
      <c r="B7" s="4"/>
      <c r="C7" s="3"/>
      <c r="D7" s="4"/>
      <c r="E7" s="3"/>
      <c r="F7" s="3"/>
      <c r="G7" s="4"/>
      <c r="H7" s="4"/>
      <c r="I7" s="4"/>
      <c r="J7" s="394"/>
      <c r="K7" s="4"/>
      <c r="L7" s="4"/>
      <c r="M7" s="4"/>
      <c r="N7" s="4"/>
      <c r="O7" s="4"/>
      <c r="P7" s="206"/>
      <c r="Q7" s="207"/>
      <c r="R7" s="14"/>
      <c r="S7" s="14"/>
    </row>
    <row x14ac:dyDescent="0.25" r="8" customHeight="1" ht="18.75">
      <c r="A8" s="17"/>
      <c r="B8" s="19"/>
      <c r="C8" s="18"/>
      <c r="D8" s="19"/>
      <c r="E8" s="18"/>
      <c r="F8" s="18"/>
      <c r="G8" s="19"/>
      <c r="H8" s="19"/>
      <c r="I8" s="19"/>
      <c r="J8" s="395"/>
      <c r="K8" s="19"/>
      <c r="L8" s="19"/>
      <c r="M8" s="19"/>
      <c r="N8" s="19"/>
      <c r="O8" s="19"/>
      <c r="P8" s="396"/>
      <c r="Q8" s="397"/>
      <c r="R8" s="14"/>
      <c r="S8" s="14"/>
    </row>
    <row x14ac:dyDescent="0.25" r="9" customHeight="1" ht="18.75">
      <c r="A9" s="1"/>
      <c r="B9" s="6"/>
      <c r="C9" s="9"/>
      <c r="D9" s="6"/>
      <c r="E9" s="9"/>
      <c r="F9" s="9"/>
      <c r="G9" s="6"/>
      <c r="H9" s="6"/>
      <c r="I9" s="6"/>
      <c r="J9" s="8"/>
      <c r="K9" s="6"/>
      <c r="L9" s="6"/>
      <c r="M9" s="6"/>
      <c r="N9" s="6"/>
      <c r="O9" s="6"/>
      <c r="P9" s="6"/>
      <c r="Q9" s="10"/>
      <c r="R9" s="14"/>
      <c r="S9" s="14"/>
    </row>
    <row x14ac:dyDescent="0.25" r="10" customHeight="1" ht="18.75">
      <c r="A10" s="16"/>
      <c r="B10" s="14"/>
      <c r="C10" s="15"/>
      <c r="D10" s="14"/>
      <c r="E10" s="15"/>
      <c r="F10" s="15"/>
      <c r="G10" s="14"/>
      <c r="H10" s="14"/>
      <c r="I10" s="14"/>
      <c r="J10" s="11"/>
      <c r="K10" s="14"/>
      <c r="L10" s="14"/>
      <c r="M10" s="14"/>
      <c r="N10" s="14"/>
      <c r="O10" s="14"/>
      <c r="P10" s="14"/>
      <c r="Q10" s="21"/>
      <c r="R10" s="14"/>
      <c r="S10" s="14"/>
    </row>
    <row x14ac:dyDescent="0.25" r="11" customHeight="1" ht="18.75">
      <c r="A11" s="16"/>
      <c r="B11" s="14"/>
      <c r="C11" s="15"/>
      <c r="D11" s="14"/>
      <c r="E11" s="15"/>
      <c r="F11" s="15"/>
      <c r="G11" s="14"/>
      <c r="H11" s="14"/>
      <c r="I11" s="14"/>
      <c r="J11" s="11"/>
      <c r="K11" s="14"/>
      <c r="L11" s="14"/>
      <c r="M11" s="14"/>
      <c r="N11" s="14"/>
      <c r="O11" s="14"/>
      <c r="P11" s="14"/>
      <c r="Q11" s="21"/>
      <c r="R11" s="14"/>
      <c r="S11" s="14"/>
    </row>
    <row x14ac:dyDescent="0.25" r="12" customHeight="1" ht="18.75">
      <c r="A12" s="16"/>
      <c r="B12" s="398" t="s">
        <v>283</v>
      </c>
      <c r="C12" s="15"/>
      <c r="D12" s="14"/>
      <c r="E12" s="15"/>
      <c r="F12" s="15"/>
      <c r="G12" s="399"/>
      <c r="H12" s="400" t="s">
        <v>284</v>
      </c>
      <c r="I12" s="170"/>
      <c r="J12" s="401"/>
      <c r="K12" s="400" t="s">
        <v>284</v>
      </c>
      <c r="L12" s="400"/>
      <c r="M12" s="400"/>
      <c r="N12" s="400"/>
      <c r="O12" s="400"/>
      <c r="P12" s="400"/>
      <c r="Q12" s="402"/>
      <c r="R12" s="403"/>
      <c r="S12" s="403"/>
    </row>
    <row x14ac:dyDescent="0.25" r="13" customHeight="1" ht="18.75">
      <c r="A13" s="16"/>
      <c r="B13" s="404" t="s">
        <v>177</v>
      </c>
      <c r="C13" s="405">
        <f>'COMPARACIÓN NORMAS'!B12</f>
      </c>
      <c r="D13" s="292" t="s">
        <v>69</v>
      </c>
      <c r="E13" s="15"/>
      <c r="F13" s="15"/>
      <c r="G13" s="406"/>
      <c r="H13" s="407"/>
      <c r="I13" s="14"/>
      <c r="J13" s="11"/>
      <c r="K13" s="14"/>
      <c r="L13" s="14"/>
      <c r="M13" s="14"/>
      <c r="N13" s="14"/>
      <c r="O13" s="14"/>
      <c r="P13" s="14"/>
      <c r="Q13" s="21"/>
      <c r="R13" s="14"/>
      <c r="S13" s="14"/>
    </row>
    <row x14ac:dyDescent="0.25" r="14" customHeight="1" ht="18.75">
      <c r="A14" s="16"/>
      <c r="B14" s="408" t="s">
        <v>178</v>
      </c>
      <c r="C14" s="409">
        <f>'COMPARACIÓN NORMAS'!B13</f>
      </c>
      <c r="D14" s="295" t="s">
        <v>69</v>
      </c>
      <c r="E14" s="15"/>
      <c r="F14" s="15"/>
      <c r="G14" s="406"/>
      <c r="H14" s="407"/>
      <c r="I14" s="14"/>
      <c r="J14" s="11"/>
      <c r="K14" s="14"/>
      <c r="L14" s="14"/>
      <c r="M14" s="14"/>
      <c r="N14" s="14"/>
      <c r="O14" s="14"/>
      <c r="P14" s="14"/>
      <c r="Q14" s="21"/>
      <c r="R14" s="14"/>
      <c r="S14" s="14"/>
    </row>
    <row x14ac:dyDescent="0.25" r="15" customHeight="1" ht="18.75">
      <c r="A15" s="16"/>
      <c r="B15" s="408" t="s">
        <v>179</v>
      </c>
      <c r="C15" s="409">
        <f>'COMPARACIÓN NORMAS'!B14</f>
      </c>
      <c r="D15" s="295" t="s">
        <v>69</v>
      </c>
      <c r="E15" s="15"/>
      <c r="F15" s="15"/>
      <c r="G15" s="14"/>
      <c r="H15" s="14"/>
      <c r="I15" s="14"/>
      <c r="J15" s="11"/>
      <c r="K15" s="14"/>
      <c r="L15" s="14"/>
      <c r="M15" s="14"/>
      <c r="N15" s="14"/>
      <c r="O15" s="14"/>
      <c r="P15" s="14"/>
      <c r="Q15" s="21"/>
      <c r="R15" s="14"/>
      <c r="S15" s="14"/>
    </row>
    <row x14ac:dyDescent="0.25" r="16" customHeight="1" ht="18.75">
      <c r="A16" s="16"/>
      <c r="B16" s="408" t="s">
        <v>285</v>
      </c>
      <c r="C16" s="409">
        <v>0.34</v>
      </c>
      <c r="D16" s="295" t="s">
        <v>69</v>
      </c>
      <c r="E16" s="15"/>
      <c r="F16" s="15"/>
      <c r="G16" s="14"/>
      <c r="H16" s="14"/>
      <c r="I16" s="14"/>
      <c r="J16" s="11"/>
      <c r="K16" s="14"/>
      <c r="L16" s="14"/>
      <c r="M16" s="14"/>
      <c r="N16" s="14"/>
      <c r="O16" s="14"/>
      <c r="P16" s="14"/>
      <c r="Q16" s="21"/>
      <c r="R16" s="14"/>
      <c r="S16" s="14"/>
    </row>
    <row x14ac:dyDescent="0.25" r="17" customHeight="1" ht="18.75">
      <c r="A17" s="16"/>
      <c r="B17" s="408" t="s">
        <v>181</v>
      </c>
      <c r="C17" s="409">
        <f>'COMPARACIÓN NORMAS'!B16</f>
      </c>
      <c r="D17" s="295" t="s">
        <v>182</v>
      </c>
      <c r="E17" s="15"/>
      <c r="F17" s="15"/>
      <c r="G17" s="14"/>
      <c r="H17" s="14"/>
      <c r="I17" s="14"/>
      <c r="J17" s="11"/>
      <c r="K17" s="14"/>
      <c r="L17" s="14"/>
      <c r="M17" s="14"/>
      <c r="N17" s="14"/>
      <c r="O17" s="14"/>
      <c r="P17" s="14"/>
      <c r="Q17" s="21"/>
      <c r="R17" s="14"/>
      <c r="S17" s="14"/>
    </row>
    <row x14ac:dyDescent="0.25" r="18" customHeight="1" ht="18.75">
      <c r="A18" s="16"/>
      <c r="B18" s="408" t="s">
        <v>183</v>
      </c>
      <c r="C18" s="409">
        <f>'COMPARACIÓN NORMAS'!B17</f>
      </c>
      <c r="D18" s="295" t="s">
        <v>184</v>
      </c>
      <c r="E18" s="15"/>
      <c r="F18" s="15"/>
      <c r="G18" s="14"/>
      <c r="H18" s="14"/>
      <c r="I18" s="14"/>
      <c r="J18" s="11"/>
      <c r="K18" s="14"/>
      <c r="L18" s="14"/>
      <c r="M18" s="14"/>
      <c r="N18" s="14"/>
      <c r="O18" s="14"/>
      <c r="P18" s="14"/>
      <c r="Q18" s="21"/>
      <c r="R18" s="14"/>
      <c r="S18" s="14"/>
    </row>
    <row x14ac:dyDescent="0.25" r="19" customHeight="1" ht="18.75">
      <c r="A19" s="16"/>
      <c r="B19" s="408" t="s">
        <v>185</v>
      </c>
      <c r="C19" s="410">
        <v>5</v>
      </c>
      <c r="D19" s="295" t="s">
        <v>186</v>
      </c>
      <c r="E19" s="15"/>
      <c r="F19" s="15"/>
      <c r="G19" s="14"/>
      <c r="H19" s="14"/>
      <c r="I19" s="14"/>
      <c r="J19" s="11"/>
      <c r="K19" s="14"/>
      <c r="L19" s="14"/>
      <c r="M19" s="14"/>
      <c r="N19" s="14"/>
      <c r="O19" s="14"/>
      <c r="P19" s="14"/>
      <c r="Q19" s="21"/>
      <c r="R19" s="14"/>
      <c r="S19" s="14"/>
    </row>
    <row x14ac:dyDescent="0.25" r="20" customHeight="1" ht="18.75">
      <c r="A20" s="16"/>
      <c r="B20" s="408" t="s">
        <v>187</v>
      </c>
      <c r="C20" s="410">
        <v>5</v>
      </c>
      <c r="D20" s="295" t="s">
        <v>186</v>
      </c>
      <c r="E20" s="15" t="s">
        <v>286</v>
      </c>
      <c r="F20" s="15"/>
      <c r="G20" s="14"/>
      <c r="H20" s="14"/>
      <c r="I20" s="14"/>
      <c r="J20" s="11"/>
      <c r="K20" s="14"/>
      <c r="L20" s="14"/>
      <c r="M20" s="14"/>
      <c r="N20" s="14"/>
      <c r="O20" s="14"/>
      <c r="P20" s="14"/>
      <c r="Q20" s="21"/>
      <c r="R20" s="14"/>
      <c r="S20" s="14"/>
    </row>
    <row x14ac:dyDescent="0.25" r="21" customHeight="1" ht="18.75">
      <c r="A21" s="16"/>
      <c r="B21" s="408" t="s">
        <v>188</v>
      </c>
      <c r="C21" s="410">
        <v>55</v>
      </c>
      <c r="D21" s="295" t="s">
        <v>186</v>
      </c>
      <c r="E21" s="15"/>
      <c r="F21" s="15"/>
      <c r="G21" s="14"/>
      <c r="H21" s="14"/>
      <c r="I21" s="14"/>
      <c r="J21" s="11"/>
      <c r="K21" s="14"/>
      <c r="L21" s="14"/>
      <c r="M21" s="14"/>
      <c r="N21" s="14"/>
      <c r="O21" s="14"/>
      <c r="P21" s="14"/>
      <c r="Q21" s="21"/>
      <c r="R21" s="14"/>
      <c r="S21" s="14"/>
    </row>
    <row x14ac:dyDescent="0.25" r="22" customHeight="1" ht="18.75">
      <c r="A22" s="16"/>
      <c r="B22" s="411" t="s">
        <v>189</v>
      </c>
      <c r="C22" s="412">
        <v>55</v>
      </c>
      <c r="D22" s="298" t="s">
        <v>186</v>
      </c>
      <c r="E22" s="15"/>
      <c r="F22" s="15"/>
      <c r="G22" s="14"/>
      <c r="H22" s="14"/>
      <c r="I22" s="14"/>
      <c r="J22" s="11"/>
      <c r="K22" s="14"/>
      <c r="L22" s="14"/>
      <c r="M22" s="14"/>
      <c r="N22" s="14"/>
      <c r="O22" s="14"/>
      <c r="P22" s="14"/>
      <c r="Q22" s="21"/>
      <c r="R22" s="14"/>
      <c r="S22" s="14"/>
    </row>
    <row x14ac:dyDescent="0.25" r="23" customHeight="1" ht="18.75">
      <c r="A23" s="16"/>
      <c r="B23" s="413" t="s">
        <v>287</v>
      </c>
      <c r="C23" s="414">
        <f>C18/(C13^0.5)</f>
      </c>
      <c r="D23" s="415">
        <f>IF(C23&gt;5,"embarcación de planeo","embrcación de desplazamiento")</f>
      </c>
      <c r="E23" s="15"/>
      <c r="F23" s="15"/>
      <c r="G23" s="14"/>
      <c r="H23" s="14"/>
      <c r="I23" s="14"/>
      <c r="J23" s="11"/>
      <c r="K23" s="14"/>
      <c r="L23" s="14"/>
      <c r="M23" s="14"/>
      <c r="N23" s="14"/>
      <c r="O23" s="14"/>
      <c r="P23" s="14"/>
      <c r="Q23" s="21"/>
      <c r="R23" s="14"/>
      <c r="S23" s="14"/>
    </row>
    <row x14ac:dyDescent="0.25" r="24" customHeight="1" ht="18.75">
      <c r="A24" s="16"/>
      <c r="B24" s="14"/>
      <c r="C24" s="15"/>
      <c r="D24" s="14"/>
      <c r="E24" s="15"/>
      <c r="F24" s="15"/>
      <c r="G24" s="14"/>
      <c r="H24" s="14"/>
      <c r="I24" s="14"/>
      <c r="J24" s="11"/>
      <c r="K24" s="14"/>
      <c r="L24" s="14"/>
      <c r="M24" s="14"/>
      <c r="N24" s="14"/>
      <c r="O24" s="14"/>
      <c r="P24" s="14"/>
      <c r="Q24" s="21"/>
      <c r="R24" s="14"/>
      <c r="S24" s="14"/>
    </row>
    <row x14ac:dyDescent="0.25" r="25" customHeight="1" ht="18.75">
      <c r="A25" s="16"/>
      <c r="B25" s="213"/>
      <c r="C25" s="9" t="s">
        <v>288</v>
      </c>
      <c r="D25" s="416" t="s">
        <v>289</v>
      </c>
      <c r="E25" s="417" t="s">
        <v>290</v>
      </c>
      <c r="F25" s="418" t="s">
        <v>291</v>
      </c>
      <c r="G25" s="14"/>
      <c r="H25" s="14"/>
      <c r="I25" s="14"/>
      <c r="J25" s="11"/>
      <c r="K25" s="14"/>
      <c r="L25" s="14"/>
      <c r="M25" s="14"/>
      <c r="N25" s="14"/>
      <c r="O25" s="14"/>
      <c r="P25" s="14"/>
      <c r="Q25" s="21"/>
      <c r="R25" s="14"/>
      <c r="S25" s="14"/>
    </row>
    <row x14ac:dyDescent="0.25" r="26" customHeight="1" ht="18.75">
      <c r="A26" s="16"/>
      <c r="B26" s="419" t="s">
        <v>292</v>
      </c>
      <c r="C26" s="420" t="s">
        <v>281</v>
      </c>
      <c r="D26" s="421">
        <f>VLOOKUP(C26,categorias!C4:D7,2,FALSE)</f>
      </c>
      <c r="E26" s="422">
        <f>VLOOKUP(C26,categorias!C4:E7,3,)</f>
      </c>
      <c r="F26" s="423">
        <f>VLOOKUP(C26,categorias!C4:F7,4,FALSE)</f>
      </c>
      <c r="G26" s="14"/>
      <c r="H26" s="14"/>
      <c r="I26" s="14"/>
      <c r="J26" s="11"/>
      <c r="K26" s="14"/>
      <c r="L26" s="14"/>
      <c r="M26" s="14"/>
      <c r="N26" s="14"/>
      <c r="O26" s="14"/>
      <c r="P26" s="14"/>
      <c r="Q26" s="21"/>
      <c r="R26" s="14"/>
      <c r="S26" s="14"/>
    </row>
    <row x14ac:dyDescent="0.25" r="27" customHeight="1" ht="18.75">
      <c r="A27" s="16"/>
      <c r="B27" s="14"/>
      <c r="C27" s="15"/>
      <c r="D27" s="14"/>
      <c r="E27" s="15"/>
      <c r="F27" s="15"/>
      <c r="G27" s="14"/>
      <c r="H27" s="14"/>
      <c r="I27" s="14"/>
      <c r="J27" s="11"/>
      <c r="K27" s="14"/>
      <c r="L27" s="14"/>
      <c r="M27" s="14"/>
      <c r="N27" s="14"/>
      <c r="O27" s="14"/>
      <c r="P27" s="14"/>
      <c r="Q27" s="21"/>
      <c r="R27" s="14"/>
      <c r="S27" s="14"/>
    </row>
    <row x14ac:dyDescent="0.25" r="28" customHeight="1" ht="18.75">
      <c r="A28" s="16"/>
      <c r="B28" s="424" t="s">
        <v>293</v>
      </c>
      <c r="C28" s="425">
        <f>IF(0.32*(C13/(10*C14)+0.084)*(50-C20)*(C18^2*C14^2/(C17*1000))&lt;3,0.32*(C13/(10*C14)+0.084)*(50-C20)*(C18^2*C14^2/(C17*1000)),(0.5*C18/((C17*1000)^0.17)))</f>
      </c>
      <c r="D28" s="14"/>
      <c r="E28" s="15"/>
      <c r="F28" s="15"/>
      <c r="G28" s="14"/>
      <c r="H28" s="14"/>
      <c r="I28" s="14"/>
      <c r="J28" s="11"/>
      <c r="K28" s="14"/>
      <c r="L28" s="14"/>
      <c r="M28" s="14"/>
      <c r="N28" s="14"/>
      <c r="O28" s="14"/>
      <c r="P28" s="14"/>
      <c r="Q28" s="21"/>
      <c r="R28" s="14"/>
      <c r="S28" s="14"/>
    </row>
    <row x14ac:dyDescent="0.25" r="29" customHeight="1" ht="18.75">
      <c r="A29" s="16"/>
      <c r="B29" s="426"/>
      <c r="C29" s="38"/>
      <c r="D29" s="14"/>
      <c r="E29" s="15"/>
      <c r="F29" s="15"/>
      <c r="G29" s="14"/>
      <c r="H29" s="14"/>
      <c r="I29" s="14"/>
      <c r="J29" s="11"/>
      <c r="K29" s="14"/>
      <c r="L29" s="14"/>
      <c r="M29" s="14"/>
      <c r="N29" s="14"/>
      <c r="O29" s="14"/>
      <c r="P29" s="14"/>
      <c r="Q29" s="21"/>
      <c r="R29" s="14"/>
      <c r="S29" s="14"/>
    </row>
    <row x14ac:dyDescent="0.25" r="30" customHeight="1" ht="18.75">
      <c r="A30" s="16"/>
      <c r="B30" s="194" t="s">
        <v>294</v>
      </c>
      <c r="C30" s="427">
        <v>0.6</v>
      </c>
      <c r="D30" s="14"/>
      <c r="E30" s="15"/>
      <c r="F30" s="15"/>
      <c r="G30" s="14"/>
      <c r="H30" s="14"/>
      <c r="I30" s="14"/>
      <c r="J30" s="11"/>
      <c r="K30" s="14"/>
      <c r="L30" s="14"/>
      <c r="M30" s="14"/>
      <c r="N30" s="14"/>
      <c r="O30" s="14"/>
      <c r="P30" s="14"/>
      <c r="Q30" s="21"/>
      <c r="R30" s="14"/>
      <c r="S30" s="14"/>
    </row>
    <row x14ac:dyDescent="0.25" r="31" customHeight="1" ht="18.75">
      <c r="A31" s="16"/>
      <c r="B31" s="428" t="s">
        <v>295</v>
      </c>
      <c r="C31" s="429">
        <f>IF(C30&gt;0.6,1,((1-0.167*C28)/0.6)*C30+0.167*C28)</f>
      </c>
      <c r="D31" s="14"/>
      <c r="E31" s="15"/>
      <c r="F31" s="15"/>
      <c r="G31" s="14"/>
      <c r="H31" s="14"/>
      <c r="I31" s="14"/>
      <c r="J31" s="11"/>
      <c r="K31" s="14"/>
      <c r="L31" s="14"/>
      <c r="M31" s="14"/>
      <c r="N31" s="14"/>
      <c r="O31" s="14"/>
      <c r="P31" s="14"/>
      <c r="Q31" s="21"/>
      <c r="R31" s="14"/>
      <c r="S31" s="14"/>
    </row>
    <row x14ac:dyDescent="0.25" r="32" customHeight="1" ht="18.75">
      <c r="A32" s="16"/>
      <c r="B32" s="430"/>
      <c r="C32" s="15"/>
      <c r="D32" s="14"/>
      <c r="E32" s="15"/>
      <c r="F32" s="15"/>
      <c r="G32" s="14"/>
      <c r="H32" s="14"/>
      <c r="I32" s="14"/>
      <c r="J32" s="11"/>
      <c r="K32" s="14"/>
      <c r="L32" s="14"/>
      <c r="M32" s="14"/>
      <c r="N32" s="14"/>
      <c r="O32" s="14"/>
      <c r="P32" s="14"/>
      <c r="Q32" s="21"/>
      <c r="R32" s="14"/>
      <c r="S32" s="14"/>
    </row>
    <row x14ac:dyDescent="0.25" r="33" customHeight="1" ht="18.75">
      <c r="A33" s="16"/>
      <c r="B33" s="204"/>
      <c r="C33" s="15"/>
      <c r="D33" s="14"/>
      <c r="E33" s="15"/>
      <c r="F33" s="15"/>
      <c r="G33" s="14"/>
      <c r="H33" s="14"/>
      <c r="I33" s="14"/>
      <c r="J33" s="11"/>
      <c r="K33" s="14"/>
      <c r="L33" s="14"/>
      <c r="M33" s="14"/>
      <c r="N33" s="14"/>
      <c r="O33" s="14"/>
      <c r="P33" s="14"/>
      <c r="Q33" s="21"/>
      <c r="R33" s="14"/>
      <c r="S33" s="14"/>
    </row>
    <row x14ac:dyDescent="0.25" r="34" customHeight="1" ht="18.75">
      <c r="A34" s="16"/>
      <c r="B34" s="431" t="s">
        <v>296</v>
      </c>
      <c r="C34" s="432">
        <v>0.25</v>
      </c>
      <c r="D34" s="14"/>
      <c r="E34" s="15"/>
      <c r="F34" s="15"/>
      <c r="G34" s="14"/>
      <c r="H34" s="14"/>
      <c r="I34" s="14"/>
      <c r="J34" s="11"/>
      <c r="K34" s="14"/>
      <c r="L34" s="14"/>
      <c r="M34" s="14"/>
      <c r="N34" s="14"/>
      <c r="O34" s="14"/>
      <c r="P34" s="14"/>
      <c r="Q34" s="21"/>
      <c r="R34" s="14"/>
      <c r="S34" s="14"/>
    </row>
    <row x14ac:dyDescent="0.25" r="35" customHeight="1" ht="18.75">
      <c r="A35" s="16"/>
      <c r="B35" s="14"/>
      <c r="C35" s="15"/>
      <c r="D35" s="14"/>
      <c r="E35" s="15"/>
      <c r="F35" s="15"/>
      <c r="G35" s="14"/>
      <c r="H35" s="14"/>
      <c r="I35" s="14"/>
      <c r="J35" s="11"/>
      <c r="K35" s="14"/>
      <c r="L35" s="14"/>
      <c r="M35" s="14"/>
      <c r="N35" s="14"/>
      <c r="O35" s="14"/>
      <c r="P35" s="14"/>
      <c r="Q35" s="21"/>
      <c r="R35" s="14"/>
      <c r="S35" s="14"/>
    </row>
    <row x14ac:dyDescent="0.25" r="36" customHeight="1" ht="18.75">
      <c r="A36" s="16"/>
      <c r="B36" s="433" t="s">
        <v>297</v>
      </c>
      <c r="C36" s="434">
        <v>800</v>
      </c>
      <c r="D36" s="10" t="s">
        <v>33</v>
      </c>
      <c r="E36" s="15"/>
      <c r="F36" s="15"/>
      <c r="G36" s="14"/>
      <c r="H36" s="14"/>
      <c r="I36" s="14"/>
      <c r="J36" s="11"/>
      <c r="K36" s="14"/>
      <c r="L36" s="14"/>
      <c r="M36" s="14"/>
      <c r="N36" s="14"/>
      <c r="O36" s="14"/>
      <c r="P36" s="14"/>
      <c r="Q36" s="21"/>
      <c r="R36" s="14"/>
      <c r="S36" s="14"/>
    </row>
    <row x14ac:dyDescent="0.25" r="37" customHeight="1" ht="18.75">
      <c r="A37" s="16"/>
      <c r="B37" s="216" t="s">
        <v>298</v>
      </c>
      <c r="C37" s="71">
        <v>250</v>
      </c>
      <c r="D37" s="21" t="s">
        <v>33</v>
      </c>
      <c r="E37" s="15"/>
      <c r="F37" s="15"/>
      <c r="G37" s="14"/>
      <c r="H37" s="1"/>
      <c r="I37" s="6"/>
      <c r="J37" s="8"/>
      <c r="K37" s="10"/>
      <c r="L37" s="14"/>
      <c r="M37" s="14"/>
      <c r="N37" s="14"/>
      <c r="O37" s="14"/>
      <c r="P37" s="14"/>
      <c r="Q37" s="21"/>
      <c r="R37" s="14"/>
      <c r="S37" s="14"/>
    </row>
    <row x14ac:dyDescent="0.25" r="38" customHeight="1" ht="18.75">
      <c r="A38" s="16"/>
      <c r="B38" s="435" t="s">
        <v>299</v>
      </c>
      <c r="C38" s="436">
        <f>(C36-C37)/C36</f>
      </c>
      <c r="D38" s="49"/>
      <c r="E38" s="15"/>
      <c r="F38" s="15"/>
      <c r="G38" s="14"/>
      <c r="H38" s="16"/>
      <c r="I38" s="14"/>
      <c r="J38" s="11"/>
      <c r="K38" s="21"/>
      <c r="L38" s="14"/>
      <c r="M38" s="14"/>
      <c r="N38" s="14"/>
      <c r="O38" s="14"/>
      <c r="P38" s="14"/>
      <c r="Q38" s="21"/>
      <c r="R38" s="14"/>
      <c r="S38" s="14"/>
    </row>
    <row x14ac:dyDescent="0.25" r="39" customHeight="1" ht="18.75">
      <c r="A39" s="16"/>
      <c r="B39" s="14"/>
      <c r="C39" s="15"/>
      <c r="D39" s="14"/>
      <c r="E39" s="15"/>
      <c r="F39" s="15"/>
      <c r="G39" s="14"/>
      <c r="H39" s="16"/>
      <c r="I39" s="14"/>
      <c r="J39" s="11"/>
      <c r="K39" s="21"/>
      <c r="L39" s="14"/>
      <c r="M39" s="14"/>
      <c r="N39" s="14"/>
      <c r="O39" s="14"/>
      <c r="P39" s="14"/>
      <c r="Q39" s="21"/>
      <c r="R39" s="14"/>
      <c r="S39" s="14"/>
    </row>
    <row x14ac:dyDescent="0.25" r="40" customHeight="1" ht="18.75">
      <c r="A40" s="16"/>
      <c r="B40" s="14"/>
      <c r="C40" s="15"/>
      <c r="D40" s="14"/>
      <c r="E40" s="15"/>
      <c r="F40" s="15"/>
      <c r="G40" s="14"/>
      <c r="H40" s="16"/>
      <c r="I40" s="14"/>
      <c r="J40" s="11"/>
      <c r="K40" s="21"/>
      <c r="L40" s="14"/>
      <c r="M40" s="14"/>
      <c r="N40" s="14"/>
      <c r="O40" s="14"/>
      <c r="P40" s="14"/>
      <c r="Q40" s="21"/>
      <c r="R40" s="14"/>
      <c r="S40" s="14"/>
    </row>
    <row x14ac:dyDescent="0.25" r="41" customHeight="1" ht="18.75">
      <c r="A41" s="16"/>
      <c r="B41" s="14"/>
      <c r="C41" s="15"/>
      <c r="D41" s="14"/>
      <c r="E41" s="15"/>
      <c r="F41" s="15"/>
      <c r="G41" s="14"/>
      <c r="H41" s="16"/>
      <c r="I41" s="14"/>
      <c r="J41" s="11"/>
      <c r="K41" s="21"/>
      <c r="L41" s="14"/>
      <c r="M41" s="14"/>
      <c r="N41" s="14"/>
      <c r="O41" s="14"/>
      <c r="P41" s="14"/>
      <c r="Q41" s="21"/>
      <c r="R41" s="14"/>
      <c r="S41" s="14"/>
    </row>
    <row x14ac:dyDescent="0.25" r="42" customHeight="1" ht="18.75">
      <c r="A42" s="16"/>
      <c r="B42" s="14"/>
      <c r="C42" s="15"/>
      <c r="D42" s="14"/>
      <c r="E42" s="15"/>
      <c r="F42" s="15"/>
      <c r="G42" s="14"/>
      <c r="H42" s="16"/>
      <c r="I42" s="14"/>
      <c r="J42" s="11"/>
      <c r="K42" s="21"/>
      <c r="L42" s="14"/>
      <c r="M42" s="14"/>
      <c r="N42" s="14"/>
      <c r="O42" s="14"/>
      <c r="P42" s="14"/>
      <c r="Q42" s="21"/>
      <c r="R42" s="14"/>
      <c r="S42" s="14"/>
    </row>
    <row x14ac:dyDescent="0.25" r="43" customHeight="1" ht="18.75">
      <c r="A43" s="16"/>
      <c r="B43" s="14"/>
      <c r="C43" s="15"/>
      <c r="D43" s="14"/>
      <c r="E43" s="15"/>
      <c r="F43" s="15"/>
      <c r="G43" s="14"/>
      <c r="H43" s="16"/>
      <c r="I43" s="14"/>
      <c r="J43" s="11"/>
      <c r="K43" s="21"/>
      <c r="L43" s="14"/>
      <c r="M43" s="14"/>
      <c r="N43" s="14"/>
      <c r="O43" s="14"/>
      <c r="P43" s="14"/>
      <c r="Q43" s="21"/>
      <c r="R43" s="14"/>
      <c r="S43" s="14"/>
    </row>
    <row x14ac:dyDescent="0.25" r="44" customHeight="1" ht="18.75">
      <c r="A44" s="16"/>
      <c r="B44" s="437" t="s">
        <v>197</v>
      </c>
      <c r="C44" s="438"/>
      <c r="D44" s="14"/>
      <c r="E44" s="15"/>
      <c r="F44" s="15"/>
      <c r="G44" s="14"/>
      <c r="H44" s="16"/>
      <c r="I44" s="14"/>
      <c r="J44" s="11"/>
      <c r="K44" s="21"/>
      <c r="L44" s="14"/>
      <c r="M44" s="14"/>
      <c r="N44" s="14"/>
      <c r="O44" s="14"/>
      <c r="P44" s="14"/>
      <c r="Q44" s="21"/>
      <c r="R44" s="14"/>
      <c r="S44" s="14"/>
    </row>
    <row x14ac:dyDescent="0.25" r="45" customHeight="1" ht="18.75">
      <c r="A45" s="16"/>
      <c r="B45" s="16" t="s">
        <v>198</v>
      </c>
      <c r="C45" s="439"/>
      <c r="D45" s="14"/>
      <c r="E45" s="15"/>
      <c r="F45" s="15"/>
      <c r="G45" s="14"/>
      <c r="H45" s="16"/>
      <c r="I45" s="14"/>
      <c r="J45" s="11"/>
      <c r="K45" s="21"/>
      <c r="L45" s="14"/>
      <c r="M45" s="14"/>
      <c r="N45" s="14"/>
      <c r="O45" s="14"/>
      <c r="P45" s="14"/>
      <c r="Q45" s="21"/>
      <c r="R45" s="14"/>
      <c r="S45" s="14"/>
    </row>
    <row x14ac:dyDescent="0.25" r="46" customHeight="1" ht="18.75">
      <c r="A46" s="16"/>
      <c r="B46" s="16" t="s">
        <v>199</v>
      </c>
      <c r="C46" s="311"/>
      <c r="D46" s="14"/>
      <c r="E46" s="15"/>
      <c r="F46" s="15"/>
      <c r="G46" s="14"/>
      <c r="H46" s="16"/>
      <c r="I46" s="14"/>
      <c r="J46" s="11"/>
      <c r="K46" s="21"/>
      <c r="L46" s="14"/>
      <c r="M46" s="14"/>
      <c r="N46" s="14"/>
      <c r="O46" s="14"/>
      <c r="P46" s="14"/>
      <c r="Q46" s="21"/>
      <c r="R46" s="14"/>
      <c r="S46" s="14"/>
    </row>
    <row x14ac:dyDescent="0.25" r="47" customHeight="1" ht="18.75">
      <c r="A47" s="16"/>
      <c r="B47" s="44" t="s">
        <v>200</v>
      </c>
      <c r="C47" s="312"/>
      <c r="D47" s="14"/>
      <c r="E47" s="15"/>
      <c r="F47" s="15"/>
      <c r="G47" s="14"/>
      <c r="H47" s="44"/>
      <c r="I47" s="48"/>
      <c r="J47" s="45"/>
      <c r="K47" s="49"/>
      <c r="L47" s="14"/>
      <c r="M47" s="14"/>
      <c r="N47" s="14"/>
      <c r="O47" s="14"/>
      <c r="P47" s="14"/>
      <c r="Q47" s="21"/>
      <c r="R47" s="14"/>
      <c r="S47" s="14"/>
    </row>
    <row x14ac:dyDescent="0.25" r="48" customHeight="1" ht="18.75">
      <c r="A48" s="16"/>
      <c r="B48" s="406"/>
      <c r="C48" s="407"/>
      <c r="D48" s="14"/>
      <c r="E48" s="15"/>
      <c r="F48" s="15"/>
      <c r="G48" s="14"/>
      <c r="H48" s="440" t="s">
        <v>300</v>
      </c>
      <c r="I48" s="441"/>
      <c r="J48" s="442"/>
      <c r="K48" s="443"/>
      <c r="L48" s="14"/>
      <c r="M48" s="14"/>
      <c r="N48" s="14"/>
      <c r="O48" s="14"/>
      <c r="P48" s="14"/>
      <c r="Q48" s="21"/>
      <c r="R48" s="14"/>
      <c r="S48" s="14"/>
    </row>
    <row x14ac:dyDescent="0.25" r="49" customHeight="1" ht="18.75">
      <c r="A49" s="16"/>
      <c r="B49" s="14"/>
      <c r="C49" s="15"/>
      <c r="D49" s="14"/>
      <c r="E49" s="15"/>
      <c r="F49" s="15"/>
      <c r="G49" s="14"/>
      <c r="H49" s="14"/>
      <c r="I49" s="14"/>
      <c r="J49" s="11"/>
      <c r="K49" s="14"/>
      <c r="L49" s="14"/>
      <c r="M49" s="14"/>
      <c r="N49" s="14"/>
      <c r="O49" s="14"/>
      <c r="P49" s="14"/>
      <c r="Q49" s="21"/>
      <c r="R49" s="14"/>
      <c r="S49" s="14"/>
    </row>
    <row x14ac:dyDescent="0.25" r="50" customHeight="1" ht="18.75">
      <c r="A50" s="44"/>
      <c r="B50" s="48"/>
      <c r="C50" s="136"/>
      <c r="D50" s="48"/>
      <c r="E50" s="136"/>
      <c r="F50" s="136"/>
      <c r="G50" s="48"/>
      <c r="H50" s="48"/>
      <c r="I50" s="48"/>
      <c r="J50" s="45"/>
      <c r="K50" s="48"/>
      <c r="L50" s="48"/>
      <c r="M50" s="48"/>
      <c r="N50" s="48"/>
      <c r="O50" s="48"/>
      <c r="P50" s="48"/>
      <c r="Q50" s="49"/>
      <c r="R50" s="14"/>
      <c r="S50" s="14"/>
    </row>
  </sheetData>
  <mergeCells count="4">
    <mergeCell ref="E1:F1"/>
    <mergeCell ref="C4:K4"/>
    <mergeCell ref="A7:O8"/>
    <mergeCell ref="H48:K4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7"/>
  <sheetViews>
    <sheetView workbookViewId="0"/>
  </sheetViews>
  <sheetFormatPr defaultRowHeight="15" x14ac:dyDescent="0.25"/>
  <cols>
    <col min="1" max="1" style="138" width="13.576428571428572" customWidth="1" bestFit="1"/>
    <col min="2" max="2" style="138" width="17.862142857142857" customWidth="1" bestFit="1"/>
    <col min="3" max="3" style="138" width="21.14785714285714" customWidth="1" bestFit="1"/>
    <col min="4" max="4" style="138" width="13.576428571428572" customWidth="1" bestFit="1"/>
    <col min="5" max="5" style="142" width="13.576428571428572" customWidth="1" bestFit="1"/>
    <col min="6" max="6" style="142" width="18.719285714285714" customWidth="1" bestFit="1"/>
  </cols>
  <sheetData>
    <row x14ac:dyDescent="0.25" r="1" customHeight="1" ht="18.75">
      <c r="A1" s="14"/>
      <c r="B1" s="14"/>
      <c r="C1" s="14"/>
      <c r="D1" s="14"/>
      <c r="E1" s="12"/>
      <c r="F1" s="12"/>
    </row>
    <row x14ac:dyDescent="0.25" r="2" customHeight="1" ht="18.75">
      <c r="A2" s="14"/>
      <c r="B2" s="14"/>
      <c r="C2" s="14"/>
      <c r="D2" s="14"/>
      <c r="E2" s="12"/>
      <c r="F2" s="12"/>
    </row>
    <row x14ac:dyDescent="0.25" r="3" customHeight="1" ht="18.75">
      <c r="A3" s="14"/>
      <c r="B3" s="14" t="s">
        <v>273</v>
      </c>
      <c r="C3" s="14"/>
      <c r="D3" s="14"/>
      <c r="E3" s="12" t="s">
        <v>274</v>
      </c>
      <c r="F3" s="12" t="s">
        <v>275</v>
      </c>
    </row>
    <row x14ac:dyDescent="0.25" r="4" customHeight="1" ht="18.75">
      <c r="A4" s="14"/>
      <c r="B4" s="14" t="s">
        <v>259</v>
      </c>
      <c r="C4" s="14" t="s">
        <v>276</v>
      </c>
      <c r="D4" s="14" t="s">
        <v>259</v>
      </c>
      <c r="E4" s="37">
        <v>1</v>
      </c>
      <c r="F4" s="37">
        <v>4</v>
      </c>
    </row>
    <row x14ac:dyDescent="0.25" r="5" customHeight="1" ht="18.75">
      <c r="A5" s="14"/>
      <c r="B5" s="14" t="s">
        <v>277</v>
      </c>
      <c r="C5" s="14" t="s">
        <v>278</v>
      </c>
      <c r="D5" s="14" t="s">
        <v>277</v>
      </c>
      <c r="E5" s="38">
        <v>0.8</v>
      </c>
      <c r="F5" s="37">
        <v>4</v>
      </c>
    </row>
    <row x14ac:dyDescent="0.25" r="6" customHeight="1" ht="18.75">
      <c r="A6" s="14"/>
      <c r="B6" s="14" t="s">
        <v>151</v>
      </c>
      <c r="C6" s="14" t="s">
        <v>279</v>
      </c>
      <c r="D6" s="14" t="s">
        <v>151</v>
      </c>
      <c r="E6" s="38">
        <v>0.6</v>
      </c>
      <c r="F6" s="37">
        <v>2</v>
      </c>
    </row>
    <row x14ac:dyDescent="0.25" r="7" customHeight="1" ht="18.75">
      <c r="A7" s="14"/>
      <c r="B7" s="14" t="s">
        <v>280</v>
      </c>
      <c r="C7" s="14" t="s">
        <v>281</v>
      </c>
      <c r="D7" s="14" t="s">
        <v>280</v>
      </c>
      <c r="E7" s="38">
        <v>0.4</v>
      </c>
      <c r="F7" s="38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28"/>
  <sheetViews>
    <sheetView workbookViewId="0"/>
  </sheetViews>
  <sheetFormatPr defaultRowHeight="15" x14ac:dyDescent="0.25"/>
  <cols>
    <col min="1" max="1" style="138" width="13.576428571428572" customWidth="1" bestFit="1"/>
    <col min="2" max="2" style="138" width="9.719285714285713" customWidth="1" bestFit="1"/>
    <col min="3" max="3" style="138" width="15.147857142857141" customWidth="1" bestFit="1"/>
    <col min="4" max="4" style="139" width="12.290714285714287" customWidth="1" bestFit="1"/>
    <col min="5" max="5" style="138" width="12.005" customWidth="1" bestFit="1"/>
    <col min="6" max="6" style="138" width="13.576428571428572" customWidth="1" bestFit="1"/>
    <col min="7" max="7" style="138" width="13.576428571428572" customWidth="1" bestFit="1"/>
    <col min="8" max="8" style="138" width="13.576428571428572" customWidth="1" bestFit="1"/>
    <col min="9" max="9" style="138" width="13.576428571428572" customWidth="1" bestFit="1"/>
    <col min="10" max="10" style="138" width="12.005" customWidth="1" bestFit="1"/>
    <col min="11" max="11" style="138" width="13.576428571428572" customWidth="1" bestFit="1"/>
  </cols>
  <sheetData>
    <row x14ac:dyDescent="0.25" r="1" customHeight="1" ht="18.75">
      <c r="A1" s="367" t="s">
        <v>263</v>
      </c>
      <c r="B1" s="368"/>
      <c r="C1" s="368"/>
      <c r="D1" s="369"/>
      <c r="E1" s="368"/>
      <c r="F1" s="368"/>
      <c r="G1" s="368"/>
      <c r="H1" s="368"/>
      <c r="I1" s="368"/>
      <c r="J1" s="368"/>
      <c r="K1" s="370"/>
    </row>
    <row x14ac:dyDescent="0.25" r="2" customHeight="1" ht="18.75">
      <c r="A2" s="371"/>
      <c r="B2" s="372"/>
      <c r="C2" s="372"/>
      <c r="D2" s="373"/>
      <c r="E2" s="372"/>
      <c r="F2" s="372"/>
      <c r="G2" s="372"/>
      <c r="H2" s="372"/>
      <c r="I2" s="372"/>
      <c r="J2" s="372"/>
      <c r="K2" s="374"/>
    </row>
    <row x14ac:dyDescent="0.25" r="3" customHeight="1" ht="18.75">
      <c r="A3" s="1"/>
      <c r="B3" s="6"/>
      <c r="C3" s="6"/>
      <c r="D3" s="9"/>
      <c r="E3" s="6"/>
      <c r="F3" s="6"/>
      <c r="G3" s="6"/>
      <c r="H3" s="6"/>
      <c r="I3" s="6"/>
      <c r="J3" s="6"/>
      <c r="K3" s="10"/>
    </row>
    <row x14ac:dyDescent="0.25" r="4" customHeight="1" ht="18.75">
      <c r="A4" s="16"/>
      <c r="B4" s="14"/>
      <c r="C4" s="14"/>
      <c r="D4" s="15"/>
      <c r="E4" s="14"/>
      <c r="F4" s="14"/>
      <c r="G4" s="14"/>
      <c r="H4" s="14"/>
      <c r="I4" s="14"/>
      <c r="J4" s="14"/>
      <c r="K4" s="21"/>
    </row>
    <row x14ac:dyDescent="0.25" r="5" customHeight="1" ht="18.75">
      <c r="A5" s="16"/>
      <c r="B5" s="375" t="s">
        <v>264</v>
      </c>
      <c r="C5" s="376">
        <f>'ISO 12215 Datos de entrada'!D23</f>
      </c>
      <c r="D5" s="23"/>
      <c r="E5" s="14"/>
      <c r="F5" s="14"/>
      <c r="G5" s="14"/>
      <c r="H5" s="14"/>
      <c r="I5" s="14"/>
      <c r="J5" s="14"/>
      <c r="K5" s="21"/>
    </row>
    <row x14ac:dyDescent="0.25" r="6" customHeight="1" ht="18.75">
      <c r="A6" s="16"/>
      <c r="B6" s="14"/>
      <c r="C6" s="14"/>
      <c r="D6" s="15"/>
      <c r="E6" s="14"/>
      <c r="F6" s="14"/>
      <c r="G6" s="14"/>
      <c r="H6" s="14"/>
      <c r="I6" s="14"/>
      <c r="J6" s="14"/>
      <c r="K6" s="21"/>
    </row>
    <row x14ac:dyDescent="0.25" r="7" customHeight="1" ht="18.75">
      <c r="A7" s="16"/>
      <c r="B7" s="362" t="s">
        <v>265</v>
      </c>
      <c r="C7" s="377"/>
      <c r="D7" s="158">
        <f>IF(C5="embarcación de planeo",((0.1*'ISO 12215 Datos de entrada'!C17*1000)/('ISO 12215 Datos de entrada'!C13*'ISO 12215 Datos de entrada'!C14))*(1+'ISO 12215 Datos de entrada'!E26^0.5*'ISO 12215 Datos de entrada'!C28),(2.4*('ISO 12215 Datos de entrada'!C17*1000)^0.33+20)*'ISO 12215 Datos de entrada'!E26*'ISO 12215 Datos de entrada'!C31*'ISO 12215 Datos de entrada'!E26)</f>
      </c>
      <c r="E7" s="378" t="s">
        <v>117</v>
      </c>
      <c r="F7" s="14"/>
      <c r="G7" s="14"/>
      <c r="H7" s="14"/>
      <c r="I7" s="14"/>
      <c r="J7" s="14"/>
      <c r="K7" s="21"/>
    </row>
    <row x14ac:dyDescent="0.25" r="8" customHeight="1" ht="18.75">
      <c r="A8" s="16"/>
      <c r="B8" s="14"/>
      <c r="C8" s="14"/>
      <c r="D8" s="15"/>
      <c r="E8" s="14"/>
      <c r="F8" s="14"/>
      <c r="G8" s="14"/>
      <c r="H8" s="14"/>
      <c r="I8" s="14"/>
      <c r="J8" s="14"/>
      <c r="K8" s="21"/>
    </row>
    <row x14ac:dyDescent="0.25" r="9" customHeight="1" ht="18.75">
      <c r="A9" s="16"/>
      <c r="B9" s="362" t="s">
        <v>266</v>
      </c>
      <c r="C9" s="377"/>
      <c r="D9" s="158">
        <f>(0.35*'ISO 12215 Datos de entrada'!C13+14.6)+'ISO 12215 Datos de entrada'!C38*(((0.25*0.1*('ISO 12215 Datos de entrada'!C17*1000)/('ISO 12215 Datos de entrada'!C13*'ISO 12215 Datos de entrada'!C14))*(1+'ISO 12215 Datos de entrada'!E26^0.5*'ISO 12215 Datos de entrada'!C28))-(0.35*'ISO 12215 Datos de entrada'!C13+14.6))*'ISO 12215 Datos de entrada'!C34*'ISO 12215 Datos de entrada'!E26*'ISO 12215 Datos de entrada'!C31</f>
      </c>
      <c r="E9" s="378" t="s">
        <v>117</v>
      </c>
      <c r="F9" s="14"/>
      <c r="G9" s="14"/>
      <c r="H9" s="14"/>
      <c r="I9" s="14"/>
      <c r="J9" s="14"/>
      <c r="K9" s="21"/>
    </row>
    <row x14ac:dyDescent="0.25" r="10" customHeight="1" ht="18.75">
      <c r="A10" s="16"/>
      <c r="B10" s="14"/>
      <c r="C10" s="14"/>
      <c r="D10" s="38"/>
      <c r="E10" s="14"/>
      <c r="F10" s="14"/>
      <c r="G10" s="14"/>
      <c r="H10" s="14"/>
      <c r="I10" s="14"/>
      <c r="J10" s="14"/>
      <c r="K10" s="21"/>
    </row>
    <row x14ac:dyDescent="0.25" r="11" customHeight="1" ht="18.75">
      <c r="A11" s="16"/>
      <c r="B11" s="362" t="s">
        <v>267</v>
      </c>
      <c r="C11" s="377"/>
      <c r="D11" s="158">
        <f>0.9*'ISO 12215 Datos de entrada'!C13*'ISO 12215 Datos de entrada'!E26</f>
      </c>
      <c r="E11" s="378" t="s">
        <v>117</v>
      </c>
      <c r="F11" s="14"/>
      <c r="G11" s="14"/>
      <c r="H11" s="14"/>
      <c r="I11" s="14"/>
      <c r="J11" s="14"/>
      <c r="K11" s="21"/>
    </row>
    <row x14ac:dyDescent="0.25" r="12" customHeight="1" ht="18.75">
      <c r="A12" s="16"/>
      <c r="B12" s="14"/>
      <c r="C12" s="14"/>
      <c r="D12" s="15"/>
      <c r="E12" s="14"/>
      <c r="F12" s="14"/>
      <c r="G12" s="14"/>
      <c r="H12" s="14"/>
      <c r="I12" s="14"/>
      <c r="J12" s="14"/>
      <c r="K12" s="21"/>
    </row>
    <row x14ac:dyDescent="0.25" r="13" customHeight="1" ht="18.75">
      <c r="A13" s="16"/>
      <c r="B13" s="362" t="s">
        <v>268</v>
      </c>
      <c r="C13" s="377"/>
      <c r="D13" s="158">
        <f>(0.35*'ISO 12215 Datos de entrada'!C13+14.6)*'ISO 12215 Datos de entrada'!E26*'ISO 12215 Datos de entrada'!C34*0.67</f>
      </c>
      <c r="E13" s="378" t="s">
        <v>117</v>
      </c>
      <c r="F13" s="14"/>
      <c r="G13" s="14"/>
      <c r="H13" s="14"/>
      <c r="I13" s="14"/>
      <c r="J13" s="14"/>
      <c r="K13" s="21"/>
    </row>
    <row x14ac:dyDescent="0.25" r="14" customHeight="1" ht="18.75">
      <c r="A14" s="16"/>
      <c r="B14" s="14"/>
      <c r="C14" s="14"/>
      <c r="D14" s="15"/>
      <c r="E14" s="14"/>
      <c r="F14" s="14"/>
      <c r="G14" s="14"/>
      <c r="H14" s="14"/>
      <c r="I14" s="14"/>
      <c r="J14" s="14"/>
      <c r="K14" s="21"/>
    </row>
    <row x14ac:dyDescent="0.25" r="15" customHeight="1" ht="18.75">
      <c r="A15" s="16"/>
      <c r="B15" s="362" t="s">
        <v>269</v>
      </c>
      <c r="C15" s="377"/>
      <c r="D15" s="158">
        <v>5</v>
      </c>
      <c r="E15" s="58" t="s">
        <v>117</v>
      </c>
      <c r="F15" s="14"/>
      <c r="G15" s="14"/>
      <c r="H15" s="14"/>
      <c r="I15" s="14"/>
      <c r="J15" s="14"/>
      <c r="K15" s="21"/>
    </row>
    <row x14ac:dyDescent="0.25" r="16" customHeight="1" ht="18.75">
      <c r="A16" s="16"/>
      <c r="B16" s="14"/>
      <c r="C16" s="14"/>
      <c r="D16" s="15"/>
      <c r="E16" s="14"/>
      <c r="F16" s="14"/>
      <c r="G16" s="14"/>
      <c r="H16" s="14"/>
      <c r="I16" s="14"/>
      <c r="J16" s="14"/>
      <c r="K16" s="21"/>
    </row>
    <row x14ac:dyDescent="0.25" r="17" customHeight="1" ht="18.75">
      <c r="A17" s="16"/>
      <c r="B17" s="379" t="s">
        <v>270</v>
      </c>
      <c r="C17" s="380"/>
      <c r="D17" s="158">
        <f>7*D18</f>
      </c>
      <c r="E17" s="378" t="s">
        <v>117</v>
      </c>
      <c r="F17" s="14"/>
      <c r="G17" s="14"/>
      <c r="H17" s="14"/>
      <c r="I17" s="14"/>
      <c r="J17" s="14"/>
      <c r="K17" s="21"/>
    </row>
    <row x14ac:dyDescent="0.25" r="18" customHeight="1" ht="18.75">
      <c r="A18" s="16"/>
      <c r="B18" s="14"/>
      <c r="C18" s="381" t="s">
        <v>271</v>
      </c>
      <c r="D18" s="382">
        <f>200/1000</f>
      </c>
      <c r="E18" s="378" t="s">
        <v>69</v>
      </c>
      <c r="F18" s="14"/>
      <c r="G18" s="14"/>
      <c r="H18" s="14"/>
      <c r="I18" s="14"/>
      <c r="J18" s="14"/>
      <c r="K18" s="21"/>
    </row>
    <row x14ac:dyDescent="0.25" r="19" customHeight="1" ht="18.75">
      <c r="A19" s="16"/>
      <c r="B19" s="14"/>
      <c r="C19" s="14"/>
      <c r="D19" s="15"/>
      <c r="E19" s="14"/>
      <c r="F19" s="14"/>
      <c r="G19" s="14"/>
      <c r="H19" s="14"/>
      <c r="I19" s="14"/>
      <c r="J19" s="14"/>
      <c r="K19" s="21"/>
    </row>
    <row x14ac:dyDescent="0.25" r="20" customHeight="1" ht="18.75">
      <c r="A20" s="16"/>
      <c r="B20" s="14"/>
      <c r="C20" s="14"/>
      <c r="D20" s="15"/>
      <c r="E20" s="14"/>
      <c r="F20" s="14"/>
      <c r="G20" s="14"/>
      <c r="H20" s="14"/>
      <c r="I20" s="14"/>
      <c r="J20" s="14"/>
      <c r="K20" s="21"/>
    </row>
    <row x14ac:dyDescent="0.25" r="21" customHeight="1" ht="18.75">
      <c r="A21" s="16"/>
      <c r="B21" s="379" t="s">
        <v>270</v>
      </c>
      <c r="C21" s="380"/>
      <c r="D21" s="158">
        <f>10*D22</f>
      </c>
      <c r="E21" s="378" t="s">
        <v>117</v>
      </c>
      <c r="F21" s="14"/>
      <c r="G21" s="14"/>
      <c r="H21" s="14"/>
      <c r="I21" s="14"/>
      <c r="J21" s="38"/>
      <c r="K21" s="21"/>
    </row>
    <row x14ac:dyDescent="0.25" r="22" customHeight="1" ht="18.75">
      <c r="A22" s="16"/>
      <c r="B22" s="14"/>
      <c r="C22" s="381" t="s">
        <v>271</v>
      </c>
      <c r="D22" s="382">
        <f>200/1000</f>
      </c>
      <c r="E22" s="378" t="s">
        <v>69</v>
      </c>
      <c r="F22" s="14"/>
      <c r="G22" s="14"/>
      <c r="H22" s="14"/>
      <c r="I22" s="14"/>
      <c r="J22" s="14"/>
      <c r="K22" s="21"/>
    </row>
    <row x14ac:dyDescent="0.25" r="23" customHeight="1" ht="18.75">
      <c r="A23" s="16"/>
      <c r="B23" s="14"/>
      <c r="C23" s="14"/>
      <c r="D23" s="15"/>
      <c r="E23" s="14"/>
      <c r="F23" s="14"/>
      <c r="G23" s="14"/>
      <c r="H23" s="14"/>
      <c r="I23" s="14"/>
      <c r="J23" s="14"/>
      <c r="K23" s="21"/>
    </row>
    <row x14ac:dyDescent="0.25" r="24" customHeight="1" ht="18.75">
      <c r="A24" s="16"/>
      <c r="B24" s="379" t="s">
        <v>272</v>
      </c>
      <c r="C24" s="380"/>
      <c r="D24" s="341">
        <f>D21</f>
      </c>
      <c r="E24" s="378" t="s">
        <v>117</v>
      </c>
      <c r="F24" s="14"/>
      <c r="G24" s="14"/>
      <c r="H24" s="14"/>
      <c r="I24" s="14"/>
      <c r="J24" s="14"/>
      <c r="K24" s="21"/>
    </row>
    <row x14ac:dyDescent="0.25" r="25" customHeight="1" ht="18.75">
      <c r="A25" s="16"/>
      <c r="B25" s="14"/>
      <c r="C25" s="14"/>
      <c r="D25" s="15"/>
      <c r="E25" s="14"/>
      <c r="F25" s="14"/>
      <c r="G25" s="14"/>
      <c r="H25" s="14"/>
      <c r="I25" s="14"/>
      <c r="J25" s="14"/>
      <c r="K25" s="21"/>
    </row>
    <row x14ac:dyDescent="0.25" r="26" customHeight="1" ht="18.75">
      <c r="A26" s="16"/>
      <c r="B26" s="14"/>
      <c r="C26" s="14"/>
      <c r="D26" s="15"/>
      <c r="E26" s="14"/>
      <c r="F26" s="14"/>
      <c r="G26" s="14"/>
      <c r="H26" s="14"/>
      <c r="I26" s="14"/>
      <c r="J26" s="14"/>
      <c r="K26" s="21"/>
    </row>
    <row x14ac:dyDescent="0.25" r="27" customHeight="1" ht="18.75">
      <c r="A27" s="16"/>
      <c r="B27" s="14"/>
      <c r="C27" s="14"/>
      <c r="D27" s="15"/>
      <c r="E27" s="14"/>
      <c r="F27" s="14"/>
      <c r="G27" s="14"/>
      <c r="H27" s="14"/>
      <c r="I27" s="14"/>
      <c r="J27" s="14"/>
      <c r="K27" s="21"/>
    </row>
    <row x14ac:dyDescent="0.25" r="28" customHeight="1" ht="18.75">
      <c r="A28" s="44"/>
      <c r="B28" s="48"/>
      <c r="C28" s="48"/>
      <c r="D28" s="136"/>
      <c r="E28" s="48"/>
      <c r="F28" s="48"/>
      <c r="G28" s="48"/>
      <c r="H28" s="48"/>
      <c r="I28" s="48"/>
      <c r="J28" s="48"/>
      <c r="K28" s="49"/>
    </row>
  </sheetData>
  <mergeCells count="9">
    <mergeCell ref="A1:K2"/>
    <mergeCell ref="B7:C7"/>
    <mergeCell ref="B9:C9"/>
    <mergeCell ref="B11:C11"/>
    <mergeCell ref="B13:C13"/>
    <mergeCell ref="B15:C15"/>
    <mergeCell ref="B17:C17"/>
    <mergeCell ref="B21:C21"/>
    <mergeCell ref="B24:C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43"/>
  <sheetViews>
    <sheetView workbookViewId="0"/>
  </sheetViews>
  <sheetFormatPr defaultRowHeight="15" x14ac:dyDescent="0.25"/>
  <cols>
    <col min="1" max="1" style="138" width="9.290714285714287" customWidth="1" bestFit="1"/>
    <col min="2" max="2" style="138" width="23.14785714285714" customWidth="1" bestFit="1"/>
    <col min="3" max="3" style="139" width="13.576428571428572" customWidth="1" bestFit="1"/>
    <col min="4" max="4" style="139" width="13.576428571428572" customWidth="1" bestFit="1"/>
    <col min="5" max="5" style="138" width="13.576428571428572" customWidth="1" bestFit="1"/>
    <col min="6" max="6" style="138" width="13.576428571428572" customWidth="1" bestFit="1"/>
    <col min="7" max="7" style="138" width="13.576428571428572" customWidth="1" bestFit="1"/>
    <col min="8" max="8" style="138" width="13.576428571428572" customWidth="1" bestFit="1"/>
    <col min="9" max="9" style="138" width="13.576428571428572" customWidth="1" bestFit="1"/>
    <col min="10" max="10" style="138" width="13.576428571428572" customWidth="1" bestFit="1"/>
    <col min="11" max="11" style="138" width="13.576428571428572" customWidth="1" bestFit="1"/>
  </cols>
  <sheetData>
    <row x14ac:dyDescent="0.25" r="1" customHeight="1" ht="18.75">
      <c r="A1" s="318" t="s">
        <v>230</v>
      </c>
      <c r="B1" s="320"/>
      <c r="C1" s="319"/>
      <c r="D1" s="319"/>
      <c r="E1" s="320"/>
      <c r="F1" s="320"/>
      <c r="G1" s="320"/>
      <c r="H1" s="320"/>
      <c r="I1" s="320"/>
      <c r="J1" s="320"/>
      <c r="K1" s="322"/>
    </row>
    <row x14ac:dyDescent="0.25" r="2" customHeight="1" ht="18.75">
      <c r="A2" s="323"/>
      <c r="B2" s="325"/>
      <c r="C2" s="324"/>
      <c r="D2" s="324"/>
      <c r="E2" s="325"/>
      <c r="F2" s="325"/>
      <c r="G2" s="325"/>
      <c r="H2" s="325"/>
      <c r="I2" s="325"/>
      <c r="J2" s="325"/>
      <c r="K2" s="327"/>
    </row>
    <row x14ac:dyDescent="0.25" r="3" customHeight="1" ht="18.75">
      <c r="A3" s="1"/>
      <c r="B3" s="6"/>
      <c r="C3" s="9"/>
      <c r="D3" s="9"/>
      <c r="E3" s="6"/>
      <c r="F3" s="6"/>
      <c r="G3" s="6"/>
      <c r="H3" s="6"/>
      <c r="I3" s="6"/>
      <c r="J3" s="6"/>
      <c r="K3" s="10"/>
    </row>
    <row x14ac:dyDescent="0.25" r="4" customHeight="1" ht="18.75">
      <c r="A4" s="16"/>
      <c r="B4" s="14"/>
      <c r="C4" s="15"/>
      <c r="D4" s="15"/>
      <c r="E4" s="14"/>
      <c r="F4" s="14"/>
      <c r="G4" s="14"/>
      <c r="H4" s="14"/>
      <c r="I4" s="14"/>
      <c r="J4" s="14"/>
      <c r="K4" s="21"/>
    </row>
    <row x14ac:dyDescent="0.25" r="5" customHeight="1" ht="18.75">
      <c r="A5" s="16"/>
      <c r="B5" s="1" t="s">
        <v>231</v>
      </c>
      <c r="C5" s="353">
        <v>125</v>
      </c>
      <c r="D5" s="25" t="s">
        <v>232</v>
      </c>
      <c r="E5" s="14"/>
      <c r="F5" s="14"/>
      <c r="G5" s="14"/>
      <c r="H5" s="14"/>
      <c r="I5" s="14"/>
      <c r="J5" s="14"/>
      <c r="K5" s="21"/>
    </row>
    <row x14ac:dyDescent="0.25" r="6" customHeight="1" ht="18.75">
      <c r="A6" s="16"/>
      <c r="B6" s="44" t="s">
        <v>233</v>
      </c>
      <c r="C6" s="112">
        <f>0.6*C5</f>
      </c>
      <c r="D6" s="47" t="s">
        <v>232</v>
      </c>
      <c r="E6" s="14"/>
      <c r="F6" s="14"/>
      <c r="G6" s="14"/>
      <c r="H6" s="14"/>
      <c r="I6" s="14"/>
      <c r="J6" s="14"/>
      <c r="K6" s="21"/>
    </row>
    <row x14ac:dyDescent="0.25" r="7" customHeight="1" ht="18.75">
      <c r="A7" s="16"/>
      <c r="B7" s="14"/>
      <c r="C7" s="15"/>
      <c r="D7" s="15"/>
      <c r="E7" s="14"/>
      <c r="F7" s="14"/>
      <c r="G7" s="14"/>
      <c r="H7" s="14"/>
      <c r="I7" s="14"/>
      <c r="J7" s="14"/>
      <c r="K7" s="21"/>
    </row>
    <row x14ac:dyDescent="0.25" r="8" customHeight="1" ht="18.75">
      <c r="A8" s="16"/>
      <c r="B8" s="14"/>
      <c r="C8" s="15"/>
      <c r="D8" s="15"/>
      <c r="E8" s="14"/>
      <c r="F8" s="14"/>
      <c r="G8" s="14"/>
      <c r="H8" s="14"/>
      <c r="I8" s="14"/>
      <c r="J8" s="14"/>
      <c r="K8" s="21"/>
    </row>
    <row x14ac:dyDescent="0.25" r="9" customHeight="1" ht="18.75">
      <c r="A9" s="16"/>
      <c r="B9" s="213" t="s">
        <v>234</v>
      </c>
      <c r="C9" s="354">
        <v>1</v>
      </c>
      <c r="D9" s="355"/>
      <c r="E9" s="14"/>
      <c r="F9" s="14"/>
      <c r="G9" s="14"/>
      <c r="H9" s="14"/>
      <c r="I9" s="14"/>
      <c r="J9" s="14"/>
      <c r="K9" s="21"/>
    </row>
    <row x14ac:dyDescent="0.25" r="10" customHeight="1" ht="18.75">
      <c r="A10" s="16"/>
      <c r="B10" s="356" t="s">
        <v>235</v>
      </c>
      <c r="C10" s="357">
        <v>225</v>
      </c>
      <c r="D10" s="358" t="s">
        <v>33</v>
      </c>
      <c r="E10" s="14"/>
      <c r="F10" s="14"/>
      <c r="G10" s="14"/>
      <c r="H10" s="14"/>
      <c r="I10" s="14"/>
      <c r="J10" s="14"/>
      <c r="K10" s="21"/>
    </row>
    <row x14ac:dyDescent="0.25" r="11" customHeight="1" ht="18.75">
      <c r="A11" s="16"/>
      <c r="B11" s="215" t="s">
        <v>236</v>
      </c>
      <c r="C11" s="357">
        <v>0</v>
      </c>
      <c r="D11" s="358" t="s">
        <v>33</v>
      </c>
      <c r="E11" s="14"/>
      <c r="F11" s="14"/>
      <c r="G11" s="14"/>
      <c r="H11" s="14"/>
      <c r="I11" s="14"/>
      <c r="J11" s="14"/>
      <c r="K11" s="21"/>
    </row>
    <row x14ac:dyDescent="0.25" r="12" customHeight="1" ht="18.75">
      <c r="A12" s="16"/>
      <c r="B12" s="356" t="s">
        <v>237</v>
      </c>
      <c r="C12" s="357">
        <v>750</v>
      </c>
      <c r="D12" s="358" t="s">
        <v>33</v>
      </c>
      <c r="E12" s="14"/>
      <c r="F12" s="14"/>
      <c r="G12" s="14"/>
      <c r="H12" s="14"/>
      <c r="I12" s="14"/>
      <c r="J12" s="14"/>
      <c r="K12" s="21"/>
    </row>
    <row x14ac:dyDescent="0.25" r="13" customHeight="1" ht="18.75">
      <c r="A13" s="16"/>
      <c r="B13" s="215" t="s">
        <v>238</v>
      </c>
      <c r="C13" s="359">
        <f>IF(C12/C10&gt;2,2,C12/C10)</f>
      </c>
      <c r="D13" s="358"/>
      <c r="E13" s="14"/>
      <c r="F13" s="14"/>
      <c r="G13" s="14"/>
      <c r="H13" s="14"/>
      <c r="I13" s="14"/>
      <c r="J13" s="14"/>
      <c r="K13" s="21"/>
    </row>
    <row x14ac:dyDescent="0.25" r="14" customHeight="1" ht="18.75">
      <c r="A14" s="16"/>
      <c r="B14" s="356" t="s">
        <v>239</v>
      </c>
      <c r="C14" s="359">
        <f>0.5</f>
      </c>
      <c r="D14" s="358"/>
      <c r="E14" s="14"/>
      <c r="F14" s="14"/>
      <c r="G14" s="14"/>
      <c r="H14" s="14"/>
      <c r="I14" s="14"/>
      <c r="J14" s="14"/>
      <c r="K14" s="21"/>
    </row>
    <row x14ac:dyDescent="0.25" r="15" customHeight="1" ht="18.75">
      <c r="A15" s="16"/>
      <c r="B15" s="220" t="s">
        <v>240</v>
      </c>
      <c r="C15" s="360">
        <v>0.028</v>
      </c>
      <c r="D15" s="361"/>
      <c r="E15" s="14"/>
      <c r="F15" s="14"/>
      <c r="G15" s="14"/>
      <c r="H15" s="14"/>
      <c r="I15" s="14"/>
      <c r="J15" s="14"/>
      <c r="K15" s="21"/>
    </row>
    <row x14ac:dyDescent="0.25" r="16" customHeight="1" ht="27.600000000000005">
      <c r="A16" s="16"/>
      <c r="B16" s="249" t="s">
        <v>241</v>
      </c>
      <c r="C16" s="250"/>
      <c r="D16" s="250"/>
      <c r="E16" s="249"/>
      <c r="F16" s="14"/>
      <c r="G16" s="14"/>
      <c r="H16" s="14"/>
      <c r="I16" s="14"/>
      <c r="J16" s="14"/>
      <c r="K16" s="21"/>
    </row>
    <row x14ac:dyDescent="0.25" r="17" customHeight="1" ht="18.75">
      <c r="A17" s="16"/>
      <c r="B17" s="362" t="s">
        <v>242</v>
      </c>
      <c r="C17" s="363"/>
      <c r="D17" s="341">
        <f>(C10)*C9*(('Presiones de diseño'!D7*'espesores laminas'!C14)/(1000*'espesores laminas'!C6))^0.5</f>
      </c>
      <c r="E17" s="58" t="s">
        <v>33</v>
      </c>
      <c r="F17" s="14"/>
      <c r="G17" s="159" t="s">
        <v>92</v>
      </c>
      <c r="H17" s="159" t="s">
        <v>243</v>
      </c>
      <c r="I17" s="14"/>
      <c r="J17" s="14"/>
      <c r="K17" s="21"/>
    </row>
    <row x14ac:dyDescent="0.25" r="18" customHeight="1" ht="18.75">
      <c r="A18" s="16"/>
      <c r="B18" s="14"/>
      <c r="C18" s="15"/>
      <c r="D18" s="15"/>
      <c r="E18" s="14"/>
      <c r="F18" s="14"/>
      <c r="G18" s="14"/>
      <c r="H18" s="14"/>
      <c r="I18" s="14"/>
      <c r="J18" s="14"/>
      <c r="K18" s="21"/>
    </row>
    <row x14ac:dyDescent="0.25" r="19" customHeight="1" ht="18.75">
      <c r="A19" s="16"/>
      <c r="B19" s="362" t="s">
        <v>244</v>
      </c>
      <c r="C19" s="363"/>
      <c r="D19" s="341">
        <f>C10*C9*(('Presiones de diseño'!D9*'espesores laminas'!C14)/(1000*'espesores laminas'!C6))^0.5</f>
      </c>
      <c r="E19" s="58" t="s">
        <v>33</v>
      </c>
      <c r="F19" s="14"/>
      <c r="G19" s="159" t="s">
        <v>245</v>
      </c>
      <c r="H19" s="159" t="s">
        <v>246</v>
      </c>
      <c r="I19" s="14"/>
      <c r="J19" s="14"/>
      <c r="K19" s="21"/>
    </row>
    <row x14ac:dyDescent="0.25" r="20" customHeight="1" ht="18.75">
      <c r="A20" s="16"/>
      <c r="B20" s="14"/>
      <c r="C20" s="15"/>
      <c r="D20" s="15"/>
      <c r="E20" s="14"/>
      <c r="F20" s="14"/>
      <c r="G20" s="14"/>
      <c r="H20" s="14"/>
      <c r="I20" s="14"/>
      <c r="J20" s="14"/>
      <c r="K20" s="21"/>
    </row>
    <row x14ac:dyDescent="0.25" r="21" customHeight="1" ht="18.75">
      <c r="A21" s="16"/>
      <c r="B21" s="362" t="s">
        <v>247</v>
      </c>
      <c r="C21" s="363"/>
      <c r="D21" s="341">
        <f>C10*C9*(('Presiones de diseño'!D11*'espesores laminas'!C14)/(1000*'espesores laminas'!C6))^0.5</f>
      </c>
      <c r="E21" s="58" t="s">
        <v>33</v>
      </c>
      <c r="F21" s="14"/>
      <c r="G21" s="159" t="s">
        <v>248</v>
      </c>
      <c r="H21" s="159" t="s">
        <v>249</v>
      </c>
      <c r="I21" s="14"/>
      <c r="J21" s="14"/>
      <c r="K21" s="21"/>
    </row>
    <row x14ac:dyDescent="0.25" r="22" customHeight="1" ht="18.75">
      <c r="A22" s="16"/>
      <c r="B22" s="14"/>
      <c r="C22" s="15"/>
      <c r="D22" s="15"/>
      <c r="E22" s="14"/>
      <c r="F22" s="14"/>
      <c r="G22" s="14"/>
      <c r="H22" s="14"/>
      <c r="I22" s="14"/>
      <c r="J22" s="14"/>
      <c r="K22" s="21"/>
    </row>
    <row x14ac:dyDescent="0.25" r="23" customHeight="1" ht="18.75">
      <c r="A23" s="16"/>
      <c r="B23" s="362" t="s">
        <v>250</v>
      </c>
      <c r="C23" s="363"/>
      <c r="D23" s="341">
        <f>C10*C9*(('Presiones de diseño'!D13*'espesores laminas'!C14)/(1000*'espesores laminas'!C6))^0.5</f>
      </c>
      <c r="E23" s="58" t="s">
        <v>33</v>
      </c>
      <c r="F23" s="14"/>
      <c r="G23" s="159" t="s">
        <v>251</v>
      </c>
      <c r="H23" s="159" t="s">
        <v>252</v>
      </c>
      <c r="I23" s="14"/>
      <c r="J23" s="14"/>
      <c r="K23" s="21"/>
    </row>
    <row x14ac:dyDescent="0.25" r="24" customHeight="1" ht="18.75">
      <c r="A24" s="16"/>
      <c r="B24" s="14"/>
      <c r="C24" s="15"/>
      <c r="D24" s="15"/>
      <c r="E24" s="14"/>
      <c r="F24" s="14"/>
      <c r="G24" s="14"/>
      <c r="H24" s="14"/>
      <c r="I24" s="14"/>
      <c r="J24" s="14"/>
      <c r="K24" s="21"/>
    </row>
    <row x14ac:dyDescent="0.25" r="25" customHeight="1" ht="18.75">
      <c r="A25" s="16"/>
      <c r="B25" s="362" t="s">
        <v>253</v>
      </c>
      <c r="C25" s="363"/>
      <c r="D25" s="341">
        <f>C10*C9*(('Presiones de diseño'!D15*'espesores laminas'!C14)/(1000*'espesores laminas'!C6))^0.5</f>
      </c>
      <c r="E25" s="58" t="s">
        <v>33</v>
      </c>
      <c r="F25" s="14"/>
      <c r="G25" s="159" t="s">
        <v>248</v>
      </c>
      <c r="H25" s="159" t="s">
        <v>254</v>
      </c>
      <c r="I25" s="14"/>
      <c r="J25" s="14"/>
      <c r="K25" s="21"/>
    </row>
    <row x14ac:dyDescent="0.25" r="26" customHeight="1" ht="18.75">
      <c r="A26" s="16"/>
      <c r="B26" s="14"/>
      <c r="C26" s="15"/>
      <c r="D26" s="15"/>
      <c r="E26" s="14"/>
      <c r="F26" s="14"/>
      <c r="G26" s="14"/>
      <c r="H26" s="14"/>
      <c r="I26" s="14"/>
      <c r="J26" s="14"/>
      <c r="K26" s="21"/>
    </row>
    <row x14ac:dyDescent="0.25" r="27" customHeight="1" ht="18.75">
      <c r="A27" s="16"/>
      <c r="B27" s="14"/>
      <c r="C27" s="15"/>
      <c r="D27" s="15"/>
      <c r="E27" s="14"/>
      <c r="F27" s="14"/>
      <c r="G27" s="14"/>
      <c r="H27" s="14"/>
      <c r="I27" s="14"/>
      <c r="J27" s="14"/>
      <c r="K27" s="21"/>
    </row>
    <row x14ac:dyDescent="0.25" r="28" customHeight="1" ht="18.75">
      <c r="A28" s="16"/>
      <c r="B28" s="362" t="s">
        <v>255</v>
      </c>
      <c r="C28" s="363"/>
      <c r="D28" s="341">
        <f>D29*(D32+D30*'ISO 12215 Datos de entrada'!C14+'espesores laminas'!D31*('ISO 12215 Datos de entrada'!C13*1000)^0.33)</f>
      </c>
      <c r="E28" s="58" t="s">
        <v>33</v>
      </c>
      <c r="F28" s="14"/>
      <c r="G28" s="159" t="s">
        <v>96</v>
      </c>
      <c r="H28" s="159" t="s">
        <v>246</v>
      </c>
      <c r="I28" s="14"/>
      <c r="J28" s="14"/>
      <c r="K28" s="21"/>
    </row>
    <row x14ac:dyDescent="0.25" r="29" customHeight="1" ht="18.75">
      <c r="A29" s="16"/>
      <c r="B29" s="14"/>
      <c r="C29" s="355" t="s">
        <v>256</v>
      </c>
      <c r="D29" s="364">
        <f>(125/C5)^0.5</f>
      </c>
      <c r="E29" s="14"/>
      <c r="F29" s="14"/>
      <c r="G29" s="14"/>
      <c r="H29" s="14"/>
      <c r="I29" s="14"/>
      <c r="J29" s="14"/>
      <c r="K29" s="21"/>
    </row>
    <row x14ac:dyDescent="0.25" r="30" customHeight="1" ht="18.75">
      <c r="A30" s="16"/>
      <c r="B30" s="14"/>
      <c r="C30" s="358" t="s">
        <v>257</v>
      </c>
      <c r="D30" s="96">
        <v>0.02</v>
      </c>
      <c r="E30" s="14"/>
      <c r="F30" s="14"/>
      <c r="G30" s="14"/>
      <c r="H30" s="14"/>
      <c r="I30" s="14"/>
      <c r="J30" s="14"/>
      <c r="K30" s="21"/>
    </row>
    <row x14ac:dyDescent="0.25" r="31" customHeight="1" ht="18.75">
      <c r="A31" s="16"/>
      <c r="B31" s="14"/>
      <c r="C31" s="358" t="s">
        <v>258</v>
      </c>
      <c r="D31" s="96">
        <v>0.1</v>
      </c>
      <c r="E31" s="14"/>
      <c r="F31" s="14"/>
      <c r="G31" s="14"/>
      <c r="H31" s="14"/>
      <c r="I31" s="14"/>
      <c r="J31" s="14"/>
      <c r="K31" s="21"/>
    </row>
    <row x14ac:dyDescent="0.25" r="32" customHeight="1" ht="18.75">
      <c r="A32" s="16"/>
      <c r="B32" s="14"/>
      <c r="C32" s="361" t="s">
        <v>259</v>
      </c>
      <c r="D32" s="365">
        <v>1</v>
      </c>
      <c r="E32" s="14"/>
      <c r="F32" s="14"/>
      <c r="G32" s="14"/>
      <c r="H32" s="14"/>
      <c r="I32" s="14"/>
      <c r="J32" s="14"/>
      <c r="K32" s="21"/>
    </row>
    <row x14ac:dyDescent="0.25" r="33" customHeight="1" ht="18.75">
      <c r="A33" s="16"/>
      <c r="B33" s="14"/>
      <c r="C33" s="15"/>
      <c r="D33" s="15"/>
      <c r="E33" s="14"/>
      <c r="F33" s="14"/>
      <c r="G33" s="14"/>
      <c r="H33" s="14"/>
      <c r="I33" s="14"/>
      <c r="J33" s="14"/>
      <c r="K33" s="21"/>
    </row>
    <row x14ac:dyDescent="0.25" r="34" customHeight="1" ht="18.75">
      <c r="A34" s="16"/>
      <c r="B34" s="362" t="s">
        <v>260</v>
      </c>
      <c r="C34" s="363"/>
      <c r="D34" s="341">
        <f>D35*(D38+D36*'ISO 12215 Datos de entrada'!C20+'espesores laminas'!D37*('ISO 12215 Datos de entrada'!C19*1000)^0.33)</f>
      </c>
      <c r="E34" s="58" t="s">
        <v>33</v>
      </c>
      <c r="F34" s="14"/>
      <c r="G34" s="159" t="s">
        <v>245</v>
      </c>
      <c r="H34" s="159" t="s">
        <v>246</v>
      </c>
      <c r="I34" s="14"/>
      <c r="J34" s="14"/>
      <c r="K34" s="21"/>
    </row>
    <row x14ac:dyDescent="0.25" r="35" customHeight="1" ht="18.75">
      <c r="A35" s="16"/>
      <c r="B35" s="14"/>
      <c r="C35" s="355" t="s">
        <v>256</v>
      </c>
      <c r="D35" s="364">
        <f>(125/C5)^0.5</f>
      </c>
      <c r="E35" s="14"/>
      <c r="F35" s="14"/>
      <c r="G35" s="14"/>
      <c r="H35" s="14"/>
      <c r="I35" s="14"/>
      <c r="J35" s="14"/>
      <c r="K35" s="21"/>
    </row>
    <row x14ac:dyDescent="0.25" r="36" customHeight="1" ht="18.75">
      <c r="A36" s="16"/>
      <c r="B36" s="14"/>
      <c r="C36" s="358" t="s">
        <v>257</v>
      </c>
      <c r="D36" s="366">
        <v>0</v>
      </c>
      <c r="E36" s="14"/>
      <c r="F36" s="14"/>
      <c r="G36" s="14"/>
      <c r="H36" s="14"/>
      <c r="I36" s="14"/>
      <c r="J36" s="14"/>
      <c r="K36" s="21"/>
    </row>
    <row x14ac:dyDescent="0.25" r="37" customHeight="1" ht="18.75">
      <c r="A37" s="16"/>
      <c r="B37" s="14"/>
      <c r="C37" s="358" t="s">
        <v>258</v>
      </c>
      <c r="D37" s="96">
        <v>0.1</v>
      </c>
      <c r="E37" s="14"/>
      <c r="F37" s="14"/>
      <c r="G37" s="14"/>
      <c r="H37" s="14"/>
      <c r="I37" s="14"/>
      <c r="J37" s="14"/>
      <c r="K37" s="21"/>
    </row>
    <row x14ac:dyDescent="0.25" r="38" customHeight="1" ht="18.75">
      <c r="A38" s="16"/>
      <c r="B38" s="14"/>
      <c r="C38" s="361" t="s">
        <v>259</v>
      </c>
      <c r="D38" s="365">
        <v>1</v>
      </c>
      <c r="E38" s="14"/>
      <c r="F38" s="14"/>
      <c r="G38" s="14"/>
      <c r="H38" s="14"/>
      <c r="I38" s="14"/>
      <c r="J38" s="14"/>
      <c r="K38" s="21"/>
    </row>
    <row x14ac:dyDescent="0.25" r="39" customHeight="1" ht="18.75">
      <c r="A39" s="16"/>
      <c r="B39" s="14"/>
      <c r="C39" s="15"/>
      <c r="D39" s="15"/>
      <c r="E39" s="14"/>
      <c r="F39" s="14"/>
      <c r="G39" s="14"/>
      <c r="H39" s="14"/>
      <c r="I39" s="14"/>
      <c r="J39" s="14"/>
      <c r="K39" s="21"/>
    </row>
    <row x14ac:dyDescent="0.25" r="40" customHeight="1" ht="18.75">
      <c r="A40" s="16"/>
      <c r="B40" s="14"/>
      <c r="C40" s="15"/>
      <c r="D40" s="15"/>
      <c r="E40" s="14"/>
      <c r="F40" s="14"/>
      <c r="G40" s="14"/>
      <c r="H40" s="14"/>
      <c r="I40" s="14"/>
      <c r="J40" s="14"/>
      <c r="K40" s="21"/>
    </row>
    <row x14ac:dyDescent="0.25" r="41" customHeight="1" ht="18.75">
      <c r="A41" s="16"/>
      <c r="B41" s="362" t="s">
        <v>261</v>
      </c>
      <c r="C41" s="363"/>
      <c r="D41" s="341">
        <f>1.35+0.06*'ISO 12215 Datos de entrada'!C13</f>
      </c>
      <c r="E41" s="58" t="s">
        <v>33</v>
      </c>
      <c r="F41" s="14"/>
      <c r="G41" s="159" t="s">
        <v>248</v>
      </c>
      <c r="H41" s="159" t="s">
        <v>262</v>
      </c>
      <c r="I41" s="14"/>
      <c r="J41" s="14"/>
      <c r="K41" s="21"/>
    </row>
    <row x14ac:dyDescent="0.25" r="42" customHeight="1" ht="18.75">
      <c r="A42" s="16"/>
      <c r="B42" s="14"/>
      <c r="C42" s="15"/>
      <c r="D42" s="15"/>
      <c r="E42" s="14"/>
      <c r="F42" s="14"/>
      <c r="G42" s="14"/>
      <c r="H42" s="14"/>
      <c r="I42" s="14"/>
      <c r="J42" s="14"/>
      <c r="K42" s="21"/>
    </row>
    <row x14ac:dyDescent="0.25" r="43" customHeight="1" ht="18.75">
      <c r="A43" s="44"/>
      <c r="B43" s="48"/>
      <c r="C43" s="136"/>
      <c r="D43" s="136"/>
      <c r="E43" s="48"/>
      <c r="F43" s="48"/>
      <c r="G43" s="48"/>
      <c r="H43" s="48"/>
      <c r="I43" s="48"/>
      <c r="J43" s="48"/>
      <c r="K43" s="49"/>
    </row>
  </sheetData>
  <mergeCells count="10">
    <mergeCell ref="A1:K2"/>
    <mergeCell ref="B16:E16"/>
    <mergeCell ref="B17:C17"/>
    <mergeCell ref="B19:C19"/>
    <mergeCell ref="B21:C21"/>
    <mergeCell ref="B23:C23"/>
    <mergeCell ref="B25:C25"/>
    <mergeCell ref="B28:C28"/>
    <mergeCell ref="B34:C34"/>
    <mergeCell ref="B41:C4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50"/>
  <sheetViews>
    <sheetView workbookViewId="0"/>
  </sheetViews>
  <sheetFormatPr defaultRowHeight="15" x14ac:dyDescent="0.25"/>
  <cols>
    <col min="1" max="1" style="351" width="29.005" customWidth="1" bestFit="1"/>
    <col min="2" max="2" style="139" width="13.719285714285713" customWidth="1" bestFit="1"/>
    <col min="3" max="3" style="138" width="13.576428571428572" customWidth="1" bestFit="1"/>
    <col min="4" max="4" style="138" width="13.576428571428572" customWidth="1" bestFit="1"/>
    <col min="5" max="5" style="138" width="13.576428571428572" customWidth="1" bestFit="1"/>
    <col min="6" max="6" style="138" width="13.576428571428572" customWidth="1" bestFit="1"/>
    <col min="7" max="7" style="138" width="13.576428571428572" customWidth="1" bestFit="1"/>
    <col min="8" max="8" style="138" width="13.576428571428572" customWidth="1" bestFit="1"/>
    <col min="9" max="9" style="138" width="29.719285714285714" customWidth="1" bestFit="1"/>
    <col min="10" max="10" style="352" width="13.576428571428572" customWidth="1" bestFit="1"/>
    <col min="11" max="11" style="138" width="13.576428571428572" customWidth="1" bestFit="1"/>
    <col min="12" max="12" style="138" width="13.576428571428572" customWidth="1" bestFit="1"/>
    <col min="13" max="13" style="138" width="13.576428571428572" customWidth="1" bestFit="1"/>
    <col min="14" max="14" style="138" width="13.576428571428572" customWidth="1" bestFit="1"/>
  </cols>
  <sheetData>
    <row x14ac:dyDescent="0.25" r="1" customHeight="1" ht="18.75">
      <c r="A1" s="318" t="s">
        <v>204</v>
      </c>
      <c r="B1" s="319"/>
      <c r="C1" s="320"/>
      <c r="D1" s="320"/>
      <c r="E1" s="320"/>
      <c r="F1" s="320"/>
      <c r="G1" s="320"/>
      <c r="H1" s="320"/>
      <c r="I1" s="320"/>
      <c r="J1" s="321"/>
      <c r="K1" s="322"/>
      <c r="L1" s="14"/>
      <c r="M1" s="14"/>
      <c r="N1" s="14"/>
    </row>
    <row x14ac:dyDescent="0.25" r="2" customHeight="1" ht="18.75">
      <c r="A2" s="323"/>
      <c r="B2" s="324"/>
      <c r="C2" s="325"/>
      <c r="D2" s="325"/>
      <c r="E2" s="325"/>
      <c r="F2" s="325"/>
      <c r="G2" s="325"/>
      <c r="H2" s="325"/>
      <c r="I2" s="325"/>
      <c r="J2" s="326"/>
      <c r="K2" s="327"/>
      <c r="L2" s="14"/>
      <c r="M2" s="14"/>
      <c r="N2" s="14"/>
    </row>
    <row x14ac:dyDescent="0.25" r="3" customHeight="1" ht="18.75">
      <c r="A3" s="328"/>
      <c r="B3" s="15"/>
      <c r="C3" s="14"/>
      <c r="D3" s="14"/>
      <c r="E3" s="14"/>
      <c r="F3" s="14"/>
      <c r="G3" s="14"/>
      <c r="H3" s="14"/>
      <c r="I3" s="14"/>
      <c r="J3" s="329"/>
      <c r="K3" s="14"/>
      <c r="L3" s="14"/>
      <c r="M3" s="14"/>
      <c r="N3" s="14"/>
    </row>
    <row x14ac:dyDescent="0.25" r="4" customHeight="1" ht="18.75">
      <c r="A4" s="328"/>
      <c r="B4" s="15"/>
      <c r="C4" s="14"/>
      <c r="D4" s="14"/>
      <c r="E4" s="14"/>
      <c r="F4" s="14"/>
      <c r="G4" s="14"/>
      <c r="H4" s="14"/>
      <c r="I4" s="14"/>
      <c r="J4" s="329"/>
      <c r="K4" s="14"/>
      <c r="L4" s="14"/>
      <c r="M4" s="14"/>
      <c r="N4" s="14"/>
    </row>
    <row x14ac:dyDescent="0.25" r="5" customHeight="1" ht="18.75">
      <c r="A5" s="328"/>
      <c r="B5" s="15"/>
      <c r="C5" s="14"/>
      <c r="D5" s="14"/>
      <c r="E5" s="14"/>
      <c r="F5" s="14"/>
      <c r="G5" s="14"/>
      <c r="H5" s="14"/>
      <c r="I5" s="14"/>
      <c r="J5" s="329"/>
      <c r="K5" s="14"/>
      <c r="L5" s="14"/>
      <c r="M5" s="14"/>
      <c r="N5" s="14"/>
    </row>
    <row x14ac:dyDescent="0.25" r="6" customHeight="1" ht="18.75">
      <c r="A6" s="31" t="s">
        <v>205</v>
      </c>
      <c r="B6" s="32">
        <f>0.7*'espesores laminas'!C5</f>
      </c>
      <c r="C6" s="10" t="s">
        <v>8</v>
      </c>
      <c r="D6" s="14"/>
      <c r="E6" s="14"/>
      <c r="F6" s="14"/>
      <c r="G6" s="14"/>
      <c r="H6" s="14"/>
      <c r="I6" s="14"/>
      <c r="J6" s="329"/>
      <c r="K6" s="14"/>
      <c r="L6" s="14"/>
      <c r="M6" s="14"/>
      <c r="N6" s="14"/>
    </row>
    <row x14ac:dyDescent="0.25" r="7" customHeight="1" ht="18.75">
      <c r="A7" s="330" t="s">
        <v>206</v>
      </c>
      <c r="B7" s="112">
        <f>0.4*'espesores laminas'!C5</f>
      </c>
      <c r="C7" s="49" t="s">
        <v>8</v>
      </c>
      <c r="D7" s="14"/>
      <c r="E7" s="14"/>
      <c r="F7" s="14"/>
      <c r="G7" s="14"/>
      <c r="H7" s="14"/>
      <c r="I7" s="14"/>
      <c r="J7" s="329"/>
      <c r="K7" s="14"/>
      <c r="L7" s="14"/>
      <c r="M7" s="14"/>
      <c r="N7" s="14"/>
    </row>
    <row x14ac:dyDescent="0.25" r="8" customHeight="1" ht="18.75">
      <c r="A8" s="328"/>
      <c r="B8" s="15"/>
      <c r="C8" s="14"/>
      <c r="D8" s="14"/>
      <c r="E8" s="14"/>
      <c r="F8" s="14"/>
      <c r="G8" s="14"/>
      <c r="H8" s="14"/>
      <c r="I8" s="14"/>
      <c r="J8" s="329"/>
      <c r="K8" s="14"/>
      <c r="L8" s="14"/>
      <c r="M8" s="14"/>
      <c r="N8" s="14"/>
    </row>
    <row x14ac:dyDescent="0.25" r="9" customHeight="1" ht="18.75">
      <c r="A9" s="331" t="s">
        <v>207</v>
      </c>
      <c r="B9" s="43">
        <v>5</v>
      </c>
      <c r="C9" s="10"/>
      <c r="D9" s="14"/>
      <c r="E9" s="14"/>
      <c r="F9" s="14"/>
      <c r="G9" s="14"/>
      <c r="H9" s="14"/>
      <c r="I9" s="14"/>
      <c r="J9" s="329"/>
      <c r="K9" s="14"/>
      <c r="L9" s="14"/>
      <c r="M9" s="14"/>
      <c r="N9" s="14"/>
    </row>
    <row x14ac:dyDescent="0.25" r="10" customHeight="1" ht="18.75">
      <c r="A10" s="332" t="s">
        <v>80</v>
      </c>
      <c r="B10" s="37">
        <v>225</v>
      </c>
      <c r="C10" s="21" t="s">
        <v>33</v>
      </c>
      <c r="D10" s="14"/>
      <c r="E10" s="14"/>
      <c r="F10" s="14"/>
      <c r="G10" s="14"/>
      <c r="H10" s="14"/>
      <c r="I10" s="14"/>
      <c r="J10" s="329"/>
      <c r="K10" s="14"/>
      <c r="L10" s="14"/>
      <c r="M10" s="14"/>
      <c r="N10" s="14"/>
    </row>
    <row x14ac:dyDescent="0.25" r="11" customHeight="1" ht="18.75">
      <c r="A11" s="332" t="s">
        <v>208</v>
      </c>
      <c r="B11" s="37">
        <v>750</v>
      </c>
      <c r="C11" s="21" t="s">
        <v>33</v>
      </c>
      <c r="D11" s="14"/>
      <c r="E11" s="14"/>
      <c r="F11" s="14"/>
      <c r="G11" s="14"/>
      <c r="H11" s="14"/>
      <c r="I11" s="14"/>
      <c r="J11" s="329"/>
      <c r="K11" s="14"/>
      <c r="L11" s="14"/>
      <c r="M11" s="14"/>
      <c r="N11" s="14"/>
    </row>
    <row x14ac:dyDescent="0.25" r="12" customHeight="1" ht="18.75">
      <c r="A12" s="333" t="s">
        <v>209</v>
      </c>
      <c r="B12" s="112">
        <v>1</v>
      </c>
      <c r="C12" s="49"/>
      <c r="D12" s="14"/>
      <c r="E12" s="14"/>
      <c r="F12" s="14"/>
      <c r="G12" s="14"/>
      <c r="H12" s="14"/>
      <c r="I12" s="14"/>
      <c r="J12" s="329"/>
      <c r="K12" s="14"/>
      <c r="L12" s="14"/>
      <c r="M12" s="14"/>
      <c r="N12" s="14"/>
    </row>
    <row x14ac:dyDescent="0.25" r="13" customHeight="1" ht="18.75">
      <c r="A13" s="328"/>
      <c r="B13" s="15"/>
      <c r="C13" s="14"/>
      <c r="D13" s="14"/>
      <c r="E13" s="14"/>
      <c r="F13" s="14"/>
      <c r="G13" s="14"/>
      <c r="H13" s="14"/>
      <c r="I13" s="14"/>
      <c r="J13" s="329"/>
      <c r="K13" s="14"/>
      <c r="L13" s="14"/>
      <c r="M13" s="14"/>
      <c r="N13" s="14"/>
    </row>
    <row x14ac:dyDescent="0.25" r="14" customHeight="1" ht="18.75">
      <c r="A14" s="334" t="s">
        <v>210</v>
      </c>
      <c r="B14" s="335"/>
      <c r="C14" s="336"/>
      <c r="D14" s="336"/>
      <c r="E14" s="336"/>
      <c r="F14" s="337"/>
      <c r="G14" s="14"/>
      <c r="H14" s="14"/>
      <c r="I14" s="334" t="s">
        <v>211</v>
      </c>
      <c r="J14" s="338"/>
      <c r="K14" s="336"/>
      <c r="L14" s="336"/>
      <c r="M14" s="336"/>
      <c r="N14" s="337"/>
    </row>
    <row x14ac:dyDescent="0.25" r="15" customHeight="1" ht="18.75">
      <c r="A15" s="328"/>
      <c r="B15" s="15"/>
      <c r="C15" s="14"/>
      <c r="D15" s="14"/>
      <c r="E15" s="14"/>
      <c r="F15" s="14"/>
      <c r="G15" s="14"/>
      <c r="H15" s="14"/>
      <c r="I15" s="14"/>
      <c r="J15" s="329"/>
      <c r="K15" s="14"/>
      <c r="L15" s="14"/>
      <c r="M15" s="14"/>
      <c r="N15" s="14"/>
    </row>
    <row x14ac:dyDescent="0.25" r="16" customHeight="1" ht="18.75">
      <c r="A16" s="339" t="s">
        <v>212</v>
      </c>
      <c r="B16" s="57">
        <f>(B9*'Presiones de diseño'!D7*Refuerzos!B10*Refuerzos!B11/1000000)/Refuerzos!B7</f>
      </c>
      <c r="C16" s="58" t="s">
        <v>213</v>
      </c>
      <c r="D16" s="14"/>
      <c r="E16" s="14"/>
      <c r="F16" s="14"/>
      <c r="G16" s="14"/>
      <c r="H16" s="14"/>
      <c r="I16" s="162" t="s">
        <v>214</v>
      </c>
      <c r="J16" s="160">
        <f>(internos!$N$35*internos!$N$34)/100</f>
      </c>
      <c r="K16" s="58" t="s">
        <v>213</v>
      </c>
      <c r="L16" s="14"/>
      <c r="M16" s="14"/>
      <c r="N16" s="14"/>
    </row>
    <row x14ac:dyDescent="0.25" r="17" customHeight="1" ht="18.75">
      <c r="A17" s="328"/>
      <c r="B17" s="15"/>
      <c r="C17" s="14"/>
      <c r="D17" s="14"/>
      <c r="E17" s="14"/>
      <c r="F17" s="14"/>
      <c r="G17" s="14"/>
      <c r="H17" s="14"/>
      <c r="I17" s="14"/>
      <c r="J17" s="329"/>
      <c r="K17" s="14"/>
      <c r="L17" s="14"/>
      <c r="M17" s="14"/>
      <c r="N17" s="14"/>
    </row>
    <row x14ac:dyDescent="0.25" r="18" customHeight="1" ht="18.75">
      <c r="A18" s="339" t="s">
        <v>215</v>
      </c>
      <c r="B18" s="57">
        <f>(B9*'Presiones de diseño'!D9*Refuerzos!B28*Refuerzos!B11/1000000)/Refuerzos!B7</f>
      </c>
      <c r="C18" s="58" t="s">
        <v>213</v>
      </c>
      <c r="D18" s="14"/>
      <c r="E18" s="14"/>
      <c r="F18" s="14"/>
      <c r="G18" s="14"/>
      <c r="H18" s="14"/>
      <c r="I18" s="162" t="s">
        <v>216</v>
      </c>
      <c r="J18" s="160">
        <f>J16</f>
      </c>
      <c r="K18" s="58" t="s">
        <v>213</v>
      </c>
      <c r="L18" s="14"/>
      <c r="M18" s="14"/>
      <c r="N18" s="14"/>
    </row>
    <row x14ac:dyDescent="0.25" r="19" customHeight="1" ht="18.75">
      <c r="A19" s="328"/>
      <c r="B19" s="15"/>
      <c r="C19" s="14"/>
      <c r="D19" s="14"/>
      <c r="E19" s="14"/>
      <c r="F19" s="14"/>
      <c r="G19" s="14"/>
      <c r="H19" s="14"/>
      <c r="I19" s="14"/>
      <c r="J19" s="329"/>
      <c r="K19" s="14"/>
      <c r="L19" s="14"/>
      <c r="M19" s="14"/>
      <c r="N19" s="14"/>
    </row>
    <row x14ac:dyDescent="0.25" r="20" customHeight="1" ht="18.75">
      <c r="A20" s="339" t="s">
        <v>217</v>
      </c>
      <c r="B20" s="340">
        <f>(B9*'espesores laminas'!D25*B33*B32/1000000)/Refuerzos!B7</f>
      </c>
      <c r="C20" s="58" t="s">
        <v>213</v>
      </c>
      <c r="D20" s="14"/>
      <c r="E20" s="14"/>
      <c r="F20" s="14"/>
      <c r="G20" s="14"/>
      <c r="H20" s="14"/>
      <c r="I20" s="162" t="s">
        <v>218</v>
      </c>
      <c r="J20" s="158">
        <f>(internos!$S$63+internos!$S$63)/1000</f>
      </c>
      <c r="K20" s="58" t="s">
        <v>213</v>
      </c>
      <c r="L20" s="14"/>
      <c r="M20" s="14"/>
      <c r="N20" s="14"/>
    </row>
    <row x14ac:dyDescent="0.25" r="21" customHeight="1" ht="18.75">
      <c r="A21" s="328"/>
      <c r="B21" s="15"/>
      <c r="C21" s="14"/>
      <c r="D21" s="14"/>
      <c r="E21" s="14"/>
      <c r="F21" s="14"/>
      <c r="G21" s="14"/>
      <c r="H21" s="14"/>
      <c r="I21" s="14"/>
      <c r="J21" s="329"/>
      <c r="K21" s="14"/>
      <c r="L21" s="14"/>
      <c r="M21" s="14"/>
      <c r="N21" s="14"/>
    </row>
    <row x14ac:dyDescent="0.25" r="22" customHeight="1" ht="18.75">
      <c r="A22" s="328"/>
      <c r="B22" s="15"/>
      <c r="C22" s="14"/>
      <c r="D22" s="14"/>
      <c r="E22" s="14"/>
      <c r="F22" s="14"/>
      <c r="G22" s="14"/>
      <c r="H22" s="14"/>
      <c r="I22" s="14"/>
      <c r="J22" s="329"/>
      <c r="K22" s="14"/>
      <c r="L22" s="14"/>
      <c r="M22" s="14"/>
      <c r="N22" s="14"/>
    </row>
    <row x14ac:dyDescent="0.25" r="23" customHeight="1" ht="18.75">
      <c r="A23" s="334" t="s">
        <v>219</v>
      </c>
      <c r="B23" s="335"/>
      <c r="C23" s="336"/>
      <c r="D23" s="336"/>
      <c r="E23" s="336"/>
      <c r="F23" s="337"/>
      <c r="G23" s="14"/>
      <c r="H23" s="14"/>
      <c r="I23" s="334" t="s">
        <v>220</v>
      </c>
      <c r="J23" s="338"/>
      <c r="K23" s="336"/>
      <c r="L23" s="336"/>
      <c r="M23" s="336"/>
      <c r="N23" s="337"/>
    </row>
    <row x14ac:dyDescent="0.25" r="24" customHeight="1" ht="18.75">
      <c r="A24" s="328"/>
      <c r="B24" s="15"/>
      <c r="C24" s="14"/>
      <c r="D24" s="14"/>
      <c r="E24" s="14"/>
      <c r="F24" s="14"/>
      <c r="G24" s="14"/>
      <c r="H24" s="14"/>
      <c r="I24" s="14"/>
      <c r="J24" s="329"/>
      <c r="K24" s="14"/>
      <c r="L24" s="14"/>
      <c r="M24" s="14"/>
      <c r="N24" s="14"/>
    </row>
    <row x14ac:dyDescent="0.25" r="25" customHeight="1" ht="18.75">
      <c r="A25" s="339" t="s">
        <v>221</v>
      </c>
      <c r="B25" s="341">
        <f>(83.33*B12*'Presiones de diseño'!D7*Refuerzos!B10*Refuerzos!B11^2/1000000000)/Refuerzos!B6</f>
      </c>
      <c r="C25" s="58" t="s">
        <v>222</v>
      </c>
      <c r="D25" s="14"/>
      <c r="E25" s="14"/>
      <c r="F25" s="14"/>
      <c r="G25" s="14"/>
      <c r="H25" s="14"/>
      <c r="I25" s="162" t="s">
        <v>214</v>
      </c>
      <c r="J25" s="160">
        <f>internos!M37</f>
      </c>
      <c r="K25" s="58" t="s">
        <v>6</v>
      </c>
      <c r="L25" s="14"/>
      <c r="M25" s="14"/>
      <c r="N25" s="14"/>
    </row>
    <row x14ac:dyDescent="0.25" r="26" customHeight="1" ht="18.75">
      <c r="A26" s="342" t="s">
        <v>15</v>
      </c>
      <c r="B26" s="97">
        <f>J25/B25</f>
      </c>
      <c r="C26" s="49"/>
      <c r="D26" s="14"/>
      <c r="E26" s="14"/>
      <c r="F26" s="14"/>
      <c r="G26" s="14"/>
      <c r="H26" s="14"/>
      <c r="I26" s="16"/>
      <c r="J26" s="55"/>
      <c r="K26" s="21"/>
      <c r="L26" s="14"/>
      <c r="M26" s="14"/>
      <c r="N26" s="14"/>
    </row>
    <row x14ac:dyDescent="0.25" r="27" customHeight="1" ht="18.75">
      <c r="A27" s="343"/>
      <c r="B27" s="38"/>
      <c r="C27" s="14"/>
      <c r="D27" s="14"/>
      <c r="E27" s="14"/>
      <c r="F27" s="14"/>
      <c r="G27" s="14"/>
      <c r="H27" s="14"/>
      <c r="I27" s="16"/>
      <c r="J27" s="329"/>
      <c r="K27" s="21"/>
      <c r="L27" s="14"/>
      <c r="M27" s="14"/>
      <c r="N27" s="14"/>
    </row>
    <row x14ac:dyDescent="0.25" r="28" customHeight="1" ht="18.75">
      <c r="A28" s="344" t="s">
        <v>80</v>
      </c>
      <c r="B28" s="43">
        <v>250</v>
      </c>
      <c r="C28" s="10" t="s">
        <v>33</v>
      </c>
      <c r="D28" s="14"/>
      <c r="E28" s="14"/>
      <c r="F28" s="14"/>
      <c r="G28" s="14"/>
      <c r="H28" s="14"/>
      <c r="I28" s="162" t="s">
        <v>216</v>
      </c>
      <c r="J28" s="160">
        <f>internos!M69</f>
      </c>
      <c r="K28" s="58" t="s">
        <v>6</v>
      </c>
      <c r="L28" s="14"/>
      <c r="M28" s="14"/>
      <c r="N28" s="14"/>
    </row>
    <row x14ac:dyDescent="0.25" r="29" customHeight="1" ht="18.75">
      <c r="A29" s="339" t="s">
        <v>223</v>
      </c>
      <c r="B29" s="341">
        <f>(83.33*B12*'Presiones de diseño'!D9*B28*Refuerzos!B11^2/1000000000)/Refuerzos!B6</f>
      </c>
      <c r="C29" s="58" t="s">
        <v>222</v>
      </c>
      <c r="D29" s="14"/>
      <c r="E29" s="14"/>
      <c r="F29" s="14"/>
      <c r="G29" s="14"/>
      <c r="H29" s="14"/>
      <c r="I29" s="16"/>
      <c r="J29" s="329"/>
      <c r="K29" s="21"/>
      <c r="L29" s="14"/>
      <c r="M29" s="14"/>
      <c r="N29" s="14"/>
    </row>
    <row x14ac:dyDescent="0.25" r="30" customHeight="1" ht="18.75">
      <c r="A30" s="342" t="s">
        <v>15</v>
      </c>
      <c r="B30" s="97">
        <f>J28/B29</f>
      </c>
      <c r="C30" s="49"/>
      <c r="D30" s="14"/>
      <c r="E30" s="14"/>
      <c r="F30" s="14"/>
      <c r="G30" s="14"/>
      <c r="H30" s="14"/>
      <c r="I30" s="16"/>
      <c r="J30" s="329"/>
      <c r="K30" s="21"/>
      <c r="L30" s="14"/>
      <c r="M30" s="14"/>
      <c r="N30" s="14"/>
    </row>
    <row x14ac:dyDescent="0.25" r="31" customHeight="1" ht="18.75">
      <c r="A31" s="343"/>
      <c r="B31" s="38"/>
      <c r="C31" s="14"/>
      <c r="D31" s="14"/>
      <c r="E31" s="14"/>
      <c r="F31" s="14"/>
      <c r="G31" s="14"/>
      <c r="H31" s="14"/>
      <c r="I31" s="162" t="s">
        <v>218</v>
      </c>
      <c r="J31" s="158">
        <f>internos!M63</f>
      </c>
      <c r="K31" s="58" t="s">
        <v>6</v>
      </c>
      <c r="L31" s="14"/>
      <c r="M31" s="14"/>
      <c r="N31" s="14"/>
    </row>
    <row x14ac:dyDescent="0.25" r="32" customHeight="1" ht="18.75">
      <c r="A32" s="345" t="s">
        <v>224</v>
      </c>
      <c r="B32" s="346">
        <v>1000</v>
      </c>
      <c r="C32" s="10" t="s">
        <v>33</v>
      </c>
      <c r="D32" s="14"/>
      <c r="E32" s="14"/>
      <c r="F32" s="14"/>
      <c r="G32" s="14"/>
      <c r="H32" s="14"/>
      <c r="I32" s="16"/>
      <c r="J32" s="329"/>
      <c r="K32" s="21"/>
      <c r="L32" s="14"/>
      <c r="M32" s="14"/>
      <c r="N32" s="14"/>
    </row>
    <row x14ac:dyDescent="0.25" r="33" customHeight="1" ht="18.75">
      <c r="A33" s="347" t="s">
        <v>80</v>
      </c>
      <c r="B33" s="37">
        <v>750</v>
      </c>
      <c r="C33" s="21" t="s">
        <v>33</v>
      </c>
      <c r="D33" s="14"/>
      <c r="E33" s="14"/>
      <c r="F33" s="14"/>
      <c r="G33" s="14"/>
      <c r="H33" s="14"/>
      <c r="I33" s="162" t="s">
        <v>225</v>
      </c>
      <c r="J33" s="160">
        <f>internos!M47</f>
      </c>
      <c r="K33" s="58" t="s">
        <v>6</v>
      </c>
      <c r="L33" s="14"/>
      <c r="M33" s="14"/>
      <c r="N33" s="14"/>
    </row>
    <row x14ac:dyDescent="0.25" r="34" customHeight="1" ht="18.75">
      <c r="A34" s="339" t="s">
        <v>226</v>
      </c>
      <c r="B34" s="341">
        <f>(83.33*B12*'Presiones de diseño'!D15*B33*B32^2/1000000000)/Refuerzos!B6</f>
      </c>
      <c r="C34" s="58" t="s">
        <v>222</v>
      </c>
      <c r="D34" s="14"/>
      <c r="E34" s="14"/>
      <c r="F34" s="14"/>
      <c r="G34" s="14"/>
      <c r="H34" s="14"/>
      <c r="I34" s="16"/>
      <c r="J34" s="329"/>
      <c r="K34" s="21"/>
      <c r="L34" s="14"/>
      <c r="M34" s="14"/>
      <c r="N34" s="14"/>
    </row>
    <row x14ac:dyDescent="0.25" r="35" customHeight="1" ht="18.75">
      <c r="A35" s="342" t="s">
        <v>15</v>
      </c>
      <c r="B35" s="97">
        <f>J31/B34</f>
      </c>
      <c r="C35" s="49"/>
      <c r="D35" s="14"/>
      <c r="E35" s="14"/>
      <c r="F35" s="14"/>
      <c r="G35" s="14"/>
      <c r="H35" s="14"/>
      <c r="I35" s="162" t="s">
        <v>54</v>
      </c>
      <c r="J35" s="348">
        <f>internos!M53</f>
      </c>
      <c r="K35" s="58" t="s">
        <v>6</v>
      </c>
      <c r="L35" s="14"/>
      <c r="M35" s="14"/>
      <c r="N35" s="14"/>
    </row>
    <row x14ac:dyDescent="0.25" r="36" customHeight="1" ht="18.75">
      <c r="A36" s="328"/>
      <c r="B36" s="15"/>
      <c r="C36" s="14"/>
      <c r="D36" s="14"/>
      <c r="E36" s="14"/>
      <c r="F36" s="14"/>
      <c r="G36" s="14"/>
      <c r="H36" s="14"/>
      <c r="I36" s="16"/>
      <c r="J36" s="329"/>
      <c r="K36" s="21"/>
      <c r="L36" s="14"/>
      <c r="M36" s="14"/>
      <c r="N36" s="14"/>
    </row>
    <row x14ac:dyDescent="0.25" r="37" customHeight="1" ht="18.75">
      <c r="A37" s="345" t="s">
        <v>224</v>
      </c>
      <c r="B37" s="32">
        <v>500</v>
      </c>
      <c r="C37" s="10" t="s">
        <v>33</v>
      </c>
      <c r="D37" s="14"/>
      <c r="E37" s="14"/>
      <c r="F37" s="14"/>
      <c r="G37" s="14"/>
      <c r="H37" s="14"/>
      <c r="I37" s="162" t="s">
        <v>227</v>
      </c>
      <c r="J37" s="348">
        <f>internos!M58</f>
      </c>
      <c r="K37" s="58" t="s">
        <v>6</v>
      </c>
      <c r="L37" s="14"/>
      <c r="M37" s="14"/>
      <c r="N37" s="14"/>
    </row>
    <row x14ac:dyDescent="0.25" r="38" customHeight="1" ht="18.75">
      <c r="A38" s="347" t="s">
        <v>80</v>
      </c>
      <c r="B38" s="37">
        <v>750</v>
      </c>
      <c r="C38" s="21" t="s">
        <v>33</v>
      </c>
      <c r="D38" s="14"/>
      <c r="E38" s="14"/>
      <c r="F38" s="14"/>
      <c r="G38" s="14"/>
      <c r="H38" s="14"/>
      <c r="I38" s="16"/>
      <c r="J38" s="329"/>
      <c r="K38" s="21"/>
      <c r="L38" s="14"/>
      <c r="M38" s="14"/>
      <c r="N38" s="14"/>
    </row>
    <row x14ac:dyDescent="0.25" r="39" customHeight="1" ht="18.75">
      <c r="A39" s="339" t="s">
        <v>228</v>
      </c>
      <c r="B39" s="341">
        <f>(83.33*B12*'Presiones de diseño'!D7*B38*B37^2/1000000000)/Refuerzos!B6</f>
      </c>
      <c r="C39" s="58" t="s">
        <v>222</v>
      </c>
      <c r="D39" s="14"/>
      <c r="E39" s="14"/>
      <c r="F39" s="14"/>
      <c r="G39" s="14"/>
      <c r="H39" s="14"/>
      <c r="I39" s="162"/>
      <c r="J39" s="349"/>
      <c r="K39" s="58"/>
      <c r="L39" s="14"/>
      <c r="M39" s="14"/>
      <c r="N39" s="14"/>
    </row>
    <row x14ac:dyDescent="0.25" r="40" customHeight="1" ht="18.75">
      <c r="A40" s="342" t="s">
        <v>15</v>
      </c>
      <c r="B40" s="97">
        <f>J35/B39</f>
      </c>
      <c r="C40" s="49"/>
      <c r="D40" s="14"/>
      <c r="E40" s="14"/>
      <c r="F40" s="14"/>
      <c r="G40" s="14"/>
      <c r="H40" s="14"/>
      <c r="I40" s="14"/>
      <c r="J40" s="329"/>
      <c r="K40" s="14"/>
      <c r="L40" s="14"/>
      <c r="M40" s="14"/>
      <c r="N40" s="14"/>
    </row>
    <row x14ac:dyDescent="0.25" r="41" customHeight="1" ht="18.75">
      <c r="A41" s="328"/>
      <c r="B41" s="15"/>
      <c r="C41" s="14"/>
      <c r="D41" s="14"/>
      <c r="E41" s="14"/>
      <c r="F41" s="14"/>
      <c r="G41" s="14"/>
      <c r="H41" s="14"/>
      <c r="I41" s="14"/>
      <c r="J41" s="329"/>
      <c r="K41" s="14"/>
      <c r="L41" s="14"/>
      <c r="M41" s="14"/>
      <c r="N41" s="14"/>
    </row>
    <row x14ac:dyDescent="0.25" r="42" customHeight="1" ht="18.75">
      <c r="A42" s="345" t="s">
        <v>224</v>
      </c>
      <c r="B42" s="346">
        <v>750</v>
      </c>
      <c r="C42" s="10" t="s">
        <v>33</v>
      </c>
      <c r="D42" s="14"/>
      <c r="E42" s="14"/>
      <c r="F42" s="14"/>
      <c r="G42" s="14"/>
      <c r="H42" s="14"/>
      <c r="I42" s="14"/>
      <c r="J42" s="329"/>
      <c r="K42" s="14"/>
      <c r="L42" s="14"/>
      <c r="M42" s="14"/>
      <c r="N42" s="14"/>
    </row>
    <row x14ac:dyDescent="0.25" r="43" customHeight="1" ht="18.75">
      <c r="A43" s="347" t="s">
        <v>80</v>
      </c>
      <c r="B43" s="37">
        <v>750</v>
      </c>
      <c r="C43" s="21" t="s">
        <v>33</v>
      </c>
      <c r="D43" s="14"/>
      <c r="E43" s="14"/>
      <c r="F43" s="14"/>
      <c r="G43" s="14"/>
      <c r="H43" s="14"/>
      <c r="I43" s="14"/>
      <c r="J43" s="329"/>
      <c r="K43" s="14"/>
      <c r="L43" s="14"/>
      <c r="M43" s="14"/>
      <c r="N43" s="14"/>
    </row>
    <row x14ac:dyDescent="0.25" r="44" customHeight="1" ht="18.75">
      <c r="A44" s="339" t="s">
        <v>229</v>
      </c>
      <c r="B44" s="341">
        <f>(83.33*B12*'Presiones de diseño'!D9*B43*B42^2/1000000000)/Refuerzos!B6</f>
      </c>
      <c r="C44" s="58" t="s">
        <v>222</v>
      </c>
      <c r="D44" s="14"/>
      <c r="E44" s="14"/>
      <c r="F44" s="14"/>
      <c r="G44" s="14"/>
      <c r="H44" s="14"/>
      <c r="I44" s="14"/>
      <c r="J44" s="329"/>
      <c r="K44" s="14"/>
      <c r="L44" s="14"/>
      <c r="M44" s="14"/>
      <c r="N44" s="14"/>
    </row>
    <row x14ac:dyDescent="0.25" r="45" customHeight="1" ht="18.75">
      <c r="A45" s="342" t="s">
        <v>15</v>
      </c>
      <c r="B45" s="97">
        <f>J37/B44</f>
      </c>
      <c r="C45" s="49"/>
      <c r="D45" s="14"/>
      <c r="E45" s="14"/>
      <c r="F45" s="14"/>
      <c r="G45" s="14"/>
      <c r="H45" s="14"/>
      <c r="I45" s="14"/>
      <c r="J45" s="329"/>
      <c r="K45" s="14"/>
      <c r="L45" s="14"/>
      <c r="M45" s="14"/>
      <c r="N45" s="14"/>
    </row>
    <row x14ac:dyDescent="0.25" r="46" customHeight="1" ht="18.75">
      <c r="A46" s="328"/>
      <c r="B46" s="15"/>
      <c r="C46" s="14"/>
      <c r="D46" s="14"/>
      <c r="E46" s="14"/>
      <c r="F46" s="14"/>
      <c r="G46" s="14"/>
      <c r="H46" s="14"/>
      <c r="I46" s="14"/>
      <c r="J46" s="329"/>
      <c r="K46" s="14"/>
      <c r="L46" s="14"/>
      <c r="M46" s="14"/>
      <c r="N46" s="14"/>
    </row>
    <row x14ac:dyDescent="0.25" r="47" customHeight="1" ht="18.75">
      <c r="A47" s="343"/>
      <c r="B47" s="350"/>
      <c r="C47" s="14"/>
      <c r="D47" s="14"/>
      <c r="E47" s="14"/>
      <c r="F47" s="14"/>
      <c r="G47" s="14"/>
      <c r="H47" s="14"/>
      <c r="I47" s="14"/>
      <c r="J47" s="329"/>
      <c r="K47" s="14"/>
      <c r="L47" s="14"/>
      <c r="M47" s="14"/>
      <c r="N47" s="14"/>
    </row>
    <row x14ac:dyDescent="0.25" r="48" customHeight="1" ht="18.75">
      <c r="A48" s="343"/>
      <c r="B48" s="15"/>
      <c r="C48" s="14"/>
      <c r="D48" s="14"/>
      <c r="E48" s="14"/>
      <c r="F48" s="14"/>
      <c r="G48" s="14"/>
      <c r="H48" s="14"/>
      <c r="I48" s="14"/>
      <c r="J48" s="329"/>
      <c r="K48" s="14"/>
      <c r="L48" s="14"/>
      <c r="M48" s="14"/>
      <c r="N48" s="14"/>
    </row>
    <row x14ac:dyDescent="0.25" r="49" customHeight="1" ht="18.75">
      <c r="A49" s="343"/>
      <c r="B49" s="38"/>
      <c r="C49" s="14"/>
      <c r="D49" s="14"/>
      <c r="E49" s="14"/>
      <c r="F49" s="14"/>
      <c r="G49" s="14"/>
      <c r="H49" s="14"/>
      <c r="I49" s="14"/>
      <c r="J49" s="329"/>
      <c r="K49" s="14"/>
      <c r="L49" s="14"/>
      <c r="M49" s="14"/>
      <c r="N49" s="14"/>
    </row>
    <row x14ac:dyDescent="0.25" r="50" customHeight="1" ht="18.75">
      <c r="A50" s="343"/>
      <c r="B50" s="38"/>
      <c r="C50" s="14"/>
      <c r="D50" s="14"/>
      <c r="E50" s="14"/>
      <c r="F50" s="14"/>
      <c r="G50" s="14"/>
      <c r="H50" s="14"/>
      <c r="I50" s="14"/>
      <c r="J50" s="329"/>
      <c r="K50" s="14"/>
      <c r="L50" s="14"/>
      <c r="M50" s="14"/>
      <c r="N50" s="14"/>
    </row>
  </sheetData>
  <mergeCells count="5">
    <mergeCell ref="A1:K2"/>
    <mergeCell ref="A14:F14"/>
    <mergeCell ref="I14:N14"/>
    <mergeCell ref="A23:F23"/>
    <mergeCell ref="I23:N2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46"/>
  <sheetViews>
    <sheetView workbookViewId="0"/>
  </sheetViews>
  <sheetFormatPr defaultRowHeight="15" x14ac:dyDescent="0.25"/>
  <cols>
    <col min="1" max="1" style="138" width="40.86214285714286" customWidth="1" bestFit="1"/>
    <col min="2" max="2" style="252" width="15.005" customWidth="1" bestFit="1"/>
    <col min="3" max="3" style="138" width="13.290714285714287" customWidth="1" bestFit="1"/>
    <col min="4" max="4" style="138" width="15.719285714285713" customWidth="1" bestFit="1"/>
    <col min="5" max="5" style="138" width="6.862142857142857" customWidth="1" bestFit="1"/>
    <col min="6" max="6" style="141" width="10.43357142857143" customWidth="1" bestFit="1"/>
    <col min="7" max="7" style="138" width="13.576428571428572" customWidth="1" bestFit="1"/>
    <col min="8" max="8" style="138" width="13.576428571428572" customWidth="1" bestFit="1"/>
    <col min="9" max="9" style="138" width="10.862142857142858" customWidth="1" bestFit="1"/>
    <col min="10" max="10" style="141" width="14.290714285714287" customWidth="1" bestFit="1"/>
    <col min="11" max="11" style="138" width="8.719285714285713" customWidth="1" bestFit="1"/>
  </cols>
  <sheetData>
    <row x14ac:dyDescent="0.25" r="1" customHeight="1" ht="18.75">
      <c r="A1" s="1"/>
      <c r="B1" s="253" t="s">
        <v>162</v>
      </c>
      <c r="C1" s="254" t="s">
        <v>163</v>
      </c>
      <c r="D1" s="255" t="s">
        <v>164</v>
      </c>
      <c r="E1" s="256" t="s">
        <v>165</v>
      </c>
      <c r="F1" s="257"/>
      <c r="G1" s="6"/>
      <c r="H1" s="6"/>
      <c r="I1" s="258" t="s">
        <v>166</v>
      </c>
      <c r="J1" s="257"/>
      <c r="K1" s="259"/>
    </row>
    <row x14ac:dyDescent="0.25" r="2" customHeight="1" ht="18.75">
      <c r="A2" s="16"/>
      <c r="B2" s="260" t="s">
        <v>167</v>
      </c>
      <c r="C2" s="261"/>
      <c r="D2" s="262" t="s">
        <v>168</v>
      </c>
      <c r="E2" s="263"/>
      <c r="F2" s="37">
        <v>4020</v>
      </c>
      <c r="G2" s="14"/>
      <c r="H2" s="14"/>
      <c r="I2" s="264" t="s">
        <v>169</v>
      </c>
      <c r="J2" s="265">
        <v>0</v>
      </c>
      <c r="K2" s="21"/>
    </row>
    <row x14ac:dyDescent="0.25" r="3" customHeight="1" ht="18.75">
      <c r="A3" s="16"/>
      <c r="B3" s="260"/>
      <c r="C3" s="263"/>
      <c r="D3" s="262" t="s">
        <v>170</v>
      </c>
      <c r="E3" s="14"/>
      <c r="F3" s="266" t="s">
        <v>171</v>
      </c>
      <c r="G3" s="267"/>
      <c r="H3" s="267"/>
      <c r="I3" s="267"/>
      <c r="J3" s="268"/>
      <c r="K3" s="269"/>
    </row>
    <row x14ac:dyDescent="0.25" r="4" customHeight="1" ht="21">
      <c r="A4" s="16"/>
      <c r="B4" s="270" t="s">
        <v>172</v>
      </c>
      <c r="C4" s="271" t="s">
        <v>173</v>
      </c>
      <c r="D4" s="271"/>
      <c r="E4" s="271"/>
      <c r="F4" s="272"/>
      <c r="G4" s="271"/>
      <c r="H4" s="271"/>
      <c r="I4" s="271"/>
      <c r="J4" s="272"/>
      <c r="K4" s="273"/>
    </row>
    <row x14ac:dyDescent="0.25" r="5" customHeight="1" ht="18.75">
      <c r="A5" s="16"/>
      <c r="B5" s="274"/>
      <c r="C5" s="14"/>
      <c r="D5" s="14"/>
      <c r="E5" s="14"/>
      <c r="F5" s="11"/>
      <c r="G5" s="14"/>
      <c r="H5" s="14"/>
      <c r="I5" s="14"/>
      <c r="J5" s="11"/>
      <c r="K5" s="21"/>
    </row>
    <row x14ac:dyDescent="0.25" r="6" customHeight="1" ht="18.75">
      <c r="A6" s="44"/>
      <c r="B6" s="275"/>
      <c r="C6" s="48"/>
      <c r="D6" s="48"/>
      <c r="E6" s="48"/>
      <c r="F6" s="45"/>
      <c r="G6" s="48"/>
      <c r="H6" s="48"/>
      <c r="I6" s="48"/>
      <c r="J6" s="45"/>
      <c r="K6" s="49"/>
    </row>
    <row x14ac:dyDescent="0.25" r="7" customHeight="1" ht="18.75">
      <c r="A7" s="276" t="s">
        <v>174</v>
      </c>
      <c r="B7" s="277"/>
      <c r="C7" s="278"/>
      <c r="D7" s="278"/>
      <c r="E7" s="278"/>
      <c r="F7" s="279"/>
      <c r="G7" s="278"/>
      <c r="H7" s="278"/>
      <c r="I7" s="278"/>
      <c r="J7" s="279"/>
      <c r="K7" s="280"/>
    </row>
    <row x14ac:dyDescent="0.25" r="8" customHeight="1" ht="18.75">
      <c r="A8" s="281"/>
      <c r="B8" s="282"/>
      <c r="C8" s="283"/>
      <c r="D8" s="283"/>
      <c r="E8" s="283"/>
      <c r="F8" s="284"/>
      <c r="G8" s="283"/>
      <c r="H8" s="283"/>
      <c r="I8" s="283"/>
      <c r="J8" s="284"/>
      <c r="K8" s="285"/>
    </row>
    <row x14ac:dyDescent="0.25" r="9" customHeight="1" ht="18.75">
      <c r="A9" s="51" t="s">
        <v>175</v>
      </c>
      <c r="B9" s="286"/>
      <c r="C9" s="52"/>
      <c r="D9" s="52"/>
      <c r="E9" s="52"/>
      <c r="F9" s="62"/>
      <c r="G9" s="52"/>
      <c r="H9" s="52"/>
      <c r="I9" s="52"/>
      <c r="J9" s="62"/>
      <c r="K9" s="147"/>
    </row>
    <row x14ac:dyDescent="0.25" r="10" customHeight="1" ht="18.75">
      <c r="A10" s="16"/>
      <c r="B10" s="231"/>
      <c r="C10" s="14"/>
      <c r="D10" s="14"/>
      <c r="E10" s="14"/>
      <c r="F10" s="11"/>
      <c r="G10" s="14"/>
      <c r="H10" s="14"/>
      <c r="I10" s="14"/>
      <c r="J10" s="11"/>
      <c r="K10" s="21"/>
    </row>
    <row x14ac:dyDescent="0.25" r="11" customHeight="1" ht="18.75">
      <c r="A11" s="287" t="s">
        <v>176</v>
      </c>
      <c r="B11" s="231"/>
      <c r="C11" s="14"/>
      <c r="D11" s="14"/>
      <c r="E11" s="14"/>
      <c r="F11" s="11"/>
      <c r="G11" s="14"/>
      <c r="H11" s="14"/>
      <c r="I11" s="14"/>
      <c r="J11" s="288"/>
      <c r="K11" s="289"/>
    </row>
    <row x14ac:dyDescent="0.25" r="12" customHeight="1" ht="18.75">
      <c r="A12" s="290" t="s">
        <v>177</v>
      </c>
      <c r="B12" s="291">
        <f>'COMPARACIÓN NORMAS'!B12</f>
      </c>
      <c r="C12" s="292" t="s">
        <v>69</v>
      </c>
      <c r="D12" s="14"/>
      <c r="E12" s="14"/>
      <c r="F12" s="11"/>
      <c r="G12" s="213"/>
      <c r="H12" s="6"/>
      <c r="I12" s="6"/>
      <c r="J12" s="8"/>
      <c r="K12" s="10"/>
    </row>
    <row x14ac:dyDescent="0.25" r="13" customHeight="1" ht="18.75">
      <c r="A13" s="293" t="s">
        <v>178</v>
      </c>
      <c r="B13" s="294">
        <f>'COMPARACIÓN NORMAS'!B13</f>
      </c>
      <c r="C13" s="295" t="s">
        <v>69</v>
      </c>
      <c r="D13" s="14"/>
      <c r="E13" s="14"/>
      <c r="F13" s="11"/>
      <c r="G13" s="215"/>
      <c r="H13" s="14"/>
      <c r="I13" s="14"/>
      <c r="J13" s="11"/>
      <c r="K13" s="21"/>
    </row>
    <row x14ac:dyDescent="0.25" r="14" customHeight="1" ht="18.75">
      <c r="A14" s="293" t="s">
        <v>179</v>
      </c>
      <c r="B14" s="294">
        <f>'COMPARACIÓN NORMAS'!B14</f>
      </c>
      <c r="C14" s="295" t="s">
        <v>69</v>
      </c>
      <c r="D14" s="14"/>
      <c r="E14" s="14"/>
      <c r="F14" s="11"/>
      <c r="G14" s="215"/>
      <c r="H14" s="14"/>
      <c r="I14" s="14"/>
      <c r="J14" s="11"/>
      <c r="K14" s="21"/>
    </row>
    <row x14ac:dyDescent="0.25" r="15" customHeight="1" ht="18.75">
      <c r="A15" s="293" t="s">
        <v>180</v>
      </c>
      <c r="B15" s="294">
        <f>'COMPARACIÓN NORMAS'!B15</f>
      </c>
      <c r="C15" s="295" t="s">
        <v>69</v>
      </c>
      <c r="D15" s="14"/>
      <c r="E15" s="38"/>
      <c r="F15" s="11"/>
      <c r="G15" s="215"/>
      <c r="H15" s="14"/>
      <c r="I15" s="14"/>
      <c r="J15" s="11"/>
      <c r="K15" s="21"/>
    </row>
    <row x14ac:dyDescent="0.25" r="16" customHeight="1" ht="18.75">
      <c r="A16" s="293" t="s">
        <v>181</v>
      </c>
      <c r="B16" s="294">
        <f>'COMPARACIÓN NORMAS'!B16</f>
      </c>
      <c r="C16" s="295" t="s">
        <v>182</v>
      </c>
      <c r="D16" s="14"/>
      <c r="E16" s="14"/>
      <c r="F16" s="11"/>
      <c r="G16" s="215"/>
      <c r="H16" s="14"/>
      <c r="I16" s="14"/>
      <c r="J16" s="11"/>
      <c r="K16" s="21"/>
    </row>
    <row x14ac:dyDescent="0.25" r="17" customHeight="1" ht="18.75">
      <c r="A17" s="293" t="s">
        <v>183</v>
      </c>
      <c r="B17" s="294">
        <f>'COMPARACIÓN NORMAS'!B17</f>
      </c>
      <c r="C17" s="295" t="s">
        <v>184</v>
      </c>
      <c r="D17" s="14"/>
      <c r="E17" s="14"/>
      <c r="F17" s="11"/>
      <c r="G17" s="215"/>
      <c r="H17" s="14"/>
      <c r="I17" s="14"/>
      <c r="J17" s="11"/>
      <c r="K17" s="21"/>
    </row>
    <row x14ac:dyDescent="0.25" r="18" customHeight="1" ht="18.75">
      <c r="A18" s="293" t="s">
        <v>185</v>
      </c>
      <c r="B18" s="294">
        <v>5</v>
      </c>
      <c r="C18" s="295" t="s">
        <v>186</v>
      </c>
      <c r="D18" s="14"/>
      <c r="E18" s="14"/>
      <c r="F18" s="11"/>
      <c r="G18" s="215"/>
      <c r="H18" s="14"/>
      <c r="I18" s="14"/>
      <c r="J18" s="11"/>
      <c r="K18" s="21"/>
    </row>
    <row x14ac:dyDescent="0.25" r="19" customHeight="1" ht="18.75">
      <c r="A19" s="293" t="s">
        <v>187</v>
      </c>
      <c r="B19" s="294">
        <v>5</v>
      </c>
      <c r="C19" s="295" t="s">
        <v>186</v>
      </c>
      <c r="D19" s="14"/>
      <c r="E19" s="14"/>
      <c r="F19" s="11"/>
      <c r="G19" s="215"/>
      <c r="H19" s="14"/>
      <c r="I19" s="14"/>
      <c r="J19" s="11"/>
      <c r="K19" s="21"/>
    </row>
    <row x14ac:dyDescent="0.25" r="20" customHeight="1" ht="18.75">
      <c r="A20" s="293" t="s">
        <v>188</v>
      </c>
      <c r="B20" s="294">
        <v>5</v>
      </c>
      <c r="C20" s="295" t="s">
        <v>186</v>
      </c>
      <c r="D20" s="14"/>
      <c r="E20" s="14"/>
      <c r="F20" s="11"/>
      <c r="G20" s="220"/>
      <c r="H20" s="48"/>
      <c r="I20" s="48"/>
      <c r="J20" s="45"/>
      <c r="K20" s="49"/>
    </row>
    <row x14ac:dyDescent="0.25" r="21" customHeight="1" ht="18.75">
      <c r="A21" s="296" t="s">
        <v>189</v>
      </c>
      <c r="B21" s="297">
        <v>55</v>
      </c>
      <c r="C21" s="298" t="s">
        <v>186</v>
      </c>
      <c r="D21" s="14"/>
      <c r="E21" s="14"/>
      <c r="F21" s="11"/>
      <c r="G21" s="51" t="s">
        <v>190</v>
      </c>
      <c r="H21" s="52"/>
      <c r="I21" s="52"/>
      <c r="J21" s="62"/>
      <c r="K21" s="147"/>
    </row>
    <row x14ac:dyDescent="0.25" r="22" customHeight="1" ht="18.75">
      <c r="A22" s="16"/>
      <c r="B22" s="231"/>
      <c r="C22" s="14"/>
      <c r="D22" s="14"/>
      <c r="E22" s="14"/>
      <c r="F22" s="11"/>
      <c r="G22" s="16"/>
      <c r="H22" s="14"/>
      <c r="I22" s="14"/>
      <c r="J22" s="11"/>
      <c r="K22" s="21"/>
    </row>
    <row x14ac:dyDescent="0.25" r="23" customHeight="1" ht="18.75">
      <c r="A23" s="16"/>
      <c r="B23" s="231"/>
      <c r="C23" s="14"/>
      <c r="D23" s="14"/>
      <c r="E23" s="14"/>
      <c r="F23" s="11"/>
      <c r="G23" s="16"/>
      <c r="H23" s="14"/>
      <c r="I23" s="14"/>
      <c r="J23" s="11"/>
      <c r="K23" s="21"/>
    </row>
    <row x14ac:dyDescent="0.25" r="24" customHeight="1" ht="18.75">
      <c r="A24" s="16"/>
      <c r="B24" s="231"/>
      <c r="C24" s="14"/>
      <c r="D24" s="14"/>
      <c r="E24" s="14"/>
      <c r="F24" s="11"/>
      <c r="G24" s="16"/>
      <c r="H24" s="14"/>
      <c r="I24" s="14"/>
      <c r="J24" s="11"/>
      <c r="K24" s="21"/>
    </row>
    <row x14ac:dyDescent="0.25" r="25" customHeight="1" ht="18.75">
      <c r="A25" s="299" t="s">
        <v>191</v>
      </c>
      <c r="B25" s="300"/>
      <c r="C25" s="14"/>
      <c r="D25" s="14"/>
      <c r="E25" s="14"/>
      <c r="F25" s="11"/>
      <c r="G25" s="16"/>
      <c r="H25" s="14"/>
      <c r="I25" s="14"/>
      <c r="J25" s="11"/>
      <c r="K25" s="21"/>
    </row>
    <row x14ac:dyDescent="0.25" r="26" customHeight="1" ht="18.75">
      <c r="A26" s="301" t="s">
        <v>192</v>
      </c>
      <c r="B26" s="302">
        <f>IF(0.0078*(((12*B29)/B13)+1)*B28*(50-B18)*(B17^2*B13^2/(B16*1000))&gt;3.37,3.37,0.0078*(((12*B29)/B13)+1)*B28*(50-B18)*(B17^2*B13^2/(B16*1000)))</f>
      </c>
      <c r="C26" s="303"/>
      <c r="D26" s="304"/>
      <c r="E26" s="14"/>
      <c r="F26" s="11"/>
      <c r="G26" s="16"/>
      <c r="H26" s="14"/>
      <c r="I26" s="14"/>
      <c r="J26" s="11"/>
      <c r="K26" s="21"/>
    </row>
    <row x14ac:dyDescent="0.25" r="27" customHeight="1" ht="18.75">
      <c r="A27" s="305" t="s">
        <v>193</v>
      </c>
      <c r="B27" s="302">
        <f>B26*0.8</f>
      </c>
      <c r="C27" s="14"/>
      <c r="D27" s="14"/>
      <c r="E27" s="14"/>
      <c r="F27" s="11"/>
      <c r="G27" s="16"/>
      <c r="H27" s="14"/>
      <c r="I27" s="14"/>
      <c r="J27" s="11"/>
      <c r="K27" s="21"/>
    </row>
    <row x14ac:dyDescent="0.25" r="28" customHeight="1" ht="18.75">
      <c r="A28" s="305" t="s">
        <v>194</v>
      </c>
      <c r="B28" s="306">
        <v>6</v>
      </c>
      <c r="C28" s="14"/>
      <c r="D28" s="14"/>
      <c r="E28" s="14"/>
      <c r="F28" s="11"/>
      <c r="G28" s="16"/>
      <c r="H28" s="14"/>
      <c r="I28" s="14"/>
      <c r="J28" s="11"/>
      <c r="K28" s="21"/>
    </row>
    <row x14ac:dyDescent="0.25" r="29" customHeight="1" ht="18.75">
      <c r="A29" s="307" t="s">
        <v>195</v>
      </c>
      <c r="B29" s="308">
        <v>0.5</v>
      </c>
      <c r="C29" s="14"/>
      <c r="D29" s="14"/>
      <c r="E29" s="14"/>
      <c r="F29" s="11"/>
      <c r="G29" s="16"/>
      <c r="H29" s="14"/>
      <c r="I29" s="14"/>
      <c r="J29" s="11"/>
      <c r="K29" s="21"/>
    </row>
    <row x14ac:dyDescent="0.25" r="30" customHeight="1" ht="18.75">
      <c r="A30" s="16"/>
      <c r="B30" s="231"/>
      <c r="C30" s="14"/>
      <c r="D30" s="14"/>
      <c r="E30" s="14"/>
      <c r="F30" s="11"/>
      <c r="G30" s="16"/>
      <c r="H30" s="14"/>
      <c r="I30" s="14"/>
      <c r="J30" s="11"/>
      <c r="K30" s="21"/>
    </row>
    <row x14ac:dyDescent="0.25" r="31" customHeight="1" ht="18.75">
      <c r="A31" s="16"/>
      <c r="B31" s="231"/>
      <c r="C31" s="14"/>
      <c r="D31" s="14"/>
      <c r="E31" s="14"/>
      <c r="F31" s="11"/>
      <c r="G31" s="51" t="s">
        <v>196</v>
      </c>
      <c r="H31" s="52"/>
      <c r="I31" s="52"/>
      <c r="J31" s="62"/>
      <c r="K31" s="147"/>
    </row>
    <row x14ac:dyDescent="0.25" r="32" customHeight="1" ht="18.75">
      <c r="A32" s="16"/>
      <c r="B32" s="231"/>
      <c r="C32" s="14"/>
      <c r="D32" s="14"/>
      <c r="E32" s="14"/>
      <c r="F32" s="11"/>
      <c r="G32" s="14"/>
      <c r="H32" s="14"/>
      <c r="I32" s="14"/>
      <c r="J32" s="11"/>
      <c r="K32" s="21"/>
    </row>
    <row x14ac:dyDescent="0.25" r="33" customHeight="1" ht="18.75">
      <c r="A33" s="16"/>
      <c r="B33" s="231"/>
      <c r="C33" s="14"/>
      <c r="D33" s="14"/>
      <c r="E33" s="14"/>
      <c r="F33" s="11"/>
      <c r="G33" s="14"/>
      <c r="H33" s="14"/>
      <c r="I33" s="14"/>
      <c r="J33" s="11"/>
      <c r="K33" s="21"/>
    </row>
    <row x14ac:dyDescent="0.25" r="34" customHeight="1" ht="18.75">
      <c r="A34" s="16"/>
      <c r="B34" s="231"/>
      <c r="C34" s="14"/>
      <c r="D34" s="14"/>
      <c r="E34" s="14"/>
      <c r="F34" s="11"/>
      <c r="G34" s="1"/>
      <c r="H34" s="6"/>
      <c r="I34" s="6"/>
      <c r="J34" s="8"/>
      <c r="K34" s="10"/>
    </row>
    <row x14ac:dyDescent="0.25" r="35" customHeight="1" ht="18.75">
      <c r="A35" s="16"/>
      <c r="B35" s="231"/>
      <c r="C35" s="14"/>
      <c r="D35" s="14"/>
      <c r="E35" s="14"/>
      <c r="F35" s="11"/>
      <c r="G35" s="16"/>
      <c r="H35" s="14"/>
      <c r="I35" s="14"/>
      <c r="J35" s="11"/>
      <c r="K35" s="21"/>
    </row>
    <row x14ac:dyDescent="0.25" r="36" customHeight="1" ht="18.75">
      <c r="A36" s="16"/>
      <c r="B36" s="231"/>
      <c r="C36" s="14"/>
      <c r="D36" s="14"/>
      <c r="E36" s="14"/>
      <c r="F36" s="11"/>
      <c r="G36" s="16"/>
      <c r="H36" s="14"/>
      <c r="I36" s="14"/>
      <c r="J36" s="11"/>
      <c r="K36" s="21"/>
    </row>
    <row x14ac:dyDescent="0.25" r="37" customHeight="1" ht="18.75">
      <c r="A37" s="16"/>
      <c r="B37" s="231"/>
      <c r="C37" s="14"/>
      <c r="D37" s="14"/>
      <c r="E37" s="14"/>
      <c r="F37" s="11"/>
      <c r="G37" s="16"/>
      <c r="H37" s="14"/>
      <c r="I37" s="14"/>
      <c r="J37" s="11"/>
      <c r="K37" s="21"/>
    </row>
    <row x14ac:dyDescent="0.25" r="38" customHeight="1" ht="18.75">
      <c r="A38" s="309" t="s">
        <v>197</v>
      </c>
      <c r="B38" s="25"/>
      <c r="C38" s="14"/>
      <c r="D38" s="14"/>
      <c r="E38" s="14"/>
      <c r="F38" s="11"/>
      <c r="G38" s="16"/>
      <c r="H38" s="14"/>
      <c r="I38" s="14"/>
      <c r="J38" s="11"/>
      <c r="K38" s="21"/>
    </row>
    <row x14ac:dyDescent="0.25" r="39" customHeight="1" ht="18.75">
      <c r="A39" s="16" t="s">
        <v>198</v>
      </c>
      <c r="B39" s="310"/>
      <c r="C39" s="14"/>
      <c r="D39" s="14"/>
      <c r="E39" s="14"/>
      <c r="F39" s="11"/>
      <c r="G39" s="16"/>
      <c r="H39" s="14"/>
      <c r="I39" s="14"/>
      <c r="J39" s="11"/>
      <c r="K39" s="21"/>
    </row>
    <row x14ac:dyDescent="0.25" r="40" customHeight="1" ht="18.75">
      <c r="A40" s="16" t="s">
        <v>199</v>
      </c>
      <c r="B40" s="311"/>
      <c r="C40" s="14"/>
      <c r="D40" s="14"/>
      <c r="E40" s="14"/>
      <c r="F40" s="11"/>
      <c r="G40" s="16"/>
      <c r="H40" s="14"/>
      <c r="I40" s="14"/>
      <c r="J40" s="11"/>
      <c r="K40" s="21"/>
    </row>
    <row x14ac:dyDescent="0.25" r="41" customHeight="1" ht="18.75">
      <c r="A41" s="44" t="s">
        <v>200</v>
      </c>
      <c r="B41" s="312"/>
      <c r="C41" s="14"/>
      <c r="D41" s="14"/>
      <c r="E41" s="14"/>
      <c r="F41" s="11"/>
      <c r="G41" s="16"/>
      <c r="H41" s="14"/>
      <c r="I41" s="14"/>
      <c r="J41" s="11"/>
      <c r="K41" s="21"/>
    </row>
    <row x14ac:dyDescent="0.25" r="42" customHeight="1" ht="18.75">
      <c r="A42" s="16"/>
      <c r="B42" s="231"/>
      <c r="C42" s="14"/>
      <c r="D42" s="14"/>
      <c r="E42" s="14"/>
      <c r="F42" s="11"/>
      <c r="G42" s="44"/>
      <c r="H42" s="48"/>
      <c r="I42" s="48"/>
      <c r="J42" s="45"/>
      <c r="K42" s="49"/>
    </row>
    <row x14ac:dyDescent="0.25" r="43" customHeight="1" ht="18.75">
      <c r="A43" s="16"/>
      <c r="B43" s="231"/>
      <c r="C43" s="14"/>
      <c r="D43" s="14"/>
      <c r="E43" s="14"/>
      <c r="F43" s="313"/>
      <c r="G43" s="51" t="s">
        <v>201</v>
      </c>
      <c r="H43" s="52"/>
      <c r="I43" s="52"/>
      <c r="J43" s="62"/>
      <c r="K43" s="147"/>
    </row>
    <row x14ac:dyDescent="0.25" r="44" customHeight="1" ht="18.75">
      <c r="A44" s="44"/>
      <c r="B44" s="136"/>
      <c r="C44" s="48"/>
      <c r="D44" s="48"/>
      <c r="E44" s="48"/>
      <c r="F44" s="45"/>
      <c r="G44" s="48"/>
      <c r="H44" s="48"/>
      <c r="I44" s="48"/>
      <c r="J44" s="45"/>
      <c r="K44" s="49"/>
    </row>
    <row x14ac:dyDescent="0.25" r="45" customHeight="1" ht="18.75">
      <c r="A45" s="314" t="s">
        <v>202</v>
      </c>
      <c r="B45" s="9"/>
      <c r="C45" s="6"/>
      <c r="D45" s="6"/>
      <c r="E45" s="6"/>
      <c r="F45" s="8"/>
      <c r="G45" s="6"/>
      <c r="H45" s="6"/>
      <c r="I45" s="6"/>
      <c r="J45" s="8"/>
      <c r="K45" s="10"/>
    </row>
    <row x14ac:dyDescent="0.25" r="46" customHeight="1" ht="18.75">
      <c r="A46" s="315" t="s">
        <v>203</v>
      </c>
      <c r="B46" s="316">
        <f>B12*0.04</f>
      </c>
      <c r="C46" s="317" t="s">
        <v>69</v>
      </c>
      <c r="D46" s="48"/>
      <c r="E46" s="48"/>
      <c r="F46" s="45"/>
      <c r="G46" s="48"/>
      <c r="H46" s="48"/>
      <c r="I46" s="48"/>
      <c r="J46" s="45"/>
      <c r="K46" s="49"/>
    </row>
  </sheetData>
  <mergeCells count="7">
    <mergeCell ref="E1:F1"/>
    <mergeCell ref="C4:K4"/>
    <mergeCell ref="A7:K8"/>
    <mergeCell ref="A9:K9"/>
    <mergeCell ref="G21:K21"/>
    <mergeCell ref="G31:K31"/>
    <mergeCell ref="G43:K4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28"/>
  <sheetViews>
    <sheetView workbookViewId="0"/>
  </sheetViews>
  <sheetFormatPr defaultRowHeight="15" x14ac:dyDescent="0.25"/>
  <cols>
    <col min="1" max="1" style="251" width="13.576428571428572" customWidth="1" bestFit="1"/>
    <col min="2" max="2" style="251" width="13.576428571428572" customWidth="1" bestFit="1"/>
    <col min="3" max="3" style="252" width="13.576428571428572" customWidth="1" bestFit="1"/>
    <col min="4" max="4" style="251" width="13.576428571428572" customWidth="1" bestFit="1"/>
    <col min="5" max="5" style="251" width="13.576428571428572" customWidth="1" bestFit="1"/>
    <col min="6" max="6" style="251" width="14.290714285714287" customWidth="1" bestFit="1"/>
    <col min="7" max="7" style="251" width="13.576428571428572" customWidth="1" bestFit="1"/>
    <col min="8" max="8" style="251" width="13.576428571428572" customWidth="1" bestFit="1"/>
    <col min="9" max="9" style="138" width="13.576428571428572" customWidth="1" bestFit="1"/>
    <col min="10" max="10" style="138" width="13.576428571428572" customWidth="1" bestFit="1"/>
    <col min="11" max="11" style="138" width="13.576428571428572" customWidth="1" bestFit="1"/>
    <col min="12" max="12" style="138" width="13.576428571428572" customWidth="1" bestFit="1"/>
    <col min="13" max="13" style="138" width="13.576428571428572" customWidth="1" bestFit="1"/>
    <col min="14" max="14" style="138" width="13.576428571428572" customWidth="1" bestFit="1"/>
  </cols>
  <sheetData>
    <row x14ac:dyDescent="0.25" r="1" customHeight="1" ht="18.75">
      <c r="A1" s="222" t="s">
        <v>145</v>
      </c>
      <c r="B1" s="223"/>
      <c r="C1" s="224"/>
      <c r="D1" s="225"/>
      <c r="E1" s="226"/>
      <c r="F1" s="226"/>
      <c r="G1" s="226"/>
      <c r="H1" s="226"/>
      <c r="I1" s="14"/>
      <c r="J1" s="14"/>
      <c r="K1" s="14"/>
      <c r="L1" s="14"/>
      <c r="M1" s="14"/>
      <c r="N1" s="14"/>
    </row>
    <row x14ac:dyDescent="0.25" r="2" customHeight="1" ht="18.75">
      <c r="A2" s="227"/>
      <c r="B2" s="228"/>
      <c r="C2" s="229"/>
      <c r="D2" s="230"/>
      <c r="E2" s="6"/>
      <c r="F2" s="6"/>
      <c r="G2" s="6"/>
      <c r="H2" s="6"/>
      <c r="I2" s="6"/>
      <c r="J2" s="6"/>
      <c r="K2" s="6"/>
      <c r="L2" s="6"/>
      <c r="M2" s="6"/>
      <c r="N2" s="10"/>
    </row>
    <row x14ac:dyDescent="0.25" r="3" customHeight="1" ht="18.75">
      <c r="A3" s="16"/>
      <c r="B3" s="226"/>
      <c r="C3" s="231"/>
      <c r="D3" s="226"/>
      <c r="E3" s="226"/>
      <c r="F3" s="226"/>
      <c r="G3" s="1"/>
      <c r="H3" s="6"/>
      <c r="I3" s="6"/>
      <c r="J3" s="6"/>
      <c r="K3" s="6"/>
      <c r="L3" s="10"/>
      <c r="M3" s="14"/>
      <c r="N3" s="21"/>
    </row>
    <row x14ac:dyDescent="0.25" r="4" customHeight="1" ht="18.75">
      <c r="A4" s="232" t="s">
        <v>146</v>
      </c>
      <c r="B4" s="233"/>
      <c r="C4" s="234"/>
      <c r="D4" s="235"/>
      <c r="E4" s="226"/>
      <c r="F4" s="226"/>
      <c r="G4" s="16"/>
      <c r="H4" s="226"/>
      <c r="I4" s="14"/>
      <c r="J4" s="14"/>
      <c r="K4" s="14"/>
      <c r="L4" s="21"/>
      <c r="M4" s="14"/>
      <c r="N4" s="21"/>
    </row>
    <row x14ac:dyDescent="0.25" r="5" customHeight="1" ht="18.75">
      <c r="A5" s="236"/>
      <c r="B5" s="237" t="s">
        <v>147</v>
      </c>
      <c r="C5" s="79">
        <f>0.044*'ABS Datos de entrada'!B12+3.75</f>
      </c>
      <c r="D5" s="238"/>
      <c r="E5" s="226"/>
      <c r="F5" s="226"/>
      <c r="G5" s="16"/>
      <c r="H5" s="226"/>
      <c r="I5" s="14"/>
      <c r="J5" s="14"/>
      <c r="K5" s="14"/>
      <c r="L5" s="21"/>
      <c r="M5" s="14"/>
      <c r="N5" s="21"/>
    </row>
    <row x14ac:dyDescent="0.25" r="6" customHeight="1" ht="18.75">
      <c r="A6" s="236"/>
      <c r="B6" s="237" t="s">
        <v>148</v>
      </c>
      <c r="C6" s="239">
        <v>0.01</v>
      </c>
      <c r="D6" s="238"/>
      <c r="E6" s="226"/>
      <c r="F6" s="226"/>
      <c r="G6" s="16"/>
      <c r="H6" s="226"/>
      <c r="I6" s="14"/>
      <c r="J6" s="14"/>
      <c r="K6" s="14"/>
      <c r="L6" s="21"/>
      <c r="M6" s="14"/>
      <c r="N6" s="21"/>
    </row>
    <row x14ac:dyDescent="0.25" r="7" customHeight="1" ht="18.75">
      <c r="A7" s="236"/>
      <c r="B7" s="237" t="s">
        <v>149</v>
      </c>
      <c r="C7" s="79">
        <f>0.7+0.3*(('ABS Datos de entrada'!B17/('ABS Datos de entrada'!B12)^0.5)/2.36)</f>
      </c>
      <c r="D7" s="238"/>
      <c r="E7" s="240" t="s">
        <v>150</v>
      </c>
      <c r="F7" s="240"/>
      <c r="G7" s="16"/>
      <c r="H7" s="226"/>
      <c r="I7" s="14"/>
      <c r="J7" s="14"/>
      <c r="K7" s="14"/>
      <c r="L7" s="21"/>
      <c r="M7" s="14"/>
      <c r="N7" s="21"/>
    </row>
    <row x14ac:dyDescent="0.25" r="8" customHeight="1" ht="18.75">
      <c r="A8" s="236"/>
      <c r="B8" s="237" t="s">
        <v>151</v>
      </c>
      <c r="C8" s="239">
        <v>0.9</v>
      </c>
      <c r="D8" s="238"/>
      <c r="E8" s="226"/>
      <c r="F8" s="226"/>
      <c r="G8" s="16"/>
      <c r="H8" s="226"/>
      <c r="I8" s="14"/>
      <c r="J8" s="14"/>
      <c r="K8" s="14"/>
      <c r="L8" s="21"/>
      <c r="M8" s="14"/>
      <c r="N8" s="21"/>
    </row>
    <row x14ac:dyDescent="0.25" r="9" customHeight="1" ht="18.75">
      <c r="A9" s="236"/>
      <c r="B9" s="237" t="s">
        <v>152</v>
      </c>
      <c r="C9" s="79">
        <f>0.9+C11</f>
      </c>
      <c r="D9" s="238"/>
      <c r="E9" s="226"/>
      <c r="F9" s="226"/>
      <c r="G9" s="16"/>
      <c r="H9" s="226"/>
      <c r="I9" s="14"/>
      <c r="J9" s="14"/>
      <c r="K9" s="14"/>
      <c r="L9" s="21"/>
      <c r="M9" s="14"/>
      <c r="N9" s="21"/>
    </row>
    <row x14ac:dyDescent="0.25" r="10" customHeight="1" ht="18.75">
      <c r="A10" s="236"/>
      <c r="B10" s="237" t="s">
        <v>153</v>
      </c>
      <c r="C10" s="74">
        <f>60*0.75</f>
      </c>
      <c r="D10" s="238" t="s">
        <v>4</v>
      </c>
      <c r="E10" s="226"/>
      <c r="F10" s="226"/>
      <c r="G10" s="16"/>
      <c r="H10" s="226"/>
      <c r="I10" s="14"/>
      <c r="J10" s="14"/>
      <c r="K10" s="14"/>
      <c r="L10" s="21"/>
      <c r="M10" s="14"/>
      <c r="N10" s="21"/>
    </row>
    <row x14ac:dyDescent="0.25" r="11" customHeight="1" ht="18.75">
      <c r="A11" s="236"/>
      <c r="B11" s="237" t="s">
        <v>154</v>
      </c>
      <c r="C11" s="79">
        <f>115/C10</f>
      </c>
      <c r="D11" s="238" t="s">
        <v>155</v>
      </c>
      <c r="E11" s="226"/>
      <c r="F11" s="226"/>
      <c r="G11" s="16"/>
      <c r="H11" s="226"/>
      <c r="I11" s="14"/>
      <c r="J11" s="14"/>
      <c r="K11" s="14"/>
      <c r="L11" s="21"/>
      <c r="M11" s="14"/>
      <c r="N11" s="21"/>
    </row>
    <row x14ac:dyDescent="0.25" r="12" customHeight="1" ht="18.75">
      <c r="A12" s="236"/>
      <c r="B12" s="237" t="s">
        <v>156</v>
      </c>
      <c r="C12" s="239">
        <v>0.45</v>
      </c>
      <c r="D12" s="238"/>
      <c r="E12" s="226"/>
      <c r="F12" s="226"/>
      <c r="G12" s="16"/>
      <c r="H12" s="226"/>
      <c r="I12" s="14"/>
      <c r="J12" s="14"/>
      <c r="K12" s="14"/>
      <c r="L12" s="21"/>
      <c r="M12" s="14"/>
      <c r="N12" s="21"/>
    </row>
    <row x14ac:dyDescent="0.25" r="13" customHeight="1" ht="18.75">
      <c r="A13" s="127"/>
      <c r="B13" s="241" t="s">
        <v>157</v>
      </c>
      <c r="C13" s="242">
        <v>13.33</v>
      </c>
      <c r="D13" s="243" t="s">
        <v>4</v>
      </c>
      <c r="E13" s="226"/>
      <c r="F13" s="226"/>
      <c r="G13" s="16"/>
      <c r="H13" s="226"/>
      <c r="I13" s="14"/>
      <c r="J13" s="14"/>
      <c r="K13" s="14"/>
      <c r="L13" s="21"/>
      <c r="M13" s="14"/>
      <c r="N13" s="21"/>
    </row>
    <row x14ac:dyDescent="0.25" r="14" customHeight="1" ht="18.75">
      <c r="A14" s="16"/>
      <c r="B14" s="226"/>
      <c r="C14" s="231"/>
      <c r="D14" s="226"/>
      <c r="E14" s="226"/>
      <c r="F14" s="226"/>
      <c r="G14" s="16"/>
      <c r="H14" s="226"/>
      <c r="I14" s="14"/>
      <c r="J14" s="14"/>
      <c r="K14" s="14"/>
      <c r="L14" s="21"/>
      <c r="M14" s="14"/>
      <c r="N14" s="21"/>
    </row>
    <row x14ac:dyDescent="0.25" r="15" customHeight="1" ht="18.75">
      <c r="A15" s="16"/>
      <c r="B15" s="226"/>
      <c r="C15" s="231"/>
      <c r="D15" s="226"/>
      <c r="E15" s="226"/>
      <c r="F15" s="226"/>
      <c r="G15" s="16"/>
      <c r="H15" s="226"/>
      <c r="I15" s="14"/>
      <c r="J15" s="14"/>
      <c r="K15" s="14"/>
      <c r="L15" s="21"/>
      <c r="M15" s="14"/>
      <c r="N15" s="21"/>
    </row>
    <row x14ac:dyDescent="0.25" r="16" customHeight="1" ht="18.75">
      <c r="A16" s="244"/>
      <c r="B16" s="245" t="s">
        <v>5</v>
      </c>
      <c r="C16" s="246">
        <f>C5*C6*'ABS Datos de entrada'!B12^2*'ABS Datos de entrada'!B13*('Resistencia viga buque'!C12+0.7)*'Resistencia viga buque'!C7*'Resistencia viga buque'!C8*'Resistencia viga buque'!C9</f>
      </c>
      <c r="D16" s="247" t="s">
        <v>158</v>
      </c>
      <c r="E16" s="226"/>
      <c r="F16" s="226"/>
      <c r="G16" s="16"/>
      <c r="H16" s="226"/>
      <c r="I16" s="14"/>
      <c r="J16" s="14"/>
      <c r="K16" s="14"/>
      <c r="L16" s="21"/>
      <c r="M16" s="14"/>
      <c r="N16" s="21"/>
    </row>
    <row x14ac:dyDescent="0.25" r="17" customHeight="1" ht="18.75">
      <c r="A17" s="16"/>
      <c r="B17" s="226"/>
      <c r="C17" s="38"/>
      <c r="D17" s="226"/>
      <c r="E17" s="226"/>
      <c r="F17" s="226"/>
      <c r="G17" s="16"/>
      <c r="H17" s="226"/>
      <c r="I17" s="14"/>
      <c r="J17" s="14"/>
      <c r="K17" s="14"/>
      <c r="L17" s="21"/>
      <c r="M17" s="14"/>
      <c r="N17" s="21"/>
    </row>
    <row x14ac:dyDescent="0.25" r="18" customHeight="1" ht="18.75">
      <c r="A18" s="232" t="s">
        <v>159</v>
      </c>
      <c r="B18" s="233"/>
      <c r="C18" s="234"/>
      <c r="D18" s="235"/>
      <c r="E18" s="226"/>
      <c r="F18" s="226"/>
      <c r="G18" s="16"/>
      <c r="H18" s="226"/>
      <c r="I18" s="14"/>
      <c r="J18" s="14"/>
      <c r="K18" s="14"/>
      <c r="L18" s="21"/>
      <c r="M18" s="14"/>
      <c r="N18" s="21"/>
    </row>
    <row x14ac:dyDescent="0.25" r="19" customHeight="1" ht="18.75">
      <c r="A19" s="127"/>
      <c r="B19" s="241" t="s">
        <v>10</v>
      </c>
      <c r="C19" s="129">
        <f>('ABS Datos de entrada'!B12/('Resistencia viga buque'!C9*'Resistencia viga buque'!C8))*('Resistencia viga buque'!C16/'Resistencia viga buque'!C13)</f>
      </c>
      <c r="D19" s="243" t="s">
        <v>160</v>
      </c>
      <c r="E19" s="226"/>
      <c r="F19" s="226"/>
      <c r="G19" s="16"/>
      <c r="H19" s="226"/>
      <c r="I19" s="14"/>
      <c r="J19" s="14"/>
      <c r="K19" s="14"/>
      <c r="L19" s="21"/>
      <c r="M19" s="14"/>
      <c r="N19" s="21"/>
    </row>
    <row x14ac:dyDescent="0.25" r="20" customHeight="1" ht="18.75">
      <c r="A20" s="16"/>
      <c r="B20" s="226"/>
      <c r="C20" s="231"/>
      <c r="D20" s="226"/>
      <c r="E20" s="226"/>
      <c r="F20" s="226"/>
      <c r="G20" s="16"/>
      <c r="H20" s="226"/>
      <c r="I20" s="14"/>
      <c r="J20" s="14"/>
      <c r="K20" s="14"/>
      <c r="L20" s="21"/>
      <c r="M20" s="14"/>
      <c r="N20" s="21"/>
    </row>
    <row x14ac:dyDescent="0.25" r="21" customHeight="1" ht="18.75">
      <c r="A21" s="16"/>
      <c r="B21" s="226"/>
      <c r="C21" s="231"/>
      <c r="D21" s="226"/>
      <c r="E21" s="226"/>
      <c r="F21" s="226"/>
      <c r="G21" s="16"/>
      <c r="H21" s="226"/>
      <c r="I21" s="14"/>
      <c r="J21" s="14"/>
      <c r="K21" s="14"/>
      <c r="L21" s="21"/>
      <c r="M21" s="14"/>
      <c r="N21" s="21"/>
    </row>
    <row x14ac:dyDescent="0.25" r="22" customHeight="1" ht="18.75">
      <c r="A22" s="16"/>
      <c r="B22" s="226"/>
      <c r="C22" s="231"/>
      <c r="D22" s="226"/>
      <c r="E22" s="226"/>
      <c r="F22" s="226"/>
      <c r="G22" s="16"/>
      <c r="H22" s="226"/>
      <c r="I22" s="14"/>
      <c r="J22" s="14"/>
      <c r="K22" s="14"/>
      <c r="L22" s="21"/>
      <c r="M22" s="14"/>
      <c r="N22" s="21"/>
    </row>
    <row x14ac:dyDescent="0.25" r="23" customHeight="1" ht="18.75">
      <c r="A23" s="16"/>
      <c r="B23" s="226"/>
      <c r="C23" s="231"/>
      <c r="D23" s="226"/>
      <c r="E23" s="226"/>
      <c r="F23" s="226"/>
      <c r="G23" s="16"/>
      <c r="H23" s="226"/>
      <c r="I23" s="14"/>
      <c r="J23" s="14"/>
      <c r="K23" s="14"/>
      <c r="L23" s="21"/>
      <c r="M23" s="14"/>
      <c r="N23" s="21"/>
    </row>
    <row x14ac:dyDescent="0.25" r="24" customHeight="1" ht="18.75">
      <c r="A24" s="16"/>
      <c r="B24" s="226"/>
      <c r="C24" s="231"/>
      <c r="D24" s="226"/>
      <c r="E24" s="226"/>
      <c r="F24" s="226"/>
      <c r="G24" s="16"/>
      <c r="H24" s="226"/>
      <c r="I24" s="14"/>
      <c r="J24" s="14"/>
      <c r="K24" s="14"/>
      <c r="L24" s="21"/>
      <c r="M24" s="14"/>
      <c r="N24" s="21"/>
    </row>
    <row x14ac:dyDescent="0.25" r="25" customHeight="1" ht="18.75">
      <c r="A25" s="16"/>
      <c r="B25" s="226"/>
      <c r="C25" s="231"/>
      <c r="D25" s="226"/>
      <c r="E25" s="226"/>
      <c r="F25" s="226"/>
      <c r="G25" s="16"/>
      <c r="H25" s="226"/>
      <c r="I25" s="14"/>
      <c r="J25" s="14"/>
      <c r="K25" s="14"/>
      <c r="L25" s="21"/>
      <c r="M25" s="14"/>
      <c r="N25" s="21"/>
    </row>
    <row x14ac:dyDescent="0.25" r="26" customHeight="1" ht="18.75">
      <c r="A26" s="16"/>
      <c r="B26" s="226"/>
      <c r="C26" s="231"/>
      <c r="D26" s="226"/>
      <c r="E26" s="226"/>
      <c r="F26" s="226"/>
      <c r="G26" s="44"/>
      <c r="H26" s="48"/>
      <c r="I26" s="48"/>
      <c r="J26" s="48"/>
      <c r="K26" s="48"/>
      <c r="L26" s="49"/>
      <c r="M26" s="14"/>
      <c r="N26" s="21"/>
    </row>
    <row x14ac:dyDescent="0.25" r="27" customHeight="1" ht="18.75">
      <c r="A27" s="16"/>
      <c r="B27" s="226"/>
      <c r="C27" s="231"/>
      <c r="D27" s="226"/>
      <c r="E27" s="226"/>
      <c r="F27" s="226"/>
      <c r="G27" s="226"/>
      <c r="H27" s="226"/>
      <c r="I27" s="14"/>
      <c r="J27" s="14"/>
      <c r="K27" s="14"/>
      <c r="L27" s="14"/>
      <c r="M27" s="14"/>
      <c r="N27" s="21"/>
    </row>
    <row x14ac:dyDescent="0.25" r="28" customHeight="1" ht="18.75">
      <c r="A28" s="248" t="s">
        <v>161</v>
      </c>
      <c r="B28" s="249"/>
      <c r="C28" s="250"/>
      <c r="D28" s="249"/>
      <c r="E28" s="249"/>
      <c r="F28" s="249"/>
      <c r="G28" s="249"/>
      <c r="H28" s="249"/>
      <c r="I28" s="48"/>
      <c r="J28" s="48"/>
      <c r="K28" s="48"/>
      <c r="L28" s="48"/>
      <c r="M28" s="48"/>
      <c r="N28" s="49"/>
    </row>
  </sheetData>
  <mergeCells count="4">
    <mergeCell ref="A1:D2"/>
    <mergeCell ref="A4:C4"/>
    <mergeCell ref="A18:C18"/>
    <mergeCell ref="A28:H28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12</vt:i4>
      </vt:variant>
    </vt:vector>
  </HeadingPairs>
  <TitlesOfParts>
    <vt:vector baseType="lpstr" size="12">
      <vt:lpstr>COMPARACIÓN NORMAS</vt:lpstr>
      <vt:lpstr>Módulo de sección F.S</vt:lpstr>
      <vt:lpstr>ISO 12215 Datos de entrada</vt:lpstr>
      <vt:lpstr>categorias</vt:lpstr>
      <vt:lpstr>Presiones de diseño</vt:lpstr>
      <vt:lpstr>espesores laminas</vt:lpstr>
      <vt:lpstr>Refuerzos</vt:lpstr>
      <vt:lpstr>ABS Datos de entrada</vt:lpstr>
      <vt:lpstr>Resistencia viga buque</vt:lpstr>
      <vt:lpstr>ABS Presiones de diseño</vt:lpstr>
      <vt:lpstr>paneles</vt:lpstr>
      <vt:lpstr>internos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2024-08-03T17:16:19.140Z</dcterms:created>
  <dcterms:modified xsi:type="dcterms:W3CDTF">2024-08-03T17:16:19.140Z</dcterms:modified>
</cp:coreProperties>
</file>